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llianzgi-my.sharepoint.com/personal/shibin_xie_allianzgi_com/Documents/Documents/Research/Tech/BQL/"/>
    </mc:Choice>
  </mc:AlternateContent>
  <xr:revisionPtr revIDLastSave="2" documentId="8_{F6B806FD-9345-4EFE-B88C-41EF6088DC87}" xr6:coauthVersionLast="46" xr6:coauthVersionMax="46" xr10:uidLastSave="{9643E184-37F8-485D-B0DA-808ADC93DEB0}"/>
  <bookViews>
    <workbookView xWindow="-96" yWindow="-96" windowWidth="23232" windowHeight="12552" xr2:uid="{00000000-000D-0000-FFFF-FFFF00000000}"/>
  </bookViews>
  <sheets>
    <sheet name="Single Perio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239" i="2" l="1"/>
  <c r="AN235" i="2"/>
  <c r="F236" i="2"/>
  <c r="AP231" i="2"/>
  <c r="AG226" i="2"/>
  <c r="AT239" i="2"/>
  <c r="AK235" i="2"/>
  <c r="AB231" i="2"/>
  <c r="S226" i="2"/>
  <c r="J221" i="2"/>
  <c r="AT217" i="2"/>
  <c r="AK212" i="2"/>
  <c r="AB209" i="2"/>
  <c r="T239" i="2"/>
  <c r="K235" i="2"/>
  <c r="AU230" i="2"/>
  <c r="AL225" i="2"/>
  <c r="AC220" i="2"/>
  <c r="T217" i="2"/>
  <c r="K212" i="2"/>
  <c r="AU208" i="2"/>
  <c r="AL204" i="2"/>
  <c r="AC201" i="2"/>
  <c r="T195" i="2"/>
  <c r="M236" i="2"/>
  <c r="AW231" i="2"/>
  <c r="AN226" i="2"/>
  <c r="AE221" i="2"/>
  <c r="V218" i="2"/>
  <c r="M213" i="2"/>
  <c r="AW209" i="2"/>
  <c r="AN205" i="2"/>
  <c r="AE202" i="2"/>
  <c r="V199" i="2"/>
  <c r="AA237" i="2"/>
  <c r="R233" i="2"/>
  <c r="I230" i="2"/>
  <c r="AS222" i="2"/>
  <c r="AJ219" i="2"/>
  <c r="AA216" i="2"/>
  <c r="R211" i="2"/>
  <c r="I208" i="2"/>
  <c r="AS203" i="2"/>
  <c r="AJ200" i="2"/>
  <c r="E239" i="2"/>
  <c r="AO233" i="2"/>
  <c r="AF230" i="2"/>
  <c r="W225" i="2"/>
  <c r="N220" i="2"/>
  <c r="E217" i="2"/>
  <c r="AO211" i="2"/>
  <c r="AF208" i="2"/>
  <c r="W204" i="2"/>
  <c r="N201" i="2"/>
  <c r="AK239" i="2"/>
  <c r="AV239" i="2"/>
  <c r="AM235" i="2"/>
  <c r="AD231" i="2"/>
  <c r="U226" i="2"/>
  <c r="AH239" i="2"/>
  <c r="Y235" i="2"/>
  <c r="P231" i="2"/>
  <c r="G226" i="2"/>
  <c r="AQ220" i="2"/>
  <c r="AH217" i="2"/>
  <c r="Y212" i="2"/>
  <c r="P209" i="2"/>
  <c r="H239" i="2"/>
  <c r="AR233" i="2"/>
  <c r="AI230" i="2"/>
  <c r="Z225" i="2"/>
  <c r="Q220" i="2"/>
  <c r="H217" i="2"/>
  <c r="AR211" i="2"/>
  <c r="AI208" i="2"/>
  <c r="Z204" i="2"/>
  <c r="Q201" i="2"/>
  <c r="H195" i="2"/>
  <c r="AT235" i="2"/>
  <c r="AK231" i="2"/>
  <c r="AB226" i="2"/>
  <c r="S221" i="2"/>
  <c r="J218" i="2"/>
  <c r="AT212" i="2"/>
  <c r="AK209" i="2"/>
  <c r="AB205" i="2"/>
  <c r="S202" i="2"/>
  <c r="J199" i="2"/>
  <c r="O237" i="2"/>
  <c r="F233" i="2"/>
  <c r="AP227" i="2"/>
  <c r="AG222" i="2"/>
  <c r="X219" i="2"/>
  <c r="O216" i="2"/>
  <c r="F211" i="2"/>
  <c r="AP207" i="2"/>
  <c r="AG203" i="2"/>
  <c r="X200" i="2"/>
  <c r="AL237" i="2"/>
  <c r="AC233" i="2"/>
  <c r="T230" i="2"/>
  <c r="K225" i="2"/>
  <c r="AU219" i="2"/>
  <c r="AL216" i="2"/>
  <c r="AC211" i="2"/>
  <c r="T208" i="2"/>
  <c r="K204" i="2"/>
  <c r="AU200" i="2"/>
  <c r="AL194" i="2"/>
  <c r="V236" i="2"/>
  <c r="M232" i="2"/>
  <c r="AW226" i="2"/>
  <c r="AN221" i="2"/>
  <c r="AE218" i="2"/>
  <c r="V213" i="2"/>
  <c r="M210" i="2"/>
  <c r="AW205" i="2"/>
  <c r="AN202" i="2"/>
  <c r="AE199" i="2"/>
  <c r="O239" i="2"/>
  <c r="F235" i="2"/>
  <c r="AP230" i="2"/>
  <c r="AG225" i="2"/>
  <c r="X220" i="2"/>
  <c r="O217" i="2"/>
  <c r="F212" i="2"/>
  <c r="AP208" i="2"/>
  <c r="AG204" i="2"/>
  <c r="X201" i="2"/>
  <c r="O195" i="2"/>
  <c r="H236" i="2"/>
  <c r="AR231" i="2"/>
  <c r="AI226" i="2"/>
  <c r="Z221" i="2"/>
  <c r="Q218" i="2"/>
  <c r="H213" i="2"/>
  <c r="AR209" i="2"/>
  <c r="AI205" i="2"/>
  <c r="Z202" i="2"/>
  <c r="Q199" i="2"/>
  <c r="AI233" i="2"/>
  <c r="AW217" i="2"/>
  <c r="AE205" i="2"/>
  <c r="AT194" i="2"/>
  <c r="AA190" i="2"/>
  <c r="R184" i="2"/>
  <c r="I181" i="2"/>
  <c r="AS177" i="2"/>
  <c r="AJ174" i="2"/>
  <c r="AA169" i="2"/>
  <c r="R166" i="2"/>
  <c r="R226" i="2"/>
  <c r="AV211" i="2"/>
  <c r="U202" i="2"/>
  <c r="T192" i="2"/>
  <c r="K189" i="2"/>
  <c r="AU182" i="2"/>
  <c r="AL179" i="2"/>
  <c r="AC176" i="2"/>
  <c r="T173" i="2"/>
  <c r="K168" i="2"/>
  <c r="V232" i="2"/>
  <c r="K217" i="2"/>
  <c r="AO204" i="2"/>
  <c r="AB194" i="2"/>
  <c r="M190" i="2"/>
  <c r="AW183" i="2"/>
  <c r="AN180" i="2"/>
  <c r="AE177" i="2"/>
  <c r="V174" i="2"/>
  <c r="M169" i="2"/>
  <c r="E225" i="2"/>
  <c r="I211" i="2"/>
  <c r="AE201" i="2"/>
  <c r="F192" i="2"/>
  <c r="AP185" i="2"/>
  <c r="AG182" i="2"/>
  <c r="X179" i="2"/>
  <c r="O176" i="2"/>
  <c r="F173" i="2"/>
  <c r="W239" i="2"/>
  <c r="J220" i="2"/>
  <c r="Y239" i="2"/>
  <c r="AJ239" i="2"/>
  <c r="AA235" i="2"/>
  <c r="R231" i="2"/>
  <c r="I226" i="2"/>
  <c r="V239" i="2"/>
  <c r="M235" i="2"/>
  <c r="AW230" i="2"/>
  <c r="AN225" i="2"/>
  <c r="AE220" i="2"/>
  <c r="V217" i="2"/>
  <c r="M212" i="2"/>
  <c r="AW208" i="2"/>
  <c r="AO237" i="2"/>
  <c r="AF233" i="2"/>
  <c r="W230" i="2"/>
  <c r="N225" i="2"/>
  <c r="E220" i="2"/>
  <c r="AO216" i="2"/>
  <c r="AF211" i="2"/>
  <c r="W208" i="2"/>
  <c r="N204" i="2"/>
  <c r="E201" i="2"/>
  <c r="AQ239" i="2"/>
  <c r="AH235" i="2"/>
  <c r="Y231" i="2"/>
  <c r="P226" i="2"/>
  <c r="G221" i="2"/>
  <c r="AQ217" i="2"/>
  <c r="AH212" i="2"/>
  <c r="Y209" i="2"/>
  <c r="P205" i="2"/>
  <c r="G202" i="2"/>
  <c r="AQ195" i="2"/>
  <c r="AV236" i="2"/>
  <c r="AM232" i="2"/>
  <c r="AD227" i="2"/>
  <c r="U222" i="2"/>
  <c r="L219" i="2"/>
  <c r="AV213" i="2"/>
  <c r="AM210" i="2"/>
  <c r="AD207" i="2"/>
  <c r="U203" i="2"/>
  <c r="L200" i="2"/>
  <c r="Z237" i="2"/>
  <c r="Q233" i="2"/>
  <c r="H230" i="2"/>
  <c r="AR222" i="2"/>
  <c r="AI219" i="2"/>
  <c r="Z216" i="2"/>
  <c r="Q211" i="2"/>
  <c r="H208" i="2"/>
  <c r="AR203" i="2"/>
  <c r="AI200" i="2"/>
  <c r="Z194" i="2"/>
  <c r="J236" i="2"/>
  <c r="AT231" i="2"/>
  <c r="AK226" i="2"/>
  <c r="AB221" i="2"/>
  <c r="S218" i="2"/>
  <c r="J213" i="2"/>
  <c r="AT209" i="2"/>
  <c r="AK205" i="2"/>
  <c r="AB202" i="2"/>
  <c r="S199" i="2"/>
  <c r="AV237" i="2"/>
  <c r="AM233" i="2"/>
  <c r="AD230" i="2"/>
  <c r="U225" i="2"/>
  <c r="L220" i="2"/>
  <c r="AV216" i="2"/>
  <c r="AM211" i="2"/>
  <c r="AD208" i="2"/>
  <c r="U204" i="2"/>
  <c r="L201" i="2"/>
  <c r="AV194" i="2"/>
  <c r="AO235" i="2"/>
  <c r="AF231" i="2"/>
  <c r="W226" i="2"/>
  <c r="N221" i="2"/>
  <c r="E218" i="2"/>
  <c r="AO212" i="2"/>
  <c r="AF209" i="2"/>
  <c r="W205" i="2"/>
  <c r="N202" i="2"/>
  <c r="E199" i="2"/>
  <c r="AF232" i="2"/>
  <c r="M217" i="2"/>
  <c r="AQ204" i="2"/>
  <c r="AD194" i="2"/>
  <c r="O190" i="2"/>
  <c r="F184" i="2"/>
  <c r="AP180" i="2"/>
  <c r="AG177" i="2"/>
  <c r="X174" i="2"/>
  <c r="O169" i="2"/>
  <c r="F166" i="2"/>
  <c r="O225" i="2"/>
  <c r="L211" i="2"/>
  <c r="AG201" i="2"/>
  <c r="H192" i="2"/>
  <c r="AR185" i="2"/>
  <c r="AI182" i="2"/>
  <c r="Z179" i="2"/>
  <c r="Q176" i="2"/>
  <c r="H173" i="2"/>
  <c r="AR167" i="2"/>
  <c r="S231" i="2"/>
  <c r="T216" i="2"/>
  <c r="O204" i="2"/>
  <c r="J194" i="2"/>
  <c r="AT189" i="2"/>
  <c r="AK183" i="2"/>
  <c r="AB180" i="2"/>
  <c r="S177" i="2"/>
  <c r="J174" i="2"/>
  <c r="AT168" i="2"/>
  <c r="AU221" i="2"/>
  <c r="R210" i="2"/>
  <c r="AQ200" i="2"/>
  <c r="AM191" i="2"/>
  <c r="AD185" i="2"/>
  <c r="U182" i="2"/>
  <c r="L179" i="2"/>
  <c r="M239" i="2"/>
  <c r="X239" i="2"/>
  <c r="O235" i="2"/>
  <c r="F231" i="2"/>
  <c r="AP225" i="2"/>
  <c r="J239" i="2"/>
  <c r="AT233" i="2"/>
  <c r="AK230" i="2"/>
  <c r="AB225" i="2"/>
  <c r="S220" i="2"/>
  <c r="J217" i="2"/>
  <c r="AT211" i="2"/>
  <c r="AK208" i="2"/>
  <c r="AC237" i="2"/>
  <c r="T233" i="2"/>
  <c r="K230" i="2"/>
  <c r="AU222" i="2"/>
  <c r="AL219" i="2"/>
  <c r="AC216" i="2"/>
  <c r="T211" i="2"/>
  <c r="K208" i="2"/>
  <c r="AU203" i="2"/>
  <c r="AL200" i="2"/>
  <c r="AE239" i="2"/>
  <c r="V235" i="2"/>
  <c r="M231" i="2"/>
  <c r="AW225" i="2"/>
  <c r="AN220" i="2"/>
  <c r="AE217" i="2"/>
  <c r="V212" i="2"/>
  <c r="M209" i="2"/>
  <c r="AW204" i="2"/>
  <c r="AN201" i="2"/>
  <c r="AE195" i="2"/>
  <c r="AJ236" i="2"/>
  <c r="AA232" i="2"/>
  <c r="R227" i="2"/>
  <c r="I222" i="2"/>
  <c r="AS218" i="2"/>
  <c r="AJ213" i="2"/>
  <c r="AA210" i="2"/>
  <c r="R207" i="2"/>
  <c r="I203" i="2"/>
  <c r="AS199" i="2"/>
  <c r="N237" i="2"/>
  <c r="E233" i="2"/>
  <c r="AO227" i="2"/>
  <c r="AF222" i="2"/>
  <c r="AT237" i="2"/>
  <c r="L239" i="2"/>
  <c r="AV233" i="2"/>
  <c r="AM230" i="2"/>
  <c r="AD225" i="2"/>
  <c r="AQ237" i="2"/>
  <c r="AH233" i="2"/>
  <c r="Y230" i="2"/>
  <c r="P225" i="2"/>
  <c r="G220" i="2"/>
  <c r="AQ216" i="2"/>
  <c r="AH211" i="2"/>
  <c r="Y208" i="2"/>
  <c r="Q237" i="2"/>
  <c r="H233" i="2"/>
  <c r="AR227" i="2"/>
  <c r="AI222" i="2"/>
  <c r="Z219" i="2"/>
  <c r="Q216" i="2"/>
  <c r="H211" i="2"/>
  <c r="AR207" i="2"/>
  <c r="AI203" i="2"/>
  <c r="Z200" i="2"/>
  <c r="S239" i="2"/>
  <c r="J235" i="2"/>
  <c r="AT230" i="2"/>
  <c r="AK225" i="2"/>
  <c r="AB220" i="2"/>
  <c r="S217" i="2"/>
  <c r="J212" i="2"/>
  <c r="AT208" i="2"/>
  <c r="AK204" i="2"/>
  <c r="AB201" i="2"/>
  <c r="S195" i="2"/>
  <c r="X236" i="2"/>
  <c r="O232" i="2"/>
  <c r="F227" i="2"/>
  <c r="AP221" i="2"/>
  <c r="AG218" i="2"/>
  <c r="X213" i="2"/>
  <c r="O210" i="2"/>
  <c r="F207" i="2"/>
  <c r="AP202" i="2"/>
  <c r="AG199" i="2"/>
  <c r="AU236" i="2"/>
  <c r="AL232" i="2"/>
  <c r="AC227" i="2"/>
  <c r="T222" i="2"/>
  <c r="K219" i="2"/>
  <c r="AU213" i="2"/>
  <c r="AL210" i="2"/>
  <c r="AC207" i="2"/>
  <c r="T203" i="2"/>
  <c r="K200" i="2"/>
  <c r="AN239" i="2"/>
  <c r="AE235" i="2"/>
  <c r="V231" i="2"/>
  <c r="M226" i="2"/>
  <c r="AW220" i="2"/>
  <c r="AN217" i="2"/>
  <c r="AE212" i="2"/>
  <c r="V209" i="2"/>
  <c r="M205" i="2"/>
  <c r="AW201" i="2"/>
  <c r="AN195" i="2"/>
  <c r="X237" i="2"/>
  <c r="O233" i="2"/>
  <c r="F230" i="2"/>
  <c r="AP222" i="2"/>
  <c r="AG219" i="2"/>
  <c r="X216" i="2"/>
  <c r="O211" i="2"/>
  <c r="F208" i="2"/>
  <c r="AP203" i="2"/>
  <c r="AG200" i="2"/>
  <c r="Z239" i="2"/>
  <c r="Q235" i="2"/>
  <c r="H231" i="2"/>
  <c r="AR225" i="2"/>
  <c r="AI220" i="2"/>
  <c r="Z217" i="2"/>
  <c r="Q212" i="2"/>
  <c r="H209" i="2"/>
  <c r="AR204" i="2"/>
  <c r="AI201" i="2"/>
  <c r="Z195" i="2"/>
  <c r="Z230" i="2"/>
  <c r="AE213" i="2"/>
  <c r="AJ203" i="2"/>
  <c r="AS192" i="2"/>
  <c r="AJ189" i="2"/>
  <c r="AA183" i="2"/>
  <c r="R180" i="2"/>
  <c r="I177" i="2"/>
  <c r="AS173" i="2"/>
  <c r="AJ168" i="2"/>
  <c r="AA165" i="2"/>
  <c r="L221" i="2"/>
  <c r="AD209" i="2"/>
  <c r="S200" i="2"/>
  <c r="AC191" i="2"/>
  <c r="T185" i="2"/>
  <c r="K182" i="2"/>
  <c r="AU178" i="2"/>
  <c r="AL175" i="2"/>
  <c r="AC170" i="2"/>
  <c r="T167" i="2"/>
  <c r="M227" i="2"/>
  <c r="AL212" i="2"/>
  <c r="AT202" i="2"/>
  <c r="AE192" i="2"/>
  <c r="V189" i="2"/>
  <c r="M183" i="2"/>
  <c r="AW179" i="2"/>
  <c r="AN176" i="2"/>
  <c r="AE173" i="2"/>
  <c r="AG239" i="2"/>
  <c r="R220" i="2"/>
  <c r="AJ208" i="2"/>
  <c r="AH237" i="2"/>
  <c r="AS237" i="2"/>
  <c r="AJ233" i="2"/>
  <c r="AA230" i="2"/>
  <c r="R225" i="2"/>
  <c r="AE237" i="2"/>
  <c r="V233" i="2"/>
  <c r="M230" i="2"/>
  <c r="AW222" i="2"/>
  <c r="AN219" i="2"/>
  <c r="AE216" i="2"/>
  <c r="V211" i="2"/>
  <c r="M208" i="2"/>
  <c r="E237" i="2"/>
  <c r="AO232" i="2"/>
  <c r="AF227" i="2"/>
  <c r="W222" i="2"/>
  <c r="N219" i="2"/>
  <c r="E216" i="2"/>
  <c r="AO210" i="2"/>
  <c r="AF207" i="2"/>
  <c r="W203" i="2"/>
  <c r="N200" i="2"/>
  <c r="G239" i="2"/>
  <c r="AQ233" i="2"/>
  <c r="AH230" i="2"/>
  <c r="Y225" i="2"/>
  <c r="P220" i="2"/>
  <c r="G217" i="2"/>
  <c r="AQ211" i="2"/>
  <c r="AH208" i="2"/>
  <c r="Y204" i="2"/>
  <c r="P201" i="2"/>
  <c r="G195" i="2"/>
  <c r="L236" i="2"/>
  <c r="AV231" i="2"/>
  <c r="AM226" i="2"/>
  <c r="AD221" i="2"/>
  <c r="U218" i="2"/>
  <c r="L213" i="2"/>
  <c r="AV209" i="2"/>
  <c r="AM205" i="2"/>
  <c r="AD202" i="2"/>
  <c r="U199" i="2"/>
  <c r="AI236" i="2"/>
  <c r="Z232" i="2"/>
  <c r="Q227" i="2"/>
  <c r="H222" i="2"/>
  <c r="AR218" i="2"/>
  <c r="AI213" i="2"/>
  <c r="Z210" i="2"/>
  <c r="Q207" i="2"/>
  <c r="H203" i="2"/>
  <c r="AR199" i="2"/>
  <c r="AB239" i="2"/>
  <c r="S235" i="2"/>
  <c r="J231" i="2"/>
  <c r="AT225" i="2"/>
  <c r="AK220" i="2"/>
  <c r="AB217" i="2"/>
  <c r="S212" i="2"/>
  <c r="J209" i="2"/>
  <c r="AT204" i="2"/>
  <c r="AK201" i="2"/>
  <c r="AB195" i="2"/>
  <c r="L237" i="2"/>
  <c r="AV232" i="2"/>
  <c r="AM227" i="2"/>
  <c r="AD222" i="2"/>
  <c r="U219" i="2"/>
  <c r="L216" i="2"/>
  <c r="AV210" i="2"/>
  <c r="AM207" i="2"/>
  <c r="AD203" i="2"/>
  <c r="U200" i="2"/>
  <c r="N239" i="2"/>
  <c r="E235" i="2"/>
  <c r="AO230" i="2"/>
  <c r="AF225" i="2"/>
  <c r="W220" i="2"/>
  <c r="N217" i="2"/>
  <c r="E212" i="2"/>
  <c r="AO208" i="2"/>
  <c r="AF204" i="2"/>
  <c r="W201" i="2"/>
  <c r="N195" i="2"/>
  <c r="W227" i="2"/>
  <c r="AN212" i="2"/>
  <c r="AV202" i="2"/>
  <c r="AG192" i="2"/>
  <c r="X189" i="2"/>
  <c r="O183" i="2"/>
  <c r="F180" i="2"/>
  <c r="AP176" i="2"/>
  <c r="AG173" i="2"/>
  <c r="X168" i="2"/>
  <c r="AS239" i="2"/>
  <c r="U220" i="2"/>
  <c r="AM208" i="2"/>
  <c r="AL199" i="2"/>
  <c r="Q191" i="2"/>
  <c r="H185" i="2"/>
  <c r="AR181" i="2"/>
  <c r="AI178" i="2"/>
  <c r="Z175" i="2"/>
  <c r="Q170" i="2"/>
  <c r="H167" i="2"/>
  <c r="J226" i="2"/>
  <c r="AU211" i="2"/>
  <c r="M202" i="2"/>
  <c r="S192" i="2"/>
  <c r="J189" i="2"/>
  <c r="V237" i="2"/>
  <c r="AG237" i="2"/>
  <c r="X233" i="2"/>
  <c r="O230" i="2"/>
  <c r="F225" i="2"/>
  <c r="S237" i="2"/>
  <c r="J233" i="2"/>
  <c r="AT227" i="2"/>
  <c r="AK222" i="2"/>
  <c r="AB219" i="2"/>
  <c r="S216" i="2"/>
  <c r="J211" i="2"/>
  <c r="AT207" i="2"/>
  <c r="AL236" i="2"/>
  <c r="AC232" i="2"/>
  <c r="T227" i="2"/>
  <c r="K222" i="2"/>
  <c r="AU218" i="2"/>
  <c r="AL213" i="2"/>
  <c r="AC210" i="2"/>
  <c r="T207" i="2"/>
  <c r="K203" i="2"/>
  <c r="AU199" i="2"/>
  <c r="AN237" i="2"/>
  <c r="AE233" i="2"/>
  <c r="V230" i="2"/>
  <c r="M225" i="2"/>
  <c r="AW219" i="2"/>
  <c r="AN216" i="2"/>
  <c r="AE211" i="2"/>
  <c r="V208" i="2"/>
  <c r="M204" i="2"/>
  <c r="AW200" i="2"/>
  <c r="AN194" i="2"/>
  <c r="AS235" i="2"/>
  <c r="AJ231" i="2"/>
  <c r="AA226" i="2"/>
  <c r="R221" i="2"/>
  <c r="I218" i="2"/>
  <c r="AS212" i="2"/>
  <c r="AJ209" i="2"/>
  <c r="AA205" i="2"/>
  <c r="R202" i="2"/>
  <c r="I199" i="2"/>
  <c r="W236" i="2"/>
  <c r="N232" i="2"/>
  <c r="E227" i="2"/>
  <c r="AO221" i="2"/>
  <c r="AF218" i="2"/>
  <c r="W213" i="2"/>
  <c r="N210" i="2"/>
  <c r="E207" i="2"/>
  <c r="AO202" i="2"/>
  <c r="AF199" i="2"/>
  <c r="P239" i="2"/>
  <c r="G235" i="2"/>
  <c r="AQ230" i="2"/>
  <c r="AH225" i="2"/>
  <c r="Y220" i="2"/>
  <c r="P217" i="2"/>
  <c r="G212" i="2"/>
  <c r="AQ208" i="2"/>
  <c r="AH204" i="2"/>
  <c r="Y201" i="2"/>
  <c r="P195" i="2"/>
  <c r="AS236" i="2"/>
  <c r="AJ232" i="2"/>
  <c r="AA227" i="2"/>
  <c r="R222" i="2"/>
  <c r="I219" i="2"/>
  <c r="AS213" i="2"/>
  <c r="AJ210" i="2"/>
  <c r="AA207" i="2"/>
  <c r="R203" i="2"/>
  <c r="I200" i="2"/>
  <c r="AU237" i="2"/>
  <c r="AL233" i="2"/>
  <c r="AC230" i="2"/>
  <c r="T225" i="2"/>
  <c r="K220" i="2"/>
  <c r="AU216" i="2"/>
  <c r="AL211" i="2"/>
  <c r="AC208" i="2"/>
  <c r="T204" i="2"/>
  <c r="K201" i="2"/>
  <c r="AU194" i="2"/>
  <c r="T226" i="2"/>
  <c r="AW211" i="2"/>
  <c r="V202" i="2"/>
  <c r="U192" i="2"/>
  <c r="L189" i="2"/>
  <c r="AV182" i="2"/>
  <c r="AM179" i="2"/>
  <c r="AD176" i="2"/>
  <c r="U173" i="2"/>
  <c r="L168" i="2"/>
  <c r="R237" i="2"/>
  <c r="AD219" i="2"/>
  <c r="AV207" i="2"/>
  <c r="L199" i="2"/>
  <c r="E191" i="2"/>
  <c r="AO184" i="2"/>
  <c r="AF181" i="2"/>
  <c r="W178" i="2"/>
  <c r="N175" i="2"/>
  <c r="E170" i="2"/>
  <c r="AO166" i="2"/>
  <c r="G225" i="2"/>
  <c r="K211" i="2"/>
  <c r="AF201" i="2"/>
  <c r="G192" i="2"/>
  <c r="AQ185" i="2"/>
  <c r="AH182" i="2"/>
  <c r="Y179" i="2"/>
  <c r="P176" i="2"/>
  <c r="G173" i="2"/>
  <c r="Z235" i="2"/>
  <c r="AJ218" i="2"/>
  <c r="I207" i="2"/>
  <c r="V195" i="2"/>
  <c r="AJ190" i="2"/>
  <c r="AA184" i="2"/>
  <c r="R181" i="2"/>
  <c r="I178" i="2"/>
  <c r="AS174" i="2"/>
  <c r="AJ169" i="2"/>
  <c r="O231" i="2"/>
  <c r="J237" i="2"/>
  <c r="U237" i="2"/>
  <c r="L233" i="2"/>
  <c r="AV227" i="2"/>
  <c r="AM222" i="2"/>
  <c r="G237" i="2"/>
  <c r="AQ232" i="2"/>
  <c r="AH227" i="2"/>
  <c r="Y222" i="2"/>
  <c r="P219" i="2"/>
  <c r="G216" i="2"/>
  <c r="AQ210" i="2"/>
  <c r="AH207" i="2"/>
  <c r="Z236" i="2"/>
  <c r="Q232" i="2"/>
  <c r="H227" i="2"/>
  <c r="AR221" i="2"/>
  <c r="AI218" i="2"/>
  <c r="Z213" i="2"/>
  <c r="Q210" i="2"/>
  <c r="H207" i="2"/>
  <c r="AR202" i="2"/>
  <c r="AI199" i="2"/>
  <c r="AB237" i="2"/>
  <c r="S233" i="2"/>
  <c r="J230" i="2"/>
  <c r="AT222" i="2"/>
  <c r="AK219" i="2"/>
  <c r="AB216" i="2"/>
  <c r="S211" i="2"/>
  <c r="J208" i="2"/>
  <c r="AT203" i="2"/>
  <c r="AK200" i="2"/>
  <c r="AP239" i="2"/>
  <c r="AG235" i="2"/>
  <c r="X231" i="2"/>
  <c r="O226" i="2"/>
  <c r="F221" i="2"/>
  <c r="AP217" i="2"/>
  <c r="AG212" i="2"/>
  <c r="X209" i="2"/>
  <c r="O205" i="2"/>
  <c r="F202" i="2"/>
  <c r="AP195" i="2"/>
  <c r="K236" i="2"/>
  <c r="AU231" i="2"/>
  <c r="AL226" i="2"/>
  <c r="AC221" i="2"/>
  <c r="T218" i="2"/>
  <c r="K213" i="2"/>
  <c r="AU209" i="2"/>
  <c r="AL205" i="2"/>
  <c r="AC202" i="2"/>
  <c r="T199" i="2"/>
  <c r="AW237" i="2"/>
  <c r="AN233" i="2"/>
  <c r="AE230" i="2"/>
  <c r="V225" i="2"/>
  <c r="M220" i="2"/>
  <c r="AW216" i="2"/>
  <c r="AN211" i="2"/>
  <c r="AE208" i="2"/>
  <c r="V204" i="2"/>
  <c r="M201" i="2"/>
  <c r="AW194" i="2"/>
  <c r="AG236" i="2"/>
  <c r="X232" i="2"/>
  <c r="O227" i="2"/>
  <c r="F222" i="2"/>
  <c r="AP218" i="2"/>
  <c r="AG213" i="2"/>
  <c r="X210" i="2"/>
  <c r="O207" i="2"/>
  <c r="F203" i="2"/>
  <c r="AP199" i="2"/>
  <c r="AI237" i="2"/>
  <c r="Z233" i="2"/>
  <c r="Q230" i="2"/>
  <c r="H225" i="2"/>
  <c r="AR219" i="2"/>
  <c r="AI216" i="2"/>
  <c r="Z211" i="2"/>
  <c r="Q208" i="2"/>
  <c r="H204" i="2"/>
  <c r="AR200" i="2"/>
  <c r="AI194" i="2"/>
  <c r="Q225" i="2"/>
  <c r="M211" i="2"/>
  <c r="AH201" i="2"/>
  <c r="I192" i="2"/>
  <c r="AS185" i="2"/>
  <c r="AJ182" i="2"/>
  <c r="AA179" i="2"/>
  <c r="R176" i="2"/>
  <c r="I173" i="2"/>
  <c r="AS167" i="2"/>
  <c r="AJ235" i="2"/>
  <c r="AM218" i="2"/>
  <c r="L207" i="2"/>
  <c r="X195" i="2"/>
  <c r="AL190" i="2"/>
  <c r="AC184" i="2"/>
  <c r="T181" i="2"/>
  <c r="K178" i="2"/>
  <c r="AU174" i="2"/>
  <c r="AL169" i="2"/>
  <c r="AC166" i="2"/>
  <c r="AW221" i="2"/>
  <c r="T210" i="2"/>
  <c r="F201" i="2"/>
  <c r="AN191" i="2"/>
  <c r="AE185" i="2"/>
  <c r="V182" i="2"/>
  <c r="M179" i="2"/>
  <c r="AW175" i="2"/>
  <c r="AN170" i="2"/>
  <c r="W233" i="2"/>
  <c r="AS217" i="2"/>
  <c r="U205" i="2"/>
  <c r="AQ194" i="2"/>
  <c r="X190" i="2"/>
  <c r="O184" i="2"/>
  <c r="F181" i="2"/>
  <c r="AQ236" i="2"/>
  <c r="AJ227" i="2"/>
  <c r="AE232" i="2"/>
  <c r="AW218" i="2"/>
  <c r="V207" i="2"/>
  <c r="AO226" i="2"/>
  <c r="N213" i="2"/>
  <c r="AF202" i="2"/>
  <c r="G233" i="2"/>
  <c r="Y219" i="2"/>
  <c r="AQ207" i="2"/>
  <c r="AD239" i="2"/>
  <c r="AV225" i="2"/>
  <c r="U212" i="2"/>
  <c r="AM201" i="2"/>
  <c r="AI231" i="2"/>
  <c r="W219" i="2"/>
  <c r="W209" i="2"/>
  <c r="Z201" i="2"/>
  <c r="AH236" i="2"/>
  <c r="P227" i="2"/>
  <c r="AQ218" i="2"/>
  <c r="Y210" i="2"/>
  <c r="G203" i="2"/>
  <c r="AA239" i="2"/>
  <c r="I231" i="2"/>
  <c r="AJ220" i="2"/>
  <c r="R212" i="2"/>
  <c r="AS204" i="2"/>
  <c r="AA195" i="2"/>
  <c r="K232" i="2"/>
  <c r="AL221" i="2"/>
  <c r="T213" i="2"/>
  <c r="AU205" i="2"/>
  <c r="AC199" i="2"/>
  <c r="AN218" i="2"/>
  <c r="Y195" i="2"/>
  <c r="AD184" i="2"/>
  <c r="L178" i="2"/>
  <c r="AM169" i="2"/>
  <c r="U227" i="2"/>
  <c r="AU202" i="2"/>
  <c r="W189" i="2"/>
  <c r="E180" i="2"/>
  <c r="AF173" i="2"/>
  <c r="Y233" i="2"/>
  <c r="V205" i="2"/>
  <c r="Y190" i="2"/>
  <c r="S181" i="2"/>
  <c r="Y175" i="2"/>
  <c r="F237" i="2"/>
  <c r="AS211" i="2"/>
  <c r="I194" i="2"/>
  <c r="R185" i="2"/>
  <c r="AA180" i="2"/>
  <c r="AA176" i="2"/>
  <c r="AA170" i="2"/>
  <c r="R232" i="2"/>
  <c r="S213" i="2"/>
  <c r="Y203" i="2"/>
  <c r="AO192" i="2"/>
  <c r="AF189" i="2"/>
  <c r="W183" i="2"/>
  <c r="N180" i="2"/>
  <c r="E177" i="2"/>
  <c r="AO173" i="2"/>
  <c r="AF168" i="2"/>
  <c r="AS220" i="2"/>
  <c r="R209" i="2"/>
  <c r="O200" i="2"/>
  <c r="Y191" i="2"/>
  <c r="P185" i="2"/>
  <c r="G182" i="2"/>
  <c r="AQ178" i="2"/>
  <c r="AH175" i="2"/>
  <c r="Y170" i="2"/>
  <c r="P167" i="2"/>
  <c r="AL222" i="2"/>
  <c r="AR210" i="2"/>
  <c r="U201" i="2"/>
  <c r="AV191" i="2"/>
  <c r="AM185" i="2"/>
  <c r="AD182" i="2"/>
  <c r="U179" i="2"/>
  <c r="L176" i="2"/>
  <c r="AV170" i="2"/>
  <c r="AM167" i="2"/>
  <c r="AP226" i="2"/>
  <c r="X212" i="2"/>
  <c r="AK227" i="2"/>
  <c r="G213" i="2"/>
  <c r="N203" i="2"/>
  <c r="AK192" i="2"/>
  <c r="AB189" i="2"/>
  <c r="S183" i="2"/>
  <c r="J180" i="2"/>
  <c r="AT176" i="2"/>
  <c r="AK173" i="2"/>
  <c r="AF237" i="2"/>
  <c r="AO219" i="2"/>
  <c r="N208" i="2"/>
  <c r="O199" i="2"/>
  <c r="H191" i="2"/>
  <c r="AR184" i="2"/>
  <c r="AI181" i="2"/>
  <c r="Z178" i="2"/>
  <c r="Q175" i="2"/>
  <c r="H170" i="2"/>
  <c r="AI227" i="2"/>
  <c r="AS184" i="2"/>
  <c r="I170" i="2"/>
  <c r="AN164" i="2"/>
  <c r="AE161" i="2"/>
  <c r="V158" i="2"/>
  <c r="M155" i="2"/>
  <c r="AW148" i="2"/>
  <c r="AN144" i="2"/>
  <c r="AE141" i="2"/>
  <c r="V138" i="2"/>
  <c r="M133" i="2"/>
  <c r="AW189" i="2"/>
  <c r="M174" i="2"/>
  <c r="R165" i="2"/>
  <c r="I162" i="2"/>
  <c r="AS158" i="2"/>
  <c r="AJ155" i="2"/>
  <c r="AA149" i="2"/>
  <c r="AE236" i="2"/>
  <c r="X227" i="2"/>
  <c r="S232" i="2"/>
  <c r="AK218" i="2"/>
  <c r="J207" i="2"/>
  <c r="AC226" i="2"/>
  <c r="AU212" i="2"/>
  <c r="T202" i="2"/>
  <c r="AN232" i="2"/>
  <c r="M219" i="2"/>
  <c r="AE207" i="2"/>
  <c r="R239" i="2"/>
  <c r="AJ225" i="2"/>
  <c r="I212" i="2"/>
  <c r="AA201" i="2"/>
  <c r="W231" i="2"/>
  <c r="H218" i="2"/>
  <c r="K209" i="2"/>
  <c r="W200" i="2"/>
  <c r="AQ235" i="2"/>
  <c r="Y226" i="2"/>
  <c r="G218" i="2"/>
  <c r="AH209" i="2"/>
  <c r="P202" i="2"/>
  <c r="AJ237" i="2"/>
  <c r="R230" i="2"/>
  <c r="AS219" i="2"/>
  <c r="AA211" i="2"/>
  <c r="I204" i="2"/>
  <c r="AL239" i="2"/>
  <c r="T231" i="2"/>
  <c r="AU220" i="2"/>
  <c r="AC212" i="2"/>
  <c r="K205" i="2"/>
  <c r="AL195" i="2"/>
  <c r="V216" i="2"/>
  <c r="O194" i="2"/>
  <c r="AM183" i="2"/>
  <c r="U177" i="2"/>
  <c r="AV168" i="2"/>
  <c r="L222" i="2"/>
  <c r="G201" i="2"/>
  <c r="AF185" i="2"/>
  <c r="N179" i="2"/>
  <c r="AO170" i="2"/>
  <c r="P230" i="2"/>
  <c r="AA203" i="2"/>
  <c r="AH189" i="2"/>
  <c r="G181" i="2"/>
  <c r="M175" i="2"/>
  <c r="T232" i="2"/>
  <c r="AA209" i="2"/>
  <c r="AP192" i="2"/>
  <c r="F185" i="2"/>
  <c r="O180" i="2"/>
  <c r="AV175" i="2"/>
  <c r="O170" i="2"/>
  <c r="L230" i="2"/>
  <c r="AB212" i="2"/>
  <c r="AK202" i="2"/>
  <c r="AC192" i="2"/>
  <c r="T189" i="2"/>
  <c r="K183" i="2"/>
  <c r="AU179" i="2"/>
  <c r="AL176" i="2"/>
  <c r="AC173" i="2"/>
  <c r="U239" i="2"/>
  <c r="I220" i="2"/>
  <c r="AA208" i="2"/>
  <c r="AA199" i="2"/>
  <c r="M191" i="2"/>
  <c r="AW184" i="2"/>
  <c r="AN181" i="2"/>
  <c r="AE178" i="2"/>
  <c r="V175" i="2"/>
  <c r="M170" i="2"/>
  <c r="AW166" i="2"/>
  <c r="AI221" i="2"/>
  <c r="H210" i="2"/>
  <c r="AN200" i="2"/>
  <c r="AJ191" i="2"/>
  <c r="AA185" i="2"/>
  <c r="R182" i="2"/>
  <c r="I179" i="2"/>
  <c r="AS175" i="2"/>
  <c r="AJ170" i="2"/>
  <c r="AA167" i="2"/>
  <c r="AM225" i="2"/>
  <c r="AG211" i="2"/>
  <c r="AH226" i="2"/>
  <c r="P212" i="2"/>
  <c r="AG202" i="2"/>
  <c r="Y192" i="2"/>
  <c r="P189" i="2"/>
  <c r="G183" i="2"/>
  <c r="AQ179" i="2"/>
  <c r="AH176" i="2"/>
  <c r="Y173" i="2"/>
  <c r="E236" i="2"/>
  <c r="E219" i="2"/>
  <c r="W207" i="2"/>
  <c r="AH195" i="2"/>
  <c r="AO190" i="2"/>
  <c r="AF184" i="2"/>
  <c r="W181" i="2"/>
  <c r="N178" i="2"/>
  <c r="E175" i="2"/>
  <c r="AO169" i="2"/>
  <c r="AP219" i="2"/>
  <c r="AP183" i="2"/>
  <c r="F169" i="2"/>
  <c r="AB164" i="2"/>
  <c r="S161" i="2"/>
  <c r="J158" i="2"/>
  <c r="AT154" i="2"/>
  <c r="AK148" i="2"/>
  <c r="AB144" i="2"/>
  <c r="S141" i="2"/>
  <c r="J138" i="2"/>
  <c r="AD237" i="2"/>
  <c r="AT185" i="2"/>
  <c r="J173" i="2"/>
  <c r="F165" i="2"/>
  <c r="AP161" i="2"/>
  <c r="AG158" i="2"/>
  <c r="X155" i="2"/>
  <c r="O149" i="2"/>
  <c r="F146" i="2"/>
  <c r="S236" i="2"/>
  <c r="L227" i="2"/>
  <c r="G232" i="2"/>
  <c r="Y218" i="2"/>
  <c r="AR239" i="2"/>
  <c r="Q226" i="2"/>
  <c r="AI212" i="2"/>
  <c r="H202" i="2"/>
  <c r="AB232" i="2"/>
  <c r="AT218" i="2"/>
  <c r="S207" i="2"/>
  <c r="F239" i="2"/>
  <c r="X225" i="2"/>
  <c r="AP211" i="2"/>
  <c r="O201" i="2"/>
  <c r="K231" i="2"/>
  <c r="AO217" i="2"/>
  <c r="AR208" i="2"/>
  <c r="H199" i="2"/>
  <c r="AB233" i="2"/>
  <c r="J225" i="2"/>
  <c r="AK216" i="2"/>
  <c r="S208" i="2"/>
  <c r="AT200" i="2"/>
  <c r="U236" i="2"/>
  <c r="AV226" i="2"/>
  <c r="AD218" i="2"/>
  <c r="L210" i="2"/>
  <c r="AM202" i="2"/>
  <c r="W237" i="2"/>
  <c r="E230" i="2"/>
  <c r="AF219" i="2"/>
  <c r="N211" i="2"/>
  <c r="AO203" i="2"/>
  <c r="W194" i="2"/>
  <c r="V210" i="2"/>
  <c r="AP191" i="2"/>
  <c r="X182" i="2"/>
  <c r="F176" i="2"/>
  <c r="AG167" i="2"/>
  <c r="AV217" i="2"/>
  <c r="AS194" i="2"/>
  <c r="Q184" i="2"/>
  <c r="AR177" i="2"/>
  <c r="Z169" i="2"/>
  <c r="K221" i="2"/>
  <c r="R200" i="2"/>
  <c r="S185" i="2"/>
  <c r="P180" i="2"/>
  <c r="AT174" i="2"/>
  <c r="Q231" i="2"/>
  <c r="AS207" i="2"/>
  <c r="AD192" i="2"/>
  <c r="AM184" i="2"/>
  <c r="AV179" i="2"/>
  <c r="AJ175" i="2"/>
  <c r="AV169" i="2"/>
  <c r="I227" i="2"/>
  <c r="AK211" i="2"/>
  <c r="K202" i="2"/>
  <c r="Q192" i="2"/>
  <c r="H189" i="2"/>
  <c r="AR182" i="2"/>
  <c r="AI179" i="2"/>
  <c r="Z176" i="2"/>
  <c r="Q173" i="2"/>
  <c r="AM236" i="2"/>
  <c r="R219" i="2"/>
  <c r="AJ207" i="2"/>
  <c r="AT195" i="2"/>
  <c r="AT190" i="2"/>
  <c r="AK184" i="2"/>
  <c r="AB181" i="2"/>
  <c r="S178" i="2"/>
  <c r="J175" i="2"/>
  <c r="AT169" i="2"/>
  <c r="AK166" i="2"/>
  <c r="AR220" i="2"/>
  <c r="Q209" i="2"/>
  <c r="G200" i="2"/>
  <c r="X191" i="2"/>
  <c r="O185" i="2"/>
  <c r="F182" i="2"/>
  <c r="AP178" i="2"/>
  <c r="AG175" i="2"/>
  <c r="X170" i="2"/>
  <c r="O167" i="2"/>
  <c r="AJ222" i="2"/>
  <c r="AP210" i="2"/>
  <c r="AE225" i="2"/>
  <c r="Y211" i="2"/>
  <c r="AS201" i="2"/>
  <c r="M192" i="2"/>
  <c r="AW185" i="2"/>
  <c r="AN182" i="2"/>
  <c r="AE179" i="2"/>
  <c r="V176" i="2"/>
  <c r="M173" i="2"/>
  <c r="AS233" i="2"/>
  <c r="N218" i="2"/>
  <c r="AG205" i="2"/>
  <c r="I195" i="2"/>
  <c r="AC190" i="2"/>
  <c r="T184" i="2"/>
  <c r="K181" i="2"/>
  <c r="AU177" i="2"/>
  <c r="AL174" i="2"/>
  <c r="AC169" i="2"/>
  <c r="F213" i="2"/>
  <c r="AM182" i="2"/>
  <c r="P168" i="2"/>
  <c r="P164" i="2"/>
  <c r="G161" i="2"/>
  <c r="AQ157" i="2"/>
  <c r="AH154" i="2"/>
  <c r="Y148" i="2"/>
  <c r="P144" i="2"/>
  <c r="G141" i="2"/>
  <c r="AQ137" i="2"/>
  <c r="Y227" i="2"/>
  <c r="G236" i="2"/>
  <c r="AS226" i="2"/>
  <c r="AN231" i="2"/>
  <c r="M218" i="2"/>
  <c r="AF239" i="2"/>
  <c r="E226" i="2"/>
  <c r="W212" i="2"/>
  <c r="AO201" i="2"/>
  <c r="P232" i="2"/>
  <c r="AH218" i="2"/>
  <c r="G207" i="2"/>
  <c r="AM237" i="2"/>
  <c r="I237" i="2"/>
  <c r="AA222" i="2"/>
  <c r="V227" i="2"/>
  <c r="AN213" i="2"/>
  <c r="N236" i="2"/>
  <c r="AF221" i="2"/>
  <c r="E210" i="2"/>
  <c r="W199" i="2"/>
  <c r="AQ227" i="2"/>
  <c r="P216" i="2"/>
  <c r="AH203" i="2"/>
  <c r="U235" i="2"/>
  <c r="AM220" i="2"/>
  <c r="L209" i="2"/>
  <c r="AD195" i="2"/>
  <c r="Z226" i="2"/>
  <c r="Q217" i="2"/>
  <c r="Z205" i="2"/>
  <c r="AC195" i="2"/>
  <c r="AW232" i="2"/>
  <c r="AE222" i="2"/>
  <c r="M216" i="2"/>
  <c r="AN207" i="2"/>
  <c r="V200" i="2"/>
  <c r="AP235" i="2"/>
  <c r="X226" i="2"/>
  <c r="F218" i="2"/>
  <c r="AG209" i="2"/>
  <c r="O202" i="2"/>
  <c r="AR236" i="2"/>
  <c r="Z227" i="2"/>
  <c r="H219" i="2"/>
  <c r="AI210" i="2"/>
  <c r="Q203" i="2"/>
  <c r="AU239" i="2"/>
  <c r="AN208" i="2"/>
  <c r="R191" i="2"/>
  <c r="AS181" i="2"/>
  <c r="AA175" i="2"/>
  <c r="I167" i="2"/>
  <c r="U216" i="2"/>
  <c r="L194" i="2"/>
  <c r="AL183" i="2"/>
  <c r="T177" i="2"/>
  <c r="AU168" i="2"/>
  <c r="AC219" i="2"/>
  <c r="AW195" i="2"/>
  <c r="AN184" i="2"/>
  <c r="AT178" i="2"/>
  <c r="AQ173" i="2"/>
  <c r="K227" i="2"/>
  <c r="G204" i="2"/>
  <c r="AA191" i="2"/>
  <c r="AJ183" i="2"/>
  <c r="AS178" i="2"/>
  <c r="L175" i="2"/>
  <c r="L169" i="2"/>
  <c r="AV222" i="2"/>
  <c r="J210" i="2"/>
  <c r="AP200" i="2"/>
  <c r="AL191" i="2"/>
  <c r="AC185" i="2"/>
  <c r="T182" i="2"/>
  <c r="K179" i="2"/>
  <c r="AU175" i="2"/>
  <c r="AL170" i="2"/>
  <c r="M233" i="2"/>
  <c r="AJ217" i="2"/>
  <c r="S205" i="2"/>
  <c r="AO194" i="2"/>
  <c r="V190" i="2"/>
  <c r="M184" i="2"/>
  <c r="AW180" i="2"/>
  <c r="AN177" i="2"/>
  <c r="AE174" i="2"/>
  <c r="V169" i="2"/>
  <c r="AC236" i="2"/>
  <c r="Q219" i="2"/>
  <c r="AI207" i="2"/>
  <c r="AS195" i="2"/>
  <c r="AS190" i="2"/>
  <c r="AJ184" i="2"/>
  <c r="AA181" i="2"/>
  <c r="R178" i="2"/>
  <c r="I175" i="2"/>
  <c r="AS169" i="2"/>
  <c r="AJ166" i="2"/>
  <c r="AP220" i="2"/>
  <c r="O209" i="2"/>
  <c r="Y221" i="2"/>
  <c r="AQ209" i="2"/>
  <c r="AE200" i="2"/>
  <c r="AH191" i="2"/>
  <c r="Y185" i="2"/>
  <c r="P182" i="2"/>
  <c r="G179" i="2"/>
  <c r="AQ175" i="2"/>
  <c r="AH170" i="2"/>
  <c r="AM231" i="2"/>
  <c r="AF216" i="2"/>
  <c r="S204" i="2"/>
  <c r="Q194" i="2"/>
  <c r="E190" i="2"/>
  <c r="AO183" i="2"/>
  <c r="AF180" i="2"/>
  <c r="W177" i="2"/>
  <c r="N174" i="2"/>
  <c r="E169" i="2"/>
  <c r="AA204" i="2"/>
  <c r="AG180" i="2"/>
  <c r="R167" i="2"/>
  <c r="AK163" i="2"/>
  <c r="AB160" i="2"/>
  <c r="S157" i="2"/>
  <c r="J154" i="2"/>
  <c r="AT147" i="2"/>
  <c r="AK143" i="2"/>
  <c r="AB140" i="2"/>
  <c r="S137" i="2"/>
  <c r="AV212" i="2"/>
  <c r="AK182" i="2"/>
  <c r="AP236" i="2"/>
  <c r="O222" i="2"/>
  <c r="J227" i="2"/>
  <c r="AB213" i="2"/>
  <c r="AU235" i="2"/>
  <c r="T221" i="2"/>
  <c r="AL209" i="2"/>
  <c r="K199" i="2"/>
  <c r="AE227" i="2"/>
  <c r="AW213" i="2"/>
  <c r="V203" i="2"/>
  <c r="I235" i="2"/>
  <c r="AA220" i="2"/>
  <c r="AS208" i="2"/>
  <c r="AO239" i="2"/>
  <c r="N226" i="2"/>
  <c r="N216" i="2"/>
  <c r="N205" i="2"/>
  <c r="Q195" i="2"/>
  <c r="AK232" i="2"/>
  <c r="S222" i="2"/>
  <c r="AT213" i="2"/>
  <c r="AB207" i="2"/>
  <c r="J200" i="2"/>
  <c r="AD235" i="2"/>
  <c r="L226" i="2"/>
  <c r="AM217" i="2"/>
  <c r="U209" i="2"/>
  <c r="AV201" i="2"/>
  <c r="AF236" i="2"/>
  <c r="N227" i="2"/>
  <c r="AO218" i="2"/>
  <c r="W210" i="2"/>
  <c r="E203" i="2"/>
  <c r="T237" i="2"/>
  <c r="AW207" i="2"/>
  <c r="F191" i="2"/>
  <c r="AG181" i="2"/>
  <c r="O175" i="2"/>
  <c r="AP166" i="2"/>
  <c r="AD213" i="2"/>
  <c r="AR192" i="2"/>
  <c r="Z183" i="2"/>
  <c r="H177" i="2"/>
  <c r="AI168" i="2"/>
  <c r="AL218" i="2"/>
  <c r="W195" i="2"/>
  <c r="AB184" i="2"/>
  <c r="AH178" i="2"/>
  <c r="S173" i="2"/>
  <c r="H226" i="2"/>
  <c r="Z203" i="2"/>
  <c r="O191" i="2"/>
  <c r="X183" i="2"/>
  <c r="AG178" i="2"/>
  <c r="AG174" i="2"/>
  <c r="AS168" i="2"/>
  <c r="AS221" i="2"/>
  <c r="S209" i="2"/>
  <c r="P200" i="2"/>
  <c r="Z191" i="2"/>
  <c r="Q185" i="2"/>
  <c r="H182" i="2"/>
  <c r="AR178" i="2"/>
  <c r="AI175" i="2"/>
  <c r="Z170" i="2"/>
  <c r="J232" i="2"/>
  <c r="AS216" i="2"/>
  <c r="AE204" i="2"/>
  <c r="V194" i="2"/>
  <c r="J190" i="2"/>
  <c r="AT183" i="2"/>
  <c r="AK180" i="2"/>
  <c r="AB177" i="2"/>
  <c r="S174" i="2"/>
  <c r="J169" i="2"/>
  <c r="N235" i="2"/>
  <c r="Z218" i="2"/>
  <c r="AR205" i="2"/>
  <c r="M195" i="2"/>
  <c r="AG190" i="2"/>
  <c r="X184" i="2"/>
  <c r="O181" i="2"/>
  <c r="F178" i="2"/>
  <c r="AP174" i="2"/>
  <c r="AG169" i="2"/>
  <c r="I239" i="2"/>
  <c r="F220" i="2"/>
  <c r="X208" i="2"/>
  <c r="AH220" i="2"/>
  <c r="G209" i="2"/>
  <c r="E200" i="2"/>
  <c r="V191" i="2"/>
  <c r="M185" i="2"/>
  <c r="AW181" i="2"/>
  <c r="AN178" i="2"/>
  <c r="AE175" i="2"/>
  <c r="V170" i="2"/>
  <c r="AJ230" i="2"/>
  <c r="AO213" i="2"/>
  <c r="AL203" i="2"/>
  <c r="AU192" i="2"/>
  <c r="AL189" i="2"/>
  <c r="AC183" i="2"/>
  <c r="T180" i="2"/>
  <c r="K177" i="2"/>
  <c r="AU173" i="2"/>
  <c r="AL168" i="2"/>
  <c r="AR201" i="2"/>
  <c r="AD179" i="2"/>
  <c r="AS166" i="2"/>
  <c r="Y163" i="2"/>
  <c r="P160" i="2"/>
  <c r="G157" i="2"/>
  <c r="AQ150" i="2"/>
  <c r="AH147" i="2"/>
  <c r="Y143" i="2"/>
  <c r="P140" i="2"/>
  <c r="G137" i="2"/>
  <c r="L208" i="2"/>
  <c r="AH181" i="2"/>
  <c r="AK167" i="2"/>
  <c r="AV163" i="2"/>
  <c r="AM160" i="2"/>
  <c r="AD157" i="2"/>
  <c r="U154" i="2"/>
  <c r="AD236" i="2"/>
  <c r="AV221" i="2"/>
  <c r="AQ226" i="2"/>
  <c r="P213" i="2"/>
  <c r="AI235" i="2"/>
  <c r="H221" i="2"/>
  <c r="Z209" i="2"/>
  <c r="AR195" i="2"/>
  <c r="S227" i="2"/>
  <c r="AK213" i="2"/>
  <c r="J203" i="2"/>
  <c r="AP233" i="2"/>
  <c r="O220" i="2"/>
  <c r="AG208" i="2"/>
  <c r="AC239" i="2"/>
  <c r="AU225" i="2"/>
  <c r="AR212" i="2"/>
  <c r="AU204" i="2"/>
  <c r="E195" i="2"/>
  <c r="Y232" i="2"/>
  <c r="G222" i="2"/>
  <c r="AH213" i="2"/>
  <c r="P207" i="2"/>
  <c r="AQ199" i="2"/>
  <c r="R235" i="2"/>
  <c r="AS225" i="2"/>
  <c r="AA217" i="2"/>
  <c r="I209" i="2"/>
  <c r="AJ201" i="2"/>
  <c r="T236" i="2"/>
  <c r="AU226" i="2"/>
  <c r="AC218" i="2"/>
  <c r="K210" i="2"/>
  <c r="AL202" i="2"/>
  <c r="AL235" i="2"/>
  <c r="M207" i="2"/>
  <c r="AM190" i="2"/>
  <c r="U181" i="2"/>
  <c r="AV174" i="2"/>
  <c r="AD166" i="2"/>
  <c r="AM212" i="2"/>
  <c r="AF192" i="2"/>
  <c r="N183" i="2"/>
  <c r="AO176" i="2"/>
  <c r="W168" i="2"/>
  <c r="AU217" i="2"/>
  <c r="AR194" i="2"/>
  <c r="P184" i="2"/>
  <c r="V178" i="2"/>
  <c r="AB170" i="2"/>
  <c r="I221" i="2"/>
  <c r="AS202" i="2"/>
  <c r="AV190" i="2"/>
  <c r="L183" i="2"/>
  <c r="U178" i="2"/>
  <c r="U174" i="2"/>
  <c r="AG168" i="2"/>
  <c r="AT220" i="2"/>
  <c r="AB208" i="2"/>
  <c r="AB199" i="2"/>
  <c r="N191" i="2"/>
  <c r="E185" i="2"/>
  <c r="AO181" i="2"/>
  <c r="AF178" i="2"/>
  <c r="W175" i="2"/>
  <c r="N170" i="2"/>
  <c r="G231" i="2"/>
  <c r="I216" i="2"/>
  <c r="E204" i="2"/>
  <c r="G194" i="2"/>
  <c r="AQ189" i="2"/>
  <c r="AH183" i="2"/>
  <c r="Y180" i="2"/>
  <c r="P177" i="2"/>
  <c r="G174" i="2"/>
  <c r="AQ168" i="2"/>
  <c r="K233" i="2"/>
  <c r="AI217" i="2"/>
  <c r="R205" i="2"/>
  <c r="AM194" i="2"/>
  <c r="U190" i="2"/>
  <c r="L184" i="2"/>
  <c r="AV180" i="2"/>
  <c r="AM177" i="2"/>
  <c r="AD174" i="2"/>
  <c r="U169" i="2"/>
  <c r="AA236" i="2"/>
  <c r="O219" i="2"/>
  <c r="AR237" i="2"/>
  <c r="AQ219" i="2"/>
  <c r="P208" i="2"/>
  <c r="X199" i="2"/>
  <c r="J191" i="2"/>
  <c r="AT184" i="2"/>
  <c r="AK181" i="2"/>
  <c r="AB178" i="2"/>
  <c r="S175" i="2"/>
  <c r="J170" i="2"/>
  <c r="AG227" i="2"/>
  <c r="E213" i="2"/>
  <c r="L203" i="2"/>
  <c r="AI192" i="2"/>
  <c r="Z189" i="2"/>
  <c r="Q183" i="2"/>
  <c r="H180" i="2"/>
  <c r="AR176" i="2"/>
  <c r="AI173" i="2"/>
  <c r="Z168" i="2"/>
  <c r="P199" i="2"/>
  <c r="AA178" i="2"/>
  <c r="AA166" i="2"/>
  <c r="M163" i="2"/>
  <c r="AW159" i="2"/>
  <c r="AN156" i="2"/>
  <c r="AE150" i="2"/>
  <c r="V147" i="2"/>
  <c r="M143" i="2"/>
  <c r="AW139" i="2"/>
  <c r="AN134" i="2"/>
  <c r="R204" i="2"/>
  <c r="AE180" i="2"/>
  <c r="Q167" i="2"/>
  <c r="AJ163" i="2"/>
  <c r="AA160" i="2"/>
  <c r="R157" i="2"/>
  <c r="I154" i="2"/>
  <c r="AS147" i="2"/>
  <c r="AJ143" i="2"/>
  <c r="R236" i="2"/>
  <c r="AJ221" i="2"/>
  <c r="AE226" i="2"/>
  <c r="AW212" i="2"/>
  <c r="W235" i="2"/>
  <c r="AO220" i="2"/>
  <c r="N209" i="2"/>
  <c r="AF195" i="2"/>
  <c r="G227" i="2"/>
  <c r="Y213" i="2"/>
  <c r="AQ202" i="2"/>
  <c r="AD233" i="2"/>
  <c r="AV219" i="2"/>
  <c r="U208" i="2"/>
  <c r="Q239" i="2"/>
  <c r="AI225" i="2"/>
  <c r="AF212" i="2"/>
  <c r="AI204" i="2"/>
  <c r="N194" i="2"/>
  <c r="AH231" i="2"/>
  <c r="P221" i="2"/>
  <c r="AQ212" i="2"/>
  <c r="Y205" i="2"/>
  <c r="G199" i="2"/>
  <c r="AA233" i="2"/>
  <c r="I225" i="2"/>
  <c r="AJ216" i="2"/>
  <c r="R208" i="2"/>
  <c r="AS200" i="2"/>
  <c r="AC235" i="2"/>
  <c r="K226" i="2"/>
  <c r="AL217" i="2"/>
  <c r="T209" i="2"/>
  <c r="AU201" i="2"/>
  <c r="AC231" i="2"/>
  <c r="Q204" i="2"/>
  <c r="AV189" i="2"/>
  <c r="AD180" i="2"/>
  <c r="L174" i="2"/>
  <c r="AM165" i="2"/>
  <c r="U210" i="2"/>
  <c r="AO191" i="2"/>
  <c r="W182" i="2"/>
  <c r="E176" i="2"/>
  <c r="AF167" i="2"/>
  <c r="AC213" i="2"/>
  <c r="AQ192" i="2"/>
  <c r="Y183" i="2"/>
  <c r="J178" i="2"/>
  <c r="P170" i="2"/>
  <c r="AA219" i="2"/>
  <c r="L202" i="2"/>
  <c r="L190" i="2"/>
  <c r="AS182" i="2"/>
  <c r="AP177" i="2"/>
  <c r="I174" i="2"/>
  <c r="U168" i="2"/>
  <c r="S219" i="2"/>
  <c r="AK207" i="2"/>
  <c r="AU195" i="2"/>
  <c r="AU190" i="2"/>
  <c r="AL184" i="2"/>
  <c r="AC181" i="2"/>
  <c r="T178" i="2"/>
  <c r="K175" i="2"/>
  <c r="AU169" i="2"/>
  <c r="AW227" i="2"/>
  <c r="R213" i="2"/>
  <c r="X203" i="2"/>
  <c r="AN192" i="2"/>
  <c r="AE189" i="2"/>
  <c r="V183" i="2"/>
  <c r="M180" i="2"/>
  <c r="AW176" i="2"/>
  <c r="AN173" i="2"/>
  <c r="AE168" i="2"/>
  <c r="H232" i="2"/>
  <c r="AR216" i="2"/>
  <c r="AD204" i="2"/>
  <c r="U194" i="2"/>
  <c r="I190" i="2"/>
  <c r="AS183" i="2"/>
  <c r="AJ180" i="2"/>
  <c r="AA177" i="2"/>
  <c r="R174" i="2"/>
  <c r="I169" i="2"/>
  <c r="L235" i="2"/>
  <c r="X218" i="2"/>
  <c r="Q236" i="2"/>
  <c r="G219" i="2"/>
  <c r="Y207" i="2"/>
  <c r="AJ195" i="2"/>
  <c r="AQ190" i="2"/>
  <c r="AH184" i="2"/>
  <c r="Y181" i="2"/>
  <c r="P178" i="2"/>
  <c r="G175" i="2"/>
  <c r="AQ169" i="2"/>
  <c r="AD226" i="2"/>
  <c r="N212" i="2"/>
  <c r="X202" i="2"/>
  <c r="W192" i="2"/>
  <c r="N189" i="2"/>
  <c r="E183" i="2"/>
  <c r="AO179" i="2"/>
  <c r="AF176" i="2"/>
  <c r="W173" i="2"/>
  <c r="N168" i="2"/>
  <c r="R194" i="2"/>
  <c r="X177" i="2"/>
  <c r="M166" i="2"/>
  <c r="AT162" i="2"/>
  <c r="AK159" i="2"/>
  <c r="AB156" i="2"/>
  <c r="S150" i="2"/>
  <c r="J147" i="2"/>
  <c r="AT142" i="2"/>
  <c r="AK139" i="2"/>
  <c r="AB134" i="2"/>
  <c r="AP201" i="2"/>
  <c r="AB179" i="2"/>
  <c r="AR166" i="2"/>
  <c r="X163" i="2"/>
  <c r="O160" i="2"/>
  <c r="F157" i="2"/>
  <c r="U232" i="2"/>
  <c r="P236" i="2"/>
  <c r="AH221" i="2"/>
  <c r="G210" i="2"/>
  <c r="Z231" i="2"/>
  <c r="AR217" i="2"/>
  <c r="Q205" i="2"/>
  <c r="AK236" i="2"/>
  <c r="J222" i="2"/>
  <c r="AB210" i="2"/>
  <c r="AT199" i="2"/>
  <c r="AG230" i="2"/>
  <c r="F217" i="2"/>
  <c r="X204" i="2"/>
  <c r="T235" i="2"/>
  <c r="AL220" i="2"/>
  <c r="E211" i="2"/>
  <c r="E202" i="2"/>
  <c r="M237" i="2"/>
  <c r="AN227" i="2"/>
  <c r="V219" i="2"/>
  <c r="AW210" i="2"/>
  <c r="AE203" i="2"/>
  <c r="M194" i="2"/>
  <c r="AG231" i="2"/>
  <c r="O221" i="2"/>
  <c r="AP212" i="2"/>
  <c r="X205" i="2"/>
  <c r="F199" i="2"/>
  <c r="AI232" i="2"/>
  <c r="Q222" i="2"/>
  <c r="AR213" i="2"/>
  <c r="Z207" i="2"/>
  <c r="H200" i="2"/>
  <c r="V220" i="2"/>
  <c r="AM199" i="2"/>
  <c r="I185" i="2"/>
  <c r="AJ178" i="2"/>
  <c r="R170" i="2"/>
  <c r="AA231" i="2"/>
  <c r="P204" i="2"/>
  <c r="AU189" i="2"/>
  <c r="AC180" i="2"/>
  <c r="K174" i="2"/>
  <c r="H237" i="2"/>
  <c r="AU207" i="2"/>
  <c r="AW190" i="2"/>
  <c r="AQ181" i="2"/>
  <c r="AB176" i="2"/>
  <c r="Y169" i="2"/>
  <c r="AA213" i="2"/>
  <c r="AV195" i="2"/>
  <c r="U189" i="2"/>
  <c r="AD181" i="2"/>
  <c r="F177" i="2"/>
  <c r="R173" i="2"/>
  <c r="X235" i="2"/>
  <c r="AT216" i="2"/>
  <c r="AM204" i="2"/>
  <c r="X194" i="2"/>
  <c r="K190" i="2"/>
  <c r="AU183" i="2"/>
  <c r="AL180" i="2"/>
  <c r="AC177" i="2"/>
  <c r="T174" i="2"/>
  <c r="K169" i="2"/>
  <c r="AN222" i="2"/>
  <c r="AS210" i="2"/>
  <c r="V201" i="2"/>
  <c r="AW191" i="2"/>
  <c r="AN185" i="2"/>
  <c r="AE182" i="2"/>
  <c r="V179" i="2"/>
  <c r="M176" i="2"/>
  <c r="AW170" i="2"/>
  <c r="AN167" i="2"/>
  <c r="AR226" i="2"/>
  <c r="Z212" i="2"/>
  <c r="AI202" i="2"/>
  <c r="AA192" i="2"/>
  <c r="R189" i="2"/>
  <c r="I183" i="2"/>
  <c r="AS179" i="2"/>
  <c r="AJ176" i="2"/>
  <c r="AA173" i="2"/>
  <c r="R168" i="2"/>
  <c r="AV230" i="2"/>
  <c r="F216" i="2"/>
  <c r="AQ231" i="2"/>
  <c r="AH216" i="2"/>
  <c r="AB204" i="2"/>
  <c r="S194" i="2"/>
  <c r="G190" i="2"/>
  <c r="AQ183" i="2"/>
  <c r="AH180" i="2"/>
  <c r="Y177" i="2"/>
  <c r="P174" i="2"/>
  <c r="G169" i="2"/>
  <c r="W221" i="2"/>
  <c r="AO209" i="2"/>
  <c r="AC200" i="2"/>
  <c r="AF191" i="2"/>
  <c r="W185" i="2"/>
  <c r="N182" i="2"/>
  <c r="E179" i="2"/>
  <c r="AO175" i="2"/>
  <c r="AF170" i="2"/>
  <c r="W167" i="2"/>
  <c r="F190" i="2"/>
  <c r="O174" i="2"/>
  <c r="S165" i="2"/>
  <c r="J162" i="2"/>
  <c r="AT158" i="2"/>
  <c r="AK155" i="2"/>
  <c r="AB149" i="2"/>
  <c r="S146" i="2"/>
  <c r="J142" i="2"/>
  <c r="AT138" i="2"/>
  <c r="AK133" i="2"/>
  <c r="J192" i="2"/>
  <c r="S176" i="2"/>
  <c r="AS232" i="2"/>
  <c r="E232" i="2"/>
  <c r="AH222" i="2"/>
  <c r="L225" i="2"/>
  <c r="AR230" i="2"/>
  <c r="AO195" i="2"/>
  <c r="Y216" i="2"/>
  <c r="I236" i="2"/>
  <c r="AS209" i="2"/>
  <c r="AL227" i="2"/>
  <c r="AC203" i="2"/>
  <c r="AD191" i="2"/>
  <c r="U167" i="2"/>
  <c r="E184" i="2"/>
  <c r="T220" i="2"/>
  <c r="AK179" i="2"/>
  <c r="AN204" i="2"/>
  <c r="AJ179" i="2"/>
  <c r="F226" i="2"/>
  <c r="E192" i="2"/>
  <c r="W179" i="2"/>
  <c r="P235" i="2"/>
  <c r="R195" i="2"/>
  <c r="P181" i="2"/>
  <c r="AH169" i="2"/>
  <c r="Z208" i="2"/>
  <c r="AV184" i="2"/>
  <c r="U175" i="2"/>
  <c r="AG221" i="2"/>
  <c r="AH210" i="2"/>
  <c r="AK185" i="2"/>
  <c r="J176" i="2"/>
  <c r="W217" i="2"/>
  <c r="Q190" i="2"/>
  <c r="AI177" i="2"/>
  <c r="O208" i="2"/>
  <c r="AW163" i="2"/>
  <c r="V154" i="2"/>
  <c r="AN140" i="2"/>
  <c r="AQ184" i="2"/>
  <c r="AM164" i="2"/>
  <c r="X159" i="2"/>
  <c r="AP150" i="2"/>
  <c r="AP146" i="2"/>
  <c r="I142" i="2"/>
  <c r="AS138" i="2"/>
  <c r="AG207" i="2"/>
  <c r="Z181" i="2"/>
  <c r="AJ167" i="2"/>
  <c r="AU163" i="2"/>
  <c r="AL160" i="2"/>
  <c r="AC157" i="2"/>
  <c r="T154" i="2"/>
  <c r="K148" i="2"/>
  <c r="AU143" i="2"/>
  <c r="AL140" i="2"/>
  <c r="AC137" i="2"/>
  <c r="AS191" i="2"/>
  <c r="I176" i="2"/>
  <c r="AP165" i="2"/>
  <c r="AE162" i="2"/>
  <c r="V159" i="2"/>
  <c r="M156" i="2"/>
  <c r="AW149" i="2"/>
  <c r="AN146" i="2"/>
  <c r="AE142" i="2"/>
  <c r="V139" i="2"/>
  <c r="O218" i="2"/>
  <c r="AB183" i="2"/>
  <c r="AK168" i="2"/>
  <c r="X164" i="2"/>
  <c r="O161" i="2"/>
  <c r="F158" i="2"/>
  <c r="AP154" i="2"/>
  <c r="AG148" i="2"/>
  <c r="X144" i="2"/>
  <c r="O141" i="2"/>
  <c r="F138" i="2"/>
  <c r="AF190" i="2"/>
  <c r="AO174" i="2"/>
  <c r="Z165" i="2"/>
  <c r="Q162" i="2"/>
  <c r="H159" i="2"/>
  <c r="AR155" i="2"/>
  <c r="AI149" i="2"/>
  <c r="Z146" i="2"/>
  <c r="Q142" i="2"/>
  <c r="H139" i="2"/>
  <c r="M203" i="2"/>
  <c r="I180" i="2"/>
  <c r="J167" i="2"/>
  <c r="AE163" i="2"/>
  <c r="V160" i="2"/>
  <c r="M157" i="2"/>
  <c r="AW150" i="2"/>
  <c r="AN147" i="2"/>
  <c r="AE143" i="2"/>
  <c r="V140" i="2"/>
  <c r="AH232" i="2"/>
  <c r="V185" i="2"/>
  <c r="AE170" i="2"/>
  <c r="AS164" i="2"/>
  <c r="AJ161" i="2"/>
  <c r="AA158" i="2"/>
  <c r="R155" i="2"/>
  <c r="I149" i="2"/>
  <c r="AS144" i="2"/>
  <c r="AJ141" i="2"/>
  <c r="AA138" i="2"/>
  <c r="AN199" i="2"/>
  <c r="AK178" i="2"/>
  <c r="AE166" i="2"/>
  <c r="O163" i="2"/>
  <c r="F160" i="2"/>
  <c r="AP156" i="2"/>
  <c r="AG150" i="2"/>
  <c r="X147" i="2"/>
  <c r="O143" i="2"/>
  <c r="F140" i="2"/>
  <c r="AP134" i="2"/>
  <c r="AL162" i="2"/>
  <c r="AU146" i="2"/>
  <c r="F134" i="2"/>
  <c r="AL130" i="2"/>
  <c r="AC127" i="2"/>
  <c r="T124" i="2"/>
  <c r="AG232" i="2"/>
  <c r="AL231" i="2"/>
  <c r="V222" i="2"/>
  <c r="AD217" i="2"/>
  <c r="Q221" i="2"/>
  <c r="AK237" i="2"/>
  <c r="AB211" i="2"/>
  <c r="L232" i="2"/>
  <c r="AV205" i="2"/>
  <c r="AO222" i="2"/>
  <c r="AF200" i="2"/>
  <c r="AG185" i="2"/>
  <c r="AG233" i="2"/>
  <c r="H181" i="2"/>
  <c r="AC209" i="2"/>
  <c r="AQ177" i="2"/>
  <c r="Q200" i="2"/>
  <c r="AD177" i="2"/>
  <c r="AB218" i="2"/>
  <c r="AI190" i="2"/>
  <c r="H178" i="2"/>
  <c r="AT226" i="2"/>
  <c r="AB192" i="2"/>
  <c r="AT179" i="2"/>
  <c r="S168" i="2"/>
  <c r="AW203" i="2"/>
  <c r="AG183" i="2"/>
  <c r="F174" i="2"/>
  <c r="AG217" i="2"/>
  <c r="AP205" i="2"/>
  <c r="V184" i="2"/>
  <c r="AN174" i="2"/>
  <c r="W211" i="2"/>
  <c r="AU185" i="2"/>
  <c r="T176" i="2"/>
  <c r="L192" i="2"/>
  <c r="AH162" i="2"/>
  <c r="G150" i="2"/>
  <c r="Y139" i="2"/>
  <c r="AN183" i="2"/>
  <c r="AA164" i="2"/>
  <c r="L159" i="2"/>
  <c r="AD150" i="2"/>
  <c r="AD146" i="2"/>
  <c r="AP141" i="2"/>
  <c r="AG138" i="2"/>
  <c r="AV203" i="2"/>
  <c r="W180" i="2"/>
  <c r="N167" i="2"/>
  <c r="AI163" i="2"/>
  <c r="Z160" i="2"/>
  <c r="Q157" i="2"/>
  <c r="H154" i="2"/>
  <c r="AR147" i="2"/>
  <c r="AI143" i="2"/>
  <c r="Z140" i="2"/>
  <c r="Q137" i="2"/>
  <c r="AP190" i="2"/>
  <c r="F175" i="2"/>
  <c r="AC165" i="2"/>
  <c r="S162" i="2"/>
  <c r="J159" i="2"/>
  <c r="AT155" i="2"/>
  <c r="AK149" i="2"/>
  <c r="AB146" i="2"/>
  <c r="S142" i="2"/>
  <c r="J139" i="2"/>
  <c r="X211" i="2"/>
  <c r="Y182" i="2"/>
  <c r="H168" i="2"/>
  <c r="L164" i="2"/>
  <c r="AV160" i="2"/>
  <c r="AM157" i="2"/>
  <c r="AD154" i="2"/>
  <c r="U148" i="2"/>
  <c r="L144" i="2"/>
  <c r="AV140" i="2"/>
  <c r="AM137" i="2"/>
  <c r="AC189" i="2"/>
  <c r="AL173" i="2"/>
  <c r="N165" i="2"/>
  <c r="E162" i="2"/>
  <c r="AO158" i="2"/>
  <c r="AF155" i="2"/>
  <c r="W149" i="2"/>
  <c r="N146" i="2"/>
  <c r="E142" i="2"/>
  <c r="AO138" i="2"/>
  <c r="AD200" i="2"/>
  <c r="F179" i="2"/>
  <c r="AI166" i="2"/>
  <c r="S163" i="2"/>
  <c r="J160" i="2"/>
  <c r="AT156" i="2"/>
  <c r="AK150" i="2"/>
  <c r="AB147" i="2"/>
  <c r="S143" i="2"/>
  <c r="J140" i="2"/>
  <c r="P222" i="2"/>
  <c r="S184" i="2"/>
  <c r="AB169" i="2"/>
  <c r="AG164" i="2"/>
  <c r="X161" i="2"/>
  <c r="O158" i="2"/>
  <c r="F155" i="2"/>
  <c r="AP148" i="2"/>
  <c r="AG144" i="2"/>
  <c r="X141" i="2"/>
  <c r="O138" i="2"/>
  <c r="AE194" i="2"/>
  <c r="AH177" i="2"/>
  <c r="O166" i="2"/>
  <c r="AV162" i="2"/>
  <c r="AM159" i="2"/>
  <c r="AD156" i="2"/>
  <c r="U150" i="2"/>
  <c r="L147" i="2"/>
  <c r="AV142" i="2"/>
  <c r="AM139" i="2"/>
  <c r="AO231" i="2"/>
  <c r="AI161" i="2"/>
  <c r="AR144" i="2"/>
  <c r="AL133" i="2"/>
  <c r="Z130" i="2"/>
  <c r="Q127" i="2"/>
  <c r="H124" i="2"/>
  <c r="AR120" i="2"/>
  <c r="AI117" i="2"/>
  <c r="Z114" i="2"/>
  <c r="I232" i="2"/>
  <c r="N231" i="2"/>
  <c r="AQ221" i="2"/>
  <c r="R217" i="2"/>
  <c r="E221" i="2"/>
  <c r="Y237" i="2"/>
  <c r="P211" i="2"/>
  <c r="AS231" i="2"/>
  <c r="AJ205" i="2"/>
  <c r="AC222" i="2"/>
  <c r="T200" i="2"/>
  <c r="U185" i="2"/>
  <c r="AD232" i="2"/>
  <c r="AO180" i="2"/>
  <c r="AL208" i="2"/>
  <c r="G177" i="2"/>
  <c r="AJ199" i="2"/>
  <c r="R177" i="2"/>
  <c r="AK217" i="2"/>
  <c r="W190" i="2"/>
  <c r="AO177" i="2"/>
  <c r="AQ225" i="2"/>
  <c r="P192" i="2"/>
  <c r="AH179" i="2"/>
  <c r="G168" i="2"/>
  <c r="P203" i="2"/>
  <c r="U183" i="2"/>
  <c r="AM173" i="2"/>
  <c r="AP216" i="2"/>
  <c r="I205" i="2"/>
  <c r="J184" i="2"/>
  <c r="AB174" i="2"/>
  <c r="AF210" i="2"/>
  <c r="AI185" i="2"/>
  <c r="H176" i="2"/>
  <c r="I191" i="2"/>
  <c r="V162" i="2"/>
  <c r="AN149" i="2"/>
  <c r="M139" i="2"/>
  <c r="Y178" i="2"/>
  <c r="O164" i="2"/>
  <c r="U158" i="2"/>
  <c r="R150" i="2"/>
  <c r="R146" i="2"/>
  <c r="AD141" i="2"/>
  <c r="U138" i="2"/>
  <c r="T201" i="2"/>
  <c r="T179" i="2"/>
  <c r="AQ166" i="2"/>
  <c r="W163" i="2"/>
  <c r="N160" i="2"/>
  <c r="E157" i="2"/>
  <c r="AO150" i="2"/>
  <c r="AF147" i="2"/>
  <c r="W143" i="2"/>
  <c r="N140" i="2"/>
  <c r="E137" i="2"/>
  <c r="AM189" i="2"/>
  <c r="AV173" i="2"/>
  <c r="P165" i="2"/>
  <c r="G162" i="2"/>
  <c r="AQ158" i="2"/>
  <c r="AH155" i="2"/>
  <c r="Y149" i="2"/>
  <c r="P146" i="2"/>
  <c r="G142" i="2"/>
  <c r="AQ138" i="2"/>
  <c r="U207" i="2"/>
  <c r="V181" i="2"/>
  <c r="AE167" i="2"/>
  <c r="AS163" i="2"/>
  <c r="AJ160" i="2"/>
  <c r="AA157" i="2"/>
  <c r="R154" i="2"/>
  <c r="I148" i="2"/>
  <c r="AS143" i="2"/>
  <c r="AJ140" i="2"/>
  <c r="AK233" i="2"/>
  <c r="Z185" i="2"/>
  <c r="AI170" i="2"/>
  <c r="AU164" i="2"/>
  <c r="AL161" i="2"/>
  <c r="AC158" i="2"/>
  <c r="T155" i="2"/>
  <c r="K149" i="2"/>
  <c r="AU144" i="2"/>
  <c r="AL141" i="2"/>
  <c r="AC138" i="2"/>
  <c r="J195" i="2"/>
  <c r="AV177" i="2"/>
  <c r="U166" i="2"/>
  <c r="G163" i="2"/>
  <c r="AQ159" i="2"/>
  <c r="AH156" i="2"/>
  <c r="Y150" i="2"/>
  <c r="P147" i="2"/>
  <c r="G143" i="2"/>
  <c r="AQ139" i="2"/>
  <c r="U217" i="2"/>
  <c r="P183" i="2"/>
  <c r="AA168" i="2"/>
  <c r="U164" i="2"/>
  <c r="L161" i="2"/>
  <c r="AV157" i="2"/>
  <c r="AM154" i="2"/>
  <c r="AD148" i="2"/>
  <c r="U144" i="2"/>
  <c r="L141" i="2"/>
  <c r="AV137" i="2"/>
  <c r="V192" i="2"/>
  <c r="AE176" i="2"/>
  <c r="AU165" i="2"/>
  <c r="AJ162" i="2"/>
  <c r="AA159" i="2"/>
  <c r="R156" i="2"/>
  <c r="I150" i="2"/>
  <c r="AS146" i="2"/>
  <c r="AJ142" i="2"/>
  <c r="AA139" i="2"/>
  <c r="J205" i="2"/>
  <c r="AF160" i="2"/>
  <c r="AO143" i="2"/>
  <c r="X133" i="2"/>
  <c r="N130" i="2"/>
  <c r="E127" i="2"/>
  <c r="AO123" i="2"/>
  <c r="AF120" i="2"/>
  <c r="AN236" i="2"/>
  <c r="W218" i="2"/>
  <c r="G211" i="2"/>
  <c r="AM216" i="2"/>
  <c r="Z220" i="2"/>
  <c r="AT236" i="2"/>
  <c r="AK210" i="2"/>
  <c r="U231" i="2"/>
  <c r="L205" i="2"/>
  <c r="E222" i="2"/>
  <c r="AO199" i="2"/>
  <c r="AP184" i="2"/>
  <c r="X230" i="2"/>
  <c r="Q180" i="2"/>
  <c r="K207" i="2"/>
  <c r="AK175" i="2"/>
  <c r="AA194" i="2"/>
  <c r="AM176" i="2"/>
  <c r="J216" i="2"/>
  <c r="AR189" i="2"/>
  <c r="Q177" i="2"/>
  <c r="AK221" i="2"/>
  <c r="AK191" i="2"/>
  <c r="J179" i="2"/>
  <c r="AB167" i="2"/>
  <c r="I202" i="2"/>
  <c r="AP182" i="2"/>
  <c r="O173" i="2"/>
  <c r="O213" i="2"/>
  <c r="AN203" i="2"/>
  <c r="AE183" i="2"/>
  <c r="AW173" i="2"/>
  <c r="E209" i="2"/>
  <c r="K185" i="2"/>
  <c r="AC175" i="2"/>
  <c r="AV185" i="2"/>
  <c r="AQ161" i="2"/>
  <c r="P149" i="2"/>
  <c r="AH138" i="2"/>
  <c r="V177" i="2"/>
  <c r="L163" i="2"/>
  <c r="I158" i="2"/>
  <c r="F150" i="2"/>
  <c r="AM144" i="2"/>
  <c r="R141" i="2"/>
  <c r="I138" i="2"/>
  <c r="AK195" i="2"/>
  <c r="Q178" i="2"/>
  <c r="Y166" i="2"/>
  <c r="K163" i="2"/>
  <c r="AU159" i="2"/>
  <c r="AL156" i="2"/>
  <c r="AC150" i="2"/>
  <c r="T147" i="2"/>
  <c r="K143" i="2"/>
  <c r="AU139" i="2"/>
  <c r="AV235" i="2"/>
  <c r="AJ185" i="2"/>
  <c r="AS170" i="2"/>
  <c r="AW164" i="2"/>
  <c r="AN161" i="2"/>
  <c r="AE158" i="2"/>
  <c r="V155" i="2"/>
  <c r="M149" i="2"/>
  <c r="AW144" i="2"/>
  <c r="AN141" i="2"/>
  <c r="AE138" i="2"/>
  <c r="AK203" i="2"/>
  <c r="S180" i="2"/>
  <c r="L167" i="2"/>
  <c r="AG163" i="2"/>
  <c r="X160" i="2"/>
  <c r="O157" i="2"/>
  <c r="F154" i="2"/>
  <c r="AP147" i="2"/>
  <c r="AG143" i="2"/>
  <c r="X140" i="2"/>
  <c r="S225" i="2"/>
  <c r="W184" i="2"/>
  <c r="AF169" i="2"/>
  <c r="AI164" i="2"/>
  <c r="Z161" i="2"/>
  <c r="Q158" i="2"/>
  <c r="H155" i="2"/>
  <c r="AR148" i="2"/>
  <c r="AI144" i="2"/>
  <c r="Z141" i="2"/>
  <c r="Q138" i="2"/>
  <c r="AJ192" i="2"/>
  <c r="AS176" i="2"/>
  <c r="G166" i="2"/>
  <c r="AN162" i="2"/>
  <c r="AE159" i="2"/>
  <c r="V156" i="2"/>
  <c r="M150" i="2"/>
  <c r="AW146" i="2"/>
  <c r="AN142" i="2"/>
  <c r="AE139" i="2"/>
  <c r="AD210" i="2"/>
  <c r="M182" i="2"/>
  <c r="AV167" i="2"/>
  <c r="I164" i="2"/>
  <c r="AS160" i="2"/>
  <c r="AJ157" i="2"/>
  <c r="AA154" i="2"/>
  <c r="R148" i="2"/>
  <c r="I144" i="2"/>
  <c r="AS140" i="2"/>
  <c r="AJ137" i="2"/>
  <c r="S191" i="2"/>
  <c r="AB175" i="2"/>
  <c r="AH165" i="2"/>
  <c r="X162" i="2"/>
  <c r="O159" i="2"/>
  <c r="F156" i="2"/>
  <c r="AP149" i="2"/>
  <c r="AG146" i="2"/>
  <c r="X142" i="2"/>
  <c r="O139" i="2"/>
  <c r="Z192" i="2"/>
  <c r="AC159" i="2"/>
  <c r="AL142" i="2"/>
  <c r="K133" i="2"/>
  <c r="AU129" i="2"/>
  <c r="AL126" i="2"/>
  <c r="AC123" i="2"/>
  <c r="T120" i="2"/>
  <c r="AB236" i="2"/>
  <c r="K218" i="2"/>
  <c r="AN210" i="2"/>
  <c r="AD211" i="2"/>
  <c r="AC217" i="2"/>
  <c r="P233" i="2"/>
  <c r="G208" i="2"/>
  <c r="AJ226" i="2"/>
  <c r="AA202" i="2"/>
  <c r="T219" i="2"/>
  <c r="K194" i="2"/>
  <c r="L182" i="2"/>
  <c r="L217" i="2"/>
  <c r="AF177" i="2"/>
  <c r="AK199" i="2"/>
  <c r="AH174" i="2"/>
  <c r="R192" i="2"/>
  <c r="X175" i="2"/>
  <c r="AT210" i="2"/>
  <c r="AO185" i="2"/>
  <c r="N176" i="2"/>
  <c r="AA218" i="2"/>
  <c r="AH190" i="2"/>
  <c r="G178" i="2"/>
  <c r="K239" i="2"/>
  <c r="Z199" i="2"/>
  <c r="AM181" i="2"/>
  <c r="L170" i="2"/>
  <c r="F210" i="2"/>
  <c r="S201" i="2"/>
  <c r="AB182" i="2"/>
  <c r="AT170" i="2"/>
  <c r="G205" i="2"/>
  <c r="H184" i="2"/>
  <c r="Z174" i="2"/>
  <c r="AJ181" i="2"/>
  <c r="AN160" i="2"/>
  <c r="M148" i="2"/>
  <c r="AE137" i="2"/>
  <c r="P175" i="2"/>
  <c r="AS162" i="2"/>
  <c r="AP157" i="2"/>
  <c r="AM149" i="2"/>
  <c r="AA144" i="2"/>
  <c r="F141" i="2"/>
  <c r="AP137" i="2"/>
  <c r="E194" i="2"/>
  <c r="N177" i="2"/>
  <c r="K166" i="2"/>
  <c r="AR162" i="2"/>
  <c r="AI159" i="2"/>
  <c r="Z156" i="2"/>
  <c r="Q150" i="2"/>
  <c r="H147" i="2"/>
  <c r="AR142" i="2"/>
  <c r="AI139" i="2"/>
  <c r="V226" i="2"/>
  <c r="AG184" i="2"/>
  <c r="AP169" i="2"/>
  <c r="AK164" i="2"/>
  <c r="AB161" i="2"/>
  <c r="S158" i="2"/>
  <c r="J155" i="2"/>
  <c r="AT148" i="2"/>
  <c r="AK144" i="2"/>
  <c r="AB141" i="2"/>
  <c r="S138" i="2"/>
  <c r="I201" i="2"/>
  <c r="P179" i="2"/>
  <c r="AM166" i="2"/>
  <c r="U163" i="2"/>
  <c r="L160" i="2"/>
  <c r="AV156" i="2"/>
  <c r="AM150" i="2"/>
  <c r="AD147" i="2"/>
  <c r="U143" i="2"/>
  <c r="L140" i="2"/>
  <c r="L218" i="2"/>
  <c r="T183" i="2"/>
  <c r="AC168" i="2"/>
  <c r="W164" i="2"/>
  <c r="N161" i="2"/>
  <c r="E158" i="2"/>
  <c r="AO154" i="2"/>
  <c r="AF148" i="2"/>
  <c r="W144" i="2"/>
  <c r="N141" i="2"/>
  <c r="E138" i="2"/>
  <c r="AG191" i="2"/>
  <c r="AP175" i="2"/>
  <c r="AL165" i="2"/>
  <c r="AB162" i="2"/>
  <c r="S159" i="2"/>
  <c r="J156" i="2"/>
  <c r="AT149" i="2"/>
  <c r="AK146" i="2"/>
  <c r="AB142" i="2"/>
  <c r="S139" i="2"/>
  <c r="AF205" i="2"/>
  <c r="J181" i="2"/>
  <c r="Z167" i="2"/>
  <c r="AP163" i="2"/>
  <c r="AG160" i="2"/>
  <c r="X157" i="2"/>
  <c r="O154" i="2"/>
  <c r="F148" i="2"/>
  <c r="AP143" i="2"/>
  <c r="AG140" i="2"/>
  <c r="X137" i="2"/>
  <c r="P190" i="2"/>
  <c r="Y174" i="2"/>
  <c r="U165" i="2"/>
  <c r="L162" i="2"/>
  <c r="AV158" i="2"/>
  <c r="AM155" i="2"/>
  <c r="AD149" i="2"/>
  <c r="U146" i="2"/>
  <c r="L142" i="2"/>
  <c r="AV138" i="2"/>
  <c r="N185" i="2"/>
  <c r="Z158" i="2"/>
  <c r="AI141" i="2"/>
  <c r="AR132" i="2"/>
  <c r="AI129" i="2"/>
  <c r="Z126" i="2"/>
  <c r="AW235" i="2"/>
  <c r="AF217" i="2"/>
  <c r="P210" i="2"/>
  <c r="AV204" i="2"/>
  <c r="T212" i="2"/>
  <c r="S230" i="2"/>
  <c r="J204" i="2"/>
  <c r="AM221" i="2"/>
  <c r="AD199" i="2"/>
  <c r="W216" i="2"/>
  <c r="N222" i="2"/>
  <c r="O179" i="2"/>
  <c r="AD205" i="2"/>
  <c r="AI174" i="2"/>
  <c r="AB191" i="2"/>
  <c r="AW169" i="2"/>
  <c r="AS189" i="2"/>
  <c r="AP173" i="2"/>
  <c r="AT205" i="2"/>
  <c r="Z184" i="2"/>
  <c r="AR174" i="2"/>
  <c r="AA212" i="2"/>
  <c r="S189" i="2"/>
  <c r="AK176" i="2"/>
  <c r="E231" i="2"/>
  <c r="F194" i="2"/>
  <c r="X180" i="2"/>
  <c r="AP168" i="2"/>
  <c r="AW233" i="2"/>
  <c r="K195" i="2"/>
  <c r="M181" i="2"/>
  <c r="AE169" i="2"/>
  <c r="AQ201" i="2"/>
  <c r="AL182" i="2"/>
  <c r="K173" i="2"/>
  <c r="U176" i="2"/>
  <c r="Y159" i="2"/>
  <c r="AQ146" i="2"/>
  <c r="P134" i="2"/>
  <c r="G170" i="2"/>
  <c r="AG162" i="2"/>
  <c r="AM156" i="2"/>
  <c r="AV148" i="2"/>
  <c r="O144" i="2"/>
  <c r="AM140" i="2"/>
  <c r="AD137" i="2"/>
  <c r="AU191" i="2"/>
  <c r="K176" i="2"/>
  <c r="AQ165" i="2"/>
  <c r="AF162" i="2"/>
  <c r="W159" i="2"/>
  <c r="N156" i="2"/>
  <c r="E150" i="2"/>
  <c r="AO146" i="2"/>
  <c r="AF142" i="2"/>
  <c r="W139" i="2"/>
  <c r="AV218" i="2"/>
  <c r="AD183" i="2"/>
  <c r="AM168" i="2"/>
  <c r="Y164" i="2"/>
  <c r="P161" i="2"/>
  <c r="G158" i="2"/>
  <c r="AQ154" i="2"/>
  <c r="AH148" i="2"/>
  <c r="Y144" i="2"/>
  <c r="P141" i="2"/>
  <c r="G138" i="2"/>
  <c r="AG195" i="2"/>
  <c r="M178" i="2"/>
  <c r="W166" i="2"/>
  <c r="I163" i="2"/>
  <c r="AS159" i="2"/>
  <c r="AJ156" i="2"/>
  <c r="AA150" i="2"/>
  <c r="R147" i="2"/>
  <c r="I143" i="2"/>
  <c r="AS139" i="2"/>
  <c r="U211" i="2"/>
  <c r="Q182" i="2"/>
  <c r="E168" i="2"/>
  <c r="K164" i="2"/>
  <c r="AU160" i="2"/>
  <c r="AL157" i="2"/>
  <c r="AC154" i="2"/>
  <c r="T148" i="2"/>
  <c r="K144" i="2"/>
  <c r="AU140" i="2"/>
  <c r="AL137" i="2"/>
  <c r="AD190" i="2"/>
  <c r="AM174" i="2"/>
  <c r="Y165" i="2"/>
  <c r="P162" i="2"/>
  <c r="G159" i="2"/>
  <c r="AQ155" i="2"/>
  <c r="AH149" i="2"/>
  <c r="Y146" i="2"/>
  <c r="P142" i="2"/>
  <c r="G139" i="2"/>
  <c r="AW202" i="2"/>
  <c r="G180" i="2"/>
  <c r="G167" i="2"/>
  <c r="AD163" i="2"/>
  <c r="U160" i="2"/>
  <c r="L157" i="2"/>
  <c r="AV150" i="2"/>
  <c r="AM147" i="2"/>
  <c r="AD143" i="2"/>
  <c r="U140" i="2"/>
  <c r="L137" i="2"/>
  <c r="M189" i="2"/>
  <c r="V173" i="2"/>
  <c r="I165" i="2"/>
  <c r="AS161" i="2"/>
  <c r="AJ158" i="2"/>
  <c r="AA155" i="2"/>
  <c r="R149" i="2"/>
  <c r="I146" i="2"/>
  <c r="AS141" i="2"/>
  <c r="AJ138" i="2"/>
  <c r="AU180" i="2"/>
  <c r="W157" i="2"/>
  <c r="AF140" i="2"/>
  <c r="AF132" i="2"/>
  <c r="W129" i="2"/>
  <c r="N126" i="2"/>
  <c r="E123" i="2"/>
  <c r="AO119" i="2"/>
  <c r="M222" i="2"/>
  <c r="AO205" i="2"/>
  <c r="Y200" i="2"/>
  <c r="AJ204" i="2"/>
  <c r="H212" i="2"/>
  <c r="G230" i="2"/>
  <c r="AQ203" i="2"/>
  <c r="AA221" i="2"/>
  <c r="R199" i="2"/>
  <c r="K216" i="2"/>
  <c r="M221" i="2"/>
  <c r="AV178" i="2"/>
  <c r="AP204" i="2"/>
  <c r="W174" i="2"/>
  <c r="P191" i="2"/>
  <c r="AK169" i="2"/>
  <c r="AG189" i="2"/>
  <c r="AD173" i="2"/>
  <c r="T205" i="2"/>
  <c r="N184" i="2"/>
  <c r="AF174" i="2"/>
  <c r="AJ211" i="2"/>
  <c r="G189" i="2"/>
  <c r="Y176" i="2"/>
  <c r="AU227" i="2"/>
  <c r="AM192" i="2"/>
  <c r="L180" i="2"/>
  <c r="AD168" i="2"/>
  <c r="AT232" i="2"/>
  <c r="AH194" i="2"/>
  <c r="AT180" i="2"/>
  <c r="S169" i="2"/>
  <c r="J201" i="2"/>
  <c r="Z182" i="2"/>
  <c r="AR170" i="2"/>
  <c r="R175" i="2"/>
  <c r="M159" i="2"/>
  <c r="AE146" i="2"/>
  <c r="AW133" i="2"/>
  <c r="AW168" i="2"/>
  <c r="U162" i="2"/>
  <c r="AA156" i="2"/>
  <c r="AJ148" i="2"/>
  <c r="AV143" i="2"/>
  <c r="AA140" i="2"/>
  <c r="R137" i="2"/>
  <c r="AR190" i="2"/>
  <c r="H175" i="2"/>
  <c r="AD165" i="2"/>
  <c r="T162" i="2"/>
  <c r="K159" i="2"/>
  <c r="AU155" i="2"/>
  <c r="AL149" i="2"/>
  <c r="AC146" i="2"/>
  <c r="T142" i="2"/>
  <c r="K139" i="2"/>
  <c r="L212" i="2"/>
  <c r="AA182" i="2"/>
  <c r="J168" i="2"/>
  <c r="M164" i="2"/>
  <c r="AW160" i="2"/>
  <c r="AN157" i="2"/>
  <c r="AE154" i="2"/>
  <c r="V148" i="2"/>
  <c r="M144" i="2"/>
  <c r="AW140" i="2"/>
  <c r="AN137" i="2"/>
  <c r="AT192" i="2"/>
  <c r="J177" i="2"/>
  <c r="I166" i="2"/>
  <c r="AP162" i="2"/>
  <c r="AG159" i="2"/>
  <c r="X156" i="2"/>
  <c r="O150" i="2"/>
  <c r="F147" i="2"/>
  <c r="AP142" i="2"/>
  <c r="AG139" i="2"/>
  <c r="AQ205" i="2"/>
  <c r="N181" i="2"/>
  <c r="AD167" i="2"/>
  <c r="AR163" i="2"/>
  <c r="AI160" i="2"/>
  <c r="Z157" i="2"/>
  <c r="Q154" i="2"/>
  <c r="H148" i="2"/>
  <c r="AR143" i="2"/>
  <c r="AI140" i="2"/>
  <c r="Z137" i="2"/>
  <c r="AA189" i="2"/>
  <c r="AJ173" i="2"/>
  <c r="M165" i="2"/>
  <c r="AW161" i="2"/>
  <c r="AN158" i="2"/>
  <c r="AE155" i="2"/>
  <c r="V149" i="2"/>
  <c r="M146" i="2"/>
  <c r="AW141" i="2"/>
  <c r="AN138" i="2"/>
  <c r="AB200" i="2"/>
  <c r="AW178" i="2"/>
  <c r="AH166" i="2"/>
  <c r="R163" i="2"/>
  <c r="I160" i="2"/>
  <c r="AS156" i="2"/>
  <c r="AJ150" i="2"/>
  <c r="AA147" i="2"/>
  <c r="R143" i="2"/>
  <c r="I140" i="2"/>
  <c r="AL230" i="2"/>
  <c r="J185" i="2"/>
  <c r="S170" i="2"/>
  <c r="AP164" i="2"/>
  <c r="AG161" i="2"/>
  <c r="X158" i="2"/>
  <c r="O155" i="2"/>
  <c r="F149" i="2"/>
  <c r="AP144" i="2"/>
  <c r="AG141" i="2"/>
  <c r="X138" i="2"/>
  <c r="AI176" i="2"/>
  <c r="T156" i="2"/>
  <c r="AC139" i="2"/>
  <c r="T132" i="2"/>
  <c r="K129" i="2"/>
  <c r="AU125" i="2"/>
  <c r="AL122" i="2"/>
  <c r="AC119" i="2"/>
  <c r="T116" i="2"/>
  <c r="AT221" i="2"/>
  <c r="AC205" i="2"/>
  <c r="M200" i="2"/>
  <c r="L204" i="2"/>
  <c r="AI209" i="2"/>
  <c r="AB227" i="2"/>
  <c r="S203" i="2"/>
  <c r="AV220" i="2"/>
  <c r="AM195" i="2"/>
  <c r="AF213" i="2"/>
  <c r="AE219" i="2"/>
  <c r="X178" i="2"/>
  <c r="AB203" i="2"/>
  <c r="AR173" i="2"/>
  <c r="AK190" i="2"/>
  <c r="AH168" i="2"/>
  <c r="I189" i="2"/>
  <c r="AM170" i="2"/>
  <c r="F204" i="2"/>
  <c r="AI183" i="2"/>
  <c r="H174" i="2"/>
  <c r="I210" i="2"/>
  <c r="AB185" i="2"/>
  <c r="AT175" i="2"/>
  <c r="AO225" i="2"/>
  <c r="O192" i="2"/>
  <c r="AG179" i="2"/>
  <c r="F168" i="2"/>
  <c r="AN230" i="2"/>
  <c r="AW192" i="2"/>
  <c r="V180" i="2"/>
  <c r="AN168" i="2"/>
  <c r="AV199" i="2"/>
  <c r="AU181" i="2"/>
  <c r="T170" i="2"/>
  <c r="L173" i="2"/>
  <c r="AH158" i="2"/>
  <c r="G146" i="2"/>
  <c r="Y133" i="2"/>
  <c r="O168" i="2"/>
  <c r="AD161" i="2"/>
  <c r="O156" i="2"/>
  <c r="X148" i="2"/>
  <c r="X143" i="2"/>
  <c r="O140" i="2"/>
  <c r="F137" i="2"/>
  <c r="AO189" i="2"/>
  <c r="E174" i="2"/>
  <c r="Q165" i="2"/>
  <c r="H162" i="2"/>
  <c r="AR158" i="2"/>
  <c r="AI155" i="2"/>
  <c r="Z149" i="2"/>
  <c r="Q146" i="2"/>
  <c r="H142" i="2"/>
  <c r="AR138" i="2"/>
  <c r="X207" i="2"/>
  <c r="X181" i="2"/>
  <c r="AH167" i="2"/>
  <c r="AT163" i="2"/>
  <c r="AK160" i="2"/>
  <c r="AB157" i="2"/>
  <c r="S154" i="2"/>
  <c r="J148" i="2"/>
  <c r="AT143" i="2"/>
  <c r="AK140" i="2"/>
  <c r="AB137" i="2"/>
  <c r="AQ191" i="2"/>
  <c r="G176" i="2"/>
  <c r="AO165" i="2"/>
  <c r="AD162" i="2"/>
  <c r="U159" i="2"/>
  <c r="L156" i="2"/>
  <c r="AV149" i="2"/>
  <c r="AM146" i="2"/>
  <c r="AD142" i="2"/>
  <c r="U139" i="2"/>
  <c r="O203" i="2"/>
  <c r="K180" i="2"/>
  <c r="K167" i="2"/>
  <c r="AF163" i="2"/>
  <c r="W160" i="2"/>
  <c r="N157" i="2"/>
  <c r="E154" i="2"/>
  <c r="AO147" i="2"/>
  <c r="AF143" i="2"/>
  <c r="W140" i="2"/>
  <c r="AR232" i="2"/>
  <c r="X185" i="2"/>
  <c r="AG170" i="2"/>
  <c r="AT164" i="2"/>
  <c r="AK161" i="2"/>
  <c r="AB158" i="2"/>
  <c r="S155" i="2"/>
  <c r="J149" i="2"/>
  <c r="AT144" i="2"/>
  <c r="AK141" i="2"/>
  <c r="AB138" i="2"/>
  <c r="F195" i="2"/>
  <c r="AT177" i="2"/>
  <c r="T166" i="2"/>
  <c r="F163" i="2"/>
  <c r="AP159" i="2"/>
  <c r="AG156" i="2"/>
  <c r="X150" i="2"/>
  <c r="O147" i="2"/>
  <c r="F143" i="2"/>
  <c r="AP139" i="2"/>
  <c r="AG220" i="2"/>
  <c r="G184" i="2"/>
  <c r="P169" i="2"/>
  <c r="AD164" i="2"/>
  <c r="U161" i="2"/>
  <c r="L158" i="2"/>
  <c r="AV154" i="2"/>
  <c r="AM148" i="2"/>
  <c r="AD144" i="2"/>
  <c r="U141" i="2"/>
  <c r="L138" i="2"/>
  <c r="W170" i="2"/>
  <c r="Q155" i="2"/>
  <c r="Z138" i="2"/>
  <c r="H132" i="2"/>
  <c r="AR128" i="2"/>
  <c r="AI125" i="2"/>
  <c r="Z122" i="2"/>
  <c r="S210" i="2"/>
  <c r="AW236" i="2"/>
  <c r="AS230" i="2"/>
  <c r="AF235" i="2"/>
  <c r="Q202" i="2"/>
  <c r="AH219" i="2"/>
  <c r="Y194" i="2"/>
  <c r="I213" i="2"/>
  <c r="AU232" i="2"/>
  <c r="AL207" i="2"/>
  <c r="AA200" i="2"/>
  <c r="AD170" i="2"/>
  <c r="N190" i="2"/>
  <c r="AI239" i="2"/>
  <c r="J182" i="2"/>
  <c r="R216" i="2"/>
  <c r="AP181" i="2"/>
  <c r="AO236" i="2"/>
  <c r="AP194" i="2"/>
  <c r="E181" i="2"/>
  <c r="W169" i="2"/>
  <c r="J202" i="2"/>
  <c r="AQ182" i="2"/>
  <c r="P173" i="2"/>
  <c r="Q213" i="2"/>
  <c r="AD189" i="2"/>
  <c r="AV176" i="2"/>
  <c r="F232" i="2"/>
  <c r="Y217" i="2"/>
  <c r="S190" i="2"/>
  <c r="AK177" i="2"/>
  <c r="X222" i="2"/>
  <c r="AR191" i="2"/>
  <c r="Q179" i="2"/>
  <c r="AI167" i="2"/>
  <c r="AF165" i="2"/>
  <c r="AW155" i="2"/>
  <c r="V142" i="2"/>
  <c r="P194" i="2"/>
  <c r="AR165" i="2"/>
  <c r="AV159" i="2"/>
  <c r="AS154" i="2"/>
  <c r="U147" i="2"/>
  <c r="AG142" i="2"/>
  <c r="X139" i="2"/>
  <c r="F219" i="2"/>
  <c r="AF183" i="2"/>
  <c r="AO168" i="2"/>
  <c r="Z164" i="2"/>
  <c r="Q161" i="2"/>
  <c r="H158" i="2"/>
  <c r="AR154" i="2"/>
  <c r="AI148" i="2"/>
  <c r="Z144" i="2"/>
  <c r="Q141" i="2"/>
  <c r="H138" i="2"/>
  <c r="AI195" i="2"/>
  <c r="O178" i="2"/>
  <c r="X166" i="2"/>
  <c r="J163" i="2"/>
  <c r="AT159" i="2"/>
  <c r="AK156" i="2"/>
  <c r="AB150" i="2"/>
  <c r="S147" i="2"/>
  <c r="J143" i="2"/>
  <c r="AT139" i="2"/>
  <c r="AU233" i="2"/>
  <c r="AH185" i="2"/>
  <c r="AQ170" i="2"/>
  <c r="AV164" i="2"/>
  <c r="AM161" i="2"/>
  <c r="AD158" i="2"/>
  <c r="U155" i="2"/>
  <c r="L149" i="2"/>
  <c r="AV144" i="2"/>
  <c r="AM141" i="2"/>
  <c r="AD138" i="2"/>
  <c r="AL192" i="2"/>
  <c r="AU176" i="2"/>
  <c r="H166" i="2"/>
  <c r="AO162" i="2"/>
  <c r="AF159" i="2"/>
  <c r="W156" i="2"/>
  <c r="N150" i="2"/>
  <c r="E147" i="2"/>
  <c r="AO142" i="2"/>
  <c r="AF139" i="2"/>
  <c r="AG210" i="2"/>
  <c r="O182" i="2"/>
  <c r="AW167" i="2"/>
  <c r="J164" i="2"/>
  <c r="AT160" i="2"/>
  <c r="AK157" i="2"/>
  <c r="AB154" i="2"/>
  <c r="S148" i="2"/>
  <c r="J144" i="2"/>
  <c r="AT140" i="2"/>
  <c r="AK137" i="2"/>
  <c r="AB190" i="2"/>
  <c r="AK174" i="2"/>
  <c r="X165" i="2"/>
  <c r="O162" i="2"/>
  <c r="F159" i="2"/>
  <c r="AP155" i="2"/>
  <c r="AG149" i="2"/>
  <c r="X146" i="2"/>
  <c r="O142" i="2"/>
  <c r="F139" i="2"/>
  <c r="F205" i="2"/>
  <c r="AQ180" i="2"/>
  <c r="V167" i="2"/>
  <c r="AM163" i="2"/>
  <c r="AD160" i="2"/>
  <c r="U157" i="2"/>
  <c r="L154" i="2"/>
  <c r="AV147" i="2"/>
  <c r="AM143" i="2"/>
  <c r="AD140" i="2"/>
  <c r="U137" i="2"/>
  <c r="AR164" i="2"/>
  <c r="H149" i="2"/>
  <c r="AF134" i="2"/>
  <c r="AN209" i="2"/>
  <c r="Y236" i="2"/>
  <c r="U230" i="2"/>
  <c r="H235" i="2"/>
  <c r="AL201" i="2"/>
  <c r="J219" i="2"/>
  <c r="AM239" i="2"/>
  <c r="AD212" i="2"/>
  <c r="W232" i="2"/>
  <c r="N207" i="2"/>
  <c r="M199" i="2"/>
  <c r="F170" i="2"/>
  <c r="AI189" i="2"/>
  <c r="AB235" i="2"/>
  <c r="AE181" i="2"/>
  <c r="AJ212" i="2"/>
  <c r="AM180" i="2"/>
  <c r="U233" i="2"/>
  <c r="H194" i="2"/>
  <c r="Z180" i="2"/>
  <c r="AR168" i="2"/>
  <c r="AO200" i="2"/>
  <c r="S182" i="2"/>
  <c r="AK170" i="2"/>
  <c r="AI211" i="2"/>
  <c r="F189" i="2"/>
  <c r="X176" i="2"/>
  <c r="AS227" i="2"/>
  <c r="AQ213" i="2"/>
  <c r="AN189" i="2"/>
  <c r="M177" i="2"/>
  <c r="AF220" i="2"/>
  <c r="T191" i="2"/>
  <c r="AL178" i="2"/>
  <c r="AP237" i="2"/>
  <c r="G165" i="2"/>
  <c r="Y155" i="2"/>
  <c r="AQ141" i="2"/>
  <c r="G191" i="2"/>
  <c r="AE165" i="2"/>
  <c r="AJ159" i="2"/>
  <c r="AG154" i="2"/>
  <c r="I147" i="2"/>
  <c r="U142" i="2"/>
  <c r="L139" i="2"/>
  <c r="O212" i="2"/>
  <c r="AC182" i="2"/>
  <c r="M168" i="2"/>
  <c r="N164" i="2"/>
  <c r="E161" i="2"/>
  <c r="AO157" i="2"/>
  <c r="AF154" i="2"/>
  <c r="W148" i="2"/>
  <c r="N144" i="2"/>
  <c r="E141" i="2"/>
  <c r="AO137" i="2"/>
  <c r="AV192" i="2"/>
  <c r="L177" i="2"/>
  <c r="J166" i="2"/>
  <c r="AQ162" i="2"/>
  <c r="AH159" i="2"/>
  <c r="Y156" i="2"/>
  <c r="P150" i="2"/>
  <c r="G147" i="2"/>
  <c r="AQ142" i="2"/>
  <c r="AH139" i="2"/>
  <c r="AC225" i="2"/>
  <c r="AE184" i="2"/>
  <c r="AN169" i="2"/>
  <c r="AJ164" i="2"/>
  <c r="AA161" i="2"/>
  <c r="V221" i="2"/>
  <c r="AH200" i="2"/>
  <c r="AC194" i="2"/>
  <c r="AD201" i="2"/>
  <c r="H220" i="2"/>
  <c r="S179" i="2"/>
  <c r="AE157" i="2"/>
  <c r="L148" i="2"/>
  <c r="E165" i="2"/>
  <c r="AO141" i="2"/>
  <c r="Y160" i="2"/>
  <c r="P137" i="2"/>
  <c r="R158" i="2"/>
  <c r="AA141" i="2"/>
  <c r="AN165" i="2"/>
  <c r="AU149" i="2"/>
  <c r="AH205" i="2"/>
  <c r="AH160" i="2"/>
  <c r="AQ143" i="2"/>
  <c r="AH173" i="2"/>
  <c r="AD155" i="2"/>
  <c r="AM138" i="2"/>
  <c r="AA163" i="2"/>
  <c r="AJ147" i="2"/>
  <c r="AO163" i="2"/>
  <c r="T128" i="2"/>
  <c r="K121" i="2"/>
  <c r="H116" i="2"/>
  <c r="AF112" i="2"/>
  <c r="W107" i="2"/>
  <c r="AG176" i="2"/>
  <c r="S156" i="2"/>
  <c r="AB139" i="2"/>
  <c r="S132" i="2"/>
  <c r="J129" i="2"/>
  <c r="AT125" i="2"/>
  <c r="AK122" i="2"/>
  <c r="AB119" i="2"/>
  <c r="S116" i="2"/>
  <c r="J113" i="2"/>
  <c r="AT107" i="2"/>
  <c r="AI162" i="2"/>
  <c r="AR146" i="2"/>
  <c r="AV133" i="2"/>
  <c r="AJ130" i="2"/>
  <c r="AA127" i="2"/>
  <c r="R124" i="2"/>
  <c r="I121" i="2"/>
  <c r="AS117" i="2"/>
  <c r="AJ114" i="2"/>
  <c r="AA111" i="2"/>
  <c r="AR179" i="2"/>
  <c r="K157" i="2"/>
  <c r="T140" i="2"/>
  <c r="AC132" i="2"/>
  <c r="T129" i="2"/>
  <c r="K126" i="2"/>
  <c r="AU122" i="2"/>
  <c r="AL119" i="2"/>
  <c r="AC116" i="2"/>
  <c r="T113" i="2"/>
  <c r="K108" i="2"/>
  <c r="AB163" i="2"/>
  <c r="AK147" i="2"/>
  <c r="N134" i="2"/>
  <c r="AT130" i="2"/>
  <c r="AK127" i="2"/>
  <c r="AB124" i="2"/>
  <c r="S121" i="2"/>
  <c r="J118" i="2"/>
  <c r="AT114" i="2"/>
  <c r="AC164" i="2"/>
  <c r="AL148" i="2"/>
  <c r="Z134" i="2"/>
  <c r="L131" i="2"/>
  <c r="AV127" i="2"/>
  <c r="AM124" i="2"/>
  <c r="AD121" i="2"/>
  <c r="U118" i="2"/>
  <c r="L115" i="2"/>
  <c r="AV111" i="2"/>
  <c r="AC174" i="2"/>
  <c r="AO155" i="2"/>
  <c r="E139" i="2"/>
  <c r="N132" i="2"/>
  <c r="E129" i="2"/>
  <c r="AO125" i="2"/>
  <c r="AF122" i="2"/>
  <c r="W119" i="2"/>
  <c r="N116" i="2"/>
  <c r="E113" i="2"/>
  <c r="AD216" i="2"/>
  <c r="J161" i="2"/>
  <c r="S144" i="2"/>
  <c r="AD133" i="2"/>
  <c r="S130" i="2"/>
  <c r="J127" i="2"/>
  <c r="AT123" i="2"/>
  <c r="AK120" i="2"/>
  <c r="AB117" i="2"/>
  <c r="S114" i="2"/>
  <c r="J111" i="2"/>
  <c r="J165" i="2"/>
  <c r="S149" i="2"/>
  <c r="AH134" i="2"/>
  <c r="S131" i="2"/>
  <c r="J128" i="2"/>
  <c r="AT124" i="2"/>
  <c r="AK121" i="2"/>
  <c r="AB118" i="2"/>
  <c r="S115" i="2"/>
  <c r="J112" i="2"/>
  <c r="AO156" i="2"/>
  <c r="F126" i="2"/>
  <c r="AA113" i="2"/>
  <c r="AL104" i="2"/>
  <c r="AC99" i="2"/>
  <c r="T95" i="2"/>
  <c r="K91" i="2"/>
  <c r="AU87" i="2"/>
  <c r="AL83" i="2"/>
  <c r="AC77" i="2"/>
  <c r="T70" i="2"/>
  <c r="AO139" i="2"/>
  <c r="AO122" i="2"/>
  <c r="H111" i="2"/>
  <c r="AT102" i="2"/>
  <c r="AE210" i="2"/>
  <c r="AK194" i="2"/>
  <c r="Z190" i="2"/>
  <c r="U195" i="2"/>
  <c r="H216" i="2"/>
  <c r="AW177" i="2"/>
  <c r="P156" i="2"/>
  <c r="AG147" i="2"/>
  <c r="AL164" i="2"/>
  <c r="AC141" i="2"/>
  <c r="M160" i="2"/>
  <c r="AW134" i="2"/>
  <c r="AS155" i="2"/>
  <c r="I139" i="2"/>
  <c r="T163" i="2"/>
  <c r="AC147" i="2"/>
  <c r="U184" i="2"/>
  <c r="P158" i="2"/>
  <c r="Y141" i="2"/>
  <c r="E166" i="2"/>
  <c r="L150" i="2"/>
  <c r="AP213" i="2"/>
  <c r="I161" i="2"/>
  <c r="R144" i="2"/>
  <c r="N154" i="2"/>
  <c r="H128" i="2"/>
  <c r="H120" i="2"/>
  <c r="AO115" i="2"/>
  <c r="T112" i="2"/>
  <c r="K107" i="2"/>
  <c r="U170" i="2"/>
  <c r="P155" i="2"/>
  <c r="Y138" i="2"/>
  <c r="G132" i="2"/>
  <c r="AQ128" i="2"/>
  <c r="AH125" i="2"/>
  <c r="Y122" i="2"/>
  <c r="P119" i="2"/>
  <c r="G116" i="2"/>
  <c r="AQ112" i="2"/>
  <c r="AB230" i="2"/>
  <c r="AF161" i="2"/>
  <c r="AO144" i="2"/>
  <c r="AI133" i="2"/>
  <c r="X130" i="2"/>
  <c r="O127" i="2"/>
  <c r="F124" i="2"/>
  <c r="AP120" i="2"/>
  <c r="AG117" i="2"/>
  <c r="X114" i="2"/>
  <c r="O111" i="2"/>
  <c r="AF175" i="2"/>
  <c r="H156" i="2"/>
  <c r="Q139" i="2"/>
  <c r="Q132" i="2"/>
  <c r="H129" i="2"/>
  <c r="AR125" i="2"/>
  <c r="AI122" i="2"/>
  <c r="Z119" i="2"/>
  <c r="Q116" i="2"/>
  <c r="H113" i="2"/>
  <c r="AR107" i="2"/>
  <c r="Y162" i="2"/>
  <c r="AH146" i="2"/>
  <c r="AT133" i="2"/>
  <c r="AH130" i="2"/>
  <c r="Y127" i="2"/>
  <c r="P124" i="2"/>
  <c r="G121" i="2"/>
  <c r="AQ117" i="2"/>
  <c r="AH114" i="2"/>
  <c r="Z163" i="2"/>
  <c r="AI147" i="2"/>
  <c r="M134" i="2"/>
  <c r="AS130" i="2"/>
  <c r="AJ127" i="2"/>
  <c r="AA124" i="2"/>
  <c r="R121" i="2"/>
  <c r="I118" i="2"/>
  <c r="AS114" i="2"/>
  <c r="AJ111" i="2"/>
  <c r="Y168" i="2"/>
  <c r="AL154" i="2"/>
  <c r="AU137" i="2"/>
  <c r="AU131" i="2"/>
  <c r="AL128" i="2"/>
  <c r="AC125" i="2"/>
  <c r="T122" i="2"/>
  <c r="K119" i="2"/>
  <c r="AU115" i="2"/>
  <c r="AL112" i="2"/>
  <c r="AW199" i="2"/>
  <c r="G160" i="2"/>
  <c r="P143" i="2"/>
  <c r="Q133" i="2"/>
  <c r="G130" i="2"/>
  <c r="AQ126" i="2"/>
  <c r="AH123" i="2"/>
  <c r="Y120" i="2"/>
  <c r="P117" i="2"/>
  <c r="G114" i="2"/>
  <c r="AQ108" i="2"/>
  <c r="G164" i="2"/>
  <c r="P148" i="2"/>
  <c r="U134" i="2"/>
  <c r="G131" i="2"/>
  <c r="AQ127" i="2"/>
  <c r="AH124" i="2"/>
  <c r="Y121" i="2"/>
  <c r="P118" i="2"/>
  <c r="G115" i="2"/>
  <c r="AQ111" i="2"/>
  <c r="AC149" i="2"/>
  <c r="AV124" i="2"/>
  <c r="AJ112" i="2"/>
  <c r="Z104" i="2"/>
  <c r="Q99" i="2"/>
  <c r="H95" i="2"/>
  <c r="AR90" i="2"/>
  <c r="AI87" i="2"/>
  <c r="Z83" i="2"/>
  <c r="Q77" i="2"/>
  <c r="H70" i="2"/>
  <c r="AI134" i="2"/>
  <c r="AL121" i="2"/>
  <c r="Q108" i="2"/>
  <c r="AH102" i="2"/>
  <c r="E205" i="2"/>
  <c r="R218" i="2"/>
  <c r="N169" i="2"/>
  <c r="AF182" i="2"/>
  <c r="L191" i="2"/>
  <c r="AP232" i="2"/>
  <c r="AW143" i="2"/>
  <c r="L143" i="2"/>
  <c r="AO161" i="2"/>
  <c r="AF138" i="2"/>
  <c r="P157" i="2"/>
  <c r="AN190" i="2"/>
  <c r="AG155" i="2"/>
  <c r="AP138" i="2"/>
  <c r="H163" i="2"/>
  <c r="Q147" i="2"/>
  <c r="R183" i="2"/>
  <c r="AW157" i="2"/>
  <c r="M141" i="2"/>
  <c r="AK165" i="2"/>
  <c r="AS149" i="2"/>
  <c r="F209" i="2"/>
  <c r="AP160" i="2"/>
  <c r="F144" i="2"/>
  <c r="K150" i="2"/>
  <c r="AO127" i="2"/>
  <c r="Q119" i="2"/>
  <c r="AC115" i="2"/>
  <c r="H112" i="2"/>
  <c r="AR105" i="2"/>
  <c r="X167" i="2"/>
  <c r="M154" i="2"/>
  <c r="W137" i="2"/>
  <c r="AN131" i="2"/>
  <c r="AE128" i="2"/>
  <c r="V125" i="2"/>
  <c r="M122" i="2"/>
  <c r="AW118" i="2"/>
  <c r="AN115" i="2"/>
  <c r="AE112" i="2"/>
  <c r="AC204" i="2"/>
  <c r="AC160" i="2"/>
  <c r="AL143" i="2"/>
  <c r="V133" i="2"/>
  <c r="L130" i="2"/>
  <c r="AV126" i="2"/>
  <c r="AM123" i="2"/>
  <c r="AD120" i="2"/>
  <c r="U117" i="2"/>
  <c r="L114" i="2"/>
  <c r="AV108" i="2"/>
  <c r="T169" i="2"/>
  <c r="E155" i="2"/>
  <c r="N138" i="2"/>
  <c r="E132" i="2"/>
  <c r="AO128" i="2"/>
  <c r="AF125" i="2"/>
  <c r="W122" i="2"/>
  <c r="N119" i="2"/>
  <c r="E116" i="2"/>
  <c r="AO112" i="2"/>
  <c r="U221" i="2"/>
  <c r="V161" i="2"/>
  <c r="AE144" i="2"/>
  <c r="AG133" i="2"/>
  <c r="V130" i="2"/>
  <c r="M127" i="2"/>
  <c r="AW123" i="2"/>
  <c r="AN120" i="2"/>
  <c r="AE117" i="2"/>
  <c r="V114" i="2"/>
  <c r="W162" i="2"/>
  <c r="AF146" i="2"/>
  <c r="AS133" i="2"/>
  <c r="AG130" i="2"/>
  <c r="X127" i="2"/>
  <c r="O124" i="2"/>
  <c r="F121" i="2"/>
  <c r="AP117" i="2"/>
  <c r="AG114" i="2"/>
  <c r="X111" i="2"/>
  <c r="AG166" i="2"/>
  <c r="AI150" i="2"/>
  <c r="M137" i="2"/>
  <c r="AI131" i="2"/>
  <c r="Z128" i="2"/>
  <c r="Q125" i="2"/>
  <c r="H122" i="2"/>
  <c r="AR118" i="2"/>
  <c r="AI115" i="2"/>
  <c r="Z112" i="2"/>
  <c r="R190" i="2"/>
  <c r="AW158" i="2"/>
  <c r="M142" i="2"/>
  <c r="AW132" i="2"/>
  <c r="AN129" i="2"/>
  <c r="AE126" i="2"/>
  <c r="V123" i="2"/>
  <c r="M120" i="2"/>
  <c r="AW116" i="2"/>
  <c r="AN113" i="2"/>
  <c r="AE108" i="2"/>
  <c r="AW162" i="2"/>
  <c r="M147" i="2"/>
  <c r="H134" i="2"/>
  <c r="AN130" i="2"/>
  <c r="AE127" i="2"/>
  <c r="V124" i="2"/>
  <c r="M121" i="2"/>
  <c r="AW117" i="2"/>
  <c r="AN114" i="2"/>
  <c r="AE111" i="2"/>
  <c r="Q144" i="2"/>
  <c r="AS123" i="2"/>
  <c r="AS111" i="2"/>
  <c r="N104" i="2"/>
  <c r="E99" i="2"/>
  <c r="AO93" i="2"/>
  <c r="AF90" i="2"/>
  <c r="W87" i="2"/>
  <c r="N83" i="2"/>
  <c r="E77" i="2"/>
  <c r="AO69" i="2"/>
  <c r="AB133" i="2"/>
  <c r="AI120" i="2"/>
  <c r="AN107" i="2"/>
  <c r="AH199" i="2"/>
  <c r="K237" i="2"/>
  <c r="G185" i="2"/>
  <c r="E173" i="2"/>
  <c r="AD178" i="2"/>
  <c r="AF194" i="2"/>
  <c r="AM219" i="2"/>
  <c r="AV139" i="2"/>
  <c r="AF158" i="2"/>
  <c r="AM203" i="2"/>
  <c r="G154" i="2"/>
  <c r="AW174" i="2"/>
  <c r="AJ149" i="2"/>
  <c r="AM200" i="2"/>
  <c r="K160" i="2"/>
  <c r="T143" i="2"/>
  <c r="AD169" i="2"/>
  <c r="G155" i="2"/>
  <c r="P138" i="2"/>
  <c r="AM162" i="2"/>
  <c r="AV146" i="2"/>
  <c r="AW182" i="2"/>
  <c r="AS157" i="2"/>
  <c r="I141" i="2"/>
  <c r="AA137" i="2"/>
  <c r="K125" i="2"/>
  <c r="AL118" i="2"/>
  <c r="E115" i="2"/>
  <c r="AC111" i="2"/>
  <c r="T105" i="2"/>
  <c r="AQ164" i="2"/>
  <c r="G149" i="2"/>
  <c r="AE134" i="2"/>
  <c r="P131" i="2"/>
  <c r="G128" i="2"/>
  <c r="AQ124" i="2"/>
  <c r="AH121" i="2"/>
  <c r="Y118" i="2"/>
  <c r="P115" i="2"/>
  <c r="G112" i="2"/>
  <c r="AU184" i="2"/>
  <c r="W158" i="2"/>
  <c r="AF141" i="2"/>
  <c r="AP132" i="2"/>
  <c r="AG129" i="2"/>
  <c r="X126" i="2"/>
  <c r="O123" i="2"/>
  <c r="F120" i="2"/>
  <c r="AP116" i="2"/>
  <c r="AG113" i="2"/>
  <c r="X108" i="2"/>
  <c r="AJ165" i="2"/>
  <c r="AR149" i="2"/>
  <c r="AQ134" i="2"/>
  <c r="Z131" i="2"/>
  <c r="Q128" i="2"/>
  <c r="H125" i="2"/>
  <c r="AR121" i="2"/>
  <c r="AI118" i="2"/>
  <c r="Z115" i="2"/>
  <c r="Q112" i="2"/>
  <c r="U191" i="2"/>
  <c r="P159" i="2"/>
  <c r="Y142" i="2"/>
  <c r="G133" i="2"/>
  <c r="AQ129" i="2"/>
  <c r="AH126" i="2"/>
  <c r="Y123" i="2"/>
  <c r="P120" i="2"/>
  <c r="G117" i="2"/>
  <c r="AT201" i="2"/>
  <c r="Q160" i="2"/>
  <c r="Z143" i="2"/>
  <c r="S133" i="2"/>
  <c r="I130" i="2"/>
  <c r="AS126" i="2"/>
  <c r="AJ123" i="2"/>
  <c r="AA120" i="2"/>
  <c r="R117" i="2"/>
  <c r="I114" i="2"/>
  <c r="AS108" i="2"/>
  <c r="T164" i="2"/>
  <c r="AC148" i="2"/>
  <c r="Y134" i="2"/>
  <c r="K131" i="2"/>
  <c r="AU127" i="2"/>
  <c r="AL124" i="2"/>
  <c r="AC121" i="2"/>
  <c r="T118" i="2"/>
  <c r="K115" i="2"/>
  <c r="AU111" i="2"/>
  <c r="AM178" i="2"/>
  <c r="AQ156" i="2"/>
  <c r="G140" i="2"/>
  <c r="Y132" i="2"/>
  <c r="P129" i="2"/>
  <c r="G126" i="2"/>
  <c r="AQ122" i="2"/>
  <c r="AH119" i="2"/>
  <c r="Y116" i="2"/>
  <c r="P113" i="2"/>
  <c r="AM209" i="2"/>
  <c r="AQ160" i="2"/>
  <c r="G144" i="2"/>
  <c r="AA133" i="2"/>
  <c r="P130" i="2"/>
  <c r="G127" i="2"/>
  <c r="AQ123" i="2"/>
  <c r="AH120" i="2"/>
  <c r="Y117" i="2"/>
  <c r="P114" i="2"/>
  <c r="G111" i="2"/>
  <c r="AJ134" i="2"/>
  <c r="AM121" i="2"/>
  <c r="R108" i="2"/>
  <c r="AI102" i="2"/>
  <c r="Z98" i="2"/>
  <c r="Q93" i="2"/>
  <c r="H90" i="2"/>
  <c r="AR85" i="2"/>
  <c r="AI81" i="2"/>
  <c r="Z75" i="2"/>
  <c r="Q69" i="2"/>
  <c r="T131" i="2"/>
  <c r="AC118" i="2"/>
  <c r="M107" i="2"/>
  <c r="AQ101" i="2"/>
  <c r="L231" i="2"/>
  <c r="N233" i="2"/>
  <c r="AT182" i="2"/>
  <c r="AI169" i="2"/>
  <c r="O177" i="2"/>
  <c r="K192" i="2"/>
  <c r="N199" i="2"/>
  <c r="AJ139" i="2"/>
  <c r="T158" i="2"/>
  <c r="R201" i="2"/>
  <c r="AN150" i="2"/>
  <c r="AT173" i="2"/>
  <c r="X149" i="2"/>
  <c r="L195" i="2"/>
  <c r="AR159" i="2"/>
  <c r="H143" i="2"/>
  <c r="AB168" i="2"/>
  <c r="AN154" i="2"/>
  <c r="AW137" i="2"/>
  <c r="AA162" i="2"/>
  <c r="AJ146" i="2"/>
  <c r="AT181" i="2"/>
  <c r="AG157" i="2"/>
  <c r="AP140" i="2"/>
  <c r="AT134" i="2"/>
  <c r="AR124" i="2"/>
  <c r="Z118" i="2"/>
  <c r="AL114" i="2"/>
  <c r="Q111" i="2"/>
  <c r="H105" i="2"/>
  <c r="AN163" i="2"/>
  <c r="AW147" i="2"/>
  <c r="R134" i="2"/>
  <c r="AW130" i="2"/>
  <c r="AN127" i="2"/>
  <c r="AE124" i="2"/>
  <c r="V121" i="2"/>
  <c r="M118" i="2"/>
  <c r="AW114" i="2"/>
  <c r="AN111" i="2"/>
  <c r="AI180" i="2"/>
  <c r="T157" i="2"/>
  <c r="AC140" i="2"/>
  <c r="AD132" i="2"/>
  <c r="U129" i="2"/>
  <c r="L126" i="2"/>
  <c r="AV122" i="2"/>
  <c r="AM119" i="2"/>
  <c r="AD116" i="2"/>
  <c r="U113" i="2"/>
  <c r="L108" i="2"/>
  <c r="AF164" i="2"/>
  <c r="AO148" i="2"/>
  <c r="AC134" i="2"/>
  <c r="N131" i="2"/>
  <c r="E128" i="2"/>
  <c r="AO124" i="2"/>
  <c r="AF121" i="2"/>
  <c r="W118" i="2"/>
  <c r="N115" i="2"/>
  <c r="E112" i="2"/>
  <c r="I184" i="2"/>
  <c r="M158" i="2"/>
  <c r="V141" i="2"/>
  <c r="AN132" i="2"/>
  <c r="AE129" i="2"/>
  <c r="V126" i="2"/>
  <c r="M123" i="2"/>
  <c r="AW119" i="2"/>
  <c r="AN116" i="2"/>
  <c r="K191" i="2"/>
  <c r="N159" i="2"/>
  <c r="W142" i="2"/>
  <c r="F133" i="2"/>
  <c r="AP129" i="2"/>
  <c r="AG126" i="2"/>
  <c r="X123" i="2"/>
  <c r="O120" i="2"/>
  <c r="F117" i="2"/>
  <c r="AP113" i="2"/>
  <c r="AG108" i="2"/>
  <c r="Q163" i="2"/>
  <c r="Z147" i="2"/>
  <c r="L134" i="2"/>
  <c r="AR130" i="2"/>
  <c r="AI127" i="2"/>
  <c r="Z124" i="2"/>
  <c r="Q121" i="2"/>
  <c r="H118" i="2"/>
  <c r="AR114" i="2"/>
  <c r="AI111" i="2"/>
  <c r="AA174" i="2"/>
  <c r="AN155" i="2"/>
  <c r="AW138" i="2"/>
  <c r="M132" i="2"/>
  <c r="AW128" i="2"/>
  <c r="AN125" i="2"/>
  <c r="AE122" i="2"/>
  <c r="V119" i="2"/>
  <c r="M116" i="2"/>
  <c r="AW112" i="2"/>
  <c r="AG194" i="2"/>
  <c r="AN159" i="2"/>
  <c r="AW142" i="2"/>
  <c r="N133" i="2"/>
  <c r="AW129" i="2"/>
  <c r="AN126" i="2"/>
  <c r="AE123" i="2"/>
  <c r="V120" i="2"/>
  <c r="M117" i="2"/>
  <c r="AW113" i="2"/>
  <c r="AN108" i="2"/>
  <c r="AC133" i="2"/>
  <c r="AJ120" i="2"/>
  <c r="AO107" i="2"/>
  <c r="W102" i="2"/>
  <c r="N98" i="2"/>
  <c r="E93" i="2"/>
  <c r="AO89" i="2"/>
  <c r="AF85" i="2"/>
  <c r="W81" i="2"/>
  <c r="N75" i="2"/>
  <c r="AP209" i="2"/>
  <c r="Q130" i="2"/>
  <c r="Z117" i="2"/>
  <c r="AS105" i="2"/>
  <c r="AE101" i="2"/>
  <c r="AV200" i="2"/>
  <c r="AU210" i="2"/>
  <c r="N230" i="2"/>
  <c r="AS205" i="2"/>
  <c r="AV166" i="2"/>
  <c r="AR180" i="2"/>
  <c r="Z166" i="2"/>
  <c r="O236" i="2"/>
  <c r="W155" i="2"/>
  <c r="U180" i="2"/>
  <c r="AQ147" i="2"/>
  <c r="AB165" i="2"/>
  <c r="AS148" i="2"/>
  <c r="AI191" i="2"/>
  <c r="T159" i="2"/>
  <c r="AC142" i="2"/>
  <c r="AC167" i="2"/>
  <c r="P154" i="2"/>
  <c r="Y137" i="2"/>
  <c r="AV161" i="2"/>
  <c r="L146" i="2"/>
  <c r="AN179" i="2"/>
  <c r="I157" i="2"/>
  <c r="R140" i="2"/>
  <c r="S134" i="2"/>
  <c r="AF124" i="2"/>
  <c r="N118" i="2"/>
  <c r="N114" i="2"/>
  <c r="E111" i="2"/>
  <c r="AO104" i="2"/>
  <c r="AK162" i="2"/>
  <c r="AT146" i="2"/>
  <c r="E134" i="2"/>
  <c r="AK130" i="2"/>
  <c r="AB127" i="2"/>
  <c r="S124" i="2"/>
  <c r="J121" i="2"/>
  <c r="AT117" i="2"/>
  <c r="AK114" i="2"/>
  <c r="AB111" i="2"/>
  <c r="W176" i="2"/>
  <c r="Q156" i="2"/>
  <c r="Z139" i="2"/>
  <c r="R132" i="2"/>
  <c r="I129" i="2"/>
  <c r="AS125" i="2"/>
  <c r="AR235" i="2"/>
  <c r="E208" i="2"/>
  <c r="I217" i="2"/>
  <c r="AJ202" i="2"/>
  <c r="I233" i="2"/>
  <c r="AC179" i="2"/>
  <c r="L166" i="2"/>
  <c r="AF226" i="2"/>
  <c r="K155" i="2"/>
  <c r="R179" i="2"/>
  <c r="AE147" i="2"/>
  <c r="O165" i="2"/>
  <c r="AA146" i="2"/>
  <c r="H179" i="2"/>
  <c r="AU156" i="2"/>
  <c r="K140" i="2"/>
  <c r="AH164" i="2"/>
  <c r="AQ148" i="2"/>
  <c r="AH192" i="2"/>
  <c r="AD159" i="2"/>
  <c r="AM142" i="2"/>
  <c r="T168" i="2"/>
  <c r="AJ154" i="2"/>
  <c r="AS137" i="2"/>
  <c r="AO131" i="2"/>
  <c r="Q123" i="2"/>
  <c r="AU117" i="2"/>
  <c r="AU113" i="2"/>
  <c r="AL108" i="2"/>
  <c r="AE231" i="2"/>
  <c r="AH161" i="2"/>
  <c r="AQ144" i="2"/>
  <c r="AJ133" i="2"/>
  <c r="Y130" i="2"/>
  <c r="P127" i="2"/>
  <c r="G124" i="2"/>
  <c r="AQ120" i="2"/>
  <c r="AH117" i="2"/>
  <c r="Y114" i="2"/>
  <c r="P111" i="2"/>
  <c r="K170" i="2"/>
  <c r="N155" i="2"/>
  <c r="W138" i="2"/>
  <c r="F132" i="2"/>
  <c r="AP128" i="2"/>
  <c r="AG125" i="2"/>
  <c r="X122" i="2"/>
  <c r="O119" i="2"/>
  <c r="F116" i="2"/>
  <c r="AP112" i="2"/>
  <c r="AG107" i="2"/>
  <c r="Z162" i="2"/>
  <c r="AI146" i="2"/>
  <c r="AU133" i="2"/>
  <c r="AI130" i="2"/>
  <c r="Z127" i="2"/>
  <c r="Q124" i="2"/>
  <c r="H121" i="2"/>
  <c r="AR117" i="2"/>
  <c r="AI114" i="2"/>
  <c r="Z111" i="2"/>
  <c r="AD175" i="2"/>
  <c r="G156" i="2"/>
  <c r="P139" i="2"/>
  <c r="P132" i="2"/>
  <c r="G129" i="2"/>
  <c r="AQ125" i="2"/>
  <c r="AH122" i="2"/>
  <c r="Y119" i="2"/>
  <c r="P116" i="2"/>
  <c r="AF179" i="2"/>
  <c r="H157" i="2"/>
  <c r="Q140" i="2"/>
  <c r="AA132" i="2"/>
  <c r="R129" i="2"/>
  <c r="I126" i="2"/>
  <c r="AS122" i="2"/>
  <c r="AJ119" i="2"/>
  <c r="AA116" i="2"/>
  <c r="R113" i="2"/>
  <c r="AG216" i="2"/>
  <c r="K161" i="2"/>
  <c r="T144" i="2"/>
  <c r="AE133" i="2"/>
  <c r="T130" i="2"/>
  <c r="K127" i="2"/>
  <c r="AU123" i="2"/>
  <c r="AL120" i="2"/>
  <c r="AC117" i="2"/>
  <c r="T114" i="2"/>
  <c r="K111" i="2"/>
  <c r="AF166" i="2"/>
  <c r="AH150" i="2"/>
  <c r="K137" i="2"/>
  <c r="AH131" i="2"/>
  <c r="Y128" i="2"/>
  <c r="P125" i="2"/>
  <c r="G122" i="2"/>
  <c r="AQ118" i="2"/>
  <c r="AH115" i="2"/>
  <c r="Y112" i="2"/>
  <c r="AV181" i="2"/>
  <c r="AH157" i="2"/>
  <c r="AQ140" i="2"/>
  <c r="AH132" i="2"/>
  <c r="Y129" i="2"/>
  <c r="P126" i="2"/>
  <c r="G123" i="2"/>
  <c r="AQ119" i="2"/>
  <c r="AH116" i="2"/>
  <c r="Y113" i="2"/>
  <c r="P108" i="2"/>
  <c r="U131" i="2"/>
  <c r="AD118" i="2"/>
  <c r="N107" i="2"/>
  <c r="AR101" i="2"/>
  <c r="AI96" i="2"/>
  <c r="Z92" i="2"/>
  <c r="Q89" i="2"/>
  <c r="H85" i="2"/>
  <c r="AR80" i="2"/>
  <c r="AI71" i="2"/>
  <c r="K165" i="2"/>
  <c r="K128" i="2"/>
  <c r="T115" i="2"/>
  <c r="R105" i="2"/>
  <c r="G101" i="2"/>
  <c r="AQ222" i="2"/>
  <c r="AM175" i="2"/>
  <c r="X169" i="2"/>
  <c r="AQ174" i="2"/>
  <c r="AT191" i="2"/>
  <c r="AL167" i="2"/>
  <c r="AV155" i="2"/>
  <c r="AU170" i="2"/>
  <c r="E146" i="2"/>
  <c r="AH163" i="2"/>
  <c r="Y140" i="2"/>
  <c r="I159" i="2"/>
  <c r="R142" i="2"/>
  <c r="AL166" i="2"/>
  <c r="AL150" i="2"/>
  <c r="Z222" i="2"/>
  <c r="Y161" i="2"/>
  <c r="AH144" i="2"/>
  <c r="AQ176" i="2"/>
  <c r="U156" i="2"/>
  <c r="AD139" i="2"/>
  <c r="R164" i="2"/>
  <c r="AA148" i="2"/>
  <c r="Y167" i="2"/>
  <c r="E131" i="2"/>
  <c r="AI121" i="2"/>
  <c r="AR116" i="2"/>
  <c r="K113" i="2"/>
  <c r="AU107" i="2"/>
  <c r="L185" i="2"/>
  <c r="Y158" i="2"/>
  <c r="AH141" i="2"/>
  <c r="AQ132" i="2"/>
  <c r="AH129" i="2"/>
  <c r="Y126" i="2"/>
  <c r="P123" i="2"/>
  <c r="G120" i="2"/>
  <c r="AQ116" i="2"/>
  <c r="AH113" i="2"/>
  <c r="Y108" i="2"/>
  <c r="AO164" i="2"/>
  <c r="E149" i="2"/>
  <c r="AD134" i="2"/>
  <c r="O131" i="2"/>
  <c r="F128" i="2"/>
  <c r="AP124" i="2"/>
  <c r="AG121" i="2"/>
  <c r="X118" i="2"/>
  <c r="O115" i="2"/>
  <c r="F112" i="2"/>
  <c r="W191" i="2"/>
  <c r="Q159" i="2"/>
  <c r="Z142" i="2"/>
  <c r="H133" i="2"/>
  <c r="AR129" i="2"/>
  <c r="AI126" i="2"/>
  <c r="Z123" i="2"/>
  <c r="Q120" i="2"/>
  <c r="H117" i="2"/>
  <c r="AR113" i="2"/>
  <c r="AI108" i="2"/>
  <c r="AI165" i="2"/>
  <c r="AQ149" i="2"/>
  <c r="AO134" i="2"/>
  <c r="Y131" i="2"/>
  <c r="P128" i="2"/>
  <c r="G125" i="2"/>
  <c r="AQ121" i="2"/>
  <c r="AH118" i="2"/>
  <c r="Y115" i="2"/>
  <c r="AT166" i="2"/>
  <c r="AR150" i="2"/>
  <c r="N137" i="2"/>
  <c r="AJ131" i="2"/>
  <c r="AA128" i="2"/>
  <c r="R125" i="2"/>
  <c r="I122" i="2"/>
  <c r="AS118" i="2"/>
  <c r="AJ115" i="2"/>
  <c r="AA112" i="2"/>
  <c r="H183" i="2"/>
  <c r="AU157" i="2"/>
  <c r="K141" i="2"/>
  <c r="AL132" i="2"/>
  <c r="AC129" i="2"/>
  <c r="T126" i="2"/>
  <c r="K123" i="2"/>
  <c r="AU119" i="2"/>
  <c r="AL116" i="2"/>
  <c r="AC113" i="2"/>
  <c r="T108" i="2"/>
  <c r="P163" i="2"/>
  <c r="Y147" i="2"/>
  <c r="K134" i="2"/>
  <c r="AQ130" i="2"/>
  <c r="AH127" i="2"/>
  <c r="Y124" i="2"/>
  <c r="P121" i="2"/>
  <c r="G118" i="2"/>
  <c r="AQ114" i="2"/>
  <c r="AH111" i="2"/>
  <c r="AQ167" i="2"/>
  <c r="Y154" i="2"/>
  <c r="AH137" i="2"/>
  <c r="AQ131" i="2"/>
  <c r="AH128" i="2"/>
  <c r="Y125" i="2"/>
  <c r="P122" i="2"/>
  <c r="G119" i="2"/>
  <c r="AQ115" i="2"/>
  <c r="AH112" i="2"/>
  <c r="T165" i="2"/>
  <c r="L128" i="2"/>
  <c r="U115" i="2"/>
  <c r="S105" i="2"/>
  <c r="H101" i="2"/>
  <c r="AR95" i="2"/>
  <c r="AI91" i="2"/>
  <c r="Z88" i="2"/>
  <c r="Q84" i="2"/>
  <c r="H80" i="2"/>
  <c r="AR70" i="2"/>
  <c r="T149" i="2"/>
  <c r="AU124" i="2"/>
  <c r="AI112" i="2"/>
  <c r="Y104" i="2"/>
  <c r="AT219" i="2"/>
  <c r="AP170" i="2"/>
  <c r="I168" i="2"/>
  <c r="AB173" i="2"/>
  <c r="AE190" i="2"/>
  <c r="AS165" i="2"/>
  <c r="L155" i="2"/>
  <c r="AR169" i="2"/>
  <c r="AL144" i="2"/>
  <c r="V163" i="2"/>
  <c r="M140" i="2"/>
  <c r="AP158" i="2"/>
  <c r="F142" i="2"/>
  <c r="V166" i="2"/>
  <c r="Z150" i="2"/>
  <c r="X217" i="2"/>
  <c r="M161" i="2"/>
  <c r="V144" i="2"/>
  <c r="AN175" i="2"/>
  <c r="I156" i="2"/>
  <c r="R139" i="2"/>
  <c r="F164" i="2"/>
  <c r="O148" i="2"/>
  <c r="AW165" i="2"/>
  <c r="AF128" i="2"/>
  <c r="W121" i="2"/>
  <c r="AF116" i="2"/>
  <c r="AR112" i="2"/>
  <c r="AI107" i="2"/>
  <c r="AS180" i="2"/>
  <c r="V157" i="2"/>
  <c r="AE140" i="2"/>
  <c r="AE132" i="2"/>
  <c r="V129" i="2"/>
  <c r="M126" i="2"/>
  <c r="AW122" i="2"/>
  <c r="AN119" i="2"/>
  <c r="AE116" i="2"/>
  <c r="V113" i="2"/>
  <c r="M108" i="2"/>
  <c r="AL163" i="2"/>
  <c r="AU147" i="2"/>
  <c r="Q134" i="2"/>
  <c r="AV130" i="2"/>
  <c r="AM127" i="2"/>
  <c r="AD124" i="2"/>
  <c r="U121" i="2"/>
  <c r="L118" i="2"/>
  <c r="AV114" i="2"/>
  <c r="AM111" i="2"/>
  <c r="K184" i="2"/>
  <c r="N158" i="2"/>
  <c r="W141" i="2"/>
  <c r="AO132" i="2"/>
  <c r="AF129" i="2"/>
  <c r="W126" i="2"/>
  <c r="N123" i="2"/>
  <c r="E120" i="2"/>
  <c r="AO116" i="2"/>
  <c r="AF113" i="2"/>
  <c r="W108" i="2"/>
  <c r="AE164" i="2"/>
  <c r="AN148" i="2"/>
  <c r="AA134" i="2"/>
  <c r="M131" i="2"/>
  <c r="AW127" i="2"/>
  <c r="AN124" i="2"/>
  <c r="AE121" i="2"/>
  <c r="V118" i="2"/>
  <c r="M115" i="2"/>
  <c r="AG165" i="2"/>
  <c r="AO149" i="2"/>
  <c r="AM134" i="2"/>
  <c r="X131" i="2"/>
  <c r="O128" i="2"/>
  <c r="F125" i="2"/>
  <c r="AP121" i="2"/>
  <c r="AG118" i="2"/>
  <c r="X115" i="2"/>
  <c r="O112" i="2"/>
  <c r="AO178" i="2"/>
  <c r="AR156" i="2"/>
  <c r="H140" i="2"/>
  <c r="Z132" i="2"/>
  <c r="Q129" i="2"/>
  <c r="H126" i="2"/>
  <c r="AR122" i="2"/>
  <c r="AI119" i="2"/>
  <c r="Z116" i="2"/>
  <c r="Q113" i="2"/>
  <c r="H108" i="2"/>
  <c r="M162" i="2"/>
  <c r="V146" i="2"/>
  <c r="AQ133" i="2"/>
  <c r="AE130" i="2"/>
  <c r="V127" i="2"/>
  <c r="M124" i="2"/>
  <c r="AW120" i="2"/>
  <c r="AN117" i="2"/>
  <c r="AE114" i="2"/>
  <c r="V111" i="2"/>
  <c r="P166" i="2"/>
  <c r="V150" i="2"/>
  <c r="AV134" i="2"/>
  <c r="AE131" i="2"/>
  <c r="V128" i="2"/>
  <c r="M125" i="2"/>
  <c r="AW121" i="2"/>
  <c r="AN118" i="2"/>
  <c r="AE115" i="2"/>
  <c r="V112" i="2"/>
  <c r="H161" i="2"/>
  <c r="I127" i="2"/>
  <c r="R114" i="2"/>
  <c r="F105" i="2"/>
  <c r="AO99" i="2"/>
  <c r="AF95" i="2"/>
  <c r="W91" i="2"/>
  <c r="N88" i="2"/>
  <c r="E84" i="2"/>
  <c r="AO77" i="2"/>
  <c r="AF70" i="2"/>
  <c r="H144" i="2"/>
  <c r="AR123" i="2"/>
  <c r="AR111" i="2"/>
  <c r="M104" i="2"/>
  <c r="P237" i="2"/>
  <c r="AP189" i="2"/>
  <c r="AC161" i="2"/>
  <c r="I155" i="2"/>
  <c r="L181" i="2"/>
  <c r="U149" i="2"/>
  <c r="E148" i="2"/>
  <c r="AO111" i="2"/>
  <c r="AS134" i="2"/>
  <c r="AT121" i="2"/>
  <c r="N192" i="2"/>
  <c r="AS129" i="2"/>
  <c r="AV118" i="2"/>
  <c r="X221" i="2"/>
  <c r="AH133" i="2"/>
  <c r="E124" i="2"/>
  <c r="W114" i="2"/>
  <c r="AW154" i="2"/>
  <c r="AN128" i="2"/>
  <c r="M119" i="2"/>
  <c r="E156" i="2"/>
  <c r="F129" i="2"/>
  <c r="X119" i="2"/>
  <c r="F200" i="2"/>
  <c r="R133" i="2"/>
  <c r="AI123" i="2"/>
  <c r="H114" i="2"/>
  <c r="AE149" i="2"/>
  <c r="M128" i="2"/>
  <c r="AE118" i="2"/>
  <c r="AJ177" i="2"/>
  <c r="V132" i="2"/>
  <c r="AN122" i="2"/>
  <c r="M113" i="2"/>
  <c r="AA117" i="2"/>
  <c r="W96" i="2"/>
  <c r="AO84" i="2"/>
  <c r="AR160" i="2"/>
  <c r="E105" i="2"/>
  <c r="AT96" i="2"/>
  <c r="AK92" i="2"/>
  <c r="AB89" i="2"/>
  <c r="S85" i="2"/>
  <c r="J81" i="2"/>
  <c r="AT71" i="2"/>
  <c r="Q149" i="2"/>
  <c r="AS124" i="2"/>
  <c r="AG112" i="2"/>
  <c r="X104" i="2"/>
  <c r="O99" i="2"/>
  <c r="F95" i="2"/>
  <c r="AP90" i="2"/>
  <c r="AG87" i="2"/>
  <c r="X83" i="2"/>
  <c r="O77" i="2"/>
  <c r="Q174" i="2"/>
  <c r="AV128" i="2"/>
  <c r="L116" i="2"/>
  <c r="AC105" i="2"/>
  <c r="Q101" i="2"/>
  <c r="H96" i="2"/>
  <c r="AR91" i="2"/>
  <c r="AI88" i="2"/>
  <c r="Z84" i="2"/>
  <c r="Q80" i="2"/>
  <c r="H71" i="2"/>
  <c r="E143" i="2"/>
  <c r="AF123" i="2"/>
  <c r="AG111" i="2"/>
  <c r="J104" i="2"/>
  <c r="AT98" i="2"/>
  <c r="AK93" i="2"/>
  <c r="AB90" i="2"/>
  <c r="S87" i="2"/>
  <c r="J83" i="2"/>
  <c r="AT75" i="2"/>
  <c r="E164" i="2"/>
  <c r="AP127" i="2"/>
  <c r="F115" i="2"/>
  <c r="N105" i="2"/>
  <c r="AV99" i="2"/>
  <c r="AM95" i="2"/>
  <c r="AD91" i="2"/>
  <c r="U88" i="2"/>
  <c r="L84" i="2"/>
  <c r="AV77" i="2"/>
  <c r="Q168" i="2"/>
  <c r="AJ128" i="2"/>
  <c r="AS115" i="2"/>
  <c r="Z105" i="2"/>
  <c r="N101" i="2"/>
  <c r="E96" i="2"/>
  <c r="AO91" i="2"/>
  <c r="AF88" i="2"/>
  <c r="W84" i="2"/>
  <c r="N80" i="2"/>
  <c r="E71" i="2"/>
  <c r="AU132" i="2"/>
  <c r="K120" i="2"/>
  <c r="AF107" i="2"/>
  <c r="P102" i="2"/>
  <c r="G98" i="2"/>
  <c r="AQ92" i="2"/>
  <c r="AH89" i="2"/>
  <c r="Y85" i="2"/>
  <c r="P81" i="2"/>
  <c r="G75" i="2"/>
  <c r="AR141" i="2"/>
  <c r="R123" i="2"/>
  <c r="U111" i="2"/>
  <c r="F104" i="2"/>
  <c r="AP98" i="2"/>
  <c r="AG93" i="2"/>
  <c r="X90" i="2"/>
  <c r="O87" i="2"/>
  <c r="F83" i="2"/>
  <c r="AP75" i="2"/>
  <c r="AO182" i="2"/>
  <c r="W101" i="2"/>
  <c r="AF84" i="2"/>
  <c r="AQ68" i="2"/>
  <c r="AH64" i="2"/>
  <c r="Y61" i="2"/>
  <c r="P58" i="2"/>
  <c r="G52" i="2"/>
  <c r="AQ46" i="2"/>
  <c r="AO207" i="2"/>
  <c r="AB222" i="2"/>
  <c r="N149" i="2"/>
  <c r="O146" i="2"/>
  <c r="V164" i="2"/>
  <c r="AA142" i="2"/>
  <c r="AC131" i="2"/>
  <c r="Z108" i="2"/>
  <c r="W133" i="2"/>
  <c r="AE120" i="2"/>
  <c r="S167" i="2"/>
  <c r="AD128" i="2"/>
  <c r="AJ118" i="2"/>
  <c r="AH202" i="2"/>
  <c r="U133" i="2"/>
  <c r="AL123" i="2"/>
  <c r="K114" i="2"/>
  <c r="AT150" i="2"/>
  <c r="AB128" i="2"/>
  <c r="AT118" i="2"/>
  <c r="AU154" i="2"/>
  <c r="AM128" i="2"/>
  <c r="L119" i="2"/>
  <c r="T190" i="2"/>
  <c r="E133" i="2"/>
  <c r="W123" i="2"/>
  <c r="AO113" i="2"/>
  <c r="AB148" i="2"/>
  <c r="AT127" i="2"/>
  <c r="S118" i="2"/>
  <c r="X173" i="2"/>
  <c r="J132" i="2"/>
  <c r="AB122" i="2"/>
  <c r="AT112" i="2"/>
  <c r="X116" i="2"/>
  <c r="K96" i="2"/>
  <c r="AC84" i="2"/>
  <c r="AF156" i="2"/>
  <c r="AK104" i="2"/>
  <c r="AH96" i="2"/>
  <c r="Y92" i="2"/>
  <c r="P89" i="2"/>
  <c r="G85" i="2"/>
  <c r="AQ80" i="2"/>
  <c r="AH71" i="2"/>
  <c r="E144" i="2"/>
  <c r="AP123" i="2"/>
  <c r="AP111" i="2"/>
  <c r="L104" i="2"/>
  <c r="AV98" i="2"/>
  <c r="AM93" i="2"/>
  <c r="AD90" i="2"/>
  <c r="U87" i="2"/>
  <c r="L83" i="2"/>
  <c r="AV75" i="2"/>
  <c r="Q164" i="2"/>
  <c r="AS127" i="2"/>
  <c r="I115" i="2"/>
  <c r="P105" i="2"/>
  <c r="E101" i="2"/>
  <c r="AO95" i="2"/>
  <c r="AF91" i="2"/>
  <c r="W88" i="2"/>
  <c r="N84" i="2"/>
  <c r="E80" i="2"/>
  <c r="AO70" i="2"/>
  <c r="AL138" i="2"/>
  <c r="AC122" i="2"/>
  <c r="AP108" i="2"/>
  <c r="AQ102" i="2"/>
  <c r="AH98" i="2"/>
  <c r="Y93" i="2"/>
  <c r="P90" i="2"/>
  <c r="G87" i="2"/>
  <c r="AQ81" i="2"/>
  <c r="AH75" i="2"/>
  <c r="AL159" i="2"/>
  <c r="AM126" i="2"/>
  <c r="E114" i="2"/>
  <c r="AT104" i="2"/>
  <c r="AJ99" i="2"/>
  <c r="AA95" i="2"/>
  <c r="R91" i="2"/>
  <c r="I88" i="2"/>
  <c r="AS83" i="2"/>
  <c r="AJ77" i="2"/>
  <c r="N163" i="2"/>
  <c r="AG127" i="2"/>
  <c r="AP114" i="2"/>
  <c r="M105" i="2"/>
  <c r="AU99" i="2"/>
  <c r="AL95" i="2"/>
  <c r="AC91" i="2"/>
  <c r="T88" i="2"/>
  <c r="K84" i="2"/>
  <c r="AU77" i="2"/>
  <c r="AL70" i="2"/>
  <c r="AR131" i="2"/>
  <c r="H119" i="2"/>
  <c r="S107" i="2"/>
  <c r="AW101" i="2"/>
  <c r="AN96" i="2"/>
  <c r="AE92" i="2"/>
  <c r="V89" i="2"/>
  <c r="M85" i="2"/>
  <c r="AW80" i="2"/>
  <c r="AN71" i="2"/>
  <c r="AF137" i="2"/>
  <c r="O122" i="2"/>
  <c r="AD108" i="2"/>
  <c r="AM102" i="2"/>
  <c r="AD98" i="2"/>
  <c r="U93" i="2"/>
  <c r="L90" i="2"/>
  <c r="AV85" i="2"/>
  <c r="AM81" i="2"/>
  <c r="AD75" i="2"/>
  <c r="AF150" i="2"/>
  <c r="T99" i="2"/>
  <c r="AC83" i="2"/>
  <c r="AE68" i="2"/>
  <c r="V64" i="2"/>
  <c r="M61" i="2"/>
  <c r="AW54" i="2"/>
  <c r="AN51" i="2"/>
  <c r="AE46" i="2"/>
  <c r="V42" i="2"/>
  <c r="M37" i="2"/>
  <c r="AF203" i="2"/>
  <c r="P218" i="2"/>
  <c r="AU148" i="2"/>
  <c r="AJ144" i="2"/>
  <c r="AQ163" i="2"/>
  <c r="AV141" i="2"/>
  <c r="Q131" i="2"/>
  <c r="N108" i="2"/>
  <c r="J133" i="2"/>
  <c r="S120" i="2"/>
  <c r="AT165" i="2"/>
  <c r="R128" i="2"/>
  <c r="I117" i="2"/>
  <c r="F167" i="2"/>
  <c r="AL131" i="2"/>
  <c r="K122" i="2"/>
  <c r="AC112" i="2"/>
  <c r="AB143" i="2"/>
  <c r="AT126" i="2"/>
  <c r="S117" i="2"/>
  <c r="AC144" i="2"/>
  <c r="L127" i="2"/>
  <c r="AD117" i="2"/>
  <c r="W165" i="2"/>
  <c r="W131" i="2"/>
  <c r="AO121" i="2"/>
  <c r="N112" i="2"/>
  <c r="J141" i="2"/>
  <c r="S126" i="2"/>
  <c r="AK116" i="2"/>
  <c r="AT161" i="2"/>
  <c r="AB130" i="2"/>
  <c r="AT120" i="2"/>
  <c r="S111" i="2"/>
  <c r="I111" i="2"/>
  <c r="AC93" i="2"/>
  <c r="AU81" i="2"/>
  <c r="W132" i="2"/>
  <c r="V102" i="2"/>
  <c r="V96" i="2"/>
  <c r="M92" i="2"/>
  <c r="AW88" i="2"/>
  <c r="AN84" i="2"/>
  <c r="AE80" i="2"/>
  <c r="V71" i="2"/>
  <c r="AL139" i="2"/>
  <c r="AM122" i="2"/>
  <c r="F111" i="2"/>
  <c r="AS102" i="2"/>
  <c r="AJ98" i="2"/>
  <c r="AA93" i="2"/>
  <c r="R90" i="2"/>
  <c r="I87" i="2"/>
  <c r="AS81" i="2"/>
  <c r="AJ75" i="2"/>
  <c r="E160" i="2"/>
  <c r="AP126" i="2"/>
  <c r="J114" i="2"/>
  <c r="AV104" i="2"/>
  <c r="AL99" i="2"/>
  <c r="AC95" i="2"/>
  <c r="T91" i="2"/>
  <c r="K88" i="2"/>
  <c r="AU83" i="2"/>
  <c r="AL77" i="2"/>
  <c r="AC70" i="2"/>
  <c r="V134" i="2"/>
  <c r="Z121" i="2"/>
  <c r="I108" i="2"/>
  <c r="AE102" i="2"/>
  <c r="V98" i="2"/>
  <c r="M93" i="2"/>
  <c r="AW89" i="2"/>
  <c r="AN85" i="2"/>
  <c r="AE81" i="2"/>
  <c r="V75" i="2"/>
  <c r="Z155" i="2"/>
  <c r="AJ125" i="2"/>
  <c r="N113" i="2"/>
  <c r="AG104" i="2"/>
  <c r="X99" i="2"/>
  <c r="O95" i="2"/>
  <c r="F91" i="2"/>
  <c r="AP87" i="2"/>
  <c r="AG83" i="2"/>
  <c r="X77" i="2"/>
  <c r="AU158" i="2"/>
  <c r="AD126" i="2"/>
  <c r="AV113" i="2"/>
  <c r="AS104" i="2"/>
  <c r="AI99" i="2"/>
  <c r="Z95" i="2"/>
  <c r="Q91" i="2"/>
  <c r="H88" i="2"/>
  <c r="AR83" i="2"/>
  <c r="AI77" i="2"/>
  <c r="Z70" i="2"/>
  <c r="AO130" i="2"/>
  <c r="E118" i="2"/>
  <c r="F107" i="2"/>
  <c r="AK101" i="2"/>
  <c r="AB96" i="2"/>
  <c r="S92" i="2"/>
  <c r="J89" i="2"/>
  <c r="AT84" i="2"/>
  <c r="AK80" i="2"/>
  <c r="AB71" i="2"/>
  <c r="U213" i="2"/>
  <c r="AA225" i="2"/>
  <c r="T138" i="2"/>
  <c r="R138" i="2"/>
  <c r="Y157" i="2"/>
  <c r="W202" i="2"/>
  <c r="W125" i="2"/>
  <c r="AF105" i="2"/>
  <c r="AB131" i="2"/>
  <c r="AK118" i="2"/>
  <c r="Z159" i="2"/>
  <c r="AJ126" i="2"/>
  <c r="R116" i="2"/>
  <c r="AC163" i="2"/>
  <c r="AU130" i="2"/>
  <c r="T121" i="2"/>
  <c r="AL111" i="2"/>
  <c r="S140" i="2"/>
  <c r="J126" i="2"/>
  <c r="AB116" i="2"/>
  <c r="T141" i="2"/>
  <c r="U126" i="2"/>
  <c r="AM116" i="2"/>
  <c r="N162" i="2"/>
  <c r="AF130" i="2"/>
  <c r="E121" i="2"/>
  <c r="W111" i="2"/>
  <c r="AT137" i="2"/>
  <c r="AB125" i="2"/>
  <c r="AT115" i="2"/>
  <c r="AK158" i="2"/>
  <c r="AK129" i="2"/>
  <c r="J120" i="2"/>
  <c r="AB108" i="2"/>
  <c r="AA107" i="2"/>
  <c r="AL92" i="2"/>
  <c r="K81" i="2"/>
  <c r="N129" i="2"/>
  <c r="J102" i="2"/>
  <c r="J96" i="2"/>
  <c r="AT91" i="2"/>
  <c r="AK88" i="2"/>
  <c r="AB84" i="2"/>
  <c r="S80" i="2"/>
  <c r="J71" i="2"/>
  <c r="AG134" i="2"/>
  <c r="AJ121" i="2"/>
  <c r="O108" i="2"/>
  <c r="AG102" i="2"/>
  <c r="X98" i="2"/>
  <c r="O93" i="2"/>
  <c r="F90" i="2"/>
  <c r="AP85" i="2"/>
  <c r="AG81" i="2"/>
  <c r="X75" i="2"/>
  <c r="AL155" i="2"/>
  <c r="AM125" i="2"/>
  <c r="S113" i="2"/>
  <c r="AI104" i="2"/>
  <c r="Z99" i="2"/>
  <c r="Q95" i="2"/>
  <c r="H91" i="2"/>
  <c r="AR87" i="2"/>
  <c r="AI83" i="2"/>
  <c r="Z77" i="2"/>
  <c r="Q70" i="2"/>
  <c r="O133" i="2"/>
  <c r="W120" i="2"/>
  <c r="AK107" i="2"/>
  <c r="S102" i="2"/>
  <c r="J98" i="2"/>
  <c r="AT92" i="2"/>
  <c r="AK89" i="2"/>
  <c r="AB85" i="2"/>
  <c r="S81" i="2"/>
  <c r="J75" i="2"/>
  <c r="N148" i="2"/>
  <c r="AG124" i="2"/>
  <c r="W112" i="2"/>
  <c r="U104" i="2"/>
  <c r="L99" i="2"/>
  <c r="AV93" i="2"/>
  <c r="AM90" i="2"/>
  <c r="AD87" i="2"/>
  <c r="U83" i="2"/>
  <c r="L77" i="2"/>
  <c r="AI154" i="2"/>
  <c r="AA125" i="2"/>
  <c r="L113" i="2"/>
  <c r="AF104" i="2"/>
  <c r="W99" i="2"/>
  <c r="N95" i="2"/>
  <c r="E91" i="2"/>
  <c r="AO87" i="2"/>
  <c r="AF83" i="2"/>
  <c r="W77" i="2"/>
  <c r="Q189" i="2"/>
  <c r="AL129" i="2"/>
  <c r="AU116" i="2"/>
  <c r="AL105" i="2"/>
  <c r="Y101" i="2"/>
  <c r="P96" i="2"/>
  <c r="G92" i="2"/>
  <c r="AQ88" i="2"/>
  <c r="AH84" i="2"/>
  <c r="Y80" i="2"/>
  <c r="P71" i="2"/>
  <c r="AS132" i="2"/>
  <c r="I120" i="2"/>
  <c r="AE107" i="2"/>
  <c r="O102" i="2"/>
  <c r="F98" i="2"/>
  <c r="AP92" i="2"/>
  <c r="AG89" i="2"/>
  <c r="X85" i="2"/>
  <c r="O81" i="2"/>
  <c r="F75" i="2"/>
  <c r="AA129" i="2"/>
  <c r="N96" i="2"/>
  <c r="W80" i="2"/>
  <c r="G68" i="2"/>
  <c r="AQ63" i="2"/>
  <c r="AH60" i="2"/>
  <c r="Y54" i="2"/>
  <c r="AE209" i="2"/>
  <c r="Q169" i="2"/>
  <c r="M167" i="2"/>
  <c r="E178" i="2"/>
  <c r="AE148" i="2"/>
  <c r="AP167" i="2"/>
  <c r="N122" i="2"/>
  <c r="H205" i="2"/>
  <c r="M130" i="2"/>
  <c r="V117" i="2"/>
  <c r="K154" i="2"/>
  <c r="U125" i="2"/>
  <c r="AM115" i="2"/>
  <c r="W161" i="2"/>
  <c r="W130" i="2"/>
  <c r="AO120" i="2"/>
  <c r="N111" i="2"/>
  <c r="M138" i="2"/>
  <c r="AE125" i="2"/>
  <c r="AW115" i="2"/>
  <c r="N139" i="2"/>
  <c r="AP125" i="2"/>
  <c r="O116" i="2"/>
  <c r="H160" i="2"/>
  <c r="H130" i="2"/>
  <c r="Z120" i="2"/>
  <c r="AR108" i="2"/>
  <c r="AK134" i="2"/>
  <c r="AW124" i="2"/>
  <c r="V115" i="2"/>
  <c r="AE156" i="2"/>
  <c r="M129" i="2"/>
  <c r="AE119" i="2"/>
  <c r="AM213" i="2"/>
  <c r="AT105" i="2"/>
  <c r="N92" i="2"/>
  <c r="AF80" i="2"/>
  <c r="H127" i="2"/>
  <c r="S101" i="2"/>
  <c r="AQ95" i="2"/>
  <c r="AH91" i="2"/>
  <c r="Y88" i="2"/>
  <c r="P84" i="2"/>
  <c r="G80" i="2"/>
  <c r="AQ70" i="2"/>
  <c r="Z133" i="2"/>
  <c r="AG120" i="2"/>
  <c r="AM107" i="2"/>
  <c r="U102" i="2"/>
  <c r="L98" i="2"/>
  <c r="AV92" i="2"/>
  <c r="AM89" i="2"/>
  <c r="AD85" i="2"/>
  <c r="U81" i="2"/>
  <c r="L75" i="2"/>
  <c r="Z148" i="2"/>
  <c r="AJ124" i="2"/>
  <c r="AB112" i="2"/>
  <c r="W104" i="2"/>
  <c r="N99" i="2"/>
  <c r="E95" i="2"/>
  <c r="AO90" i="2"/>
  <c r="AF87" i="2"/>
  <c r="W83" i="2"/>
  <c r="N77" i="2"/>
  <c r="E70" i="2"/>
  <c r="K132" i="2"/>
  <c r="T119" i="2"/>
  <c r="V107" i="2"/>
  <c r="G102" i="2"/>
  <c r="AQ96" i="2"/>
  <c r="AH92" i="2"/>
  <c r="Y89" i="2"/>
  <c r="P85" i="2"/>
  <c r="G81" i="2"/>
  <c r="AQ71" i="2"/>
  <c r="AU142" i="2"/>
  <c r="AD123" i="2"/>
  <c r="AF111" i="2"/>
  <c r="I104" i="2"/>
  <c r="AS98" i="2"/>
  <c r="AJ93" i="2"/>
  <c r="AA90" i="2"/>
  <c r="R87" i="2"/>
  <c r="I83" i="2"/>
  <c r="AS75" i="2"/>
  <c r="W147" i="2"/>
  <c r="X124" i="2"/>
  <c r="U112" i="2"/>
  <c r="T104" i="2"/>
  <c r="K99" i="2"/>
  <c r="AU93" i="2"/>
  <c r="AL90" i="2"/>
  <c r="AC87" i="2"/>
  <c r="T83" i="2"/>
  <c r="K77" i="2"/>
  <c r="AT167" i="2"/>
  <c r="AI128" i="2"/>
  <c r="AR115" i="2"/>
  <c r="Y105" i="2"/>
  <c r="M101" i="2"/>
  <c r="AW95" i="2"/>
  <c r="AN91" i="2"/>
  <c r="AE88" i="2"/>
  <c r="V84" i="2"/>
  <c r="M80" i="2"/>
  <c r="AW70" i="2"/>
  <c r="AP131" i="2"/>
  <c r="F119" i="2"/>
  <c r="R107" i="2"/>
  <c r="AV101" i="2"/>
  <c r="AM96" i="2"/>
  <c r="AD92" i="2"/>
  <c r="U89" i="2"/>
  <c r="L85" i="2"/>
  <c r="AV80" i="2"/>
  <c r="AM71" i="2"/>
  <c r="O125" i="2"/>
  <c r="K95" i="2"/>
  <c r="T77" i="2"/>
  <c r="AN67" i="2"/>
  <c r="AE63" i="2"/>
  <c r="V60" i="2"/>
  <c r="M54" i="2"/>
  <c r="AW50" i="2"/>
  <c r="AN44" i="2"/>
  <c r="AE40" i="2"/>
  <c r="H201" i="2"/>
  <c r="AU167" i="2"/>
  <c r="AN166" i="2"/>
  <c r="AR175" i="2"/>
  <c r="G148" i="2"/>
  <c r="AU166" i="2"/>
  <c r="AU121" i="2"/>
  <c r="X192" i="2"/>
  <c r="AT129" i="2"/>
  <c r="J117" i="2"/>
  <c r="H150" i="2"/>
  <c r="I125" i="2"/>
  <c r="AA115" i="2"/>
  <c r="T160" i="2"/>
  <c r="K130" i="2"/>
  <c r="AC120" i="2"/>
  <c r="AU108" i="2"/>
  <c r="O137" i="2"/>
  <c r="S125" i="2"/>
  <c r="AK115" i="2"/>
  <c r="K138" i="2"/>
  <c r="AD125" i="2"/>
  <c r="AV115" i="2"/>
  <c r="E159" i="2"/>
  <c r="AO129" i="2"/>
  <c r="N120" i="2"/>
  <c r="AF108" i="2"/>
  <c r="X134" i="2"/>
  <c r="AK124" i="2"/>
  <c r="J115" i="2"/>
  <c r="AB155" i="2"/>
  <c r="AT128" i="2"/>
  <c r="S119" i="2"/>
  <c r="AC178" i="2"/>
  <c r="AG105" i="2"/>
  <c r="AU91" i="2"/>
  <c r="T80" i="2"/>
  <c r="E126" i="2"/>
  <c r="AN99" i="2"/>
  <c r="AE95" i="2"/>
  <c r="V91" i="2"/>
  <c r="M88" i="2"/>
  <c r="AW83" i="2"/>
  <c r="AN77" i="2"/>
  <c r="AE70" i="2"/>
  <c r="U132" i="2"/>
  <c r="AD119" i="2"/>
  <c r="Y107" i="2"/>
  <c r="I102" i="2"/>
  <c r="AS96" i="2"/>
  <c r="AJ92" i="2"/>
  <c r="AA89" i="2"/>
  <c r="R85" i="2"/>
  <c r="I81" i="2"/>
  <c r="AS71" i="2"/>
  <c r="N143" i="2"/>
  <c r="AG123" i="2"/>
  <c r="AK111" i="2"/>
  <c r="K104" i="2"/>
  <c r="AU98" i="2"/>
  <c r="AL93" i="2"/>
  <c r="AC90" i="2"/>
  <c r="T87" i="2"/>
  <c r="K83" i="2"/>
  <c r="AU75" i="2"/>
  <c r="AL69" i="2"/>
  <c r="H131" i="2"/>
  <c r="Q118" i="2"/>
  <c r="I107" i="2"/>
  <c r="AN101" i="2"/>
  <c r="AE96" i="2"/>
  <c r="V92" i="2"/>
  <c r="M89" i="2"/>
  <c r="AW84" i="2"/>
  <c r="AN80" i="2"/>
  <c r="AE71" i="2"/>
  <c r="AI138" i="2"/>
  <c r="AA122" i="2"/>
  <c r="AO108" i="2"/>
  <c r="AP102" i="2"/>
  <c r="AG98" i="2"/>
  <c r="X93" i="2"/>
  <c r="O90" i="2"/>
  <c r="F87" i="2"/>
  <c r="AP81" i="2"/>
  <c r="AG75" i="2"/>
  <c r="K142" i="2"/>
  <c r="U123" i="2"/>
  <c r="AD111" i="2"/>
  <c r="H104" i="2"/>
  <c r="AR98" i="2"/>
  <c r="AI93" i="2"/>
  <c r="Z90" i="2"/>
  <c r="Q87" i="2"/>
  <c r="H83" i="2"/>
  <c r="AR75" i="2"/>
  <c r="E163" i="2"/>
  <c r="AF127" i="2"/>
  <c r="AO114" i="2"/>
  <c r="L105" i="2"/>
  <c r="AT99" i="2"/>
  <c r="AK95" i="2"/>
  <c r="AB91" i="2"/>
  <c r="S88" i="2"/>
  <c r="J84" i="2"/>
  <c r="AT77" i="2"/>
  <c r="AK70" i="2"/>
  <c r="AM130" i="2"/>
  <c r="AV117" i="2"/>
  <c r="E107" i="2"/>
  <c r="AJ101" i="2"/>
  <c r="AA96" i="2"/>
  <c r="R92" i="2"/>
  <c r="I89" i="2"/>
  <c r="AS84" i="2"/>
  <c r="AJ80" i="2"/>
  <c r="AA71" i="2"/>
  <c r="AV120" i="2"/>
  <c r="H93" i="2"/>
  <c r="Q75" i="2"/>
  <c r="AB67" i="2"/>
  <c r="S63" i="2"/>
  <c r="J60" i="2"/>
  <c r="AT53" i="2"/>
  <c r="AK50" i="2"/>
  <c r="AB44" i="2"/>
  <c r="Q166" i="2"/>
  <c r="AH142" i="2"/>
  <c r="AW156" i="2"/>
  <c r="AC162" i="2"/>
  <c r="AH140" i="2"/>
  <c r="R160" i="2"/>
  <c r="E119" i="2"/>
  <c r="AV165" i="2"/>
  <c r="S128" i="2"/>
  <c r="AB115" i="2"/>
  <c r="AI142" i="2"/>
  <c r="AA123" i="2"/>
  <c r="AS113" i="2"/>
  <c r="AU150" i="2"/>
  <c r="AC128" i="2"/>
  <c r="AU118" i="2"/>
  <c r="Y202" i="2"/>
  <c r="T133" i="2"/>
  <c r="AK123" i="2"/>
  <c r="AD220" i="2"/>
  <c r="AF133" i="2"/>
  <c r="AV123" i="2"/>
  <c r="U114" i="2"/>
  <c r="AF149" i="2"/>
  <c r="N128" i="2"/>
  <c r="AF118" i="2"/>
  <c r="F183" i="2"/>
  <c r="AK132" i="2"/>
  <c r="J123" i="2"/>
  <c r="AB113" i="2"/>
  <c r="J146" i="2"/>
  <c r="S127" i="2"/>
  <c r="AK117" i="2"/>
  <c r="E140" i="2"/>
  <c r="AU102" i="2"/>
  <c r="T90" i="2"/>
  <c r="AL75" i="2"/>
  <c r="AF119" i="2"/>
  <c r="AB99" i="2"/>
  <c r="S95" i="2"/>
  <c r="J91" i="2"/>
  <c r="AT87" i="2"/>
  <c r="AK83" i="2"/>
  <c r="AB77" i="2"/>
  <c r="S70" i="2"/>
  <c r="R131" i="2"/>
  <c r="AA118" i="2"/>
  <c r="L107" i="2"/>
  <c r="AP101" i="2"/>
  <c r="AG96" i="2"/>
  <c r="X92" i="2"/>
  <c r="O89" i="2"/>
  <c r="F85" i="2"/>
  <c r="AP80" i="2"/>
  <c r="AG71" i="2"/>
  <c r="AU138" i="2"/>
  <c r="AD122" i="2"/>
  <c r="AT108" i="2"/>
  <c r="AR102" i="2"/>
  <c r="AI98" i="2"/>
  <c r="Z93" i="2"/>
  <c r="Q90" i="2"/>
  <c r="H87" i="2"/>
  <c r="AR81" i="2"/>
  <c r="AI75" i="2"/>
  <c r="AJ194" i="2"/>
  <c r="E130" i="2"/>
  <c r="N117" i="2"/>
  <c r="AO105" i="2"/>
  <c r="AB101" i="2"/>
  <c r="S96" i="2"/>
  <c r="J92" i="2"/>
  <c r="AT88" i="2"/>
  <c r="AK84" i="2"/>
  <c r="AB80" i="2"/>
  <c r="S71" i="2"/>
  <c r="T134" i="2"/>
  <c r="X121" i="2"/>
  <c r="G108" i="2"/>
  <c r="AD102" i="2"/>
  <c r="U98" i="2"/>
  <c r="L93" i="2"/>
  <c r="AV89" i="2"/>
  <c r="AM85" i="2"/>
  <c r="AD81" i="2"/>
  <c r="U75" i="2"/>
  <c r="AR137" i="2"/>
  <c r="R122" i="2"/>
  <c r="AM108" i="2"/>
  <c r="AO102" i="2"/>
  <c r="AF98" i="2"/>
  <c r="W93" i="2"/>
  <c r="N90" i="2"/>
  <c r="E87" i="2"/>
  <c r="AO81" i="2"/>
  <c r="AF75" i="2"/>
  <c r="AL158" i="2"/>
  <c r="AC126" i="2"/>
  <c r="AQ113" i="2"/>
  <c r="AR104" i="2"/>
  <c r="AH99" i="2"/>
  <c r="Y95" i="2"/>
  <c r="P91" i="2"/>
  <c r="G88" i="2"/>
  <c r="AQ83" i="2"/>
  <c r="AH77" i="2"/>
  <c r="E189" i="2"/>
  <c r="AJ129" i="2"/>
  <c r="AS116" i="2"/>
  <c r="AK105" i="2"/>
  <c r="X101" i="2"/>
  <c r="O96" i="2"/>
  <c r="F92" i="2"/>
  <c r="AP88" i="2"/>
  <c r="AG84" i="2"/>
  <c r="X80" i="2"/>
  <c r="O71" i="2"/>
  <c r="AJ116" i="2"/>
  <c r="E92" i="2"/>
  <c r="N71" i="2"/>
  <c r="P67" i="2"/>
  <c r="G63" i="2"/>
  <c r="AQ59" i="2"/>
  <c r="AH53" i="2"/>
  <c r="Y50" i="2"/>
  <c r="P44" i="2"/>
  <c r="G40" i="2"/>
  <c r="AQ30" i="2"/>
  <c r="AV183" i="2"/>
  <c r="R161" i="2"/>
  <c r="AH143" i="2"/>
  <c r="AI156" i="2"/>
  <c r="AE191" i="2"/>
  <c r="X154" i="2"/>
  <c r="W117" i="2"/>
  <c r="AE160" i="2"/>
  <c r="AW126" i="2"/>
  <c r="M114" i="2"/>
  <c r="V137" i="2"/>
  <c r="AJ122" i="2"/>
  <c r="I113" i="2"/>
  <c r="AL147" i="2"/>
  <c r="AL127" i="2"/>
  <c r="K118" i="2"/>
  <c r="AP179" i="2"/>
  <c r="AB132" i="2"/>
  <c r="AT122" i="2"/>
  <c r="AR183" i="2"/>
  <c r="AM132" i="2"/>
  <c r="L123" i="2"/>
  <c r="AD113" i="2"/>
  <c r="W146" i="2"/>
  <c r="W127" i="2"/>
  <c r="AO117" i="2"/>
  <c r="V168" i="2"/>
  <c r="AT131" i="2"/>
  <c r="S122" i="2"/>
  <c r="AK112" i="2"/>
  <c r="AT141" i="2"/>
  <c r="AB126" i="2"/>
  <c r="AT116" i="2"/>
  <c r="X132" i="2"/>
  <c r="K102" i="2"/>
  <c r="AC89" i="2"/>
  <c r="AU71" i="2"/>
  <c r="W116" i="2"/>
  <c r="P99" i="2"/>
  <c r="G95" i="2"/>
  <c r="AQ90" i="2"/>
  <c r="AH87" i="2"/>
  <c r="Y83" i="2"/>
  <c r="P77" i="2"/>
  <c r="AV208" i="2"/>
  <c r="O130" i="2"/>
  <c r="X117" i="2"/>
  <c r="AQ105" i="2"/>
  <c r="AD101" i="2"/>
  <c r="U96" i="2"/>
  <c r="L92" i="2"/>
  <c r="AV88" i="2"/>
  <c r="AM84" i="2"/>
  <c r="AD80" i="2"/>
  <c r="U71" i="2"/>
  <c r="W134" i="2"/>
  <c r="AA121" i="2"/>
  <c r="J108" i="2"/>
  <c r="AF102" i="2"/>
  <c r="W98" i="2"/>
  <c r="N93" i="2"/>
  <c r="E90" i="2"/>
  <c r="AO85" i="2"/>
  <c r="AF81" i="2"/>
  <c r="W75" i="2"/>
  <c r="Z173" i="2"/>
  <c r="AU128" i="2"/>
  <c r="K116" i="2"/>
  <c r="AB105" i="2"/>
  <c r="P101" i="2"/>
  <c r="G96" i="2"/>
  <c r="AQ91" i="2"/>
  <c r="AH88" i="2"/>
  <c r="Y84" i="2"/>
  <c r="P80" i="2"/>
  <c r="G71" i="2"/>
  <c r="L133" i="2"/>
  <c r="U120" i="2"/>
  <c r="AJ107" i="2"/>
  <c r="R102" i="2"/>
  <c r="I98" i="2"/>
  <c r="AS92" i="2"/>
  <c r="AJ89" i="2"/>
  <c r="AA85" i="2"/>
  <c r="R81" i="2"/>
  <c r="I75" i="2"/>
  <c r="J134" i="2"/>
  <c r="O121" i="2"/>
  <c r="F108" i="2"/>
  <c r="AC102" i="2"/>
  <c r="Y184" i="2"/>
  <c r="AL185" i="2"/>
  <c r="R162" i="2"/>
  <c r="AR139" i="2"/>
  <c r="R159" i="2"/>
  <c r="AG137" i="2"/>
  <c r="AI113" i="2"/>
  <c r="AN143" i="2"/>
  <c r="AN123" i="2"/>
  <c r="AW108" i="2"/>
  <c r="AM131" i="2"/>
  <c r="R120" i="2"/>
  <c r="AJ108" i="2"/>
  <c r="T137" i="2"/>
  <c r="T125" i="2"/>
  <c r="AL115" i="2"/>
  <c r="S160" i="2"/>
  <c r="J130" i="2"/>
  <c r="AB120" i="2"/>
  <c r="T161" i="2"/>
  <c r="U130" i="2"/>
  <c r="AM120" i="2"/>
  <c r="L111" i="2"/>
  <c r="AL134" i="2"/>
  <c r="E125" i="2"/>
  <c r="W115" i="2"/>
  <c r="AT157" i="2"/>
  <c r="AB129" i="2"/>
  <c r="AT119" i="2"/>
  <c r="S108" i="2"/>
  <c r="AN133" i="2"/>
  <c r="J124" i="2"/>
  <c r="AB114" i="2"/>
  <c r="AP122" i="2"/>
  <c r="AL98" i="2"/>
  <c r="K87" i="2"/>
  <c r="AC69" i="2"/>
  <c r="Z107" i="2"/>
  <c r="Y98" i="2"/>
  <c r="P93" i="2"/>
  <c r="G90" i="2"/>
  <c r="AQ85" i="2"/>
  <c r="AH81" i="2"/>
  <c r="Y75" i="2"/>
  <c r="AO160" i="2"/>
  <c r="F127" i="2"/>
  <c r="O114" i="2"/>
  <c r="AW104" i="2"/>
  <c r="AM99" i="2"/>
  <c r="AD95" i="2"/>
  <c r="U91" i="2"/>
  <c r="L88" i="2"/>
  <c r="AV83" i="2"/>
  <c r="AM77" i="2"/>
  <c r="AD70" i="2"/>
  <c r="I131" i="2"/>
  <c r="R118" i="2"/>
  <c r="J107" i="2"/>
  <c r="AO101" i="2"/>
  <c r="AF96" i="2"/>
  <c r="W92" i="2"/>
  <c r="N89" i="2"/>
  <c r="E85" i="2"/>
  <c r="AO80" i="2"/>
  <c r="AF71" i="2"/>
  <c r="AC155" i="2"/>
  <c r="AL125" i="2"/>
  <c r="O113" i="2"/>
  <c r="AH104" i="2"/>
  <c r="Y99" i="2"/>
  <c r="P95" i="2"/>
  <c r="G91" i="2"/>
  <c r="AQ87" i="2"/>
  <c r="AH83" i="2"/>
  <c r="Y77" i="2"/>
  <c r="T194" i="2"/>
  <c r="AV129" i="2"/>
  <c r="L117" i="2"/>
  <c r="AN105" i="2"/>
  <c r="AA101" i="2"/>
  <c r="R96" i="2"/>
  <c r="I92" i="2"/>
  <c r="AS88" i="2"/>
  <c r="AJ84" i="2"/>
  <c r="AA80" i="2"/>
  <c r="R71" i="2"/>
  <c r="AP130" i="2"/>
  <c r="F118" i="2"/>
  <c r="G107" i="2"/>
  <c r="AL101" i="2"/>
  <c r="AC96" i="2"/>
  <c r="T92" i="2"/>
  <c r="K89" i="2"/>
  <c r="AU84" i="2"/>
  <c r="AL80" i="2"/>
  <c r="AC71" i="2"/>
  <c r="AI137" i="2"/>
  <c r="Q122" i="2"/>
  <c r="AH108" i="2"/>
  <c r="AN102" i="2"/>
  <c r="AE98" i="2"/>
  <c r="V93" i="2"/>
  <c r="M90" i="2"/>
  <c r="AW85" i="2"/>
  <c r="AN81" i="2"/>
  <c r="AE75" i="2"/>
  <c r="W154" i="2"/>
  <c r="X125" i="2"/>
  <c r="AV112" i="2"/>
  <c r="AD104" i="2"/>
  <c r="U99" i="2"/>
  <c r="L95" i="2"/>
  <c r="AV90" i="2"/>
  <c r="AM87" i="2"/>
  <c r="AD83" i="2"/>
  <c r="U77" i="2"/>
  <c r="L70" i="2"/>
  <c r="AC104" i="2"/>
  <c r="AL87" i="2"/>
  <c r="W69" i="2"/>
  <c r="M66" i="2"/>
  <c r="AW61" i="2"/>
  <c r="AN58" i="2"/>
  <c r="AE52" i="2"/>
  <c r="V47" i="2"/>
  <c r="M43" i="2"/>
  <c r="AW37" i="2"/>
  <c r="J183" i="2"/>
  <c r="AI184" i="2"/>
  <c r="F162" i="2"/>
  <c r="T139" i="2"/>
  <c r="AM158" i="2"/>
  <c r="I137" i="2"/>
  <c r="W113" i="2"/>
  <c r="AK142" i="2"/>
  <c r="AB123" i="2"/>
  <c r="AK108" i="2"/>
  <c r="AA131" i="2"/>
  <c r="AA119" i="2"/>
  <c r="AS107" i="2"/>
  <c r="O134" i="2"/>
  <c r="AC124" i="2"/>
  <c r="AU114" i="2"/>
  <c r="J157" i="2"/>
  <c r="S129" i="2"/>
  <c r="AK119" i="2"/>
  <c r="K158" i="2"/>
  <c r="AD129" i="2"/>
  <c r="AV119" i="2"/>
  <c r="U108" i="2"/>
  <c r="AR133" i="2"/>
  <c r="N124" i="2"/>
  <c r="AF114" i="2"/>
  <c r="AK154" i="2"/>
  <c r="AK128" i="2"/>
  <c r="J119" i="2"/>
  <c r="O189" i="2"/>
  <c r="AT132" i="2"/>
  <c r="S123" i="2"/>
  <c r="AK113" i="2"/>
  <c r="AG119" i="2"/>
  <c r="AU96" i="2"/>
  <c r="T85" i="2"/>
  <c r="AL177" i="2"/>
  <c r="AE105" i="2"/>
  <c r="M98" i="2"/>
  <c r="AW92" i="2"/>
  <c r="AN89" i="2"/>
  <c r="AE85" i="2"/>
  <c r="V81" i="2"/>
  <c r="M75" i="2"/>
  <c r="AC156" i="2"/>
  <c r="AV125" i="2"/>
  <c r="X113" i="2"/>
  <c r="AJ104" i="2"/>
  <c r="AA99" i="2"/>
  <c r="R95" i="2"/>
  <c r="I91" i="2"/>
  <c r="AS87" i="2"/>
  <c r="AJ83" i="2"/>
  <c r="AA77" i="2"/>
  <c r="Y199" i="2"/>
  <c r="F130" i="2"/>
  <c r="O117" i="2"/>
  <c r="AP105" i="2"/>
  <c r="AC101" i="2"/>
  <c r="T96" i="2"/>
  <c r="K92" i="2"/>
  <c r="AU88" i="2"/>
  <c r="AL84" i="2"/>
  <c r="AC80" i="2"/>
  <c r="T71" i="2"/>
  <c r="Q148" i="2"/>
  <c r="AI124" i="2"/>
  <c r="X112" i="2"/>
  <c r="V104" i="2"/>
  <c r="M99" i="2"/>
  <c r="AW93" i="2"/>
  <c r="AN90" i="2"/>
  <c r="AE87" i="2"/>
  <c r="V83" i="2"/>
  <c r="M77" i="2"/>
  <c r="N173" i="2"/>
  <c r="AS128" i="2"/>
  <c r="I116" i="2"/>
  <c r="AA105" i="2"/>
  <c r="O101" i="2"/>
  <c r="F96" i="2"/>
  <c r="AP91" i="2"/>
  <c r="AG88" i="2"/>
  <c r="X84" i="2"/>
  <c r="O80" i="2"/>
  <c r="H190" i="2"/>
  <c r="AM129" i="2"/>
  <c r="AV116" i="2"/>
  <c r="AM105" i="2"/>
  <c r="Z101" i="2"/>
  <c r="Q96" i="2"/>
  <c r="H92" i="2"/>
  <c r="AR88" i="2"/>
  <c r="AI84" i="2"/>
  <c r="Z80" i="2"/>
  <c r="Q71" i="2"/>
  <c r="I134" i="2"/>
  <c r="N121" i="2"/>
  <c r="E108" i="2"/>
  <c r="AB102" i="2"/>
  <c r="S98" i="2"/>
  <c r="J93" i="2"/>
  <c r="AT89" i="2"/>
  <c r="AK85" i="2"/>
  <c r="AB81" i="2"/>
  <c r="S75" i="2"/>
  <c r="K147" i="2"/>
  <c r="U124" i="2"/>
  <c r="L112" i="2"/>
  <c r="R104" i="2"/>
  <c r="I99" i="2"/>
  <c r="AS93" i="2"/>
  <c r="AJ90" i="2"/>
  <c r="AA87" i="2"/>
  <c r="R83" i="2"/>
  <c r="I77" i="2"/>
  <c r="AS69" i="2"/>
  <c r="Z102" i="2"/>
  <c r="AI85" i="2"/>
  <c r="J69" i="2"/>
  <c r="I182" i="2"/>
  <c r="K117" i="2"/>
  <c r="AD112" i="2"/>
  <c r="V122" i="2"/>
  <c r="AR126" i="2"/>
  <c r="AN139" i="2"/>
  <c r="W71" i="2"/>
  <c r="M83" i="2"/>
  <c r="R101" i="2"/>
  <c r="I71" i="2"/>
  <c r="AU92" i="2"/>
  <c r="AR127" i="2"/>
  <c r="V88" i="2"/>
  <c r="U107" i="2"/>
  <c r="F81" i="2"/>
  <c r="T98" i="2"/>
  <c r="AC81" i="2"/>
  <c r="G113" i="2"/>
  <c r="AW90" i="2"/>
  <c r="AO167" i="2"/>
  <c r="X105" i="2"/>
  <c r="AM91" i="2"/>
  <c r="L80" i="2"/>
  <c r="AU90" i="2"/>
  <c r="J64" i="2"/>
  <c r="J53" i="2"/>
  <c r="AK43" i="2"/>
  <c r="AT32" i="2"/>
  <c r="Y27" i="2"/>
  <c r="X129" i="2"/>
  <c r="L96" i="2"/>
  <c r="U80" i="2"/>
  <c r="E68" i="2"/>
  <c r="AO63" i="2"/>
  <c r="AF60" i="2"/>
  <c r="W54" i="2"/>
  <c r="N51" i="2"/>
  <c r="AB166" i="2"/>
  <c r="K101" i="2"/>
  <c r="T84" i="2"/>
  <c r="AN68" i="2"/>
  <c r="AE64" i="2"/>
  <c r="V61" i="2"/>
  <c r="M58" i="2"/>
  <c r="AW51" i="2"/>
  <c r="AN46" i="2"/>
  <c r="AE42" i="2"/>
  <c r="V37" i="2"/>
  <c r="M28" i="2"/>
  <c r="AW24" i="2"/>
  <c r="AN20" i="2"/>
  <c r="AE16" i="2"/>
  <c r="AR119" i="2"/>
  <c r="AN92" i="2"/>
  <c r="AW71" i="2"/>
  <c r="X67" i="2"/>
  <c r="O63" i="2"/>
  <c r="F60" i="2"/>
  <c r="AP53" i="2"/>
  <c r="AG50" i="2"/>
  <c r="I124" i="2"/>
  <c r="AP93" i="2"/>
  <c r="F77" i="2"/>
  <c r="AI67" i="2"/>
  <c r="Z63" i="2"/>
  <c r="AV102" i="2"/>
  <c r="L87" i="2"/>
  <c r="N69" i="2"/>
  <c r="E66" i="2"/>
  <c r="AO61" i="2"/>
  <c r="AF58" i="2"/>
  <c r="W52" i="2"/>
  <c r="N47" i="2"/>
  <c r="E43" i="2"/>
  <c r="AO37" i="2"/>
  <c r="AI116" i="2"/>
  <c r="M71" i="2"/>
  <c r="F63" i="2"/>
  <c r="AB54" i="2"/>
  <c r="E47" i="2"/>
  <c r="AG40" i="2"/>
  <c r="V30" i="2"/>
  <c r="AC25" i="2"/>
  <c r="E21" i="2"/>
  <c r="AB16" i="2"/>
  <c r="M11" i="2"/>
  <c r="AD114" i="2"/>
  <c r="AS70" i="2"/>
  <c r="AU62" i="2"/>
  <c r="AA54" i="2"/>
  <c r="AW46" i="2"/>
  <c r="AF40" i="2"/>
  <c r="U30" i="2"/>
  <c r="AA25" i="2"/>
  <c r="AW20" i="2"/>
  <c r="AA16" i="2"/>
  <c r="L11" i="2"/>
  <c r="M87" i="2"/>
  <c r="F66" i="2"/>
  <c r="R59" i="2"/>
  <c r="AN50" i="2"/>
  <c r="AW42" i="2"/>
  <c r="AK32" i="2"/>
  <c r="T93" i="2"/>
  <c r="AE67" i="2"/>
  <c r="AG60" i="2"/>
  <c r="J52" i="2"/>
  <c r="F44" i="2"/>
  <c r="AV105" i="2"/>
  <c r="AM69" i="2"/>
  <c r="V62" i="2"/>
  <c r="AU53" i="2"/>
  <c r="Y46" i="2"/>
  <c r="L40" i="2"/>
  <c r="AU28" i="2"/>
  <c r="J25" i="2"/>
  <c r="AG20" i="2"/>
  <c r="K16" i="2"/>
  <c r="AP10" i="2"/>
  <c r="L91" i="2"/>
  <c r="E67" i="2"/>
  <c r="I60" i="2"/>
  <c r="AE51" i="2"/>
  <c r="AF43" i="2"/>
  <c r="T37" i="2"/>
  <c r="S27" i="2"/>
  <c r="AG22" i="2"/>
  <c r="K18" i="2"/>
  <c r="AI14" i="2"/>
  <c r="G93" i="2"/>
  <c r="AA67" i="2"/>
  <c r="AA60" i="2"/>
  <c r="F52" i="2"/>
  <c r="Q181" i="2"/>
  <c r="Q115" i="2"/>
  <c r="R112" i="2"/>
  <c r="J122" i="2"/>
  <c r="AF126" i="2"/>
  <c r="AK138" i="2"/>
  <c r="K71" i="2"/>
  <c r="AT81" i="2"/>
  <c r="F101" i="2"/>
  <c r="AP70" i="2"/>
  <c r="AI92" i="2"/>
  <c r="AO126" i="2"/>
  <c r="J88" i="2"/>
  <c r="H107" i="2"/>
  <c r="AM80" i="2"/>
  <c r="H98" i="2"/>
  <c r="Q81" i="2"/>
  <c r="P112" i="2"/>
  <c r="AK90" i="2"/>
  <c r="AU162" i="2"/>
  <c r="K105" i="2"/>
  <c r="AA91" i="2"/>
  <c r="AS77" i="2"/>
  <c r="AR89" i="2"/>
  <c r="AN62" i="2"/>
  <c r="AQ52" i="2"/>
  <c r="Y43" i="2"/>
  <c r="AH32" i="2"/>
  <c r="M27" i="2"/>
  <c r="L125" i="2"/>
  <c r="I95" i="2"/>
  <c r="R77" i="2"/>
  <c r="AL67" i="2"/>
  <c r="AC63" i="2"/>
  <c r="T60" i="2"/>
  <c r="K54" i="2"/>
  <c r="AU50" i="2"/>
  <c r="T146" i="2"/>
  <c r="H99" i="2"/>
  <c r="Q83" i="2"/>
  <c r="AB68" i="2"/>
  <c r="S64" i="2"/>
  <c r="J61" i="2"/>
  <c r="AT54" i="2"/>
  <c r="AK51" i="2"/>
  <c r="AB46" i="2"/>
  <c r="S42" i="2"/>
  <c r="J37" i="2"/>
  <c r="AT27" i="2"/>
  <c r="AK24" i="2"/>
  <c r="AB20" i="2"/>
  <c r="S16" i="2"/>
  <c r="AF115" i="2"/>
  <c r="AK91" i="2"/>
  <c r="AU70" i="2"/>
  <c r="L67" i="2"/>
  <c r="AV62" i="2"/>
  <c r="AM59" i="2"/>
  <c r="AD53" i="2"/>
  <c r="U50" i="2"/>
  <c r="AP119" i="2"/>
  <c r="AM92" i="2"/>
  <c r="AV71" i="2"/>
  <c r="W67" i="2"/>
  <c r="N63" i="2"/>
  <c r="AS101" i="2"/>
  <c r="I85" i="2"/>
  <c r="AU68" i="2"/>
  <c r="AL64" i="2"/>
  <c r="AC61" i="2"/>
  <c r="T58" i="2"/>
  <c r="K52" i="2"/>
  <c r="AU46" i="2"/>
  <c r="AL42" i="2"/>
  <c r="AC37" i="2"/>
  <c r="AQ107" i="2"/>
  <c r="F70" i="2"/>
  <c r="AD62" i="2"/>
  <c r="G54" i="2"/>
  <c r="AF46" i="2"/>
  <c r="Q40" i="2"/>
  <c r="H30" i="2"/>
  <c r="N25" i="2"/>
  <c r="AK20" i="2"/>
  <c r="O16" i="2"/>
  <c r="AT10" i="2"/>
  <c r="Q107" i="2"/>
  <c r="AR69" i="2"/>
  <c r="AC62" i="2"/>
  <c r="F54" i="2"/>
  <c r="AD46" i="2"/>
  <c r="O40" i="2"/>
  <c r="F30" i="2"/>
  <c r="M25" i="2"/>
  <c r="AJ20" i="2"/>
  <c r="N16" i="2"/>
  <c r="AU161" i="2"/>
  <c r="G84" i="2"/>
  <c r="AA64" i="2"/>
  <c r="AP58" i="2"/>
  <c r="S50" i="2"/>
  <c r="AG42" i="2"/>
  <c r="U32" i="2"/>
  <c r="N91" i="2"/>
  <c r="G67" i="2"/>
  <c r="L60" i="2"/>
  <c r="AH51" i="2"/>
  <c r="AI43" i="2"/>
  <c r="AK102" i="2"/>
  <c r="L69" i="2"/>
  <c r="AV61" i="2"/>
  <c r="F161" i="2"/>
  <c r="AB159" i="2"/>
  <c r="AF144" i="2"/>
  <c r="T175" i="2"/>
  <c r="Q117" i="2"/>
  <c r="AW125" i="2"/>
  <c r="Q114" i="2"/>
  <c r="AW75" i="2"/>
  <c r="I96" i="2"/>
  <c r="P133" i="2"/>
  <c r="AL89" i="2"/>
  <c r="AS142" i="2"/>
  <c r="J150" i="2"/>
  <c r="AC143" i="2"/>
  <c r="H169" i="2"/>
  <c r="E117" i="2"/>
  <c r="AK125" i="2"/>
  <c r="Z113" i="2"/>
  <c r="AK75" i="2"/>
  <c r="AP95" i="2"/>
  <c r="L132" i="2"/>
  <c r="Z89" i="2"/>
  <c r="F114" i="2"/>
  <c r="AT83" i="2"/>
  <c r="AM101" i="2"/>
  <c r="AD71" i="2"/>
  <c r="K93" i="2"/>
  <c r="T75" i="2"/>
  <c r="AE104" i="2"/>
  <c r="AN87" i="2"/>
  <c r="G134" i="2"/>
  <c r="AA102" i="2"/>
  <c r="AS89" i="2"/>
  <c r="R75" i="2"/>
  <c r="Z81" i="2"/>
  <c r="P62" i="2"/>
  <c r="AB51" i="2"/>
  <c r="AH42" i="2"/>
  <c r="J32" i="2"/>
  <c r="AH26" i="2"/>
  <c r="AG116" i="2"/>
  <c r="AV91" i="2"/>
  <c r="L71" i="2"/>
  <c r="N67" i="2"/>
  <c r="E63" i="2"/>
  <c r="AO59" i="2"/>
  <c r="AF53" i="2"/>
  <c r="W50" i="2"/>
  <c r="X128" i="2"/>
  <c r="AU95" i="2"/>
  <c r="K80" i="2"/>
  <c r="AW67" i="2"/>
  <c r="AN63" i="2"/>
  <c r="AE60" i="2"/>
  <c r="V54" i="2"/>
  <c r="M51" i="2"/>
  <c r="AW44" i="2"/>
  <c r="AN40" i="2"/>
  <c r="AE32" i="2"/>
  <c r="V27" i="2"/>
  <c r="M24" i="2"/>
  <c r="AW18" i="2"/>
  <c r="AN15" i="2"/>
  <c r="AC107" i="2"/>
  <c r="AE89" i="2"/>
  <c r="AU69" i="2"/>
  <c r="AG66" i="2"/>
  <c r="X62" i="2"/>
  <c r="O59" i="2"/>
  <c r="F53" i="2"/>
  <c r="AP47" i="2"/>
  <c r="AW111" i="2"/>
  <c r="AG90" i="2"/>
  <c r="P70" i="2"/>
  <c r="AR66" i="2"/>
  <c r="AO140" i="2"/>
  <c r="AM98" i="2"/>
  <c r="AV81" i="2"/>
  <c r="W68" i="2"/>
  <c r="N64" i="2"/>
  <c r="E61" i="2"/>
  <c r="AO54" i="2"/>
  <c r="AF51" i="2"/>
  <c r="W46" i="2"/>
  <c r="N42" i="2"/>
  <c r="E37" i="2"/>
  <c r="V101" i="2"/>
  <c r="AP68" i="2"/>
  <c r="AF61" i="2"/>
  <c r="L53" i="2"/>
  <c r="AP44" i="2"/>
  <c r="AD39" i="2"/>
  <c r="W28" i="2"/>
  <c r="AG24" i="2"/>
  <c r="K20" i="2"/>
  <c r="AH15" i="2"/>
  <c r="V10" i="2"/>
  <c r="AR99" i="2"/>
  <c r="AK68" i="2"/>
  <c r="AE61" i="2"/>
  <c r="K53" i="2"/>
  <c r="AO44" i="2"/>
  <c r="AC39" i="2"/>
  <c r="V28" i="2"/>
  <c r="AF24" i="2"/>
  <c r="J20" i="2"/>
  <c r="AG15" i="2"/>
  <c r="H123" i="2"/>
  <c r="AN75" i="2"/>
  <c r="X63" i="2"/>
  <c r="AR54" i="2"/>
  <c r="X47" i="2"/>
  <c r="AT40" i="2"/>
  <c r="AH30" i="2"/>
  <c r="AU85" i="2"/>
  <c r="AW64" i="2"/>
  <c r="N59" i="2"/>
  <c r="AM50" i="2"/>
  <c r="AV42" i="2"/>
  <c r="Y96" i="2"/>
  <c r="I68" i="2"/>
  <c r="F61" i="2"/>
  <c r="AD52" i="2"/>
  <c r="U44" i="2"/>
  <c r="I39" i="2"/>
  <c r="E28" i="2"/>
  <c r="P24" i="2"/>
  <c r="AM18" i="2"/>
  <c r="Q15" i="2"/>
  <c r="AF157" i="2"/>
  <c r="AM83" i="2"/>
  <c r="W64" i="2"/>
  <c r="AI58" i="2"/>
  <c r="O50" i="2"/>
  <c r="AC42" i="2"/>
  <c r="Q32" i="2"/>
  <c r="V143" i="2"/>
  <c r="AK126" i="2"/>
  <c r="N127" i="2"/>
  <c r="O132" i="2"/>
  <c r="V165" i="2"/>
  <c r="V116" i="2"/>
  <c r="AW98" i="2"/>
  <c r="Z177" i="2"/>
  <c r="AS91" i="2"/>
  <c r="X120" i="2"/>
  <c r="AC85" i="2"/>
  <c r="O105" i="2"/>
  <c r="AW77" i="2"/>
  <c r="AP96" i="2"/>
  <c r="AV132" i="2"/>
  <c r="AR92" i="2"/>
  <c r="H75" i="2"/>
  <c r="S104" i="2"/>
  <c r="AB87" i="2"/>
  <c r="AG128" i="2"/>
  <c r="L101" i="2"/>
  <c r="AD88" i="2"/>
  <c r="AV70" i="2"/>
  <c r="Y70" i="2"/>
  <c r="AK61" i="2"/>
  <c r="P51" i="2"/>
  <c r="J42" i="2"/>
  <c r="AE30" i="2"/>
  <c r="V26" i="2"/>
  <c r="AN112" i="2"/>
  <c r="AS90" i="2"/>
  <c r="V70" i="2"/>
  <c r="AU66" i="2"/>
  <c r="AL62" i="2"/>
  <c r="AC59" i="2"/>
  <c r="T53" i="2"/>
  <c r="K50" i="2"/>
  <c r="L124" i="2"/>
  <c r="AR93" i="2"/>
  <c r="H77" i="2"/>
  <c r="AK67" i="2"/>
  <c r="AB63" i="2"/>
  <c r="S60" i="2"/>
  <c r="J54" i="2"/>
  <c r="AT50" i="2"/>
  <c r="AK44" i="2"/>
  <c r="AB40" i="2"/>
  <c r="S32" i="2"/>
  <c r="J27" i="2"/>
  <c r="AT22" i="2"/>
  <c r="AK18" i="2"/>
  <c r="AB15" i="2"/>
  <c r="V105" i="2"/>
  <c r="AB88" i="2"/>
  <c r="AF69" i="2"/>
  <c r="U66" i="2"/>
  <c r="L62" i="2"/>
  <c r="AV58" i="2"/>
  <c r="AM52" i="2"/>
  <c r="AD47" i="2"/>
  <c r="AB107" i="2"/>
  <c r="AD89" i="2"/>
  <c r="AT69" i="2"/>
  <c r="AF66" i="2"/>
  <c r="AD131" i="2"/>
  <c r="AJ96" i="2"/>
  <c r="AS80" i="2"/>
  <c r="K68" i="2"/>
  <c r="AU63" i="2"/>
  <c r="AL60" i="2"/>
  <c r="AC54" i="2"/>
  <c r="T51" i="2"/>
  <c r="K46" i="2"/>
  <c r="AU40" i="2"/>
  <c r="AL32" i="2"/>
  <c r="P98" i="2"/>
  <c r="R68" i="2"/>
  <c r="N61" i="2"/>
  <c r="AJ52" i="2"/>
  <c r="Z44" i="2"/>
  <c r="N39" i="2"/>
  <c r="I28" i="2"/>
  <c r="T24" i="2"/>
  <c r="AQ18" i="2"/>
  <c r="U15" i="2"/>
  <c r="J10" i="2"/>
  <c r="AL96" i="2"/>
  <c r="M68" i="2"/>
  <c r="L61" i="2"/>
  <c r="AH52" i="2"/>
  <c r="X44" i="2"/>
  <c r="L39" i="2"/>
  <c r="H28" i="2"/>
  <c r="S24" i="2"/>
  <c r="AP18" i="2"/>
  <c r="T15" i="2"/>
  <c r="AC114" i="2"/>
  <c r="AM70" i="2"/>
  <c r="AT62" i="2"/>
  <c r="Z54" i="2"/>
  <c r="AV46" i="2"/>
  <c r="AD40" i="2"/>
  <c r="AR157" i="2"/>
  <c r="AO83" i="2"/>
  <c r="Y64" i="2"/>
  <c r="AO58" i="2"/>
  <c r="R50" i="2"/>
  <c r="AF42" i="2"/>
  <c r="S93" i="2"/>
  <c r="AD67" i="2"/>
  <c r="AC60" i="2"/>
  <c r="I52" i="2"/>
  <c r="E44" i="2"/>
  <c r="AL37" i="2"/>
  <c r="AI27" i="2"/>
  <c r="AV22" i="2"/>
  <c r="Z18" i="2"/>
  <c r="AV14" i="2"/>
  <c r="AA130" i="2"/>
  <c r="AG80" i="2"/>
  <c r="AR63" i="2"/>
  <c r="Q58" i="2"/>
  <c r="AM47" i="2"/>
  <c r="M42" i="2"/>
  <c r="AT30" i="2"/>
  <c r="F26" i="2"/>
  <c r="Z21" i="2"/>
  <c r="AW16" i="2"/>
  <c r="W150" i="2"/>
  <c r="AK189" i="2"/>
  <c r="J125" i="2"/>
  <c r="AU126" i="2"/>
  <c r="AV131" i="2"/>
  <c r="S164" i="2"/>
  <c r="J116" i="2"/>
  <c r="AK98" i="2"/>
  <c r="H165" i="2"/>
  <c r="AG91" i="2"/>
  <c r="U119" i="2"/>
  <c r="Q85" i="2"/>
  <c r="AU104" i="2"/>
  <c r="AK77" i="2"/>
  <c r="AD96" i="2"/>
  <c r="AS131" i="2"/>
  <c r="AF92" i="2"/>
  <c r="AO71" i="2"/>
  <c r="G104" i="2"/>
  <c r="P87" i="2"/>
  <c r="AD127" i="2"/>
  <c r="AS99" i="2"/>
  <c r="R88" i="2"/>
  <c r="AJ70" i="2"/>
  <c r="G70" i="2"/>
  <c r="AT60" i="2"/>
  <c r="M50" i="2"/>
  <c r="AQ40" i="2"/>
  <c r="S30" i="2"/>
  <c r="J26" i="2"/>
  <c r="AP107" i="2"/>
  <c r="AP89" i="2"/>
  <c r="AW69" i="2"/>
  <c r="AI66" i="2"/>
  <c r="Z62" i="2"/>
  <c r="Q59" i="2"/>
  <c r="H53" i="2"/>
  <c r="AR47" i="2"/>
  <c r="AS119" i="2"/>
  <c r="AO92" i="2"/>
  <c r="E75" i="2"/>
  <c r="Y67" i="2"/>
  <c r="P63" i="2"/>
  <c r="G60" i="2"/>
  <c r="AQ53" i="2"/>
  <c r="AH50" i="2"/>
  <c r="Y44" i="2"/>
  <c r="P40" i="2"/>
  <c r="G32" i="2"/>
  <c r="AQ26" i="2"/>
  <c r="AH22" i="2"/>
  <c r="Y18" i="2"/>
  <c r="P15" i="2"/>
  <c r="P104" i="2"/>
  <c r="Y87" i="2"/>
  <c r="S69" i="2"/>
  <c r="I66" i="2"/>
  <c r="AS61" i="2"/>
  <c r="AJ58" i="2"/>
  <c r="AA52" i="2"/>
  <c r="R47" i="2"/>
  <c r="U105" i="2"/>
  <c r="AA88" i="2"/>
  <c r="AE69" i="2"/>
  <c r="T66" i="2"/>
  <c r="R127" i="2"/>
  <c r="AG95" i="2"/>
  <c r="AP77" i="2"/>
  <c r="AR67" i="2"/>
  <c r="AI63" i="2"/>
  <c r="Z60" i="2"/>
  <c r="Q54" i="2"/>
  <c r="H51" i="2"/>
  <c r="AR44" i="2"/>
  <c r="AI40" i="2"/>
  <c r="Z32" i="2"/>
  <c r="J95" i="2"/>
  <c r="AM67" i="2"/>
  <c r="AK60" i="2"/>
  <c r="N52" i="2"/>
  <c r="J44" i="2"/>
  <c r="AQ37" i="2"/>
  <c r="AN27" i="2"/>
  <c r="G24" i="2"/>
  <c r="AD18" i="2"/>
  <c r="H15" i="2"/>
  <c r="AQ9" i="2"/>
  <c r="AF93" i="2"/>
  <c r="AH67" i="2"/>
  <c r="AJ60" i="2"/>
  <c r="M52" i="2"/>
  <c r="I44" i="2"/>
  <c r="AP37" i="2"/>
  <c r="AM27" i="2"/>
  <c r="F24" i="2"/>
  <c r="AC18" i="2"/>
  <c r="G15" i="2"/>
  <c r="P107" i="2"/>
  <c r="AQ69" i="2"/>
  <c r="AA62" i="2"/>
  <c r="AW53" i="2"/>
  <c r="AA46" i="2"/>
  <c r="N40" i="2"/>
  <c r="AD130" i="2"/>
  <c r="AI80" i="2"/>
  <c r="AT63" i="2"/>
  <c r="S58" i="2"/>
  <c r="AO47" i="2"/>
  <c r="P42" i="2"/>
  <c r="M91" i="2"/>
  <c r="F67" i="2"/>
  <c r="K60" i="2"/>
  <c r="AG51" i="2"/>
  <c r="AG43" i="2"/>
  <c r="U37" i="2"/>
  <c r="T27" i="2"/>
  <c r="AI22" i="2"/>
  <c r="L18" i="2"/>
  <c r="AJ14" i="2"/>
  <c r="AV121" i="2"/>
  <c r="AA75" i="2"/>
  <c r="T63" i="2"/>
  <c r="AN54" i="2"/>
  <c r="Q47" i="2"/>
  <c r="AP40" i="2"/>
  <c r="AD30" i="2"/>
  <c r="AK25" i="2"/>
  <c r="M21" i="2"/>
  <c r="AJ16" i="2"/>
  <c r="Z129" i="2"/>
  <c r="K156" i="2"/>
  <c r="AT113" i="2"/>
  <c r="AF117" i="2"/>
  <c r="AG122" i="2"/>
  <c r="V131" i="2"/>
  <c r="R130" i="2"/>
  <c r="AN93" i="2"/>
  <c r="L129" i="2"/>
  <c r="AJ88" i="2"/>
  <c r="AL107" i="2"/>
  <c r="T81" i="2"/>
  <c r="AW99" i="2"/>
  <c r="AN70" i="2"/>
  <c r="AG92" i="2"/>
  <c r="L120" i="2"/>
  <c r="AU89" i="2"/>
  <c r="Z154" i="2"/>
  <c r="V99" i="2"/>
  <c r="AE83" i="2"/>
  <c r="AA126" i="2"/>
  <c r="AG99" i="2"/>
  <c r="F88" i="2"/>
  <c r="X70" i="2"/>
  <c r="AJ69" i="2"/>
  <c r="AE59" i="2"/>
  <c r="AT47" i="2"/>
  <c r="S40" i="2"/>
  <c r="G30" i="2"/>
  <c r="AQ25" i="2"/>
  <c r="AH105" i="2"/>
  <c r="AM88" i="2"/>
  <c r="AH69" i="2"/>
  <c r="W66" i="2"/>
  <c r="N62" i="2"/>
  <c r="E59" i="2"/>
  <c r="AO52" i="2"/>
  <c r="AF47" i="2"/>
  <c r="AG115" i="2"/>
  <c r="AL91" i="2"/>
  <c r="F71" i="2"/>
  <c r="M67" i="2"/>
  <c r="AW62" i="2"/>
  <c r="AN59" i="2"/>
  <c r="AE53" i="2"/>
  <c r="V50" i="2"/>
  <c r="M44" i="2"/>
  <c r="AW39" i="2"/>
  <c r="AN30" i="2"/>
  <c r="AE26" i="2"/>
  <c r="V22" i="2"/>
  <c r="M18" i="2"/>
  <c r="AW14" i="2"/>
  <c r="M102" i="2"/>
  <c r="V85" i="2"/>
  <c r="F69" i="2"/>
  <c r="AP64" i="2"/>
  <c r="AG61" i="2"/>
  <c r="X58" i="2"/>
  <c r="O52" i="2"/>
  <c r="F47" i="2"/>
  <c r="O104" i="2"/>
  <c r="X87" i="2"/>
  <c r="R69" i="2"/>
  <c r="H66" i="2"/>
  <c r="F123" i="2"/>
  <c r="AD93" i="2"/>
  <c r="AM75" i="2"/>
  <c r="AF67" i="2"/>
  <c r="W63" i="2"/>
  <c r="N60" i="2"/>
  <c r="E54" i="2"/>
  <c r="AO50" i="2"/>
  <c r="AF44" i="2"/>
  <c r="W40" i="2"/>
  <c r="N32" i="2"/>
  <c r="AW91" i="2"/>
  <c r="O67" i="2"/>
  <c r="P60" i="2"/>
  <c r="AO51" i="2"/>
  <c r="AM43" i="2"/>
  <c r="AA37" i="2"/>
  <c r="Z27" i="2"/>
  <c r="AM22" i="2"/>
  <c r="Q18" i="2"/>
  <c r="AN14" i="2"/>
  <c r="AE9" i="2"/>
  <c r="Z91" i="2"/>
  <c r="J67" i="2"/>
  <c r="O60" i="2"/>
  <c r="AM51" i="2"/>
  <c r="AL43" i="2"/>
  <c r="Z37" i="2"/>
  <c r="X27" i="2"/>
  <c r="AL22" i="2"/>
  <c r="P18" i="2"/>
  <c r="AM14" i="2"/>
  <c r="AW102" i="2"/>
  <c r="O69" i="2"/>
  <c r="F62" i="2"/>
  <c r="AB53" i="2"/>
  <c r="J46" i="2"/>
  <c r="AQ39" i="2"/>
  <c r="F122" i="2"/>
  <c r="AC75" i="2"/>
  <c r="V63" i="2"/>
  <c r="AQ54" i="2"/>
  <c r="W47" i="2"/>
  <c r="AS40" i="2"/>
  <c r="G89" i="2"/>
  <c r="AA66" i="2"/>
  <c r="AH59" i="2"/>
  <c r="K51" i="2"/>
  <c r="R43" i="2"/>
  <c r="F37" i="2"/>
  <c r="F27" i="2"/>
  <c r="U22" i="2"/>
  <c r="AR17" i="2"/>
  <c r="X14" i="2"/>
  <c r="AE113" i="2"/>
  <c r="AA70" i="2"/>
  <c r="AP62" i="2"/>
  <c r="S54" i="2"/>
  <c r="AR46" i="2"/>
  <c r="Z40" i="2"/>
  <c r="O30" i="2"/>
  <c r="W25" i="2"/>
  <c r="AS20" i="2"/>
  <c r="W16" i="2"/>
  <c r="AU120" i="2"/>
  <c r="P75" i="2"/>
  <c r="R63" i="2"/>
  <c r="AM54" i="2"/>
  <c r="AL146" i="2"/>
  <c r="S112" i="2"/>
  <c r="T117" i="2"/>
  <c r="U122" i="2"/>
  <c r="J131" i="2"/>
  <c r="O129" i="2"/>
  <c r="AB93" i="2"/>
  <c r="I128" i="2"/>
  <c r="X88" i="2"/>
  <c r="X107" i="2"/>
  <c r="H81" i="2"/>
  <c r="AK99" i="2"/>
  <c r="AB70" i="2"/>
  <c r="U92" i="2"/>
  <c r="I119" i="2"/>
  <c r="AI89" i="2"/>
  <c r="N147" i="2"/>
  <c r="J99" i="2"/>
  <c r="S83" i="2"/>
  <c r="L121" i="2"/>
  <c r="R98" i="2"/>
  <c r="AJ85" i="2"/>
  <c r="AP133" i="2"/>
  <c r="S68" i="2"/>
  <c r="S59" i="2"/>
  <c r="AH47" i="2"/>
  <c r="AN39" i="2"/>
  <c r="AN28" i="2"/>
  <c r="AE25" i="2"/>
  <c r="AA104" i="2"/>
  <c r="AJ87" i="2"/>
  <c r="U69" i="2"/>
  <c r="K66" i="2"/>
  <c r="AU61" i="2"/>
  <c r="AL58" i="2"/>
  <c r="AC52" i="2"/>
  <c r="T47" i="2"/>
  <c r="K112" i="2"/>
  <c r="AI90" i="2"/>
  <c r="U70" i="2"/>
  <c r="AT66" i="2"/>
  <c r="AK62" i="2"/>
  <c r="AB59" i="2"/>
  <c r="S53" i="2"/>
  <c r="J50" i="2"/>
  <c r="AT43" i="2"/>
  <c r="AK39" i="2"/>
  <c r="AB30" i="2"/>
  <c r="S26" i="2"/>
  <c r="J22" i="2"/>
  <c r="AT17" i="2"/>
  <c r="S166" i="2"/>
  <c r="J101" i="2"/>
  <c r="S84" i="2"/>
  <c r="AM68" i="2"/>
  <c r="AD64" i="2"/>
  <c r="U61" i="2"/>
  <c r="L58" i="2"/>
  <c r="AV51" i="2"/>
  <c r="AM46" i="2"/>
  <c r="L102" i="2"/>
  <c r="U85" i="2"/>
  <c r="E69" i="2"/>
  <c r="AO64" i="2"/>
  <c r="AM118" i="2"/>
  <c r="AA92" i="2"/>
  <c r="AJ71" i="2"/>
  <c r="T67" i="2"/>
  <c r="K63" i="2"/>
  <c r="AU59" i="2"/>
  <c r="AL53" i="2"/>
  <c r="AC50" i="2"/>
  <c r="T44" i="2"/>
  <c r="K40" i="2"/>
  <c r="AU30" i="2"/>
  <c r="AQ89" i="2"/>
  <c r="AJ66" i="2"/>
  <c r="AP59" i="2"/>
  <c r="S51" i="2"/>
  <c r="W43" i="2"/>
  <c r="K37" i="2"/>
  <c r="K27" i="2"/>
  <c r="Z22" i="2"/>
  <c r="AW17" i="2"/>
  <c r="AS150" i="2"/>
  <c r="L122" i="2"/>
  <c r="AW131" i="2"/>
  <c r="Q143" i="2"/>
  <c r="M112" i="2"/>
  <c r="E89" i="2"/>
  <c r="V87" i="2"/>
  <c r="AD105" i="2"/>
  <c r="R80" i="2"/>
  <c r="K98" i="2"/>
  <c r="H164" i="2"/>
  <c r="AE91" i="2"/>
  <c r="R119" i="2"/>
  <c r="O85" i="2"/>
  <c r="Q102" i="2"/>
  <c r="Z85" i="2"/>
  <c r="W124" i="2"/>
  <c r="AT93" i="2"/>
  <c r="J77" i="2"/>
  <c r="AM113" i="2"/>
  <c r="X95" i="2"/>
  <c r="AP83" i="2"/>
  <c r="AJ105" i="2"/>
  <c r="Y66" i="2"/>
  <c r="AK54" i="2"/>
  <c r="G46" i="2"/>
  <c r="AK37" i="2"/>
  <c r="AW27" i="2"/>
  <c r="T150" i="2"/>
  <c r="R99" i="2"/>
  <c r="AA83" i="2"/>
  <c r="AC68" i="2"/>
  <c r="T64" i="2"/>
  <c r="K61" i="2"/>
  <c r="AU54" i="2"/>
  <c r="AL51" i="2"/>
  <c r="AC46" i="2"/>
  <c r="Q104" i="2"/>
  <c r="Z87" i="2"/>
  <c r="T69" i="2"/>
  <c r="J66" i="2"/>
  <c r="AT61" i="2"/>
  <c r="AK58" i="2"/>
  <c r="AB52" i="2"/>
  <c r="S47" i="2"/>
  <c r="J43" i="2"/>
  <c r="AT37" i="2"/>
  <c r="AK28" i="2"/>
  <c r="AB25" i="2"/>
  <c r="S21" i="2"/>
  <c r="J17" i="2"/>
  <c r="W128" i="2"/>
  <c r="AT95" i="2"/>
  <c r="J80" i="2"/>
  <c r="AV67" i="2"/>
  <c r="AM63" i="2"/>
  <c r="AD60" i="2"/>
  <c r="U54" i="2"/>
  <c r="L51" i="2"/>
  <c r="AG132" i="2"/>
  <c r="AV96" i="2"/>
  <c r="L81" i="2"/>
  <c r="N68" i="2"/>
  <c r="E64" i="2"/>
  <c r="O107" i="2"/>
  <c r="R89" i="2"/>
  <c r="AP69" i="2"/>
  <c r="AC66" i="2"/>
  <c r="T62" i="2"/>
  <c r="K59" i="2"/>
  <c r="AU52" i="2"/>
  <c r="AL47" i="2"/>
  <c r="AC43" i="2"/>
  <c r="T39" i="2"/>
  <c r="AO133" i="2"/>
  <c r="Y81" i="2"/>
  <c r="I64" i="2"/>
  <c r="W58" i="2"/>
  <c r="AV47" i="2"/>
  <c r="T42" i="2"/>
  <c r="H32" i="2"/>
  <c r="M26" i="2"/>
  <c r="AF21" i="2"/>
  <c r="I17" i="2"/>
  <c r="AK11" i="2"/>
  <c r="AG131" i="2"/>
  <c r="AU80" i="2"/>
  <c r="AW63" i="2"/>
  <c r="V58" i="2"/>
  <c r="AU47" i="2"/>
  <c r="R42" i="2"/>
  <c r="F32" i="2"/>
  <c r="L26" i="2"/>
  <c r="AD21" i="2"/>
  <c r="H17" i="2"/>
  <c r="AJ11" i="2"/>
  <c r="Y91" i="2"/>
  <c r="I67" i="2"/>
  <c r="M60" i="2"/>
  <c r="AI51" i="2"/>
  <c r="AJ43" i="2"/>
  <c r="X37" i="2"/>
  <c r="AF99" i="2"/>
  <c r="AH68" i="2"/>
  <c r="AB61" i="2"/>
  <c r="E53" i="2"/>
  <c r="AL44" i="2"/>
  <c r="E122" i="2"/>
  <c r="AB75" i="2"/>
  <c r="U63" i="2"/>
  <c r="AP54" i="2"/>
  <c r="U47" i="2"/>
  <c r="AR40" i="2"/>
  <c r="AF30" i="2"/>
  <c r="AL25" i="2"/>
  <c r="N21" i="2"/>
  <c r="AK16" i="2"/>
  <c r="U11" i="2"/>
  <c r="X96" i="2"/>
  <c r="H68" i="2"/>
  <c r="AW60" i="2"/>
  <c r="Z52" i="2"/>
  <c r="S44" i="2"/>
  <c r="G39" i="2"/>
  <c r="AV27" i="2"/>
  <c r="O24" i="2"/>
  <c r="AL18" i="2"/>
  <c r="AA143" i="2"/>
  <c r="AS121" i="2"/>
  <c r="AK131" i="2"/>
  <c r="N142" i="2"/>
  <c r="AT111" i="2"/>
  <c r="AL88" i="2"/>
  <c r="J87" i="2"/>
  <c r="Q105" i="2"/>
  <c r="F80" i="2"/>
  <c r="AR96" i="2"/>
  <c r="AO159" i="2"/>
  <c r="S91" i="2"/>
  <c r="O118" i="2"/>
  <c r="AV84" i="2"/>
  <c r="E102" i="2"/>
  <c r="N85" i="2"/>
  <c r="T123" i="2"/>
  <c r="AH93" i="2"/>
  <c r="AQ75" i="2"/>
  <c r="AW107" i="2"/>
  <c r="I93" i="2"/>
  <c r="AA81" i="2"/>
  <c r="Q98" i="2"/>
  <c r="AT64" i="2"/>
  <c r="V53" i="2"/>
  <c r="AW43" i="2"/>
  <c r="Y37" i="2"/>
  <c r="AK27" i="2"/>
  <c r="AM133" i="2"/>
  <c r="O98" i="2"/>
  <c r="X81" i="2"/>
  <c r="Q68" i="2"/>
  <c r="H64" i="2"/>
  <c r="AR60" i="2"/>
  <c r="AI54" i="2"/>
  <c r="Z51" i="2"/>
  <c r="Q46" i="2"/>
  <c r="N102" i="2"/>
  <c r="W85" i="2"/>
  <c r="G69" i="2"/>
  <c r="AQ64" i="2"/>
  <c r="AH61" i="2"/>
  <c r="Y58" i="2"/>
  <c r="P52" i="2"/>
  <c r="G47" i="2"/>
  <c r="AQ42" i="2"/>
  <c r="AH37" i="2"/>
  <c r="Y28" i="2"/>
  <c r="P25" i="2"/>
  <c r="G21" i="2"/>
  <c r="AQ16" i="2"/>
  <c r="K124" i="2"/>
  <c r="AQ93" i="2"/>
  <c r="G77" i="2"/>
  <c r="AJ67" i="2"/>
  <c r="AA63" i="2"/>
  <c r="R60" i="2"/>
  <c r="I54" i="2"/>
  <c r="AS50" i="2"/>
  <c r="U128" i="2"/>
  <c r="AS95" i="2"/>
  <c r="I80" i="2"/>
  <c r="AU67" i="2"/>
  <c r="AL63" i="2"/>
  <c r="G105" i="2"/>
  <c r="O88" i="2"/>
  <c r="AA69" i="2"/>
  <c r="Q66" i="2"/>
  <c r="H62" i="2"/>
  <c r="AR58" i="2"/>
  <c r="AI52" i="2"/>
  <c r="Z47" i="2"/>
  <c r="Q43" i="2"/>
  <c r="H39" i="2"/>
  <c r="N125" i="2"/>
  <c r="S77" i="2"/>
  <c r="AD63" i="2"/>
  <c r="E58" i="2"/>
  <c r="AA47" i="2"/>
  <c r="AW40" i="2"/>
  <c r="AK30" i="2"/>
  <c r="AR25" i="2"/>
  <c r="R21" i="2"/>
  <c r="AO16" i="2"/>
  <c r="Y11" i="2"/>
  <c r="I123" i="2"/>
  <c r="AO75" i="2"/>
  <c r="Y63" i="2"/>
  <c r="AV54" i="2"/>
  <c r="Y47" i="2"/>
  <c r="AV40" i="2"/>
  <c r="AJ30" i="2"/>
  <c r="AP25" i="2"/>
  <c r="Q21" i="2"/>
  <c r="AN16" i="2"/>
  <c r="X11" i="2"/>
  <c r="S89" i="2"/>
  <c r="AD66" i="2"/>
  <c r="AK59" i="2"/>
  <c r="Q51" i="2"/>
  <c r="T43" i="2"/>
  <c r="H37" i="2"/>
  <c r="Z96" i="2"/>
  <c r="J68" i="2"/>
  <c r="G61" i="2"/>
  <c r="AF52" i="2"/>
  <c r="V44" i="2"/>
  <c r="AJ113" i="2"/>
  <c r="AG70" i="2"/>
  <c r="AQ62" i="2"/>
  <c r="T54" i="2"/>
  <c r="AS46" i="2"/>
  <c r="AA40" i="2"/>
  <c r="Q30" i="2"/>
  <c r="X25" i="2"/>
  <c r="AT20" i="2"/>
  <c r="X16" i="2"/>
  <c r="I11" i="2"/>
  <c r="R93" i="2"/>
  <c r="AC67" i="2"/>
  <c r="AB60" i="2"/>
  <c r="H52" i="2"/>
  <c r="AV43" i="2"/>
  <c r="AJ37" i="2"/>
  <c r="AG27" i="2"/>
  <c r="AU22" i="2"/>
  <c r="X18" i="2"/>
  <c r="Y189" i="2"/>
  <c r="AE90" i="2"/>
  <c r="AB95" i="2"/>
  <c r="AL85" i="2"/>
  <c r="AM114" i="2"/>
  <c r="AK66" i="2"/>
  <c r="P28" i="2"/>
  <c r="AO68" i="2"/>
  <c r="E52" i="2"/>
  <c r="AG69" i="2"/>
  <c r="AN52" i="2"/>
  <c r="AW28" i="2"/>
  <c r="AI132" i="2"/>
  <c r="F64" i="2"/>
  <c r="H146" i="2"/>
  <c r="Q64" i="2"/>
  <c r="AO66" i="2"/>
  <c r="E50" i="2"/>
  <c r="AE84" i="2"/>
  <c r="AJ42" i="2"/>
  <c r="W17" i="2"/>
  <c r="H84" i="2"/>
  <c r="T50" i="2"/>
  <c r="Z26" i="2"/>
  <c r="AV11" i="2"/>
  <c r="AI60" i="2"/>
  <c r="AN37" i="2"/>
  <c r="E62" i="2"/>
  <c r="AC130" i="2"/>
  <c r="R58" i="2"/>
  <c r="X39" i="2"/>
  <c r="AN21" i="2"/>
  <c r="AD10" i="2"/>
  <c r="U62" i="2"/>
  <c r="AI44" i="2"/>
  <c r="AJ26" i="2"/>
  <c r="AD17" i="2"/>
  <c r="Y102" i="2"/>
  <c r="F68" i="2"/>
  <c r="AF59" i="2"/>
  <c r="N50" i="2"/>
  <c r="AB42" i="2"/>
  <c r="P32" i="2"/>
  <c r="T26" i="2"/>
  <c r="AL21" i="2"/>
  <c r="P17" i="2"/>
  <c r="AQ11" i="2"/>
  <c r="AI95" i="2"/>
  <c r="AT67" i="2"/>
  <c r="AU60" i="2"/>
  <c r="X52" i="2"/>
  <c r="Q44" i="2"/>
  <c r="T127" i="2"/>
  <c r="AQ77" i="2"/>
  <c r="AJ63" i="2"/>
  <c r="W95" i="2"/>
  <c r="AQ67" i="2"/>
  <c r="AO60" i="2"/>
  <c r="U52" i="2"/>
  <c r="AW47" i="2"/>
  <c r="Z28" i="2"/>
  <c r="K21" i="2"/>
  <c r="Q14" i="2"/>
  <c r="S7" i="2"/>
  <c r="AV10" i="2"/>
  <c r="W4" i="2"/>
  <c r="AT7" i="2"/>
  <c r="V51" i="2"/>
  <c r="AA98" i="2"/>
  <c r="L43" i="2"/>
  <c r="AM26" i="2"/>
  <c r="AG18" i="2"/>
  <c r="AF10" i="2"/>
  <c r="K4" i="2"/>
  <c r="AN4" i="2"/>
  <c r="AG30" i="2"/>
  <c r="O61" i="2"/>
  <c r="AE37" i="2"/>
  <c r="AE24" i="2"/>
  <c r="AF16" i="2"/>
  <c r="AI9" i="2"/>
  <c r="X6" i="2"/>
  <c r="AJ10" i="2"/>
  <c r="AO67" i="2"/>
  <c r="E40" i="2"/>
  <c r="AF25" i="2"/>
  <c r="AB17" i="2"/>
  <c r="O10" i="2"/>
  <c r="AT4" i="2"/>
  <c r="AH11" i="2"/>
  <c r="AC28" i="2"/>
  <c r="AL16" i="2"/>
  <c r="L54" i="2"/>
  <c r="I32" i="2"/>
  <c r="AW21" i="2"/>
  <c r="Q67" i="2"/>
  <c r="AU39" i="2"/>
  <c r="Z25" i="2"/>
  <c r="Z17" i="2"/>
  <c r="M10" i="2"/>
  <c r="AR4" i="2"/>
  <c r="O9" i="2"/>
  <c r="AK21" i="2"/>
  <c r="H7" i="2"/>
  <c r="L47" i="2"/>
  <c r="L28" i="2"/>
  <c r="AU20" i="2"/>
  <c r="F14" i="2"/>
  <c r="M7" i="2"/>
  <c r="AR18" i="2"/>
  <c r="S18" i="2"/>
  <c r="M9" i="2"/>
  <c r="AF7" i="2"/>
  <c r="AA50" i="2"/>
  <c r="AI28" i="2"/>
  <c r="V21" i="2"/>
  <c r="Y14" i="2"/>
  <c r="X7" i="2"/>
  <c r="U21" i="2"/>
  <c r="AC4" i="2"/>
  <c r="R15" i="2"/>
  <c r="Z4" i="2"/>
  <c r="AQ44" i="2"/>
  <c r="AC27" i="2"/>
  <c r="P22" i="2"/>
  <c r="AA51" i="2"/>
  <c r="K30" i="2"/>
  <c r="AO21" i="2"/>
  <c r="AV26" i="2"/>
  <c r="H50" i="2"/>
  <c r="T21" i="2"/>
  <c r="AK46" i="2"/>
  <c r="AB27" i="2"/>
  <c r="AN61" i="2"/>
  <c r="L165" i="2"/>
  <c r="S90" i="2"/>
  <c r="M84" i="2"/>
  <c r="E81" i="2"/>
  <c r="AQ104" i="2"/>
  <c r="AB62" i="2"/>
  <c r="AT26" i="2"/>
  <c r="Z67" i="2"/>
  <c r="AI50" i="2"/>
  <c r="P68" i="2"/>
  <c r="Y51" i="2"/>
  <c r="AH27" i="2"/>
  <c r="I112" i="2"/>
  <c r="AJ62" i="2"/>
  <c r="AD115" i="2"/>
  <c r="AR161" i="2"/>
  <c r="Z64" i="2"/>
  <c r="AI46" i="2"/>
  <c r="V69" i="2"/>
  <c r="AT39" i="2"/>
  <c r="AU15" i="2"/>
  <c r="P69" i="2"/>
  <c r="L46" i="2"/>
  <c r="AS24" i="2"/>
  <c r="AF131" i="2"/>
  <c r="U58" i="2"/>
  <c r="E32" i="2"/>
  <c r="AJ59" i="2"/>
  <c r="AE99" i="2"/>
  <c r="Y53" i="2"/>
  <c r="AI32" i="2"/>
  <c r="AA21" i="2"/>
  <c r="R10" i="2"/>
  <c r="AR61" i="2"/>
  <c r="P43" i="2"/>
  <c r="U26" i="2"/>
  <c r="Q17" i="2"/>
  <c r="S99" i="2"/>
  <c r="AV66" i="2"/>
  <c r="J59" i="2"/>
  <c r="AK47" i="2"/>
  <c r="L42" i="2"/>
  <c r="AS30" i="2"/>
  <c r="E26" i="2"/>
  <c r="Y21" i="2"/>
  <c r="AV16" i="2"/>
  <c r="AE11" i="2"/>
  <c r="AC92" i="2"/>
  <c r="V67" i="2"/>
  <c r="Y60" i="2"/>
  <c r="AU51" i="2"/>
  <c r="AS43" i="2"/>
  <c r="AO118" i="2"/>
  <c r="AK71" i="2"/>
  <c r="L63" i="2"/>
  <c r="Q92" i="2"/>
  <c r="S67" i="2"/>
  <c r="W60" i="2"/>
  <c r="AS51" i="2"/>
  <c r="AG46" i="2"/>
  <c r="AR27" i="2"/>
  <c r="AI20" i="2"/>
  <c r="AN11" i="2"/>
  <c r="G7" i="2"/>
  <c r="Q10" i="2"/>
  <c r="AL3" i="2"/>
  <c r="G6" i="2"/>
  <c r="Z39" i="2"/>
  <c r="AJ81" i="2"/>
  <c r="I42" i="2"/>
  <c r="O26" i="2"/>
  <c r="I18" i="2"/>
  <c r="AW9" i="2"/>
  <c r="Z3" i="2"/>
  <c r="AJ64" i="2"/>
  <c r="O21" i="2"/>
  <c r="V59" i="2"/>
  <c r="AR32" i="2"/>
  <c r="I24" i="2"/>
  <c r="H16" i="2"/>
  <c r="V9" i="2"/>
  <c r="U4" i="2"/>
  <c r="I7" i="2"/>
  <c r="AF63" i="2"/>
  <c r="Q39" i="2"/>
  <c r="F25" i="2"/>
  <c r="G17" i="2"/>
  <c r="AU9" i="2"/>
  <c r="AH4" i="2"/>
  <c r="N10" i="2"/>
  <c r="Q24" i="2"/>
  <c r="W11" i="2"/>
  <c r="T52" i="2"/>
  <c r="W30" i="2"/>
  <c r="AB21" i="2"/>
  <c r="H63" i="2"/>
  <c r="J39" i="2"/>
  <c r="AV24" i="2"/>
  <c r="AU16" i="2"/>
  <c r="AS9" i="2"/>
  <c r="AF4" i="2"/>
  <c r="W7" i="2"/>
  <c r="Q16" i="2"/>
  <c r="Q3" i="2"/>
  <c r="AT44" i="2"/>
  <c r="AE27" i="2"/>
  <c r="Y20" i="2"/>
  <c r="AD11" i="2"/>
  <c r="AT6" i="2"/>
  <c r="AO17" i="2"/>
  <c r="T14" i="2"/>
  <c r="R6" i="2"/>
  <c r="E6" i="2"/>
  <c r="K47" i="2"/>
  <c r="K28" i="2"/>
  <c r="AQ20" i="2"/>
  <c r="E14" i="2"/>
  <c r="L7" i="2"/>
  <c r="U20" i="2"/>
  <c r="AR3" i="2"/>
  <c r="G10" i="2"/>
  <c r="AN104" i="2"/>
  <c r="AN43" i="2"/>
  <c r="R18" i="2"/>
  <c r="AD28" i="2"/>
  <c r="S14" i="2"/>
  <c r="AO20" i="2"/>
  <c r="AR134" i="2"/>
  <c r="U116" i="2"/>
  <c r="I132" i="2"/>
  <c r="AU141" i="2"/>
  <c r="AV95" i="2"/>
  <c r="G59" i="2"/>
  <c r="S25" i="2"/>
  <c r="AR64" i="2"/>
  <c r="H47" i="2"/>
  <c r="AH66" i="2"/>
  <c r="AQ47" i="2"/>
  <c r="G26" i="2"/>
  <c r="G99" i="2"/>
  <c r="I61" i="2"/>
  <c r="I101" i="2"/>
  <c r="AA114" i="2"/>
  <c r="AR62" i="2"/>
  <c r="H44" i="2"/>
  <c r="L66" i="2"/>
  <c r="AN32" i="2"/>
  <c r="AB14" i="2"/>
  <c r="AE66" i="2"/>
  <c r="U43" i="2"/>
  <c r="Y22" i="2"/>
  <c r="AQ99" i="2"/>
  <c r="I53" i="2"/>
  <c r="AL113" i="2"/>
  <c r="X54" i="2"/>
  <c r="AT85" i="2"/>
  <c r="AW52" i="2"/>
  <c r="R32" i="2"/>
  <c r="T20" i="2"/>
  <c r="AU105" i="2"/>
  <c r="Z61" i="2"/>
  <c r="AS42" i="2"/>
  <c r="I25" i="2"/>
  <c r="J16" i="2"/>
  <c r="M96" i="2"/>
  <c r="X66" i="2"/>
  <c r="AH58" i="2"/>
  <c r="P47" i="2"/>
  <c r="AO40" i="2"/>
  <c r="AC30" i="2"/>
  <c r="AJ25" i="2"/>
  <c r="L21" i="2"/>
  <c r="AI16" i="2"/>
  <c r="S11" i="2"/>
  <c r="W90" i="2"/>
  <c r="AQ66" i="2"/>
  <c r="AW59" i="2"/>
  <c r="AC51" i="2"/>
  <c r="AD43" i="2"/>
  <c r="R111" i="2"/>
  <c r="N70" i="2"/>
  <c r="AI62" i="2"/>
  <c r="K90" i="2"/>
  <c r="AN66" i="2"/>
  <c r="AT59" i="2"/>
  <c r="H137" i="2"/>
  <c r="AA44" i="2"/>
  <c r="U27" i="2"/>
  <c r="M20" i="2"/>
  <c r="V11" i="2"/>
  <c r="AN6" i="2"/>
  <c r="AJ9" i="2"/>
  <c r="N3" i="2"/>
  <c r="AS68" i="2"/>
  <c r="I30" i="2"/>
  <c r="T68" i="2"/>
  <c r="M40" i="2"/>
  <c r="AH25" i="2"/>
  <c r="AG17" i="2"/>
  <c r="W9" i="2"/>
  <c r="AA17" i="2"/>
  <c r="W51" i="2"/>
  <c r="AK15" i="2"/>
  <c r="AD54" i="2"/>
  <c r="L32" i="2"/>
  <c r="AD22" i="2"/>
  <c r="AF15" i="2"/>
  <c r="I9" i="2"/>
  <c r="X3" i="2"/>
  <c r="R3" i="2"/>
  <c r="AS60" i="2"/>
  <c r="AD37" i="2"/>
  <c r="AD24" i="2"/>
  <c r="AD16" i="2"/>
  <c r="AH9" i="2"/>
  <c r="V4" i="2"/>
  <c r="AM7" i="2"/>
  <c r="AM17" i="2"/>
  <c r="Y9" i="2"/>
  <c r="AR50" i="2"/>
  <c r="AP28" i="2"/>
  <c r="AA20" i="2"/>
  <c r="AM60" i="2"/>
  <c r="W37" i="2"/>
  <c r="X24" i="2"/>
  <c r="Z16" i="2"/>
  <c r="AF9" i="2"/>
  <c r="T4" i="2"/>
  <c r="AF6" i="2"/>
  <c r="AM9" i="2"/>
  <c r="AA108" i="2"/>
  <c r="AQ43" i="2"/>
  <c r="H27" i="2"/>
  <c r="AT18" i="2"/>
  <c r="N11" i="2"/>
  <c r="AH6" i="2"/>
  <c r="T16" i="2"/>
  <c r="W10" i="2"/>
  <c r="AP3" i="2"/>
  <c r="AC3" i="2"/>
  <c r="AS44" i="2"/>
  <c r="AD27" i="2"/>
  <c r="V20" i="2"/>
  <c r="AC11" i="2"/>
  <c r="AS6" i="2"/>
  <c r="T18" i="2"/>
  <c r="AO18" i="2"/>
  <c r="AP6" i="2"/>
  <c r="AW87" i="2"/>
  <c r="AK42" i="2"/>
  <c r="Y26" i="2"/>
  <c r="G28" i="2"/>
  <c r="Q20" i="2"/>
  <c r="AR84" i="2"/>
  <c r="I133" i="2"/>
  <c r="R115" i="2"/>
  <c r="F131" i="2"/>
  <c r="Z125" i="2"/>
  <c r="AJ95" i="2"/>
  <c r="AB58" i="2"/>
  <c r="AL181" i="2"/>
  <c r="AF64" i="2"/>
  <c r="AO46" i="2"/>
  <c r="V66" i="2"/>
  <c r="AE47" i="2"/>
  <c r="AN25" i="2"/>
  <c r="AW96" i="2"/>
  <c r="AP60" i="2"/>
  <c r="F99" i="2"/>
  <c r="M111" i="2"/>
  <c r="AF62" i="2"/>
  <c r="AO43" i="2"/>
  <c r="AG64" i="2"/>
  <c r="X32" i="2"/>
  <c r="P14" i="2"/>
  <c r="G66" i="2"/>
  <c r="F43" i="2"/>
  <c r="L22" i="2"/>
  <c r="AK96" i="2"/>
  <c r="AG52" i="2"/>
  <c r="AW105" i="2"/>
  <c r="AV53" i="2"/>
  <c r="AN83" i="2"/>
  <c r="AL50" i="2"/>
  <c r="AV30" i="2"/>
  <c r="G20" i="2"/>
  <c r="AJ102" i="2"/>
  <c r="AG59" i="2"/>
  <c r="J40" i="2"/>
  <c r="AO24" i="2"/>
  <c r="AP15" i="2"/>
  <c r="AT90" i="2"/>
  <c r="AS64" i="2"/>
  <c r="O58" i="2"/>
  <c r="AP46" i="2"/>
  <c r="Y40" i="2"/>
  <c r="N30" i="2"/>
  <c r="V25" i="2"/>
  <c r="AR20" i="2"/>
  <c r="V16" i="2"/>
  <c r="G11" i="2"/>
  <c r="Q88" i="2"/>
  <c r="S66" i="2"/>
  <c r="AD59" i="2"/>
  <c r="G51" i="2"/>
  <c r="N43" i="2"/>
  <c r="I105" i="2"/>
  <c r="AB69" i="2"/>
  <c r="Q62" i="2"/>
  <c r="E88" i="2"/>
  <c r="P66" i="2"/>
  <c r="Y59" i="2"/>
  <c r="AB98" i="2"/>
  <c r="X43" i="2"/>
  <c r="AP26" i="2"/>
  <c r="AH18" i="2"/>
  <c r="AW10" i="2"/>
  <c r="AB6" i="2"/>
  <c r="J9" i="2"/>
  <c r="E16" i="2"/>
  <c r="AD44" i="2"/>
  <c r="AM25" i="2"/>
  <c r="K64" i="2"/>
  <c r="S39" i="2"/>
  <c r="K25" i="2"/>
  <c r="L17" i="2"/>
  <c r="AP7" i="2"/>
  <c r="H14" i="2"/>
  <c r="L37" i="2"/>
  <c r="E11" i="2"/>
  <c r="AK52" i="2"/>
  <c r="Y30" i="2"/>
  <c r="I22" i="2"/>
  <c r="J15" i="2"/>
  <c r="AO7" i="2"/>
  <c r="AP16" i="2"/>
  <c r="M53" i="2"/>
  <c r="H59" i="2"/>
  <c r="AP32" i="2"/>
  <c r="H24" i="2"/>
  <c r="F16" i="2"/>
  <c r="U9" i="2"/>
  <c r="AW3" i="2"/>
  <c r="AJ6" i="2"/>
  <c r="AP11" i="2"/>
  <c r="AC6" i="2"/>
  <c r="AB47" i="2"/>
  <c r="O28" i="2"/>
  <c r="AB18" i="2"/>
  <c r="AT58" i="2"/>
  <c r="AJ32" i="2"/>
  <c r="AW22" i="2"/>
  <c r="AW15" i="2"/>
  <c r="R9" i="2"/>
  <c r="AU3" i="2"/>
  <c r="Q4" i="2"/>
  <c r="AD6" i="2"/>
  <c r="J90" i="2"/>
  <c r="AN42" i="2"/>
  <c r="AC26" i="2"/>
  <c r="V18" i="2"/>
  <c r="AO10" i="2"/>
  <c r="V6" i="2"/>
  <c r="AQ14" i="2"/>
  <c r="J7" i="2"/>
  <c r="F58" i="2"/>
  <c r="V108" i="2"/>
  <c r="AP43" i="2"/>
  <c r="G27" i="2"/>
  <c r="AS18" i="2"/>
  <c r="K11" i="2"/>
  <c r="AG6" i="2"/>
  <c r="AR16" i="2"/>
  <c r="AP14" i="2"/>
  <c r="F6" i="2"/>
  <c r="Y69" i="2"/>
  <c r="AH40" i="2"/>
  <c r="AT25" i="2"/>
  <c r="Z9" i="2"/>
  <c r="AE44" i="2"/>
  <c r="AP42" i="2"/>
  <c r="R169" i="2"/>
  <c r="AA84" i="2"/>
  <c r="F102" i="2"/>
  <c r="Y111" i="2"/>
  <c r="O91" i="2"/>
  <c r="S52" i="2"/>
  <c r="AS120" i="2"/>
  <c r="Q63" i="2"/>
  <c r="AJ132" i="2"/>
  <c r="G64" i="2"/>
  <c r="P46" i="2"/>
  <c r="Y24" i="2"/>
  <c r="AH90" i="2"/>
  <c r="AA59" i="2"/>
  <c r="AJ91" i="2"/>
  <c r="AP99" i="2"/>
  <c r="Q61" i="2"/>
  <c r="Z42" i="2"/>
  <c r="I62" i="2"/>
  <c r="AL28" i="2"/>
  <c r="AW11" i="2"/>
  <c r="AB64" i="2"/>
  <c r="AI42" i="2"/>
  <c r="AR21" i="2"/>
  <c r="AE93" i="2"/>
  <c r="L52" i="2"/>
  <c r="AL102" i="2"/>
  <c r="AA53" i="2"/>
  <c r="AH80" i="2"/>
  <c r="P50" i="2"/>
  <c r="AG28" i="2"/>
  <c r="AE17" i="2"/>
  <c r="AD99" i="2"/>
  <c r="L59" i="2"/>
  <c r="AM39" i="2"/>
  <c r="AB24" i="2"/>
  <c r="AC15" i="2"/>
  <c r="AN88" i="2"/>
  <c r="U64" i="2"/>
  <c r="R54" i="2"/>
  <c r="V46" i="2"/>
  <c r="I40" i="2"/>
  <c r="AS28" i="2"/>
  <c r="H25" i="2"/>
  <c r="AE20" i="2"/>
  <c r="I16" i="2"/>
  <c r="AN10" i="2"/>
  <c r="K85" i="2"/>
  <c r="AN64" i="2"/>
  <c r="I59" i="2"/>
  <c r="AE50" i="2"/>
  <c r="E167" i="2"/>
  <c r="O84" i="2"/>
  <c r="X89" i="2"/>
  <c r="AQ98" i="2"/>
  <c r="U84" i="2"/>
  <c r="J47" i="2"/>
  <c r="X102" i="2"/>
  <c r="AI61" i="2"/>
  <c r="AD107" i="2"/>
  <c r="Y62" i="2"/>
  <c r="AH43" i="2"/>
  <c r="AQ21" i="2"/>
  <c r="P83" i="2"/>
  <c r="AS54" i="2"/>
  <c r="R84" i="2"/>
  <c r="X91" i="2"/>
  <c r="AI59" i="2"/>
  <c r="AR39" i="2"/>
  <c r="U59" i="2"/>
  <c r="AO26" i="2"/>
  <c r="AH10" i="2"/>
  <c r="G62" i="2"/>
  <c r="AS39" i="2"/>
  <c r="W20" i="2"/>
  <c r="AT80" i="2"/>
  <c r="AS47" i="2"/>
  <c r="H89" i="2"/>
  <c r="O51" i="2"/>
  <c r="AG68" i="2"/>
  <c r="AN47" i="2"/>
  <c r="S28" i="2"/>
  <c r="R17" i="2"/>
  <c r="F89" i="2"/>
  <c r="AS53" i="2"/>
  <c r="W39" i="2"/>
  <c r="T22" i="2"/>
  <c r="O15" i="2"/>
  <c r="AH85" i="2"/>
  <c r="AP63" i="2"/>
  <c r="AO53" i="2"/>
  <c r="E46" i="2"/>
  <c r="AL39" i="2"/>
  <c r="AE28" i="2"/>
  <c r="AN24" i="2"/>
  <c r="R20" i="2"/>
  <c r="AO15" i="2"/>
  <c r="H141" i="2"/>
  <c r="E83" i="2"/>
  <c r="P64" i="2"/>
  <c r="AG58" i="2"/>
  <c r="L50" i="2"/>
  <c r="AA42" i="2"/>
  <c r="AN98" i="2"/>
  <c r="X68" i="2"/>
  <c r="J137" i="2"/>
  <c r="AL81" i="2"/>
  <c r="M64" i="2"/>
  <c r="AD58" i="2"/>
  <c r="U68" i="2"/>
  <c r="R40" i="2"/>
  <c r="AI25" i="2"/>
  <c r="AK17" i="2"/>
  <c r="S10" i="2"/>
  <c r="AW4" i="2"/>
  <c r="AM6" i="2"/>
  <c r="AR10" i="2"/>
  <c r="Q25" i="2"/>
  <c r="AL17" i="2"/>
  <c r="X59" i="2"/>
  <c r="AS32" i="2"/>
  <c r="J24" i="2"/>
  <c r="L16" i="2"/>
  <c r="F7" i="2"/>
  <c r="F9" i="2"/>
  <c r="AM20" i="2"/>
  <c r="AO6" i="2"/>
  <c r="AG47" i="2"/>
  <c r="U28" i="2"/>
  <c r="I21" i="2"/>
  <c r="M14" i="2"/>
  <c r="Q7" i="2"/>
  <c r="AH7" i="2"/>
  <c r="T32" i="2"/>
  <c r="V52" i="2"/>
  <c r="X30" i="2"/>
  <c r="E22" i="2"/>
  <c r="I15" i="2"/>
  <c r="AN7" i="2"/>
  <c r="Y3" i="2"/>
  <c r="L3" i="2"/>
  <c r="AA4" i="2"/>
  <c r="AL117" i="2"/>
  <c r="K44" i="2"/>
  <c r="N27" i="2"/>
  <c r="F15" i="2"/>
  <c r="R52" i="2"/>
  <c r="T30" i="2"/>
  <c r="AV21" i="2"/>
  <c r="E15" i="2"/>
  <c r="AL7" i="2"/>
  <c r="W3" i="2"/>
  <c r="AM15" i="2"/>
  <c r="AR59" i="2"/>
  <c r="AM66" i="2"/>
  <c r="AP39" i="2"/>
  <c r="Y25" i="2"/>
  <c r="Y17" i="2"/>
  <c r="L10" i="2"/>
  <c r="AQ4" i="2"/>
  <c r="AL10" i="2"/>
  <c r="AS59" i="2"/>
  <c r="AM37" i="2"/>
  <c r="I70" i="2"/>
  <c r="AJ40" i="2"/>
  <c r="AU25" i="2"/>
  <c r="AS17" i="2"/>
  <c r="Y10" i="2"/>
  <c r="I6" i="2"/>
  <c r="U14" i="2"/>
  <c r="AQ6" i="2"/>
  <c r="T40" i="2"/>
  <c r="K62" i="2"/>
  <c r="AU37" i="2"/>
  <c r="AQ24" i="2"/>
  <c r="AV87" i="2"/>
  <c r="Y42" i="2"/>
  <c r="X26" i="2"/>
  <c r="AN9" i="2"/>
  <c r="F113" i="2"/>
  <c r="T102" i="2"/>
  <c r="L89" i="2"/>
  <c r="M95" i="2"/>
  <c r="I84" i="2"/>
  <c r="S46" i="2"/>
  <c r="U101" i="2"/>
  <c r="W61" i="2"/>
  <c r="W105" i="2"/>
  <c r="M62" i="2"/>
  <c r="V43" i="2"/>
  <c r="AE21" i="2"/>
  <c r="M81" i="2"/>
  <c r="AG54" i="2"/>
  <c r="O83" i="2"/>
  <c r="U90" i="2"/>
  <c r="W59" i="2"/>
  <c r="AF39" i="2"/>
  <c r="AS58" i="2"/>
  <c r="AA26" i="2"/>
  <c r="S9" i="2"/>
  <c r="AL59" i="2"/>
  <c r="I37" i="2"/>
  <c r="AV17" i="2"/>
  <c r="AJ68" i="2"/>
  <c r="AM44" i="2"/>
  <c r="AH70" i="2"/>
  <c r="AT46" i="2"/>
  <c r="AV64" i="2"/>
  <c r="H46" i="2"/>
  <c r="AK26" i="2"/>
  <c r="E17" i="2"/>
  <c r="AS85" i="2"/>
  <c r="X53" i="2"/>
  <c r="AW32" i="2"/>
  <c r="G22" i="2"/>
  <c r="AU14" i="2"/>
  <c r="AB83" i="2"/>
  <c r="AO62" i="2"/>
  <c r="W53" i="2"/>
  <c r="AH44" i="2"/>
  <c r="V39" i="2"/>
  <c r="Q28" i="2"/>
  <c r="AA24" i="2"/>
  <c r="E20" i="2"/>
  <c r="AA15" i="2"/>
  <c r="U127" i="2"/>
  <c r="AR77" i="2"/>
  <c r="AK63" i="2"/>
  <c r="K58" i="2"/>
  <c r="AJ47" i="2"/>
  <c r="K42" i="2"/>
  <c r="AH95" i="2"/>
  <c r="AS67" i="2"/>
  <c r="R126" i="2"/>
  <c r="AF77" i="2"/>
  <c r="AH63" i="2"/>
  <c r="I58" i="2"/>
  <c r="L64" i="2"/>
  <c r="U39" i="2"/>
  <c r="L25" i="2"/>
  <c r="M17" i="2"/>
  <c r="E10" i="2"/>
  <c r="AK4" i="2"/>
  <c r="O6" i="2"/>
  <c r="T9" i="2"/>
  <c r="O20" i="2"/>
  <c r="M15" i="2"/>
  <c r="AE54" i="2"/>
  <c r="M32" i="2"/>
  <c r="AE22" i="2"/>
  <c r="AI15" i="2"/>
  <c r="AA6" i="2"/>
  <c r="AV6" i="2"/>
  <c r="AO14" i="2"/>
  <c r="AL4" i="2"/>
  <c r="R46" i="2"/>
  <c r="AP27" i="2"/>
  <c r="AD20" i="2"/>
  <c r="AL11" i="2"/>
  <c r="E7" i="2"/>
  <c r="P4" i="2"/>
  <c r="Q26" i="2"/>
  <c r="AV50" i="2"/>
  <c r="AQ28" i="2"/>
  <c r="AC21" i="2"/>
  <c r="AE14" i="2"/>
  <c r="AB7" i="2"/>
  <c r="M3" i="2"/>
  <c r="R16" i="2"/>
  <c r="AJ61" i="2"/>
  <c r="P92" i="2"/>
  <c r="H43" i="2"/>
  <c r="AF26" i="2"/>
  <c r="P11" i="2"/>
  <c r="AD50" i="2"/>
  <c r="AO28" i="2"/>
  <c r="X21" i="2"/>
  <c r="AC14" i="2"/>
  <c r="Z7" i="2"/>
  <c r="K3" i="2"/>
  <c r="AA9" i="2"/>
  <c r="W42" i="2"/>
  <c r="AG62" i="2"/>
  <c r="E39" i="2"/>
  <c r="AU24" i="2"/>
  <c r="AT16" i="2"/>
  <c r="AR9" i="2"/>
  <c r="AE4" i="2"/>
  <c r="AO9" i="2"/>
  <c r="G50" i="2"/>
  <c r="AS27" i="2"/>
  <c r="AL66" i="2"/>
  <c r="AI39" i="2"/>
  <c r="U25" i="2"/>
  <c r="X17" i="2"/>
  <c r="K10" i="2"/>
  <c r="AP4" i="2"/>
  <c r="J11" i="2"/>
  <c r="AQ3" i="2"/>
  <c r="W27" i="2"/>
  <c r="Q60" i="2"/>
  <c r="O37" i="2"/>
  <c r="U24" i="2"/>
  <c r="X69" i="2"/>
  <c r="V40" i="2"/>
  <c r="AS25" i="2"/>
  <c r="S6" i="2"/>
  <c r="AF101" i="2"/>
  <c r="H115" i="2"/>
  <c r="AO96" i="2"/>
  <c r="AI158" i="2"/>
  <c r="AO88" i="2"/>
  <c r="V32" i="2"/>
  <c r="O75" i="2"/>
  <c r="AR53" i="2"/>
  <c r="N81" i="2"/>
  <c r="AH54" i="2"/>
  <c r="AQ32" i="2"/>
  <c r="G16" i="2"/>
  <c r="AS66" i="2"/>
  <c r="I50" i="2"/>
  <c r="K67" i="2"/>
  <c r="AI68" i="2"/>
  <c r="AR51" i="2"/>
  <c r="AB104" i="2"/>
  <c r="M46" i="2"/>
  <c r="X20" i="2"/>
  <c r="T89" i="2"/>
  <c r="R51" i="2"/>
  <c r="I27" i="2"/>
  <c r="AA14" i="2"/>
  <c r="AD61" i="2"/>
  <c r="AA39" i="2"/>
  <c r="AS62" i="2"/>
  <c r="AC40" i="2"/>
  <c r="M59" i="2"/>
  <c r="O42" i="2"/>
  <c r="AC24" i="2"/>
  <c r="AS11" i="2"/>
  <c r="Z66" i="2"/>
  <c r="X46" i="2"/>
  <c r="R28" i="2"/>
  <c r="F20" i="2"/>
  <c r="AS112" i="2"/>
  <c r="I69" i="2"/>
  <c r="AV60" i="2"/>
  <c r="I51" i="2"/>
  <c r="O43" i="2"/>
  <c r="AV32" i="2"/>
  <c r="AW26" i="2"/>
  <c r="S22" i="2"/>
  <c r="AP17" i="2"/>
  <c r="V14" i="2"/>
  <c r="AU101" i="2"/>
  <c r="AW68" i="2"/>
  <c r="AP61" i="2"/>
  <c r="U53" i="2"/>
  <c r="AV44" i="2"/>
  <c r="AJ39" i="2"/>
  <c r="J85" i="2"/>
  <c r="AM64" i="2"/>
  <c r="AI101" i="2"/>
  <c r="AT68" i="2"/>
  <c r="AM61" i="2"/>
  <c r="P53" i="2"/>
  <c r="AR52" i="2"/>
  <c r="AA30" i="2"/>
  <c r="N22" i="2"/>
  <c r="L15" i="2"/>
  <c r="AQ7" i="2"/>
  <c r="AB3" i="2"/>
  <c r="O3" i="2"/>
  <c r="S17" i="2"/>
  <c r="AM4" i="2"/>
  <c r="AO3" i="2"/>
  <c r="T46" i="2"/>
  <c r="AQ27" i="2"/>
  <c r="AH20" i="2"/>
  <c r="AM11" i="2"/>
  <c r="AU4" i="2"/>
  <c r="AT11" i="2"/>
  <c r="AR68" i="2"/>
  <c r="AP67" i="2"/>
  <c r="F40" i="2"/>
  <c r="AG25" i="2"/>
  <c r="AF17" i="2"/>
  <c r="P10" i="2"/>
  <c r="AT9" i="2"/>
  <c r="AN22" i="2"/>
  <c r="U95" i="2"/>
  <c r="I43" i="2"/>
  <c r="AG26" i="2"/>
  <c r="AE18" i="2"/>
  <c r="AS10" i="2"/>
  <c r="Y6" i="2"/>
  <c r="F18" i="2"/>
  <c r="AQ84" i="2"/>
  <c r="O22" i="2"/>
  <c r="AN60" i="2"/>
  <c r="AB37" i="2"/>
  <c r="Z24" i="2"/>
  <c r="O92" i="2"/>
  <c r="AO42" i="2"/>
  <c r="AD26" i="2"/>
  <c r="AA18" i="2"/>
  <c r="AQ10" i="2"/>
  <c r="W6" i="2"/>
  <c r="AB11" i="2"/>
  <c r="U40" i="2"/>
  <c r="AL14" i="2"/>
  <c r="AT51" i="2"/>
  <c r="R30" i="2"/>
  <c r="AU21" i="2"/>
  <c r="AS14" i="2"/>
  <c r="AK7" i="2"/>
  <c r="V3" i="2"/>
  <c r="AO4" i="2"/>
  <c r="AM16" i="2"/>
  <c r="AO11" i="2"/>
  <c r="AJ53" i="2"/>
  <c r="AP30" i="2"/>
  <c r="W22" i="2"/>
  <c r="W15" i="2"/>
  <c r="AV7" i="2"/>
  <c r="AG3" i="2"/>
  <c r="AR6" i="2"/>
  <c r="R26" i="2"/>
  <c r="F10" i="2"/>
  <c r="Z50" i="2"/>
  <c r="AH28" i="2"/>
  <c r="AE39" i="2"/>
  <c r="J58" i="2"/>
  <c r="AA32" i="2"/>
  <c r="AO22" i="2"/>
  <c r="AK64" i="2"/>
  <c r="T101" i="2"/>
  <c r="AN95" i="2"/>
  <c r="W89" i="2"/>
  <c r="AP115" i="2"/>
  <c r="AW66" i="2"/>
  <c r="AB28" i="2"/>
  <c r="H69" i="2"/>
  <c r="Q52" i="2"/>
  <c r="AV69" i="2"/>
  <c r="G53" i="2"/>
  <c r="P30" i="2"/>
  <c r="K146" i="2"/>
  <c r="R64" i="2"/>
  <c r="N166" i="2"/>
  <c r="AC64" i="2"/>
  <c r="H67" i="2"/>
  <c r="Q50" i="2"/>
  <c r="AK87" i="2"/>
  <c r="G43" i="2"/>
  <c r="AJ17" i="2"/>
  <c r="N87" i="2"/>
  <c r="AP50" i="2"/>
  <c r="AN26" i="2"/>
  <c r="O14" i="2"/>
  <c r="H61" i="2"/>
  <c r="K39" i="2"/>
  <c r="W62" i="2"/>
  <c r="AI157" i="2"/>
  <c r="AM58" i="2"/>
  <c r="AO39" i="2"/>
  <c r="H22" i="2"/>
  <c r="AG11" i="2"/>
  <c r="AU64" i="2"/>
  <c r="F46" i="2"/>
  <c r="E27" i="2"/>
  <c r="AQ17" i="2"/>
  <c r="AI105" i="2"/>
  <c r="AD68" i="2"/>
  <c r="E60" i="2"/>
  <c r="AF50" i="2"/>
  <c r="AR42" i="2"/>
  <c r="AF32" i="2"/>
  <c r="AI26" i="2"/>
  <c r="F22" i="2"/>
  <c r="AC17" i="2"/>
  <c r="J14" i="2"/>
  <c r="AO98" i="2"/>
  <c r="Y68" i="2"/>
  <c r="T61" i="2"/>
  <c r="AS52" i="2"/>
  <c r="AG44" i="2"/>
  <c r="AR140" i="2"/>
  <c r="AW81" i="2"/>
  <c r="O64" i="2"/>
  <c r="AC98" i="2"/>
  <c r="V68" i="2"/>
  <c r="R61" i="2"/>
  <c r="AP52" i="2"/>
  <c r="U51" i="2"/>
  <c r="E30" i="2"/>
  <c r="AI21" i="2"/>
  <c r="AK14" i="2"/>
  <c r="AE7" i="2"/>
  <c r="P3" i="2"/>
  <c r="N6" i="2"/>
  <c r="AA11" i="2"/>
  <c r="AI64" i="2"/>
  <c r="AU134" i="2"/>
  <c r="O44" i="2"/>
  <c r="Q27" i="2"/>
  <c r="L20" i="2"/>
  <c r="T11" i="2"/>
  <c r="AI4" i="2"/>
  <c r="N9" i="2"/>
  <c r="AC44" i="2"/>
  <c r="AG63" i="2"/>
  <c r="R39" i="2"/>
  <c r="G25" i="2"/>
  <c r="K17" i="2"/>
  <c r="AV9" i="2"/>
  <c r="AA7" i="2"/>
  <c r="O17" i="2"/>
  <c r="AD77" i="2"/>
  <c r="F42" i="2"/>
  <c r="K26" i="2"/>
  <c r="G18" i="2"/>
  <c r="AC10" i="2"/>
  <c r="M6" i="2"/>
  <c r="Z15" i="2"/>
  <c r="AA43" i="2"/>
  <c r="AI18" i="2"/>
  <c r="AU58" i="2"/>
  <c r="AO32" i="2"/>
  <c r="E24" i="2"/>
  <c r="X71" i="2"/>
  <c r="AL40" i="2"/>
  <c r="AW25" i="2"/>
  <c r="E18" i="2"/>
  <c r="AA10" i="2"/>
  <c r="K6" i="2"/>
  <c r="I10" i="2"/>
  <c r="AA27" i="2"/>
  <c r="T10" i="2"/>
  <c r="AB50" i="2"/>
  <c r="AM28" i="2"/>
  <c r="W21" i="2"/>
  <c r="Z14" i="2"/>
  <c r="Y7" i="2"/>
  <c r="AP21" i="2"/>
  <c r="AF3" i="2"/>
  <c r="Z11" i="2"/>
  <c r="AL9" i="2"/>
  <c r="AQ51" i="2"/>
  <c r="M30" i="2"/>
  <c r="AT21" i="2"/>
  <c r="AR14" i="2"/>
  <c r="AJ7" i="2"/>
  <c r="U3" i="2"/>
  <c r="H6" i="2"/>
  <c r="P21" i="2"/>
  <c r="T7" i="2"/>
  <c r="I47" i="2"/>
  <c r="J28" i="2"/>
  <c r="AS26" i="2"/>
  <c r="Q53" i="2"/>
  <c r="AM30" i="2"/>
  <c r="Q22" i="2"/>
  <c r="AM112" i="2"/>
  <c r="AG77" i="2"/>
  <c r="E98" i="2"/>
  <c r="R70" i="2"/>
  <c r="H58" i="2"/>
  <c r="G9" i="2"/>
  <c r="L68" i="2"/>
  <c r="X64" i="2"/>
  <c r="AK69" i="2"/>
  <c r="W14" i="2"/>
  <c r="R44" i="2"/>
  <c r="AJ18" i="2"/>
  <c r="M63" i="2"/>
  <c r="AT101" i="2"/>
  <c r="K70" i="2"/>
  <c r="AJ54" i="2"/>
  <c r="AJ15" i="2"/>
  <c r="AM3" i="2"/>
  <c r="Q6" i="2"/>
  <c r="J21" i="2"/>
  <c r="AN17" i="2"/>
  <c r="H42" i="2"/>
  <c r="AE10" i="2"/>
  <c r="O126" i="2"/>
  <c r="H20" i="2"/>
  <c r="AV18" i="2"/>
  <c r="I63" i="2"/>
  <c r="AJ117" i="2"/>
  <c r="AU18" i="2"/>
  <c r="V15" i="2"/>
  <c r="AM53" i="2"/>
  <c r="X15" i="2"/>
  <c r="T6" i="2"/>
  <c r="AC58" i="2"/>
  <c r="AS15" i="2"/>
  <c r="AI7" i="2"/>
  <c r="AP51" i="2"/>
  <c r="AV59" i="2"/>
  <c r="AB92" i="2"/>
  <c r="Z69" i="2"/>
  <c r="U42" i="2"/>
  <c r="AG10" i="2"/>
  <c r="AD14" i="2"/>
  <c r="P61" i="2"/>
  <c r="AO25" i="2"/>
  <c r="AR28" i="2"/>
  <c r="AC7" i="2"/>
  <c r="AE15" i="2"/>
  <c r="AG4" i="2"/>
  <c r="H54" i="2"/>
  <c r="T3" i="2"/>
  <c r="Z10" i="2"/>
  <c r="AM42" i="2"/>
  <c r="H10" i="2"/>
  <c r="AH39" i="2"/>
  <c r="Z68" i="2"/>
  <c r="X61" i="2"/>
  <c r="AM117" i="2"/>
  <c r="AE77" i="2"/>
  <c r="E25" i="2"/>
  <c r="P16" i="2"/>
  <c r="P20" i="2"/>
  <c r="Z46" i="2"/>
  <c r="AM40" i="2"/>
  <c r="AB10" i="2"/>
  <c r="AA22" i="2"/>
  <c r="U18" i="2"/>
  <c r="AI53" i="2"/>
  <c r="AN121" i="2"/>
  <c r="AU112" i="2"/>
  <c r="AF89" i="2"/>
  <c r="AA68" i="2"/>
  <c r="Z53" i="2"/>
  <c r="K162" i="2"/>
  <c r="AG67" i="2"/>
  <c r="AS63" i="2"/>
  <c r="K69" i="2"/>
  <c r="K14" i="2"/>
  <c r="AU43" i="2"/>
  <c r="W18" i="2"/>
  <c r="AM62" i="2"/>
  <c r="AG16" i="2"/>
  <c r="O54" i="2"/>
  <c r="N46" i="2"/>
  <c r="Y15" i="2"/>
  <c r="AK40" i="2"/>
  <c r="AE3" i="2"/>
  <c r="AM10" i="2"/>
  <c r="AB43" i="2"/>
  <c r="AB66" i="2"/>
  <c r="X28" i="2"/>
  <c r="O27" i="2"/>
  <c r="O18" i="2"/>
  <c r="AS3" i="2"/>
  <c r="AI17" i="2"/>
  <c r="N18" i="2"/>
  <c r="AC22" i="2"/>
  <c r="J70" i="2"/>
  <c r="O66" i="2"/>
  <c r="AB121" i="2"/>
  <c r="AV107" i="2"/>
  <c r="AC88" i="2"/>
  <c r="O68" i="2"/>
  <c r="N53" i="2"/>
  <c r="E104" i="2"/>
  <c r="AV63" i="2"/>
  <c r="AA61" i="2"/>
  <c r="AF68" i="2"/>
  <c r="AR11" i="2"/>
  <c r="AE43" i="2"/>
  <c r="J18" i="2"/>
  <c r="R62" i="2"/>
  <c r="V90" i="2"/>
  <c r="J63" i="2"/>
  <c r="AG37" i="2"/>
  <c r="AK9" i="2"/>
  <c r="O7" i="2"/>
  <c r="AL52" i="2"/>
  <c r="K15" i="2"/>
  <c r="U10" i="2"/>
  <c r="P27" i="2"/>
  <c r="AL6" i="2"/>
  <c r="AC47" i="2"/>
  <c r="I14" i="2"/>
  <c r="AK10" i="2"/>
  <c r="E42" i="2"/>
  <c r="M47" i="2"/>
  <c r="G14" i="2"/>
  <c r="AE6" i="2"/>
  <c r="R37" i="2"/>
  <c r="AD9" i="2"/>
  <c r="AL30" i="2"/>
  <c r="AV37" i="2"/>
  <c r="AP9" i="2"/>
  <c r="G58" i="2"/>
  <c r="AB32" i="2"/>
  <c r="AG39" i="2"/>
  <c r="X50" i="2"/>
  <c r="H102" i="2"/>
  <c r="AT42" i="2"/>
  <c r="AQ60" i="2"/>
  <c r="R53" i="2"/>
  <c r="Q37" i="2"/>
  <c r="T59" i="2"/>
  <c r="W44" i="2"/>
  <c r="AJ44" i="2"/>
  <c r="AV52" i="2"/>
  <c r="V80" i="2"/>
  <c r="F39" i="2"/>
  <c r="N15" i="2"/>
  <c r="AL54" i="2"/>
  <c r="P88" i="2"/>
  <c r="AH62" i="2"/>
  <c r="AU32" i="2"/>
  <c r="X9" i="2"/>
  <c r="L6" i="2"/>
  <c r="F51" i="2"/>
  <c r="AG14" i="2"/>
  <c r="AG7" i="2"/>
  <c r="AL26" i="2"/>
  <c r="Z6" i="2"/>
  <c r="O46" i="2"/>
  <c r="AI11" i="2"/>
  <c r="V7" i="2"/>
  <c r="AV39" i="2"/>
  <c r="AU44" i="2"/>
  <c r="AF11" i="2"/>
  <c r="S3" i="2"/>
  <c r="AD32" i="2"/>
  <c r="Q9" i="2"/>
  <c r="AL24" i="2"/>
  <c r="P37" i="2"/>
  <c r="AC9" i="2"/>
  <c r="AJ46" i="2"/>
  <c r="AO30" i="2"/>
  <c r="AS37" i="2"/>
  <c r="AT28" i="2"/>
  <c r="K24" i="2"/>
  <c r="L4" i="2"/>
  <c r="X42" i="2"/>
  <c r="AD25" i="2"/>
  <c r="AR22" i="2"/>
  <c r="R4" i="2"/>
  <c r="N17" i="2"/>
  <c r="AD84" i="2"/>
  <c r="R27" i="2"/>
  <c r="AN3" i="2"/>
  <c r="J30" i="2"/>
  <c r="AR26" i="2"/>
  <c r="X22" i="2"/>
  <c r="O53" i="2"/>
  <c r="AT24" i="2"/>
  <c r="N24" i="2"/>
  <c r="AK81" i="2"/>
  <c r="AJ21" i="2"/>
  <c r="AF14" i="2"/>
  <c r="F17" i="2"/>
  <c r="I90" i="2"/>
  <c r="J62" i="2"/>
  <c r="K75" i="2"/>
  <c r="AB39" i="2"/>
  <c r="P59" i="2"/>
  <c r="AJ51" i="2"/>
  <c r="AI30" i="2"/>
  <c r="AQ58" i="2"/>
  <c r="G44" i="2"/>
  <c r="AU42" i="2"/>
  <c r="J51" i="2"/>
  <c r="W70" i="2"/>
  <c r="AI37" i="2"/>
  <c r="AT14" i="2"/>
  <c r="P54" i="2"/>
  <c r="AV68" i="2"/>
  <c r="O62" i="2"/>
  <c r="O32" i="2"/>
  <c r="K9" i="2"/>
  <c r="AV3" i="2"/>
  <c r="AI47" i="2"/>
  <c r="N14" i="2"/>
  <c r="O4" i="2"/>
  <c r="N26" i="2"/>
  <c r="AC16" i="2"/>
  <c r="L44" i="2"/>
  <c r="Q11" i="2"/>
  <c r="AB4" i="2"/>
  <c r="O39" i="2"/>
  <c r="AR43" i="2"/>
  <c r="O11" i="2"/>
  <c r="AL61" i="2"/>
  <c r="AR30" i="2"/>
  <c r="AW7" i="2"/>
  <c r="AN18" i="2"/>
  <c r="AC32" i="2"/>
  <c r="P9" i="2"/>
  <c r="AR37" i="2"/>
  <c r="L30" i="2"/>
  <c r="N37" i="2"/>
  <c r="W32" i="2"/>
  <c r="N54" i="2"/>
  <c r="AV28" i="2"/>
  <c r="AO27" i="2"/>
  <c r="AJ27" i="2"/>
  <c r="AT3" i="2"/>
  <c r="R22" i="2"/>
  <c r="AJ28" i="2"/>
  <c r="U46" i="2"/>
  <c r="U7" i="2"/>
  <c r="AK6" i="2"/>
  <c r="AH3" i="2"/>
  <c r="R24" i="2"/>
  <c r="F84" i="2"/>
  <c r="AL71" i="2"/>
  <c r="AD7" i="2"/>
  <c r="Z43" i="2"/>
  <c r="AI3" i="2"/>
  <c r="AR15" i="2"/>
  <c r="AR71" i="2"/>
  <c r="P39" i="2"/>
  <c r="AW58" i="2"/>
  <c r="X51" i="2"/>
  <c r="E182" i="2"/>
  <c r="AC53" i="2"/>
  <c r="Q42" i="2"/>
  <c r="AD42" i="2"/>
  <c r="AJ50" i="2"/>
  <c r="AI69" i="2"/>
  <c r="S37" i="2"/>
  <c r="AH14" i="2"/>
  <c r="AN53" i="2"/>
  <c r="U67" i="2"/>
  <c r="F59" i="2"/>
  <c r="P26" i="2"/>
  <c r="P6" i="2"/>
  <c r="Y32" i="2"/>
  <c r="AF37" i="2"/>
  <c r="R7" i="2"/>
  <c r="AR7" i="2"/>
  <c r="AG21" i="2"/>
  <c r="H11" i="2"/>
  <c r="K32" i="2"/>
  <c r="H9" i="2"/>
  <c r="AS7" i="2"/>
  <c r="AL27" i="2"/>
  <c r="AW30" i="2"/>
  <c r="E9" i="2"/>
  <c r="AD3" i="2"/>
  <c r="AV25" i="2"/>
  <c r="J6" i="2"/>
  <c r="F50" i="2"/>
  <c r="AB26" i="2"/>
  <c r="U6" i="2"/>
  <c r="AP84" i="2"/>
  <c r="T25" i="2"/>
  <c r="AU26" i="2"/>
  <c r="Y39" i="2"/>
  <c r="AF27" i="2"/>
  <c r="AL46" i="2"/>
  <c r="M4" i="2"/>
  <c r="V95" i="2"/>
  <c r="AW6" i="2"/>
  <c r="AU6" i="2"/>
  <c r="N20" i="2"/>
  <c r="T107" i="2"/>
  <c r="AP24" i="2"/>
  <c r="J105" i="2"/>
  <c r="AJ22" i="2"/>
  <c r="H18" i="2"/>
  <c r="AI6" i="2"/>
  <c r="R14" i="2"/>
  <c r="H60" i="2"/>
  <c r="AQ15" i="2"/>
  <c r="AT52" i="2"/>
  <c r="E51" i="2"/>
  <c r="N4" i="2"/>
  <c r="AU11" i="2"/>
  <c r="S15" i="2"/>
  <c r="AP71" i="2"/>
  <c r="F93" i="2"/>
  <c r="G42" i="2"/>
  <c r="AT70" i="2"/>
  <c r="AG53" i="2"/>
  <c r="AM32" i="2"/>
  <c r="AN69" i="2"/>
  <c r="W26" i="2"/>
  <c r="AG32" i="2"/>
  <c r="S62" i="2"/>
  <c r="AU27" i="2"/>
  <c r="AP118" i="2"/>
  <c r="O47" i="2"/>
  <c r="AP66" i="2"/>
  <c r="AF54" i="2"/>
  <c r="AI24" i="2"/>
  <c r="Y4" i="2"/>
  <c r="AL15" i="2"/>
  <c r="Z30" i="2"/>
  <c r="AV4" i="2"/>
  <c r="Q126" i="2"/>
  <c r="I20" i="2"/>
  <c r="AH101" i="2"/>
  <c r="T28" i="2"/>
  <c r="P7" i="2"/>
  <c r="AH46" i="2"/>
  <c r="I26" i="2"/>
  <c r="N28" i="2"/>
  <c r="N7" i="2"/>
  <c r="AA28" i="2"/>
  <c r="W24" i="2"/>
  <c r="S4" i="2"/>
  <c r="O25" i="2"/>
  <c r="AR24" i="2"/>
  <c r="AD4" i="2"/>
  <c r="AK22" i="2"/>
  <c r="AP22" i="2"/>
  <c r="R25" i="2"/>
  <c r="AH107" i="2"/>
  <c r="AG85" i="2"/>
  <c r="AL68" i="2"/>
  <c r="AQ50" i="2"/>
  <c r="M69" i="2"/>
  <c r="H26" i="2"/>
  <c r="AQ61" i="2"/>
  <c r="T111" i="2"/>
  <c r="R66" i="2"/>
  <c r="F11" i="2"/>
  <c r="AF18" i="2"/>
  <c r="G37" i="2"/>
  <c r="L24" i="2"/>
  <c r="V24" i="2"/>
  <c r="AM24" i="2"/>
  <c r="M39" i="2"/>
  <c r="AF28" i="2"/>
  <c r="AK53" i="2"/>
  <c r="AA3" i="2"/>
  <c r="L27" i="2"/>
  <c r="AQ22" i="2"/>
  <c r="Y90" i="2"/>
  <c r="AM21" i="2"/>
  <c r="AC108" i="2"/>
  <c r="AH24" i="2"/>
  <c r="AK3" i="2"/>
  <c r="AU17" i="2"/>
  <c r="AM104" i="2"/>
  <c r="G83" i="2"/>
  <c r="Z58" i="2"/>
  <c r="AH17" i="2"/>
  <c r="AI70" i="2"/>
  <c r="M22" i="2"/>
  <c r="U17" i="2"/>
  <c r="I46" i="2"/>
  <c r="AD15" i="2"/>
  <c r="AF20" i="2"/>
  <c r="Y52" i="2"/>
  <c r="AS22" i="2"/>
  <c r="O70" i="2"/>
  <c r="X40" i="2"/>
  <c r="AP104" i="2"/>
  <c r="S61" i="2"/>
  <c r="AH16" i="2"/>
  <c r="AJ4" i="2"/>
  <c r="AI10" i="2"/>
  <c r="K22" i="2"/>
  <c r="AS4" i="2"/>
  <c r="N44" i="2"/>
  <c r="R11" i="2"/>
  <c r="AJ24" i="2"/>
  <c r="H21" i="2"/>
  <c r="AB22" i="2"/>
  <c r="Y71" i="2"/>
  <c r="AG9" i="2"/>
  <c r="AV20" i="2"/>
  <c r="AP20" i="2"/>
  <c r="X60" i="2"/>
  <c r="Y16" i="2"/>
  <c r="AU7" i="2"/>
  <c r="AE62" i="2"/>
  <c r="AS16" i="2"/>
  <c r="X10" i="2"/>
  <c r="AA58" i="2"/>
  <c r="N66" i="2"/>
  <c r="AG101" i="2"/>
  <c r="V77" i="2"/>
  <c r="N58" i="2"/>
  <c r="V17" i="2"/>
  <c r="M70" i="2"/>
  <c r="AS21" i="2"/>
  <c r="AT15" i="2"/>
  <c r="S43" i="2"/>
  <c r="L14" i="2"/>
  <c r="S20" i="2"/>
  <c r="AD51" i="2"/>
  <c r="AF22" i="2"/>
  <c r="AD69" i="2"/>
  <c r="H40" i="2"/>
  <c r="Z71" i="2"/>
  <c r="Z59" i="2"/>
  <c r="M16" i="2"/>
  <c r="X4" i="2"/>
  <c r="L9" i="2"/>
  <c r="AH21" i="2"/>
  <c r="AJ3" i="2"/>
  <c r="K43" i="2"/>
  <c r="AU10" i="2"/>
  <c r="AL20" i="2"/>
  <c r="AC20" i="2"/>
  <c r="F21" i="2"/>
  <c r="R67" i="2"/>
  <c r="F28" i="2"/>
  <c r="Z20" i="2"/>
  <c r="T17" i="2"/>
  <c r="AE58" i="2"/>
  <c r="AV15" i="2"/>
  <c r="K7" i="2"/>
  <c r="U60" i="2"/>
  <c r="U16" i="2"/>
  <c r="AB9" i="2"/>
</calcChain>
</file>

<file path=xl/sharedStrings.xml><?xml version="1.0" encoding="utf-8"?>
<sst xmlns="http://schemas.openxmlformats.org/spreadsheetml/2006/main" count="663" uniqueCount="447">
  <si>
    <t>Revenue</t>
  </si>
  <si>
    <t>Total Revenue</t>
  </si>
  <si>
    <t>Gross Profit</t>
  </si>
  <si>
    <t>ServiceNow Inc- Company Financial (Single Period)</t>
  </si>
  <si>
    <t>NOW US Equity    Period:2021:Y    Currency:USD</t>
  </si>
  <si>
    <t>Metric</t>
  </si>
  <si>
    <t>Mean Consensus</t>
  </si>
  <si>
    <t>Low Consensus</t>
  </si>
  <si>
    <t>High Consensus</t>
  </si>
  <si>
    <t>Std Dev Consensus</t>
  </si>
  <si>
    <t>Median Consensus</t>
  </si>
  <si>
    <t>Company Guidance</t>
  </si>
  <si>
    <t>Analyst</t>
  </si>
  <si>
    <t>Field Expression</t>
  </si>
  <si>
    <t>Calcrt Field</t>
  </si>
  <si>
    <t>Segment Id</t>
  </si>
  <si>
    <t xml:space="preserve">  Highlights</t>
  </si>
  <si>
    <t>Highlights</t>
  </si>
  <si>
    <t xml:space="preserve">  Non-GAAP Diluted EPS</t>
  </si>
  <si>
    <t>IS_COMP_EPS_EXCL_STOCK_COMP</t>
  </si>
  <si>
    <t>Non-GAAP Diluted EPS</t>
  </si>
  <si>
    <t xml:space="preserve">  Revenue</t>
  </si>
  <si>
    <t>IS_COMP_SALES</t>
  </si>
  <si>
    <t xml:space="preserve">  </t>
  </si>
  <si>
    <t xml:space="preserve">  Total Billings</t>
  </si>
  <si>
    <t>IS_BILLINGS</t>
  </si>
  <si>
    <t>Total Billings</t>
  </si>
  <si>
    <t xml:space="preserve">    YoY Growth (%)</t>
  </si>
  <si>
    <t>BILLNG_AMOUNT_GROWTH_PCT</t>
  </si>
  <si>
    <t>YoY Growth (%)</t>
  </si>
  <si>
    <t xml:space="preserve">  Customers &gt; $1M ACV</t>
  </si>
  <si>
    <t>NUM_CSTMR_CNTRCT_OVER_1_MILLN</t>
  </si>
  <si>
    <t>Customers &gt; $1M ACV</t>
  </si>
  <si>
    <t xml:space="preserve">  Subscription</t>
  </si>
  <si>
    <t>Subscription</t>
  </si>
  <si>
    <t xml:space="preserve">    Revenue</t>
  </si>
  <si>
    <t>SALES_REV_TURN</t>
  </si>
  <si>
    <t>SEG0000230975 Segment</t>
  </si>
  <si>
    <t xml:space="preserve">      Digital Workflow Products</t>
  </si>
  <si>
    <t>Digital Workflow Products</t>
  </si>
  <si>
    <t>SEG0000230992 Segment</t>
  </si>
  <si>
    <t xml:space="preserve">      ITOM Products</t>
  </si>
  <si>
    <t>ITOM Products</t>
  </si>
  <si>
    <t>SEG0000230969 Segment</t>
  </si>
  <si>
    <t xml:space="preserve">    Billings</t>
  </si>
  <si>
    <t>Billings</t>
  </si>
  <si>
    <t xml:space="preserve">    Gross Margin (%)</t>
  </si>
  <si>
    <t>IS_ADJ_GROSS_MARGIN_PCT_AR</t>
  </si>
  <si>
    <t>Gross Margin (%)</t>
  </si>
  <si>
    <t xml:space="preserve">  Professional Services</t>
  </si>
  <si>
    <t>Professional Services</t>
  </si>
  <si>
    <t>SEG0000230986 Segment</t>
  </si>
  <si>
    <t xml:space="preserve">  Non-GAAP Gross Profit</t>
  </si>
  <si>
    <t>IS_ADJ_GROSS_PROFIT_AS_REPORTED</t>
  </si>
  <si>
    <t>Non-GAAP Gross Profit</t>
  </si>
  <si>
    <t xml:space="preserve">    Non-GAAP Gross Margin (%)</t>
  </si>
  <si>
    <t>IS_COMP_GROSS_MARGIN_PERCENTAGE</t>
  </si>
  <si>
    <t>Non-GAAP Gross Margin (%)</t>
  </si>
  <si>
    <t xml:space="preserve">  Non-GAAP Sales &amp; Marketing</t>
  </si>
  <si>
    <t>IS_ADJ_SELLING_AND_MRKTG_EXPN_AR</t>
  </si>
  <si>
    <t>Non-GAAP Sales &amp; Marketing</t>
  </si>
  <si>
    <t xml:space="preserve">    As % of Revenue</t>
  </si>
  <si>
    <t>IS_REV_INCLUDING_INTERSEG_REV</t>
  </si>
  <si>
    <t>As % of Revenue</t>
  </si>
  <si>
    <t xml:space="preserve">  Non-GAAP Operating Margin (%)</t>
  </si>
  <si>
    <t>ADJ_OPERATING_MARGIN</t>
  </si>
  <si>
    <t>Non-GAAP Operating Margin (%)</t>
  </si>
  <si>
    <t xml:space="preserve">  Free Cash Flow</t>
  </si>
  <si>
    <t>CF_FREE_CASH_FLOW_AS_REPORTED</t>
  </si>
  <si>
    <t>Free Cash Flow</t>
  </si>
  <si>
    <t xml:space="preserve">  Total Remaining Performance Obligations</t>
  </si>
  <si>
    <t>BS_REMAINING_PERFORMANCE_OBLIG</t>
  </si>
  <si>
    <t>Total Remaining Performance Obligations</t>
  </si>
  <si>
    <t xml:space="preserve">  Company Operating Metrics</t>
  </si>
  <si>
    <t>Company Operating Metrics</t>
  </si>
  <si>
    <t xml:space="preserve">  Company-Level Industry Statistics</t>
  </si>
  <si>
    <t>Company-Level Industry Statistics</t>
  </si>
  <si>
    <t xml:space="preserve">  Billings</t>
  </si>
  <si>
    <t xml:space="preserve">    Total Billings</t>
  </si>
  <si>
    <t xml:space="preserve">      YoY Growth (%)</t>
  </si>
  <si>
    <t xml:space="preserve">    Subscription</t>
  </si>
  <si>
    <t xml:space="preserve">      Billings</t>
  </si>
  <si>
    <t xml:space="preserve">      Adjusted Billings</t>
  </si>
  <si>
    <t>CB_ADJ_BILLINGS_AMT</t>
  </si>
  <si>
    <t>Adjusted Billings</t>
  </si>
  <si>
    <t xml:space="preserve">        Effects of Foreign Exchange Fluctuations</t>
  </si>
  <si>
    <t>IS_FOREIGN_CURRENCY_TURNOVER</t>
  </si>
  <si>
    <t>Effects of Foreign Exchange Fluctuations</t>
  </si>
  <si>
    <t xml:space="preserve">    Professional Services</t>
  </si>
  <si>
    <t xml:space="preserve">  Balance Sheet &amp; Cash Flow Metrics</t>
  </si>
  <si>
    <t>Balance Sheet &amp; Cash Flow Metrics</t>
  </si>
  <si>
    <t xml:space="preserve">  Days Payables Outstanding</t>
  </si>
  <si>
    <t>ACCOUNTS_PAYABLE_TURNOVER_DAYS</t>
  </si>
  <si>
    <t>Days Payables Outstanding</t>
  </si>
  <si>
    <t xml:space="preserve">  Days Sales Outstanding</t>
  </si>
  <si>
    <t>ACCT_RCV_DAYS</t>
  </si>
  <si>
    <t>Days Sales Outstanding</t>
  </si>
  <si>
    <t xml:space="preserve">  Days Trade Receivable Outstanding</t>
  </si>
  <si>
    <t>ANNUALIZED_DAYS_SALES_OUTSTDG</t>
  </si>
  <si>
    <t>Days Trade Receivable Outstanding</t>
  </si>
  <si>
    <t xml:space="preserve">  Currency Effects</t>
  </si>
  <si>
    <t>Currency Effects</t>
  </si>
  <si>
    <t xml:space="preserve">  Business Breakdown</t>
  </si>
  <si>
    <t>Business Breakdown</t>
  </si>
  <si>
    <t xml:space="preserve">      As % of Revenue</t>
  </si>
  <si>
    <t>IS_PERCENTAGE_OF_REVENUE</t>
  </si>
  <si>
    <t xml:space="preserve">    Cost of Revenue</t>
  </si>
  <si>
    <t>IS_ADJUSTED_COGS_AS_REPORTED</t>
  </si>
  <si>
    <t>Cost of Revenue</t>
  </si>
  <si>
    <t xml:space="preserve">    Gross Profit</t>
  </si>
  <si>
    <t xml:space="preserve">      Gross Margin (%)</t>
  </si>
  <si>
    <t xml:space="preserve">    Gross Profit, GAAP</t>
  </si>
  <si>
    <t>CB_IS_GROSS_PROFIT</t>
  </si>
  <si>
    <t>Gross Profit, GAAP</t>
  </si>
  <si>
    <t>CB_IS_GROSS_MARGIN</t>
  </si>
  <si>
    <t xml:space="preserve">  Product Breakdown</t>
  </si>
  <si>
    <t>Product Breakdown</t>
  </si>
  <si>
    <t xml:space="preserve">  Service Management Products</t>
  </si>
  <si>
    <t>Service Management Products</t>
  </si>
  <si>
    <t xml:space="preserve">  IT Operations Management Products</t>
  </si>
  <si>
    <t>IT Operations Management Products</t>
  </si>
  <si>
    <t xml:space="preserve">  Income Statement (Adjusted)</t>
  </si>
  <si>
    <t>Income Statement (Adjusted)</t>
  </si>
  <si>
    <t xml:space="preserve">  Total Revenue</t>
  </si>
  <si>
    <t xml:space="preserve">    CC Growth (%)</t>
  </si>
  <si>
    <t>IS_ADJ_SALES_YOY_CHG_PCT_CC</t>
  </si>
  <si>
    <t>CC Growth (%)</t>
  </si>
  <si>
    <t xml:space="preserve">  Cost of Revenue</t>
  </si>
  <si>
    <t xml:space="preserve">  Gross Profit</t>
  </si>
  <si>
    <t xml:space="preserve">  Operating Expenses</t>
  </si>
  <si>
    <t>CB_IS_ADJUSTED_OPEX</t>
  </si>
  <si>
    <t>Operating Expenses</t>
  </si>
  <si>
    <t xml:space="preserve">    Sales &amp; Marketing</t>
  </si>
  <si>
    <t>Sales &amp; Marketing</t>
  </si>
  <si>
    <t xml:space="preserve">    Research &amp; Development</t>
  </si>
  <si>
    <t>IS_ADJ_R_AND_D_AS_REPORTED</t>
  </si>
  <si>
    <t>Research &amp; Development</t>
  </si>
  <si>
    <t>ADJ_R_AND_D_TO_SALES</t>
  </si>
  <si>
    <t xml:space="preserve">    General &amp; Administrative</t>
  </si>
  <si>
    <t>IS_ADJ_GENL_AND_ADMIN_EXPN_AR</t>
  </si>
  <si>
    <t>General &amp; Administrative</t>
  </si>
  <si>
    <t>G_AND_A_COST_PCT_REVENUES</t>
  </si>
  <si>
    <t xml:space="preserve">  Operating Income</t>
  </si>
  <si>
    <t>IS_COMPARABLE_EBIT</t>
  </si>
  <si>
    <t>Operating Income</t>
  </si>
  <si>
    <t xml:space="preserve">    Operating Margin (%)</t>
  </si>
  <si>
    <t>Operating Margin (%)</t>
  </si>
  <si>
    <t xml:space="preserve">  Depreciation &amp; Amortization</t>
  </si>
  <si>
    <t>CF_DEPR_AMORT</t>
  </si>
  <si>
    <t>Depreciation &amp; Amortization</t>
  </si>
  <si>
    <t xml:space="preserve">  EBITDA</t>
  </si>
  <si>
    <t>IS_COMPARABLE_EBITDA</t>
  </si>
  <si>
    <t>EBITDA</t>
  </si>
  <si>
    <t xml:space="preserve">  Interest Expense (Income), Net</t>
  </si>
  <si>
    <t>CB_IS_OTHER_NON_OPER_INC_EXPN</t>
  </si>
  <si>
    <t>Interest Expense (Income), Net</t>
  </si>
  <si>
    <t xml:space="preserve">  Pre-Tax Income</t>
  </si>
  <si>
    <t>IS_COMP_PTP_EX_STK_BASED_COMP</t>
  </si>
  <si>
    <t>Pre-Tax Income</t>
  </si>
  <si>
    <t xml:space="preserve">  Net Income</t>
  </si>
  <si>
    <t>IS_COMP_NET_INC_EXCL_STOCK_COMP</t>
  </si>
  <si>
    <t>Net Income</t>
  </si>
  <si>
    <t xml:space="preserve">    Net Margin (%)</t>
  </si>
  <si>
    <t>ADJ_PROFIT_MARGIN</t>
  </si>
  <si>
    <t>Net Margin (%)</t>
  </si>
  <si>
    <t xml:space="preserve">  Diluted Weighted Avg. Shares</t>
  </si>
  <si>
    <t>CB_IS_ADJ_DILUTED_AVG_SHS</t>
  </si>
  <si>
    <t>Diluted Weighted Avg. Shares</t>
  </si>
  <si>
    <t xml:space="preserve">  Diluted EPS</t>
  </si>
  <si>
    <t>Diluted EPS</t>
  </si>
  <si>
    <t xml:space="preserve">  GAAP Results</t>
  </si>
  <si>
    <t>GAAP Results</t>
  </si>
  <si>
    <t>IS_COGS_TO_FE_AND_PP_AND_G</t>
  </si>
  <si>
    <t xml:space="preserve">      Cost of Subscription Revenue</t>
  </si>
  <si>
    <t>Cost of Subscription Revenue</t>
  </si>
  <si>
    <t xml:space="preserve">      Cost of Professional Services &amp; Other Revenue</t>
  </si>
  <si>
    <t>Cost of Professional Services &amp; Other Revenue</t>
  </si>
  <si>
    <t xml:space="preserve">        As % of Revenue</t>
  </si>
  <si>
    <t>GROSS_PROFIT</t>
  </si>
  <si>
    <t>GROSS_MARGIN</t>
  </si>
  <si>
    <t xml:space="preserve">    Operating Expenses</t>
  </si>
  <si>
    <t>IS_TOT_OPER_EXP</t>
  </si>
  <si>
    <t>OPERATING_EXPENSES_TO_NET_SALES</t>
  </si>
  <si>
    <t xml:space="preserve">      Sales &amp; Marketing</t>
  </si>
  <si>
    <t>CB_IS_S_AND_M_EXPENSE</t>
  </si>
  <si>
    <t xml:space="preserve">      Research &amp; Development</t>
  </si>
  <si>
    <t>IS_OPEX_R_AND_D_GAAP</t>
  </si>
  <si>
    <t xml:space="preserve">      General &amp; Administrative</t>
  </si>
  <si>
    <t>CB_IS_GENL_AND_ADMIN_EXPN</t>
  </si>
  <si>
    <t xml:space="preserve">        Business Combination &amp; Other Related Costs</t>
  </si>
  <si>
    <t>IS_MERGER_AND_ACQUIS_EXPN_OP</t>
  </si>
  <si>
    <t>Business Combination &amp; Other Related Costs</t>
  </si>
  <si>
    <t xml:space="preserve">    Total Expenses</t>
  </si>
  <si>
    <t>TOTAL_OPERATING_EXPENSES_RATIO</t>
  </si>
  <si>
    <t>Total Expenses</t>
  </si>
  <si>
    <t xml:space="preserve">    Operating Income</t>
  </si>
  <si>
    <t>IS_EBIT_AS_REPORTED</t>
  </si>
  <si>
    <t xml:space="preserve">      Operating Margin (%)</t>
  </si>
  <si>
    <t>OPER_INC_TO_NET_SALES</t>
  </si>
  <si>
    <t xml:space="preserve">    Other Income (Expense)</t>
  </si>
  <si>
    <t>IS_NON_OPERATING_INC_LOSS_GAAP</t>
  </si>
  <si>
    <t>Other Income (Expense)</t>
  </si>
  <si>
    <t xml:space="preserve">    Pre-Tax Income</t>
  </si>
  <si>
    <t>PRETAX_INC</t>
  </si>
  <si>
    <t xml:space="preserve">    Income Tax Expense</t>
  </si>
  <si>
    <t>IS_INC_TAX_EXP</t>
  </si>
  <si>
    <t>Income Tax Expense</t>
  </si>
  <si>
    <t xml:space="preserve">      Tax Rate (%)</t>
  </si>
  <si>
    <t>EFF_TAX_RATE</t>
  </si>
  <si>
    <t>Tax Rate (%)</t>
  </si>
  <si>
    <t xml:space="preserve">    Net Income</t>
  </si>
  <si>
    <t>IS_COMP_NET_INCOME_GAAP</t>
  </si>
  <si>
    <t xml:space="preserve">    Basic Weighted Avg. Shares</t>
  </si>
  <si>
    <t>IS_AVG_NUM_SH_FOR_EPS</t>
  </si>
  <si>
    <t>Basic Weighted Avg. Shares</t>
  </si>
  <si>
    <t xml:space="preserve">    Basic EPS</t>
  </si>
  <si>
    <t>CONT_INC_PER_SH</t>
  </si>
  <si>
    <t>Basic EPS</t>
  </si>
  <si>
    <t xml:space="preserve">    Diluted Weighted Avg. Shares</t>
  </si>
  <si>
    <t>IS_SH_FOR_DILUTED_EPS</t>
  </si>
  <si>
    <t xml:space="preserve">    Diluted EPS</t>
  </si>
  <si>
    <t>IS_COMP_EPS_GAAP</t>
  </si>
  <si>
    <t xml:space="preserve">  Special Company Adjustments</t>
  </si>
  <si>
    <t>Special Company Adjustments</t>
  </si>
  <si>
    <t xml:space="preserve">    Stock-Based Compensation</t>
  </si>
  <si>
    <t>CF_STOCK_BASED_COMPENSATION</t>
  </si>
  <si>
    <t>Stock-Based Compensation</t>
  </si>
  <si>
    <t>SBC_NON_GAAP_TO_SALES</t>
  </si>
  <si>
    <t xml:space="preserve">      Cost of Revenue</t>
  </si>
  <si>
    <t>IS_SBC_ATTRIB_TO_COGS_PRETX</t>
  </si>
  <si>
    <t xml:space="preserve">        Cost of Subscription</t>
  </si>
  <si>
    <t>Cost of Subscription</t>
  </si>
  <si>
    <t xml:space="preserve">        Cost of Professional Services</t>
  </si>
  <si>
    <t>Cost of Professional Services</t>
  </si>
  <si>
    <t>IS_SBC_ATT_TO_S_AND_M_PRETX</t>
  </si>
  <si>
    <t>IS_SBC_ATTRIBUTABLE_TO_R_AND_D_PRETX</t>
  </si>
  <si>
    <t>IS_SBC_ATT_TO_GENL_AND_ADMIN_PRETX</t>
  </si>
  <si>
    <t xml:space="preserve">    Amortization of Purchased Intangibles</t>
  </si>
  <si>
    <t>Amortization of Purchased Intangibles</t>
  </si>
  <si>
    <t xml:space="preserve">      Cost of Subscription</t>
  </si>
  <si>
    <t>IS_AMORT_ACQD_INTANGIBLES_COGS</t>
  </si>
  <si>
    <t xml:space="preserve">      Operating Income</t>
  </si>
  <si>
    <t>IS_AMORT_OF_TOT_INTANG_PRETX</t>
  </si>
  <si>
    <t>IS_AMORT_ACQD_INTANGIBLES_R_AND_D</t>
  </si>
  <si>
    <t>IS_AMORT_ACQD_INTANG_GEN_AND_ADMIN</t>
  </si>
  <si>
    <t xml:space="preserve">    Income Tax Adjustments</t>
  </si>
  <si>
    <t>IS_INC_TAX_EFFECT_NONGAAP_REC</t>
  </si>
  <si>
    <t>Income Tax Adjustments</t>
  </si>
  <si>
    <t xml:space="preserve">  Condensed Balance Sheet</t>
  </si>
  <si>
    <t>Condensed Balance Sheet</t>
  </si>
  <si>
    <t xml:space="preserve">  Assets</t>
  </si>
  <si>
    <t>Assets</t>
  </si>
  <si>
    <t xml:space="preserve">    Current Assets</t>
  </si>
  <si>
    <t>BS_CUR_ASSET_REPORT</t>
  </si>
  <si>
    <t>Current Assets</t>
  </si>
  <si>
    <t xml:space="preserve">      Cash, Cash Equivalents &amp; ST Investments</t>
  </si>
  <si>
    <t>BS_CASH_CASH_EQUIVALENTS_AND_STI</t>
  </si>
  <si>
    <t>Cash, Cash Equivalents &amp; ST Investments</t>
  </si>
  <si>
    <t xml:space="preserve">        Cash &amp; Cash Equivalents</t>
  </si>
  <si>
    <t>BS_CASH_NEAR_CASH_ITEM</t>
  </si>
  <si>
    <t>Cash &amp; Cash Equivalents</t>
  </si>
  <si>
    <t xml:space="preserve">        Short-Term Investments</t>
  </si>
  <si>
    <t>BS_MKT_SEC_OTHER_ST_INVEST</t>
  </si>
  <si>
    <t>Short-Term Investments</t>
  </si>
  <si>
    <t xml:space="preserve">      Accounts Receivable</t>
  </si>
  <si>
    <t>BS_ACCTS_REC_EXCL_NOTES_REC</t>
  </si>
  <si>
    <t>Accounts Receivable</t>
  </si>
  <si>
    <t xml:space="preserve">      Deferred Commissions, Current Portion</t>
  </si>
  <si>
    <t>CB_BS_OTHER_CURRENT_ASSETS</t>
  </si>
  <si>
    <t>Deferred Commissions, Current Portion</t>
  </si>
  <si>
    <t xml:space="preserve">      Prepaid Expenses &amp; Other Current Assets</t>
  </si>
  <si>
    <t>PREPAID_EXPNSS_AND_OTHR</t>
  </si>
  <si>
    <t>Prepaid Expenses &amp; Other Current Assets</t>
  </si>
  <si>
    <t xml:space="preserve">    Non-Current Assets</t>
  </si>
  <si>
    <t>BS_TOTAL_NON_CURRENT_ASSETS</t>
  </si>
  <si>
    <t>Non-Current Assets</t>
  </si>
  <si>
    <t xml:space="preserve">      Long-Term Investments</t>
  </si>
  <si>
    <t>BS_LONG_TERM_INVESTMENTS</t>
  </si>
  <si>
    <t>Long-Term Investments</t>
  </si>
  <si>
    <t xml:space="preserve">      Property, Plant &amp; Equipment, Net</t>
  </si>
  <si>
    <t>CB_BS_PP_AND_E_NET</t>
  </si>
  <si>
    <t>Property, Plant &amp; Equipment, Net</t>
  </si>
  <si>
    <t xml:space="preserve">      Operating Lease Right-of-Use Assets</t>
  </si>
  <si>
    <t>BS_OPER_LEA_RT_OF_USE_ASSETS</t>
  </si>
  <si>
    <t>Operating Lease Right-of-Use Assets</t>
  </si>
  <si>
    <t xml:space="preserve">      Intangible Assets, Net</t>
  </si>
  <si>
    <t>BS_OTHER_INTANGIBLE_ASSETS</t>
  </si>
  <si>
    <t>Intangible Assets, Net</t>
  </si>
  <si>
    <t xml:space="preserve">      Goodwill</t>
  </si>
  <si>
    <t>BS_GOODWILL</t>
  </si>
  <si>
    <t>Goodwill</t>
  </si>
  <si>
    <t xml:space="preserve">      Deferred Commissions, Non-Current Portion</t>
  </si>
  <si>
    <t>CB_BS_DEFERRED_COST_LT</t>
  </si>
  <si>
    <t>Deferred Commissions, Non-Current Portion</t>
  </si>
  <si>
    <t xml:space="preserve">      Other Long-Term Assets</t>
  </si>
  <si>
    <t>CB_BS_OTHER_NONCURRENT_ASSETS</t>
  </si>
  <si>
    <t>Other Long-Term Assets</t>
  </si>
  <si>
    <t xml:space="preserve">    Total Assets</t>
  </si>
  <si>
    <t>BS_TOT_ASSET</t>
  </si>
  <si>
    <t>Total Assets</t>
  </si>
  <si>
    <t xml:space="preserve">  Liabilities &amp; Equity</t>
  </si>
  <si>
    <t>Liabilities &amp; Equity</t>
  </si>
  <si>
    <t xml:space="preserve">    Current Liabilities</t>
  </si>
  <si>
    <t>BS_CUR_LIAB</t>
  </si>
  <si>
    <t>Current Liabilities</t>
  </si>
  <si>
    <t xml:space="preserve">      Accounts Payable</t>
  </si>
  <si>
    <t>BS_ACCT_PAYABLE</t>
  </si>
  <si>
    <t>Accounts Payable</t>
  </si>
  <si>
    <t xml:space="preserve">      Accrued Expenses &amp; Other Current Liabilities</t>
  </si>
  <si>
    <t>BS_ACCRUD_EXPNSS_AND_OTHR</t>
  </si>
  <si>
    <t>Accrued Expenses &amp; Other Current Liabilities</t>
  </si>
  <si>
    <t xml:space="preserve">      Short-Term Deferred Revenue</t>
  </si>
  <si>
    <t>ST_DEFERRED_REVENUE</t>
  </si>
  <si>
    <t>Short-Term Deferred Revenue</t>
  </si>
  <si>
    <t xml:space="preserve">      Current Portion of Convertible Senior Notes, Net</t>
  </si>
  <si>
    <t>BS_ST_CPTL_LEA_AND_OP_LEA_LIABS</t>
  </si>
  <si>
    <t>Current Portion of Convertible Senior Notes, Net</t>
  </si>
  <si>
    <t xml:space="preserve">    Non-Current Liabilities</t>
  </si>
  <si>
    <t>BS_ADJ_TOTAL_LT_LIABILITIES</t>
  </si>
  <si>
    <t>Non-Current Liabilities</t>
  </si>
  <si>
    <t xml:space="preserve">      Long-Term Deferred Revenue</t>
  </si>
  <si>
    <t>LT_DEFERRED_REVENUE</t>
  </si>
  <si>
    <t>Long-Term Deferred Revenue</t>
  </si>
  <si>
    <t xml:space="preserve">      Operating Lease Liabilities, Less Current Portion</t>
  </si>
  <si>
    <t>BS_LT_OPERATING_LEASE_LIABS</t>
  </si>
  <si>
    <t>Operating Lease Liabilities, Less Current Portion</t>
  </si>
  <si>
    <t xml:space="preserve">      Long-Term Debt</t>
  </si>
  <si>
    <t>BS_LONG_TERM_BORROWINGS</t>
  </si>
  <si>
    <t>Long-Term Debt</t>
  </si>
  <si>
    <t xml:space="preserve">      Other Long-Term Liabilities</t>
  </si>
  <si>
    <t>BS_OTHER_NONCURRENT_LIABILITIES</t>
  </si>
  <si>
    <t>Other Long-Term Liabilities</t>
  </si>
  <si>
    <t xml:space="preserve">    Total Liabilities</t>
  </si>
  <si>
    <t>BS_TOTAL_LIABILITIES</t>
  </si>
  <si>
    <t>Total Liabilities</t>
  </si>
  <si>
    <t xml:space="preserve">    Total Shareholders' Equity</t>
  </si>
  <si>
    <t>BS_EQTY_BEFORE_MINORITY_INT</t>
  </si>
  <si>
    <t>Total Shareholders' Equity</t>
  </si>
  <si>
    <t xml:space="preserve">    Total Liabilities &amp; Shareholders' Equity</t>
  </si>
  <si>
    <t>Total Liabilities &amp; Shareholders' Equity</t>
  </si>
  <si>
    <t xml:space="preserve">  Special Company Reference Items</t>
  </si>
  <si>
    <t>Special Company Reference Items</t>
  </si>
  <si>
    <t xml:space="preserve">    </t>
  </si>
  <si>
    <t xml:space="preserve">    Current Ratio (%)</t>
  </si>
  <si>
    <t>CUR_RATIO</t>
  </si>
  <si>
    <t>Current Ratio (%)</t>
  </si>
  <si>
    <t xml:space="preserve">    Total Deferred Revenue</t>
  </si>
  <si>
    <t>DEFERRED_REV</t>
  </si>
  <si>
    <t>Total Deferred Revenue</t>
  </si>
  <si>
    <t xml:space="preserve">      Deferred Revenue, Short-Term</t>
  </si>
  <si>
    <t>Deferred Revenue, Short-Term</t>
  </si>
  <si>
    <t xml:space="preserve">      Deferred Revenue, Long-Term</t>
  </si>
  <si>
    <t>Deferred Revenue, Long-Term</t>
  </si>
  <si>
    <t xml:space="preserve">    Total Deferred Commissions</t>
  </si>
  <si>
    <t>Total Deferred Commissions</t>
  </si>
  <si>
    <t xml:space="preserve">      Deferred Commisions, Non-Current Portion</t>
  </si>
  <si>
    <t>Deferred Commisions, Non-Current Portion</t>
  </si>
  <si>
    <t xml:space="preserve">  Condensed Cash Flow Statement</t>
  </si>
  <si>
    <t>Condensed Cash Flow Statement</t>
  </si>
  <si>
    <t xml:space="preserve">  Cash from Operating Activities</t>
  </si>
  <si>
    <t>Cash from Operating Activities</t>
  </si>
  <si>
    <t xml:space="preserve">    Depreciation &amp; Amortization</t>
  </si>
  <si>
    <t>D_AND_A_TO_SALES</t>
  </si>
  <si>
    <t xml:space="preserve">    Amortization of Deferred Commissions</t>
  </si>
  <si>
    <t>CF_AMORTIZATN_OF_DEFRRD_COMPNSTN</t>
  </si>
  <si>
    <t>Amortization of Deferred Commissions</t>
  </si>
  <si>
    <t xml:space="preserve">    Amortization of Debt Discount &amp; Issuance Costs</t>
  </si>
  <si>
    <t>AMORTIZATN_OF_FINNCNG_COSTS</t>
  </si>
  <si>
    <t>Amortization of Debt Discount &amp; Issuance Costs</t>
  </si>
  <si>
    <t xml:space="preserve">    Deferred Income Taxes</t>
  </si>
  <si>
    <t>CF_DEF_INC_TAX</t>
  </si>
  <si>
    <t>Deferred Income Taxes</t>
  </si>
  <si>
    <t xml:space="preserve">    Other Operating Activities</t>
  </si>
  <si>
    <t>CB_CF_OTHR_NONCSH_ITEMS</t>
  </si>
  <si>
    <t>Other Operating Activities</t>
  </si>
  <si>
    <t xml:space="preserve">    Change in Working Capital</t>
  </si>
  <si>
    <t>Change in Working Capital</t>
  </si>
  <si>
    <t>CB_CF_CHANGE_IN_ACCOUNTS_RECEIVABLE</t>
  </si>
  <si>
    <t xml:space="preserve">      Deferred Commissions</t>
  </si>
  <si>
    <t>CF_CHANGE_IN_OTHR_ASSTS</t>
  </si>
  <si>
    <t>Deferred Commissions</t>
  </si>
  <si>
    <t>CF_CHANGE_IN_ACCOUNTS_PAYABLE</t>
  </si>
  <si>
    <t>CF_CHANGE_IN_PREPAID_EXPNSS</t>
  </si>
  <si>
    <t xml:space="preserve">      Deferred Revenue</t>
  </si>
  <si>
    <t>CF_CHG_IN_DEFER_UNEARND_REV_ST</t>
  </si>
  <si>
    <t>Deferred Revenue</t>
  </si>
  <si>
    <t>CF_CHANGE_IN_ACCRUD_EXPNSS</t>
  </si>
  <si>
    <t xml:space="preserve">  Cash Flow from Operations</t>
  </si>
  <si>
    <t>CF_CASH_FROM_OPER</t>
  </si>
  <si>
    <t>Cash Flow from Operations</t>
  </si>
  <si>
    <t xml:space="preserve">  Cash from Investing Activities</t>
  </si>
  <si>
    <t>Cash from Investing Activities</t>
  </si>
  <si>
    <t xml:space="preserve">    Capital Expenditures</t>
  </si>
  <si>
    <t>CF_PURCHASE_OF_FIXED_PROD_ASSETS</t>
  </si>
  <si>
    <t>Capital Expenditures</t>
  </si>
  <si>
    <t>CAP_EXPEND_TO_SALES</t>
  </si>
  <si>
    <t xml:space="preserve">    Purchase of Other Intangibles</t>
  </si>
  <si>
    <t>CF_ACQUISITION_OF_INTANG_ASSETS</t>
  </si>
  <si>
    <t>Purchase of Other Intangibles</t>
  </si>
  <si>
    <t xml:space="preserve">    Purchase of Investments</t>
  </si>
  <si>
    <t>CF_PURCHSS_OF_INVSTMNTS</t>
  </si>
  <si>
    <t>Purchase of Investments</t>
  </si>
  <si>
    <t xml:space="preserve">    Sales of Investments</t>
  </si>
  <si>
    <t>CF_PROCDS_FROM_INVSTMNTS</t>
  </si>
  <si>
    <t>Sales of Investments</t>
  </si>
  <si>
    <t xml:space="preserve">    Restricted Cash</t>
  </si>
  <si>
    <t>CB_CF_OTHER_INVESTING_ACTIVITIES</t>
  </si>
  <si>
    <t>Restricted Cash</t>
  </si>
  <si>
    <t xml:space="preserve">  Cash Flow from Investing</t>
  </si>
  <si>
    <t>CF_CASH_FROM_INV_ACT</t>
  </si>
  <si>
    <t>Cash Flow from Investing</t>
  </si>
  <si>
    <t xml:space="preserve">  Cash from Financing Activities</t>
  </si>
  <si>
    <t>Cash from Financing Activities</t>
  </si>
  <si>
    <t xml:space="preserve">    Proceeds from Exercise of Stock Options</t>
  </si>
  <si>
    <t>CF_INCR_CAP_STOCK</t>
  </si>
  <si>
    <t>Proceeds from Exercise of Stock Options</t>
  </si>
  <si>
    <t xml:space="preserve">    Tax Benefits from Exercise of Stock Options</t>
  </si>
  <si>
    <t>CF_OTHER_FINANCING_ACT_EXCL_FX</t>
  </si>
  <si>
    <t>Tax Benefits from Exercise of Stock Options</t>
  </si>
  <si>
    <t xml:space="preserve">  Cash Flow from Financing</t>
  </si>
  <si>
    <t>CF_NET_CSH_PROV_BY_FINANCING_ACT</t>
  </si>
  <si>
    <t>Cash Flow from Financing</t>
  </si>
  <si>
    <t xml:space="preserve">    Effect of Exchange Rates</t>
  </si>
  <si>
    <t>CF_EFFECT_FOREIGN_EXCHANGES</t>
  </si>
  <si>
    <t>Effect of Exchange Rates</t>
  </si>
  <si>
    <t xml:space="preserve">    Net Change in Cash</t>
  </si>
  <si>
    <t>CF_NET_CHNG_CASH</t>
  </si>
  <si>
    <t>Net Change in Cash</t>
  </si>
  <si>
    <t xml:space="preserve">      Cash &amp; Cash Equivalents (Beg of Period)</t>
  </si>
  <si>
    <t>CF_CASH_AND_CASH_EQUIV_BEG_BAL</t>
  </si>
  <si>
    <t>Cash &amp; Cash Equivalents (Beg of Period)</t>
  </si>
  <si>
    <t xml:space="preserve">      Cash &amp; Cash Equivalents (End of Period)</t>
  </si>
  <si>
    <t>CF_CASH_AND_CASH_EQUIV_END_BAL</t>
  </si>
  <si>
    <t>Cash &amp; Cash Equivalents (End of Period)</t>
  </si>
  <si>
    <t xml:space="preserve">    Free Cash Flow</t>
  </si>
  <si>
    <t xml:space="preserve">      Free Cash Flow Margin (%)</t>
  </si>
  <si>
    <t>FREE_CASH_FLOW_MARGIN</t>
  </si>
  <si>
    <t>Free Cash Flow Margin (%)</t>
  </si>
  <si>
    <t xml:space="preserve">      Free Cash Flow per Share</t>
  </si>
  <si>
    <t>FCF_PER_DIL_SHR</t>
  </si>
  <si>
    <t>Free Cash Flow per Share</t>
  </si>
  <si>
    <t xml:space="preserve">    Operating Cash Flow</t>
  </si>
  <si>
    <t>Operating Cash Flow</t>
  </si>
  <si>
    <t xml:space="preserve">      CFO Margin (%)</t>
  </si>
  <si>
    <t>CFO_TO_SALES</t>
  </si>
  <si>
    <t>CFO Margin (%)</t>
  </si>
  <si>
    <t>Source: Bloomberg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</si>
</sst>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b/>
      <sz val="16"/>
      <color indexed="9"/>
      <name val="Arial"/>
      <family val="2"/>
    </font>
    <font>
      <b/>
      <sz val="10"/>
      <color indexed="9"/>
      <name val="Arial"/>
      <family val="2"/>
    </font>
    <font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0">
    <xf numFmtId="0" fontId="0" fillId="0" borderId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24" fillId="12" borderId="0" applyNumberFormat="0" applyBorder="0" applyAlignment="0" applyProtection="0"/>
    <xf numFmtId="0" fontId="24" fillId="16" borderId="0" applyNumberFormat="0" applyBorder="0" applyAlignment="0" applyProtection="0"/>
    <xf numFmtId="0" fontId="24" fillId="20" borderId="0" applyNumberFormat="0" applyBorder="0" applyAlignment="0" applyProtection="0"/>
    <xf numFmtId="0" fontId="24" fillId="24" borderId="0" applyNumberFormat="0" applyBorder="0" applyAlignment="0" applyProtection="0"/>
    <xf numFmtId="0" fontId="24" fillId="28" borderId="0" applyNumberFormat="0" applyBorder="0" applyAlignment="0" applyProtection="0"/>
    <xf numFmtId="0" fontId="24" fillId="32" borderId="0" applyNumberFormat="0" applyBorder="0" applyAlignment="0" applyProtection="0"/>
    <xf numFmtId="0" fontId="24" fillId="9" borderId="0" applyNumberFormat="0" applyBorder="0" applyAlignment="0" applyProtection="0"/>
    <xf numFmtId="0" fontId="24" fillId="13" borderId="0" applyNumberFormat="0" applyBorder="0" applyAlignment="0" applyProtection="0"/>
    <xf numFmtId="0" fontId="24" fillId="17" borderId="0" applyNumberFormat="0" applyBorder="0" applyAlignment="0" applyProtection="0"/>
    <xf numFmtId="0" fontId="24" fillId="21" borderId="0" applyNumberFormat="0" applyBorder="0" applyAlignment="0" applyProtection="0"/>
    <xf numFmtId="0" fontId="24" fillId="25" borderId="0" applyNumberFormat="0" applyBorder="0" applyAlignment="0" applyProtection="0"/>
    <xf numFmtId="0" fontId="24" fillId="29" borderId="0" applyNumberFormat="0" applyBorder="0" applyAlignment="0" applyProtection="0"/>
    <xf numFmtId="0" fontId="14" fillId="3" borderId="0" applyNumberFormat="0" applyBorder="0" applyAlignment="0" applyProtection="0"/>
    <xf numFmtId="0" fontId="18" fillId="6" borderId="9" applyNumberFormat="0" applyAlignment="0" applyProtection="0"/>
    <xf numFmtId="0" fontId="20" fillId="7" borderId="12" applyNumberFormat="0" applyAlignment="0" applyProtection="0"/>
    <xf numFmtId="0" fontId="22" fillId="0" borderId="0" applyNumberFormat="0" applyFill="0" applyBorder="0" applyAlignment="0" applyProtection="0"/>
    <xf numFmtId="0" fontId="5" fillId="33" borderId="3">
      <alignment horizontal="left"/>
    </xf>
    <xf numFmtId="4" fontId="1" fillId="34" borderId="2"/>
    <xf numFmtId="0" fontId="7" fillId="35" borderId="4" applyNumberFormat="0" applyAlignment="0" applyProtection="0"/>
    <xf numFmtId="0" fontId="3" fillId="0" borderId="0"/>
    <xf numFmtId="0" fontId="6" fillId="34" borderId="5"/>
    <xf numFmtId="0" fontId="13" fillId="2" borderId="0" applyNumberFormat="0" applyBorder="0" applyAlignment="0" applyProtection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2" fillId="0" borderId="8" applyNumberFormat="0" applyFill="0" applyAlignment="0" applyProtection="0"/>
    <xf numFmtId="0" fontId="12" fillId="0" borderId="0" applyNumberFormat="0" applyFill="0" applyBorder="0" applyAlignment="0" applyProtection="0"/>
    <xf numFmtId="0" fontId="16" fillId="5" borderId="9" applyNumberFormat="0" applyAlignment="0" applyProtection="0"/>
    <xf numFmtId="0" fontId="19" fillId="0" borderId="11" applyNumberFormat="0" applyFill="0" applyAlignment="0" applyProtection="0"/>
    <xf numFmtId="0" fontId="15" fillId="4" borderId="0" applyNumberFormat="0" applyBorder="0" applyAlignment="0" applyProtection="0"/>
    <xf numFmtId="0" fontId="8" fillId="8" borderId="13" applyNumberFormat="0" applyFont="0" applyAlignment="0" applyProtection="0"/>
    <xf numFmtId="0" fontId="17" fillId="6" borderId="10" applyNumberFormat="0" applyAlignment="0" applyProtection="0"/>
    <xf numFmtId="0" fontId="9" fillId="0" borderId="0" applyNumberFormat="0" applyFill="0" applyBorder="0" applyAlignment="0" applyProtection="0"/>
    <xf numFmtId="0" fontId="23" fillId="0" borderId="14" applyNumberFormat="0" applyFill="0" applyAlignment="0" applyProtection="0"/>
    <xf numFmtId="0" fontId="21" fillId="0" borderId="0" applyNumberFormat="0" applyFill="0" applyBorder="0" applyAlignment="0" applyProtection="0"/>
    <xf numFmtId="0" fontId="4" fillId="33" borderId="15" applyNumberFormat="0" applyProtection="0">
      <alignment horizontal="left" vertical="center" readingOrder="1"/>
    </xf>
    <xf numFmtId="0" fontId="5" fillId="33" borderId="1">
      <alignment horizontal="left"/>
    </xf>
    <xf numFmtId="4" fontId="1" fillId="34" borderId="2">
      <alignment horizontal="right"/>
    </xf>
  </cellStyleXfs>
  <cellXfs count="10">
    <xf numFmtId="0" fontId="0" fillId="0" borderId="0" xfId="0"/>
    <xf numFmtId="0" fontId="5" fillId="33" borderId="3" xfId="29" applyNumberFormat="1" applyFont="1" applyFill="1" applyBorder="1" applyAlignment="1" applyProtection="1">
      <alignment horizontal="left"/>
    </xf>
    <xf numFmtId="4" fontId="1" fillId="34" borderId="2" xfId="30" applyNumberFormat="1" applyFont="1" applyFill="1" applyBorder="1" applyAlignment="1" applyProtection="1"/>
    <xf numFmtId="0" fontId="7" fillId="35" borderId="4" xfId="31" applyFont="1" applyFill="1" applyBorder="1"/>
    <xf numFmtId="0" fontId="5" fillId="33" borderId="1" xfId="48">
      <alignment horizontal="left"/>
    </xf>
    <xf numFmtId="0" fontId="2" fillId="34" borderId="5" xfId="33" applyNumberFormat="1" applyFont="1" applyFill="1" applyBorder="1" applyAlignment="1" applyProtection="1"/>
    <xf numFmtId="4" fontId="1" fillId="34" borderId="2" xfId="49" applyNumberFormat="1" applyFont="1" applyFill="1" applyBorder="1" applyAlignment="1" applyProtection="1">
      <alignment horizontal="right"/>
    </xf>
    <xf numFmtId="0" fontId="4" fillId="33" borderId="15" xfId="47" applyFont="1" applyFill="1" applyBorder="1" applyAlignment="1">
      <alignment horizontal="left" vertical="center" readingOrder="1"/>
    </xf>
    <xf numFmtId="0" fontId="0" fillId="0" borderId="0" xfId="0"/>
    <xf numFmtId="0" fontId="3" fillId="0" borderId="0" xfId="32" applyNumberFormat="1" applyFont="1" applyFill="1" applyBorder="1" applyAlignment="1" applyProtection="1"/>
  </cellXfs>
  <cellStyles count="5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title_header_row_left" xfId="47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fa_column_header_bottom_left" xfId="48" xr:uid="{00000000-0005-0000-0000-00001D000000}"/>
    <cellStyle name="fa_column_header_top_left" xfId="29" xr:uid="{00000000-0005-0000-0000-00001E000000}"/>
    <cellStyle name="fa_data_standard" xfId="30" xr:uid="{00000000-0005-0000-0000-00001F000000}"/>
    <cellStyle name="fa_data_standard_2_grouped" xfId="49" xr:uid="{00000000-0005-0000-0000-000020000000}"/>
    <cellStyle name="fa_footer_italic" xfId="31" xr:uid="{00000000-0005-0000-0000-000021000000}"/>
    <cellStyle name="fa_grey_text_italics" xfId="32" xr:uid="{00000000-0005-0000-0000-000022000000}"/>
    <cellStyle name="fa_row_header_standard" xfId="33" xr:uid="{00000000-0005-0000-0000-000023000000}"/>
    <cellStyle name="Good" xfId="34" builtinId="26" customBuiltin="1"/>
    <cellStyle name="Heading 1" xfId="35" builtinId="16" customBuiltin="1"/>
    <cellStyle name="Heading 2" xfId="36" builtinId="17" customBuiltin="1"/>
    <cellStyle name="Heading 3" xfId="37" builtinId="18" customBuiltin="1"/>
    <cellStyle name="Heading 4" xfId="38" builtinId="19" customBuiltin="1"/>
    <cellStyle name="Input" xfId="39" builtinId="20" customBuiltin="1"/>
    <cellStyle name="Linked Cell" xfId="40" builtinId="24" customBuiltin="1"/>
    <cellStyle name="Neutral" xfId="41" builtinId="28" customBuiltin="1"/>
    <cellStyle name="Normal" xfId="0" builtinId="0"/>
    <cellStyle name="Note" xfId="42" builtinId="10" customBuiltin="1"/>
    <cellStyle name="Output" xfId="43" builtinId="21" customBuiltin="1"/>
    <cellStyle name="Title" xfId="44" builtinId="15" customBuiltin="1"/>
    <cellStyle name="Total" xfId="45" builtinId="25" customBuiltin="1"/>
    <cellStyle name="Warning Text" xfId="4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/>
        <stp/>
        <stp>##V3_BQLV12</stp>
        <stp>[MODL_NOW_US1.xlsx]Single Period!R24C41</stp>
        <stp>NOW US Equity</stp>
        <stp>IS_ADJ_GROSS_PROFIT_AS_REPORTED/1M</stp>
        <stp>FPR=2021Y</stp>
        <stp>FPT=A</stp>
        <stp>FA_ACT_EST_DATA=E, EST_SOURCE=ARG</stp>
        <stp>ACT_EST_MAPPING=PRECISE</stp>
        <stp>FS=MRC</stp>
        <stp>CURRENCY=USD</stp>
        <stp>XLFILL=b</stp>
        <tr r="AO24" s="2"/>
      </tp>
      <tp t="s">
        <v/>
        <stp/>
        <stp>##V3_BQLV12</stp>
        <stp>[MODL_NOW_US1.xlsx]Single Period!R84C41</stp>
        <stp>NOW US Equity</stp>
        <stp>IS_ADJ_GROSS_PROFIT_AS_REPORTED/1M</stp>
        <stp>FPR=2021Y</stp>
        <stp>FPT=A</stp>
        <stp>FA_ACT_EST_DATA=E, EST_SOURCE=ARG</stp>
        <stp>ACT_EST_MAPPING=PRECISE</stp>
        <stp>FS=MRC</stp>
        <stp>CURRENCY=USD</stp>
        <stp>XLFILL=b</stp>
        <tr r="AO84" s="2"/>
      </tp>
      <tp t="s">
        <v/>
        <stp/>
        <stp>##V3_BQLV12</stp>
        <stp>[MODL_NOW_US1.xlsx]Single Period!R67C45</stp>
        <stp>SEG0000230986 Segment</stp>
        <stp>IS_PERCENTAGE_OF_REVENUE</stp>
        <stp>FPR=2021Y</stp>
        <stp>FPT=A</stp>
        <stp>FA_ACT_EST_DATA=E, EST_SOURCE=PJE</stp>
        <stp>ACT_EST_MAPPING=PRECISE</stp>
        <stp>FS=MRC</stp>
        <stp>CURRENCY=USD</stp>
        <stp>XLFILL=b</stp>
        <tr r="AS67" s="2"/>
      </tp>
      <tp t="s">
        <v/>
        <stp/>
        <stp>##V3_BQLV12</stp>
        <stp>[MODL_NOW_US1.xlsx]Single Period!R24C44</stp>
        <stp>NOW US Equity</stp>
        <stp>IS_ADJ_GROSS_PROFIT_AS_REPORTED/1M</stp>
        <stp>FPR=2021Y</stp>
        <stp>FPT=A</stp>
        <stp>FA_ACT_EST_DATA=E, EST_SOURCE=ARE</stp>
        <stp>ACT_EST_MAPPING=PRECISE</stp>
        <stp>FS=MRC</stp>
        <stp>CURRENCY=USD</stp>
        <stp>XLFILL=b</stp>
        <tr r="AR24" s="2"/>
      </tp>
      <tp t="s">
        <v/>
        <stp/>
        <stp>##V3_BQLV12</stp>
        <stp>[MODL_NOW_US1.xlsx]Single Period!R84C44</stp>
        <stp>NOW US Equity</stp>
        <stp>IS_ADJ_GROSS_PROFIT_AS_REPORTED/1M</stp>
        <stp>FPR=2021Y</stp>
        <stp>FPT=A</stp>
        <stp>FA_ACT_EST_DATA=E, EST_SOURCE=ARE</stp>
        <stp>ACT_EST_MAPPING=PRECISE</stp>
        <stp>FS=MRC</stp>
        <stp>CURRENCY=USD</stp>
        <stp>XLFILL=b</stp>
        <tr r="AR84" s="2"/>
      </tp>
      <tp t="s">
        <v/>
        <stp/>
        <stp>##V3_BQLV12</stp>
        <stp>[MODL_NOW_US1.xlsx]Single Period!R84C48</stp>
        <stp>NOW US Equity</stp>
        <stp>IS_ADJ_GROSS_PROFIT_AS_REPORTED/1M</stp>
        <stp>FPR=2021Y</stp>
        <stp>FPT=A</stp>
        <stp>FA_ACT_EST_DATA=E, EST_SOURCE=CRC</stp>
        <stp>ACT_EST_MAPPING=PRECISE</stp>
        <stp>FS=MRC</stp>
        <stp>CURRENCY=USD</stp>
        <stp>XLFILL=b</stp>
        <tr r="AV84" s="2"/>
      </tp>
      <tp t="s">
        <v/>
        <stp/>
        <stp>##V3_BQLV12</stp>
        <stp>[MODL_NOW_US1.xlsx]Single Period!R24C48</stp>
        <stp>NOW US Equity</stp>
        <stp>IS_ADJ_GROSS_PROFIT_AS_REPORTED/1M</stp>
        <stp>FPR=2021Y</stp>
        <stp>FPT=A</stp>
        <stp>FA_ACT_EST_DATA=E, EST_SOURCE=CRC</stp>
        <stp>ACT_EST_MAPPING=PRECISE</stp>
        <stp>FS=MRC</stp>
        <stp>CURRENCY=USD</stp>
        <stp>XLFILL=b</stp>
        <tr r="AV24" s="2"/>
      </tp>
      <tp t="s">
        <v/>
        <stp/>
        <stp>##V3_BQLV12</stp>
        <stp>[MODL_NOW_US1.xlsx]Single Period!R68C18</stp>
        <stp>SEG0000230986 Segment</stp>
        <stp>IS_ADJUSTED_COGS_AS_REPORTED/1M</stp>
        <stp>FPR=2021Y</stp>
        <stp>FPT=A</stp>
        <stp>FA_ACT_EST_DATA=E, EST_SOURCE=SNR</stp>
        <stp>ACT_EST_MAPPING=PRECISE</stp>
        <stp>FS=MRC</stp>
        <stp>CURRENCY=USD</stp>
        <stp>XLFILL=b</stp>
        <tr r="R68" s="2"/>
      </tp>
      <tp t="s">
        <v/>
        <stp/>
        <stp>##V3_BQLV12</stp>
        <stp>[MODL_NOW_US1.xlsx]Single Period!R60C18</stp>
        <stp>SEG0000230975 Segment</stp>
        <stp>IS_ADJUSTED_COGS_AS_REPORTED/1M</stp>
        <stp>FPR=2021Y</stp>
        <stp>FPT=A</stp>
        <stp>FA_ACT_EST_DATA=E, EST_SOURCE=SNR</stp>
        <stp>ACT_EST_MAPPING=PRECISE</stp>
        <stp>FS=MRC</stp>
        <stp>CURRENCY=USD</stp>
        <stp>XLFILL=b</stp>
        <tr r="R60" s="2"/>
      </tp>
      <tp t="s">
        <v/>
        <stp/>
        <stp>##V3_BQLV12</stp>
        <stp>[MODL_NOW_US1.xlsx]Single Period!R44C18</stp>
        <stp>SEG0000230986 Segment</stp>
        <stp>IS_FOREIGN_CURRENCY_TURNOVER/1M</stp>
        <stp>FPR=2021Y</stp>
        <stp>FPT=A</stp>
        <stp>FA_ACT_EST_DATA=E, EST_SOURCE=SNR</stp>
        <stp>ACT_EST_MAPPING=PRECISE</stp>
        <stp>FS=MRC</stp>
        <stp>CURRENCY=USD</stp>
        <stp>XLFILL=b</stp>
        <tr r="R44" s="2"/>
      </tp>
      <tp t="s">
        <v/>
        <stp/>
        <stp>##V3_BQLV12</stp>
        <stp>[MODL_NOW_US1.xlsx]Single Period!R59C21</stp>
        <stp>SEG0000230975 Segment</stp>
        <stp>IS_PERCENTAGE_OF_REVENUE</stp>
        <stp>FPR=2021Y</stp>
        <stp>FPT=A</stp>
        <stp>FA_ACT_EST_DATA=E, EST_SOURCE=JMP</stp>
        <stp>ACT_EST_MAPPING=PRECISE</stp>
        <stp>FS=MRC</stp>
        <stp>CURRENCY=USD</stp>
        <stp>XLFILL=b</stp>
        <tr r="U59" s="2"/>
      </tp>
      <tp>
        <v>2.4803683029671321E-2</v>
        <stp/>
        <stp>##V3_BQLV12</stp>
        <stp>[MODL_NOW_US1.xlsx]Single Period!R189C8</stp>
        <stp>NOW US Equity</stp>
        <stp>CONTRIBUTOR_STATS(CUR_RATIO, STD)</stp>
        <stp>FPR=2021Y</stp>
        <stp>FPT=A</stp>
        <stp>FA_ACT_EST_DATA=E</stp>
        <stp>ACT_EST_MAPPING=PRECISE</stp>
        <stp>FS=MRC</stp>
        <stp>CURRENCY=USD</stp>
        <stp>XLFILL=b</stp>
        <tr r="H189" s="2"/>
      </tp>
      <tp t="s">
        <v/>
        <stp/>
        <stp>##V3_BQLV12</stp>
        <stp>[MODL_NOW_US1.xlsx]Single Period!R67C17</stp>
        <stp>SEG0000230986 Segment</stp>
        <stp>IS_PERCENTAGE_OF_REVENUE</stp>
        <stp>FPR=2021Y</stp>
        <stp>FPT=A</stp>
        <stp>FA_ACT_EST_DATA=E, EST_SOURCE=RHR</stp>
        <stp>ACT_EST_MAPPING=PRECISE</stp>
        <stp>FS=MRC</stp>
        <stp>CURRENCY=USD</stp>
        <stp>XLFILL=b</stp>
        <tr r="Q67" s="2"/>
      </tp>
      <tp>
        <v>267.26778250000001</v>
        <stp/>
        <stp>##V3_BQLV12</stp>
        <stp>[MODL_NOW_US1.xlsx]Single Period!R68C21</stp>
        <stp>SEG0000230986 Segment</stp>
        <stp>IS_ADJUSTED_COGS_AS_REPORTED/1M</stp>
        <stp>FPR=2021Y</stp>
        <stp>FPT=A</stp>
        <stp>FA_ACT_EST_DATA=E, EST_SOURCE=JMP</stp>
        <stp>ACT_EST_MAPPING=PRECISE</stp>
        <stp>FS=MRC</stp>
        <stp>CURRENCY=USD</stp>
        <stp>XLFILL=b</stp>
        <tr r="U68" s="2"/>
      </tp>
      <tp>
        <v>830</v>
        <stp/>
        <stp>##V3_BQLV12</stp>
        <stp>[MODL_NOW_US1.xlsx]Single Period!R60C21</stp>
        <stp>SEG0000230975 Segment</stp>
        <stp>IS_ADJUSTED_COGS_AS_REPORTED/1M</stp>
        <stp>FPR=2021Y</stp>
        <stp>FPT=A</stp>
        <stp>FA_ACT_EST_DATA=E, EST_SOURCE=JMP</stp>
        <stp>ACT_EST_MAPPING=PRECISE</stp>
        <stp>FS=MRC</stp>
        <stp>CURRENCY=USD</stp>
        <stp>XLFILL=b</stp>
        <tr r="U60" s="2"/>
      </tp>
      <tp t="s">
        <v/>
        <stp/>
        <stp>##V3_BQLV12</stp>
        <stp>[MODL_NOW_US1.xlsx]Single Period!R44C21</stp>
        <stp>SEG0000230986 Segment</stp>
        <stp>IS_FOREIGN_CURRENCY_TURNOVER/1M</stp>
        <stp>FPR=2021Y</stp>
        <stp>FPT=A</stp>
        <stp>FA_ACT_EST_DATA=E, EST_SOURCE=JMP</stp>
        <stp>ACT_EST_MAPPING=PRECISE</stp>
        <stp>FS=MRC</stp>
        <stp>CURRENCY=USD</stp>
        <stp>XLFILL=b</stp>
        <tr r="U44" s="2"/>
      </tp>
      <tp t="s">
        <v/>
        <stp/>
        <stp>##V3_BQLV12</stp>
        <stp>[MODL_NOW_US1.xlsx]Single Period!R52C45</stp>
        <stp>NOW US Equity</stp>
        <stp>ACCT_RCV_DAYS</stp>
        <stp>FPR=2021Y</stp>
        <stp>FPT=A</stp>
        <stp>FA_ACT_EST_DATA=E, EST_SOURCE=PJE</stp>
        <stp>ACT_EST_MAPPING=PRECISE</stp>
        <stp>FS=MRC</stp>
        <stp>CURRENCY=USD</stp>
        <stp>XLFILL=b</stp>
        <tr r="AS52" s="2"/>
      </tp>
      <tp t="s">
        <v/>
        <stp/>
        <stp>##V3_BQLV12</stp>
        <stp>[MODL_NOW_US1.xlsx]Single Period!R27C10</stp>
        <stp>NOW US Equity</stp>
        <stp>IS_REV_INCLUDING_INTERSEG_REV/1M</stp>
        <stp>FPR=2021Y</stp>
        <stp>FPT=A</stp>
        <stp>FA_ACT_EST_DATA=E, EST_SOURCE=CMPY</stp>
        <stp>ACT_EST_MAPPING=PRECISE</stp>
        <stp>FS=MRC</stp>
        <stp>CURRENCY=USD</stp>
        <stp>XLFILL=b</stp>
        <tr r="J27" s="2"/>
      </tp>
      <tp t="s">
        <v/>
        <stp/>
        <stp>##V3_BQLV12</stp>
        <stp>[MODL_NOW_US1.xlsx]Single Period!R220C28</stp>
        <stp>NOW US Equity</stp>
        <stp>CF_PROCDS_FROM_INVSTMNTS/1M</stp>
        <stp>FPR=2021Y</stp>
        <stp>FPT=A</stp>
        <stp>FA_ACT_EST_DATA=E, EST_SOURCE=EVR</stp>
        <stp>ACT_EST_MAPPING=PRECISE</stp>
        <stp>FS=MRC</stp>
        <stp>CURRENCY=USD</stp>
        <stp>XLFILL=b</stp>
        <tr r="AB220" s="2"/>
      </tp>
      <tp t="s">
        <v/>
        <stp/>
        <stp>##V3_BQLV12</stp>
        <stp>[MODL_NOW_US1.xlsx]Single Period!R162C17</stp>
        <stp>NOW US Equity</stp>
        <stp>BS_LONG_TERM_INVESTMENTS/1M</stp>
        <stp>FPR=2021Y</stp>
        <stp>FPT=A</stp>
        <stp>FA_ACT_EST_DATA=E, EST_SOURCE=RHR</stp>
        <stp>ACT_EST_MAPPING=PRECISE</stp>
        <stp>FS=MRC</stp>
        <stp>CURRENCY=USD</stp>
        <stp>XLFILL=b</stp>
        <tr r="Q162" s="2"/>
      </tp>
      <tp t="s">
        <v/>
        <stp/>
        <stp>##V3_BQLV12</stp>
        <stp>[MODL_NOW_US1.xlsx]Single Period!R141C47</stp>
        <stp>SEG0000230986 Segment</stp>
        <stp>IS_SBC_ATTRIB_TO_COGS_PRETX/1M</stp>
        <stp>FPR=2021Y</stp>
        <stp>FPT=A</stp>
        <stp>FA_ACT_EST_DATA=E, EST_SOURCE=SUM</stp>
        <stp>ACT_EST_MAPPING=PRECISE</stp>
        <stp>FS=MRC</stp>
        <stp>CURRENCY=USD</stp>
        <stp>XLFILL=b</stp>
        <tr r="AU141" s="2"/>
      </tp>
      <tp t="s">
        <v/>
        <stp/>
        <stp>##V3_BQLV12</stp>
        <stp>[MODL_NOW_US1.xlsx]Single Period!R231C45</stp>
        <stp>NOW US Equity</stp>
        <stp>CF_NET_CHNG_CASH/1M</stp>
        <stp>FPR=2021Y</stp>
        <stp>FPT=A</stp>
        <stp>FA_ACT_EST_DATA=E, EST_SOURCE=PJE</stp>
        <stp>ACT_EST_MAPPING=PRECISE</stp>
        <stp>FS=MRC</stp>
        <stp>CURRENCY=USD</stp>
        <stp>XLFILL=b</stp>
        <tr r="AS231" s="2"/>
      </tp>
      <tp t="s">
        <v/>
        <stp/>
        <stp>##V3_BQLV12</stp>
        <stp>[MODL_NOW_US1.xlsx]Single Period!R140C28</stp>
        <stp>SEG0000230975 Segment</stp>
        <stp>IS_SBC_ATTRIB_TO_COGS_PRETX/1M</stp>
        <stp>FPR=2021Y</stp>
        <stp>FPT=A</stp>
        <stp>FA_ACT_EST_DATA=E, EST_SOURCE=EVR</stp>
        <stp>ACT_EST_MAPPING=PRECISE</stp>
        <stp>FS=MRC</stp>
        <stp>CURRENCY=USD</stp>
        <stp>XLFILL=b</stp>
        <tr r="AB140" s="2"/>
      </tp>
      <tp t="s">
        <v/>
        <stp/>
        <stp>##V3_BQLV12</stp>
        <stp>[MODL_NOW_US1.xlsx]Single Period!R220C38</stp>
        <stp>NOW US Equity</stp>
        <stp>CF_PROCDS_FROM_INVSTMNTS/1M</stp>
        <stp>FPR=2021Y</stp>
        <stp>FPT=A</stp>
        <stp>FA_ACT_EST_DATA=E, EST_SOURCE=RWB</stp>
        <stp>ACT_EST_MAPPING=PRECISE</stp>
        <stp>FS=MRC</stp>
        <stp>CURRENCY=USD</stp>
        <stp>XLFILL=b</stp>
        <tr r="AL220" s="2"/>
      </tp>
      <tp t="s">
        <v/>
        <stp/>
        <stp>##V3_BQLV12</stp>
        <stp>[MODL_NOW_US1.xlsx]Single Period!R11C29</stp>
        <stp>NOW US Equity</stp>
        <stp>NUM_CSTMR_CNTRCT_OVER_1_MILLN</stp>
        <stp>FPR=2021Y</stp>
        <stp>FPT=A</stp>
        <stp>FA_ACT_EST_DATA=E, EST_SOURCE=BNS</stp>
        <stp>ACT_EST_MAPPING=PRECISE</stp>
        <stp>FS=MRC</stp>
        <stp>CURRENCY=USD</stp>
        <stp>XLFILL=b</stp>
        <tr r="AC11" s="2"/>
      </tp>
      <tp t="s">
        <v/>
        <stp/>
        <stp>##V3_BQLV12</stp>
        <stp>[MODL_NOW_US1.xlsx]Single Period!R11C18</stp>
        <stp>NOW US Equity</stp>
        <stp>NUM_CSTMR_CNTRCT_OVER_1_MILLN</stp>
        <stp>FPR=2021Y</stp>
        <stp>FPT=A</stp>
        <stp>FA_ACT_EST_DATA=E, EST_SOURCE=SNR</stp>
        <stp>ACT_EST_MAPPING=PRECISE</stp>
        <stp>FS=MRC</stp>
        <stp>CURRENCY=USD</stp>
        <stp>XLFILL=b</stp>
        <tr r="R11" s="2"/>
      </tp>
      <tp t="s">
        <v/>
        <stp/>
        <stp>##V3_BQLV12</stp>
        <stp>[MODL_NOW_US1.xlsx]Single Period!R90C47</stp>
        <stp>NOW US Equity</stp>
        <stp>IS_ADJ_R_AND_D_AS_REPORTED/1M</stp>
        <stp>FPR=2021Y</stp>
        <stp>FPT=A</stp>
        <stp>FA_ACT_EST_DATA=E, EST_SOURCE=SUM</stp>
        <stp>ACT_EST_MAPPING=PRECISE</stp>
        <stp>FS=MRC</stp>
        <stp>CURRENCY=USD</stp>
        <stp>XLFILL=b</stp>
        <tr r="AU90" s="2"/>
      </tp>
      <tp>
        <v>9.1002575428021634E-2</v>
        <stp/>
        <stp>##V3_BQLV12</stp>
        <stp>[MODL_NOW_US1.xlsx]Single Period!R64C8</stp>
        <stp>SEG0000230975 Segment</stp>
        <stp>CONTRIBUTOR_STATS(CB_IS_GROSS_MARGIN, STD)</stp>
        <stp>FPR=2021Y</stp>
        <stp>FPT=A</stp>
        <stp>FA_ACT_EST_DATA=E</stp>
        <stp>ACT_EST_MAPPING=PRECISE</stp>
        <stp>FS=MRC</stp>
        <stp>CURRENCY=USD</stp>
        <stp>XLFILL=b</stp>
        <tr r="H64" s="2"/>
      </tp>
      <tp>
        <v>5.87</v>
        <stp/>
        <stp>##V3_BQLV12</stp>
        <stp>[MODL_NOW_US1.xlsx]Single Period!R6C30</stp>
        <stp>NOW US Equity</stp>
        <stp>IS_COMP_EPS_EXCL_STOCK_COMP</stp>
        <stp>FPR=2021Y</stp>
        <stp>FPT=A</stp>
        <stp>FA_ACT_EST_DATA=E, EST_SOURCE=BAM</stp>
        <stp>ACT_EST_MAPPING=PRECISE</stp>
        <stp>FS=MRC</stp>
        <stp>CURRENCY=USD</stp>
        <stp>XLFILL=b</stp>
        <tr r="AD6" s="2"/>
      </tp>
      <tp>
        <v>5.9</v>
        <stp/>
        <stp>##V3_BQLV12</stp>
        <stp>[MODL_NOW_US1.xlsx]Single Period!R6C33</stp>
        <stp>NOW US Equity</stp>
        <stp>IS_COMP_EPS_EXCL_STOCK_COMP</stp>
        <stp>FPR=2021Y</stp>
        <stp>FPT=A</stp>
        <stp>FA_ACT_EST_DATA=E, EST_SOURCE=MAC</stp>
        <stp>ACT_EST_MAPPING=PRECISE</stp>
        <stp>FS=MRC</stp>
        <stp>CURRENCY=USD</stp>
        <stp>XLFILL=b</stp>
        <tr r="AG6" s="2"/>
      </tp>
      <tp>
        <v>5.87</v>
        <stp/>
        <stp>##V3_BQLV12</stp>
        <stp>[MODL_NOW_US1.xlsx]Single Period!R6C16</stp>
        <stp>NOW US Equity</stp>
        <stp>IS_COMP_EPS_EXCL_STOCK_COMP</stp>
        <stp>FPR=2021Y</stp>
        <stp>FPT=A</stp>
        <stp>FA_ACT_EST_DATA=E, EST_SOURCE=BCA</stp>
        <stp>ACT_EST_MAPPING=PRECISE</stp>
        <stp>FS=MRC</stp>
        <stp>CURRENCY=USD</stp>
        <stp>XLFILL=b</stp>
        <tr r="P6" s="2"/>
      </tp>
      <tp>
        <v>202.20595675858868</v>
        <stp/>
        <stp>##V3_BQLV12</stp>
        <stp>[MODL_NOW_US1.xlsx]Single Period!R107C6</stp>
        <stp>NOW US Equity</stp>
        <stp>CONTRIBUTOR_STATS(CB_IS_ADJ_DILUTED_AVG_SHS, MIN)/1M</stp>
        <stp>FPR=2021Y</stp>
        <stp>FPT=A</stp>
        <stp>FA_ACT_EST_DATA=E</stp>
        <stp>ACT_EST_MAPPING=PRECISE</stp>
        <stp>FS=MRC</stp>
        <stp>CURRENCY=USD</stp>
        <stp>XLFILL=b</stp>
        <tr r="F107" s="2"/>
      </tp>
      <tp t="s">
        <v/>
        <stp/>
        <stp>##V3_BQLV12</stp>
        <stp>[MODL_NOW_US1.xlsx]Single Period!R6C43</stp>
        <stp>NOW US Equity</stp>
        <stp>IS_COMP_EPS_EXCL_STOCK_COMP</stp>
        <stp>FPR=2021Y</stp>
        <stp>FPT=A</stp>
        <stp>FA_ACT_EST_DATA=E, EST_SOURCE=WFT</stp>
        <stp>ACT_EST_MAPPING=PRECISE</stp>
        <stp>FS=MRC</stp>
        <stp>CURRENCY=USD</stp>
        <stp>XLFILL=b</stp>
        <tr r="AQ6" s="2"/>
      </tp>
      <tp t="s">
        <v/>
        <stp/>
        <stp>##V3_BQLV12</stp>
        <stp>[MODL_NOW_US1.xlsx]Single Period!R24C34</stp>
        <stp>NOW US Equity</stp>
        <stp>IS_ADJ_GROSS_PROFIT_AS_REPORTED/1M</stp>
        <stp>FPR=2021Y</stp>
        <stp>FPT=A</stp>
        <stp>FA_ACT_EST_DATA=E, EST_SOURCE=PSG</stp>
        <stp>ACT_EST_MAPPING=PRECISE</stp>
        <stp>FS=MRC</stp>
        <stp>CURRENCY=USD</stp>
        <stp>XLFILL=b</stp>
        <tr r="AH24" s="2"/>
      </tp>
      <tp t="s">
        <v/>
        <stp/>
        <stp>##V3_BQLV12</stp>
        <stp>[MODL_NOW_US1.xlsx]Single Period!R84C34</stp>
        <stp>NOW US Equity</stp>
        <stp>IS_ADJ_GROSS_PROFIT_AS_REPORTED/1M</stp>
        <stp>FPR=2021Y</stp>
        <stp>FPT=A</stp>
        <stp>FA_ACT_EST_DATA=E, EST_SOURCE=PSG</stp>
        <stp>ACT_EST_MAPPING=PRECISE</stp>
        <stp>FS=MRC</stp>
        <stp>CURRENCY=USD</stp>
        <stp>XLFILL=b</stp>
        <tr r="AH84" s="2"/>
      </tp>
      <tp t="s">
        <v/>
        <stp/>
        <stp>##V3_BQLV12</stp>
        <stp>[MODL_NOW_US1.xlsx]Single Period!R68C45</stp>
        <stp>SEG0000230986 Segment</stp>
        <stp>IS_ADJUSTED_COGS_AS_REPORTED/1M</stp>
        <stp>FPR=2021Y</stp>
        <stp>FPT=A</stp>
        <stp>FA_ACT_EST_DATA=E, EST_SOURCE=PJE</stp>
        <stp>ACT_EST_MAPPING=PRECISE</stp>
        <stp>FS=MRC</stp>
        <stp>CURRENCY=USD</stp>
        <stp>XLFILL=b</stp>
        <tr r="AS68" s="2"/>
      </tp>
      <tp t="s">
        <v/>
        <stp/>
        <stp>##V3_BQLV12</stp>
        <stp>[MODL_NOW_US1.xlsx]Single Period!R60C45</stp>
        <stp>SEG0000230975 Segment</stp>
        <stp>IS_ADJUSTED_COGS_AS_REPORTED/1M</stp>
        <stp>FPR=2021Y</stp>
        <stp>FPT=A</stp>
        <stp>FA_ACT_EST_DATA=E, EST_SOURCE=PJE</stp>
        <stp>ACT_EST_MAPPING=PRECISE</stp>
        <stp>FS=MRC</stp>
        <stp>CURRENCY=USD</stp>
        <stp>XLFILL=b</stp>
        <tr r="AS60" s="2"/>
      </tp>
      <tp t="s">
        <v/>
        <stp/>
        <stp>##V3_BQLV12</stp>
        <stp>[MODL_NOW_US1.xlsx]Single Period!R44C45</stp>
        <stp>SEG0000230986 Segment</stp>
        <stp>IS_FOREIGN_CURRENCY_TURNOVER/1M</stp>
        <stp>FPR=2021Y</stp>
        <stp>FPT=A</stp>
        <stp>FA_ACT_EST_DATA=E, EST_SOURCE=PJE</stp>
        <stp>ACT_EST_MAPPING=PRECISE</stp>
        <stp>FS=MRC</stp>
        <stp>CURRENCY=USD</stp>
        <stp>XLFILL=b</stp>
        <tr r="AS44" s="2"/>
      </tp>
      <tp t="s">
        <v/>
        <stp/>
        <stp>##V3_BQLV12</stp>
        <stp>[MODL_NOW_US1.xlsx]Single Period!R112C43</stp>
        <stp>SEG0000230975 Segment</stp>
        <stp>IS_COGS_TO_FE_AND_PP_AND_G/1M</stp>
        <stp>FPR=2021Y</stp>
        <stp>FPT=A</stp>
        <stp>FA_ACT_EST_DATA=E, EST_SOURCE=WFT</stp>
        <stp>ACT_EST_MAPPING=PRECISE</stp>
        <stp>FS=MRC</stp>
        <stp>CURRENCY=USD</stp>
        <stp>XLFILL=b</stp>
        <tr r="AQ112" s="2"/>
      </tp>
      <tp t="s">
        <v/>
        <stp/>
        <stp>##V3_BQLV12</stp>
        <stp>[MODL_NOW_US1.xlsx]Single Period!R24C31</stp>
        <stp>NOW US Equity</stp>
        <stp>IS_ADJ_GROSS_PROFIT_AS_REPORTED/1M</stp>
        <stp>FPR=2021Y</stp>
        <stp>FPT=A</stp>
        <stp>FA_ACT_EST_DATA=E, EST_SOURCE=GSR</stp>
        <stp>ACT_EST_MAPPING=PRECISE</stp>
        <stp>FS=MRC</stp>
        <stp>CURRENCY=USD</stp>
        <stp>XLFILL=b</stp>
        <tr r="AE24" s="2"/>
      </tp>
      <tp t="s">
        <v/>
        <stp/>
        <stp>##V3_BQLV12</stp>
        <stp>[MODL_NOW_US1.xlsx]Single Period!R24C35</stp>
        <stp>NOW US Equity</stp>
        <stp>IS_ADJ_GROSS_PROFIT_AS_REPORTED/1M</stp>
        <stp>FPR=2021Y</stp>
        <stp>FPT=A</stp>
        <stp>FA_ACT_EST_DATA=E, EST_SOURCE=MSR</stp>
        <stp>ACT_EST_MAPPING=PRECISE</stp>
        <stp>FS=MRC</stp>
        <stp>CURRENCY=USD</stp>
        <stp>XLFILL=b</stp>
        <tr r="AI24" s="2"/>
      </tp>
      <tp t="s">
        <v/>
        <stp/>
        <stp>##V3_BQLV12</stp>
        <stp>[MODL_NOW_US1.xlsx]Single Period!R84C31</stp>
        <stp>NOW US Equity</stp>
        <stp>IS_ADJ_GROSS_PROFIT_AS_REPORTED/1M</stp>
        <stp>FPR=2021Y</stp>
        <stp>FPT=A</stp>
        <stp>FA_ACT_EST_DATA=E, EST_SOURCE=GSR</stp>
        <stp>ACT_EST_MAPPING=PRECISE</stp>
        <stp>FS=MRC</stp>
        <stp>CURRENCY=USD</stp>
        <stp>XLFILL=b</stp>
        <tr r="AE84" s="2"/>
      </tp>
      <tp t="s">
        <v/>
        <stp/>
        <stp>##V3_BQLV12</stp>
        <stp>[MODL_NOW_US1.xlsx]Single Period!R84C35</stp>
        <stp>NOW US Equity</stp>
        <stp>IS_ADJ_GROSS_PROFIT_AS_REPORTED/1M</stp>
        <stp>FPR=2021Y</stp>
        <stp>FPT=A</stp>
        <stp>FA_ACT_EST_DATA=E, EST_SOURCE=MSR</stp>
        <stp>ACT_EST_MAPPING=PRECISE</stp>
        <stp>FS=MRC</stp>
        <stp>CURRENCY=USD</stp>
        <stp>XLFILL=b</stp>
        <tr r="AI84" s="2"/>
      </tp>
      <tp>
        <v>2.6025755336470442</v>
        <stp/>
        <stp>##V3_BQLV12</stp>
        <stp>[MODL_NOW_US1.xlsx]Single Period!R126C9</stp>
        <stp>NOW US Equity</stp>
        <stp>CONTRIBUTOR_STATS(IS_NON_OPERATING_INC_LOSS_GAAP, MEDIAN)/1M</stp>
        <stp>FPR=2021Y</stp>
        <stp>FPT=A</stp>
        <stp>FA_ACT_EST_DATA=E</stp>
        <stp>ACT_EST_MAPPING=PRECISE</stp>
        <stp>FS=MRC</stp>
        <stp>CURRENCY=USD</stp>
        <stp>XLFILL=b</stp>
        <tr r="I126" s="2"/>
      </tp>
      <tp>
        <v>4791.5374305680698</v>
        <stp/>
        <stp>##V3_BQLV12</stp>
        <stp>[MODL_NOW_US1.xlsx]Single Period!R84C19</stp>
        <stp>NOW US Equity</stp>
        <stp>IS_ADJ_GROSS_PROFIT_AS_REPORTED/1M</stp>
        <stp>FPR=2021Y</stp>
        <stp>FPT=A</stp>
        <stp>FA_ACT_EST_DATA=E, EST_SOURCE=MSV</stp>
        <stp>ACT_EST_MAPPING=PRECISE</stp>
        <stp>FS=MRC</stp>
        <stp>CURRENCY=USD</stp>
        <stp>XLFILL=b</stp>
        <tr r="S84" s="2"/>
      </tp>
      <tp>
        <v>4791.5374305680698</v>
        <stp/>
        <stp>##V3_BQLV12</stp>
        <stp>[MODL_NOW_US1.xlsx]Single Period!R24C19</stp>
        <stp>NOW US Equity</stp>
        <stp>IS_ADJ_GROSS_PROFIT_AS_REPORTED/1M</stp>
        <stp>FPR=2021Y</stp>
        <stp>FPT=A</stp>
        <stp>FA_ACT_EST_DATA=E, EST_SOURCE=MSV</stp>
        <stp>ACT_EST_MAPPING=PRECISE</stp>
        <stp>FS=MRC</stp>
        <stp>CURRENCY=USD</stp>
        <stp>XLFILL=b</stp>
        <tr r="S24" s="2"/>
      </tp>
      <tp>
        <v>63.734870787310527</v>
        <stp/>
        <stp>##V3_BQLV12</stp>
        <stp>[MODL_NOW_US1.xlsx]Single Period!R179C5</stp>
        <stp>NOW US Equity</stp>
        <stp>LT_DEFERRED_REVENUE/1M</stp>
        <stp>FPR=2021Y</stp>
        <stp>FPT=A</stp>
        <stp>FA_ACT_EST_DATA=E</stp>
        <stp>ACT_EST_MAPPING=PRECISE</stp>
        <stp>FS=MRC</stp>
        <stp>CURRENCY=USD</stp>
        <stp>XLFILL=b</stp>
        <tr r="E179" s="2"/>
      </tp>
      <tp t="s">
        <v/>
        <stp/>
        <stp>##V3_BQLV12</stp>
        <stp>[MODL_NOW_US1.xlsx]Single Period!R113C17</stp>
        <stp>SEG0000230986 Segment</stp>
        <stp>IS_COGS_TO_FE_AND_PP_AND_G/1M</stp>
        <stp>FPR=2021Y</stp>
        <stp>FPT=A</stp>
        <stp>FA_ACT_EST_DATA=E, EST_SOURCE=RHR</stp>
        <stp>ACT_EST_MAPPING=PRECISE</stp>
        <stp>FS=MRC</stp>
        <stp>CURRENCY=USD</stp>
        <stp>XLFILL=b</stp>
        <tr r="Q113" s="2"/>
      </tp>
      <tp>
        <v>14.259312688340669</v>
        <stp/>
        <stp>##V3_BQLV12</stp>
        <stp>[MODL_NOW_US1.xlsx]Single Period!R70C9</stp>
        <stp>SEG0000230986 Segment</stp>
        <stp>CONTRIBUTOR_STATS(IS_ADJ_GROSS_MARGIN_PCT_AR, MEDIAN)</stp>
        <stp>FPR=2021Y</stp>
        <stp>FPT=A</stp>
        <stp>FA_ACT_EST_DATA=E</stp>
        <stp>ACT_EST_MAPPING=PRECISE</stp>
        <stp>FS=MRC</stp>
        <stp>CURRENCY=USD</stp>
        <stp>XLFILL=b</stp>
        <tr r="I70" s="2"/>
      </tp>
      <tp>
        <v>2223.2565330346551</v>
        <stp/>
        <stp>##V3_BQLV12</stp>
        <stp>[MODL_NOW_US1.xlsx]Single Period!R213C9</stp>
        <stp>NOW US Equity</stp>
        <stp>CONTRIBUTOR_STATS(CF_CASH_FROM_OPER, MEDIAN)/1M</stp>
        <stp>FPR=2021Y</stp>
        <stp>FPT=A</stp>
        <stp>FA_ACT_EST_DATA=E</stp>
        <stp>ACT_EST_MAPPING=PRECISE</stp>
        <stp>FS=MRC</stp>
        <stp>CURRENCY=USD</stp>
        <stp>XLFILL=b</stp>
        <tr r="I213" s="2"/>
      </tp>
      <tp t="s">
        <v/>
        <stp/>
        <stp>##V3_BQLV12</stp>
        <stp>[MODL_NOW_US1.xlsx]Single Period!R231C21</stp>
        <stp>NOW US Equity</stp>
        <stp>CF_NET_CHNG_CASH/1M</stp>
        <stp>FPR=2021Y</stp>
        <stp>FPT=A</stp>
        <stp>FA_ACT_EST_DATA=E, EST_SOURCE=JMP</stp>
        <stp>ACT_EST_MAPPING=PRECISE</stp>
        <stp>FS=MRC</stp>
        <stp>CURRENCY=USD</stp>
        <stp>XLFILL=b</stp>
        <tr r="U231" s="2"/>
      </tp>
      <tp>
        <v>69.000675437813399</v>
        <stp/>
        <stp>##V3_BQLV12</stp>
        <stp>[MODL_NOW_US1.xlsx]Single Period!R178C8</stp>
        <stp>NOW US Equity</stp>
        <stp>CONTRIBUTOR_STATS(BS_ADJ_TOTAL_LT_LIABILITIES, STD)/1M</stp>
        <stp>FPR=2021Y</stp>
        <stp>FPT=A</stp>
        <stp>FA_ACT_EST_DATA=E</stp>
        <stp>ACT_EST_MAPPING=PRECISE</stp>
        <stp>FS=MRC</stp>
        <stp>CURRENCY=USD</stp>
        <stp>XLFILL=b</stp>
        <tr r="H178" s="2"/>
      </tp>
      <tp t="s">
        <v/>
        <stp/>
        <stp>##V3_BQLV12</stp>
        <stp>[MODL_NOW_US1.xlsx]Single Period!R140C38</stp>
        <stp>SEG0000230975 Segment</stp>
        <stp>IS_SBC_ATTRIB_TO_COGS_PRETX/1M</stp>
        <stp>FPR=2021Y</stp>
        <stp>FPT=A</stp>
        <stp>FA_ACT_EST_DATA=E, EST_SOURCE=RWB</stp>
        <stp>ACT_EST_MAPPING=PRECISE</stp>
        <stp>FS=MRC</stp>
        <stp>CURRENCY=USD</stp>
        <stp>XLFILL=b</stp>
        <tr r="AL140" s="2"/>
      </tp>
      <tp t="s">
        <v/>
        <stp/>
        <stp>##V3_BQLV12</stp>
        <stp>[MODL_NOW_US1.xlsx]Single Period!R141C37</stp>
        <stp>SEG0000230986 Segment</stp>
        <stp>IS_SBC_ATTRIB_TO_COGS_PRETX/1M</stp>
        <stp>FPR=2021Y</stp>
        <stp>FPT=A</stp>
        <stp>FA_ACT_EST_DATA=E, EST_SOURCE=TTC</stp>
        <stp>ACT_EST_MAPPING=PRECISE</stp>
        <stp>FS=MRC</stp>
        <stp>CURRENCY=USD</stp>
        <stp>XLFILL=b</stp>
        <tr r="AK141" s="2"/>
      </tp>
      <tp t="s">
        <v/>
        <stp/>
        <stp>##V3_BQLV12</stp>
        <stp>[MODL_NOW_US1.xlsx]Single Period!R140C40</stp>
        <stp>SEG0000230975 Segment</stp>
        <stp>IS_SBC_ATTRIB_TO_COGS_PRETX/1M</stp>
        <stp>FPR=2021Y</stp>
        <stp>FPT=A</stp>
        <stp>FA_ACT_EST_DATA=E, EST_SOURCE=DWI</stp>
        <stp>ACT_EST_MAPPING=PRECISE</stp>
        <stp>FS=MRC</stp>
        <stp>CURRENCY=USD</stp>
        <stp>XLFILL=b</stp>
        <tr r="AN140" s="2"/>
      </tp>
      <tp t="s">
        <v/>
        <stp/>
        <stp>##V3_BQLV12</stp>
        <stp>[MODL_NOW_US1.xlsx]Single Period!R141C42</stp>
        <stp>SEG0000230986 Segment</stp>
        <stp>IS_SBC_ATTRIB_TO_COGS_PRETX/1M</stp>
        <stp>FPR=2021Y</stp>
        <stp>FPT=A</stp>
        <stp>FA_ACT_EST_DATA=E, EST_SOURCE=CTI</stp>
        <stp>ACT_EST_MAPPING=PRECISE</stp>
        <stp>FS=MRC</stp>
        <stp>CURRENCY=USD</stp>
        <stp>XLFILL=b</stp>
        <tr r="AP141" s="2"/>
      </tp>
      <tp t="s">
        <v/>
        <stp/>
        <stp>##V3_BQLV12</stp>
        <stp>[MODL_NOW_US1.xlsx]Single Period!R140C24</stp>
        <stp>SEG0000230975 Segment</stp>
        <stp>IS_SBC_ATTRIB_TO_COGS_PRETX/1M</stp>
        <stp>FPR=2021Y</stp>
        <stp>FPT=A</stp>
        <stp>FA_ACT_EST_DATA=E, EST_SOURCE=CWN</stp>
        <stp>ACT_EST_MAPPING=PRECISE</stp>
        <stp>FS=MRC</stp>
        <stp>CURRENCY=USD</stp>
        <stp>XLFILL=b</stp>
        <tr r="X140" s="2"/>
      </tp>
      <tp>
        <v>40.352882548494414</v>
        <stp/>
        <stp>##V3_BQLV12</stp>
        <stp>[MODL_NOW_US1.xlsx]Single Period!R180C8</stp>
        <stp>NOW US Equity</stp>
        <stp>CONTRIBUTOR_STATS(BS_LT_OPERATING_LEASE_LIABS, STD)/1M</stp>
        <stp>FPR=2021Y</stp>
        <stp>FPT=A</stp>
        <stp>FA_ACT_EST_DATA=E</stp>
        <stp>ACT_EST_MAPPING=PRECISE</stp>
        <stp>FS=MRC</stp>
        <stp>CURRENCY=USD</stp>
        <stp>XLFILL=b</stp>
        <tr r="H180" s="2"/>
      </tp>
      <tp t="s">
        <v/>
        <stp/>
        <stp>##V3_BQLV12</stp>
        <stp>[MODL_NOW_US1.xlsx]Single Period!R231C18</stp>
        <stp>NOW US Equity</stp>
        <stp>CF_NET_CHNG_CASH/1M</stp>
        <stp>FPR=2021Y</stp>
        <stp>FPT=A</stp>
        <stp>FA_ACT_EST_DATA=E, EST_SOURCE=SNR</stp>
        <stp>ACT_EST_MAPPING=PRECISE</stp>
        <stp>FS=MRC</stp>
        <stp>CURRENCY=USD</stp>
        <stp>XLFILL=b</stp>
        <tr r="R231" s="2"/>
      </tp>
      <tp t="s">
        <v/>
        <stp/>
        <stp>##V3_BQLV12</stp>
        <stp>[MODL_NOW_US1.xlsx]Single Period!R53C21</stp>
        <stp>NOW US Equity</stp>
        <stp>ANNUALIZED_DAYS_SALES_OUTSTDG</stp>
        <stp>FPR=2021Y</stp>
        <stp>FPT=A</stp>
        <stp>FA_ACT_EST_DATA=E, EST_SOURCE=JMP</stp>
        <stp>ACT_EST_MAPPING=PRECISE</stp>
        <stp>FS=MRC</stp>
        <stp>CURRENCY=USD</stp>
        <stp>XLFILL=b</stp>
        <tr r="U53" s="2"/>
      </tp>
      <tp t="s">
        <v/>
        <stp/>
        <stp>##V3_BQLV12</stp>
        <stp>[MODL_NOW_US1.xlsx]Single Period!R53C14</stp>
        <stp>NOW US Equity</stp>
        <stp>ANNUALIZED_DAYS_SALES_OUTSTDG</stp>
        <stp>FPR=2021Y</stp>
        <stp>FPT=A</stp>
        <stp>FA_ACT_EST_DATA=E, EST_SOURCE=BMO</stp>
        <stp>ACT_EST_MAPPING=PRECISE</stp>
        <stp>FS=MRC</stp>
        <stp>CURRENCY=USD</stp>
        <stp>XLFILL=b</stp>
        <tr r="N53" s="2"/>
      </tp>
      <tp>
        <v>449.20518243999999</v>
        <stp/>
        <stp>##V3_BQLV12</stp>
        <stp>[MODL_NOW_US1.xlsx]Single Period!R180C6</stp>
        <stp>NOW US Equity</stp>
        <stp>CONTRIBUTOR_STATS(BS_LT_OPERATING_LEASE_LIABS, MIN)/1M</stp>
        <stp>FPR=2021Y</stp>
        <stp>FPT=A</stp>
        <stp>FA_ACT_EST_DATA=E</stp>
        <stp>ACT_EST_MAPPING=PRECISE</stp>
        <stp>FS=MRC</stp>
        <stp>CURRENCY=USD</stp>
        <stp>XLFILL=b</stp>
        <tr r="F180" s="2"/>
      </tp>
      <tp>
        <v>568</v>
        <stp/>
        <stp>##V3_BQLV12</stp>
        <stp>[MODL_NOW_US1.xlsx]Single Period!R180C7</stp>
        <stp>NOW US Equity</stp>
        <stp>CONTRIBUTOR_STATS(BS_LT_OPERATING_LEASE_LIABS, MAX)/1M</stp>
        <stp>FPR=2021Y</stp>
        <stp>FPT=A</stp>
        <stp>FA_ACT_EST_DATA=E</stp>
        <stp>ACT_EST_MAPPING=PRECISE</stp>
        <stp>FS=MRC</stp>
        <stp>CURRENCY=USD</stp>
        <stp>XLFILL=b</stp>
        <tr r="G180" s="2"/>
      </tp>
      <tp t="s">
        <v/>
        <stp/>
        <stp>##V3_BQLV12</stp>
        <stp>[MODL_NOW_US1.xlsx]Single Period!R220C24</stp>
        <stp>NOW US Equity</stp>
        <stp>CF_PROCDS_FROM_INVSTMNTS/1M</stp>
        <stp>FPR=2021Y</stp>
        <stp>FPT=A</stp>
        <stp>FA_ACT_EST_DATA=E, EST_SOURCE=CWN</stp>
        <stp>ACT_EST_MAPPING=PRECISE</stp>
        <stp>FS=MRC</stp>
        <stp>CURRENCY=USD</stp>
        <stp>XLFILL=b</stp>
        <tr r="X220" s="2"/>
      </tp>
      <tp>
        <v>2154</v>
        <stp/>
        <stp>##V3_BQLV12</stp>
        <stp>[MODL_NOW_US1.xlsx]Single Period!R178C6</stp>
        <stp>NOW US Equity</stp>
        <stp>CONTRIBUTOR_STATS(BS_ADJ_TOTAL_LT_LIABILITIES, MIN)/1M</stp>
        <stp>FPR=2021Y</stp>
        <stp>FPT=A</stp>
        <stp>FA_ACT_EST_DATA=E</stp>
        <stp>ACT_EST_MAPPING=PRECISE</stp>
        <stp>FS=MRC</stp>
        <stp>CURRENCY=USD</stp>
        <stp>XLFILL=b</stp>
        <tr r="F178" s="2"/>
      </tp>
      <tp>
        <v>2289.1053805758074</v>
        <stp/>
        <stp>##V3_BQLV12</stp>
        <stp>[MODL_NOW_US1.xlsx]Single Period!R178C7</stp>
        <stp>NOW US Equity</stp>
        <stp>CONTRIBUTOR_STATS(BS_ADJ_TOTAL_LT_LIABILITIES, MAX)/1M</stp>
        <stp>FPR=2021Y</stp>
        <stp>FPT=A</stp>
        <stp>FA_ACT_EST_DATA=E</stp>
        <stp>ACT_EST_MAPPING=PRECISE</stp>
        <stp>FS=MRC</stp>
        <stp>CURRENCY=USD</stp>
        <stp>XLFILL=b</stp>
        <tr r="G178" s="2"/>
      </tp>
      <tp t="s">
        <v/>
        <stp/>
        <stp>##V3_BQLV12</stp>
        <stp>[MODL_NOW_US1.xlsx]Single Period!R50C29</stp>
        <stp>NOW US Equity</stp>
        <stp>NUM_CSTMR_CNTRCT_OVER_1_MILLN</stp>
        <stp>FPR=2021Y</stp>
        <stp>FPT=A</stp>
        <stp>FA_ACT_EST_DATA=E, EST_SOURCE=BNS</stp>
        <stp>ACT_EST_MAPPING=PRECISE</stp>
        <stp>FS=MRC</stp>
        <stp>CURRENCY=USD</stp>
        <stp>XLFILL=b</stp>
        <tr r="AC50" s="2"/>
      </tp>
      <tp t="s">
        <v/>
        <stp/>
        <stp>##V3_BQLV12</stp>
        <stp>[MODL_NOW_US1.xlsx]Single Period!R50C18</stp>
        <stp>NOW US Equity</stp>
        <stp>NUM_CSTMR_CNTRCT_OVER_1_MILLN</stp>
        <stp>FPR=2021Y</stp>
        <stp>FPT=A</stp>
        <stp>FA_ACT_EST_DATA=E, EST_SOURCE=SNR</stp>
        <stp>ACT_EST_MAPPING=PRECISE</stp>
        <stp>FS=MRC</stp>
        <stp>CURRENCY=USD</stp>
        <stp>XLFILL=b</stp>
        <tr r="R50" s="2"/>
      </tp>
      <tp t="s">
        <v/>
        <stp/>
        <stp>##V3_BQLV12</stp>
        <stp>[MODL_NOW_US1.xlsx]Single Period!R217C23</stp>
        <stp>NOW US Equity</stp>
        <stp>CAP_EXPEND_TO_SALES</stp>
        <stp>FPR=2021Y</stp>
        <stp>FPT=A</stp>
        <stp>FA_ACT_EST_DATA=E, EST_SOURCE=ZXS</stp>
        <stp>ACT_EST_MAPPING=PRECISE</stp>
        <stp>FS=MRC</stp>
        <stp>CURRENCY=USD</stp>
        <stp>XLFILL=b</stp>
        <tr r="W217" s="2"/>
      </tp>
      <tp>
        <v>1471</v>
        <stp/>
        <stp>##V3_BQLV12</stp>
        <stp>[MODL_NOW_US1.xlsx]Single Period!R95C14</stp>
        <stp>NOW US Equity</stp>
        <stp>IS_COMPARABLE_EBIT/1M</stp>
        <stp>FPR=2021Y</stp>
        <stp>FPT=A</stp>
        <stp>FA_ACT_EST_DATA=E, EST_SOURCE=BMO</stp>
        <stp>ACT_EST_MAPPING=PRECISE</stp>
        <stp>FS=MRC</stp>
        <stp>CURRENCY=USD</stp>
        <stp>XLFILL=b</stp>
        <tr r="N95" s="2"/>
      </tp>
      <tp>
        <v>5.2503644104147693E-2</v>
        <stp/>
        <stp>##V3_BQLV12</stp>
        <stp>[MODL_NOW_US1.xlsx]Single Period!R18C8</stp>
        <stp>SEG0000230975 Segment</stp>
        <stp>CONTRIBUTOR_STATS(IS_ADJ_GROSS_MARGIN_PCT_AR, STD)</stp>
        <stp>FPR=2021Y</stp>
        <stp>FPT=A</stp>
        <stp>FA_ACT_EST_DATA=E</stp>
        <stp>ACT_EST_MAPPING=PRECISE</stp>
        <stp>FS=MRC</stp>
        <stp>CURRENCY=USD</stp>
        <stp>XLFILL=b</stp>
        <tr r="H18" s="2"/>
      </tp>
      <tp t="s">
        <v/>
        <stp/>
        <stp>##V3_BQLV12</stp>
        <stp>[MODL_NOW_US1.xlsx]Single Period!R90C42</stp>
        <stp>NOW US Equity</stp>
        <stp>IS_ADJ_R_AND_D_AS_REPORTED/1M</stp>
        <stp>FPR=2021Y</stp>
        <stp>FPT=A</stp>
        <stp>FA_ACT_EST_DATA=E, EST_SOURCE=CTI</stp>
        <stp>ACT_EST_MAPPING=PRECISE</stp>
        <stp>FS=MRC</stp>
        <stp>CURRENCY=USD</stp>
        <stp>XLFILL=b</stp>
        <tr r="AP90" s="2"/>
      </tp>
      <tp>
        <v>1466</v>
        <stp/>
        <stp>##V3_BQLV12</stp>
        <stp>[MODL_NOW_US1.xlsx]Single Period!R95C21</stp>
        <stp>NOW US Equity</stp>
        <stp>IS_COMPARABLE_EBIT/1M</stp>
        <stp>FPR=2021Y</stp>
        <stp>FPT=A</stp>
        <stp>FA_ACT_EST_DATA=E, EST_SOURCE=JMP</stp>
        <stp>ACT_EST_MAPPING=PRECISE</stp>
        <stp>FS=MRC</stp>
        <stp>CURRENCY=USD</stp>
        <stp>XLFILL=b</stp>
        <tr r="U95" s="2"/>
      </tp>
    </main>
    <main first="bloomberg.rtd">
      <tp t="s">
        <v/>
        <stp/>
        <stp>##V3_BQLV12</stp>
        <stp>[MODL_NOW_US1.xlsx]Single Period!R90C37</stp>
        <stp>NOW US Equity</stp>
        <stp>IS_ADJ_R_AND_D_AS_REPORTED/1M</stp>
        <stp>FPR=2021Y</stp>
        <stp>FPT=A</stp>
        <stp>FA_ACT_EST_DATA=E, EST_SOURCE=TTC</stp>
        <stp>ACT_EST_MAPPING=PRECISE</stp>
        <stp>FS=MRC</stp>
        <stp>CURRENCY=USD</stp>
        <stp>XLFILL=b</stp>
        <tr r="AK90" s="2"/>
      </tp>
      <tp>
        <v>5.87</v>
        <stp/>
        <stp>##V3_BQLV12</stp>
        <stp>[MODL_NOW_US1.xlsx]Single Period!R6C12</stp>
        <stp>NOW US Equity</stp>
        <stp>IS_COMP_EPS_EXCL_STOCK_COMP</stp>
        <stp>FPR=2021Y</stp>
        <stp>FPT=A</stp>
        <stp>FA_ACT_EST_DATA=E, EST_SOURCE=WBL</stp>
        <stp>ACT_EST_MAPPING=PRECISE</stp>
        <stp>FS=MRC</stp>
        <stp>CURRENCY=USD</stp>
        <stp>XLFILL=b</stp>
        <tr r="L6" s="2"/>
      </tp>
      <tp>
        <v>5.91</v>
        <stp/>
        <stp>##V3_BQLV12</stp>
        <stp>[MODL_NOW_US1.xlsx]Single Period!R6C20</stp>
        <stp>NOW US Equity</stp>
        <stp>IS_COMP_EPS_EXCL_STOCK_COMP</stp>
        <stp>FPR=2021Y</stp>
        <stp>FPT=A</stp>
        <stp>FA_ACT_EST_DATA=E, EST_SOURCE=CAN</stp>
        <stp>ACT_EST_MAPPING=PRECISE</stp>
        <stp>FS=MRC</stp>
        <stp>CURRENCY=USD</stp>
        <stp>XLFILL=b</stp>
        <tr r="T6" s="2"/>
      </tp>
      <tp>
        <v>0</v>
        <stp/>
        <stp>##V3_BQLV12</stp>
        <stp>[MODL_NOW_US1.xlsx]Single Period!R148C8</stp>
        <stp>NOW US Equity</stp>
        <stp>CONTRIBUTOR_STATS(IS_AMORT_ACQD_INTANGIBLES_R_AND_D, STD)/1M</stp>
        <stp>FPR=2021Y</stp>
        <stp>FPT=A</stp>
        <stp>FA_ACT_EST_DATA=E</stp>
        <stp>ACT_EST_MAPPING=PRECISE</stp>
        <stp>FS=MRC</stp>
        <stp>CURRENCY=USD</stp>
        <stp>XLFILL=b</stp>
        <tr r="H148" s="2"/>
      </tp>
      <tp>
        <v>202.875</v>
        <stp/>
        <stp>##V3_BQLV12</stp>
        <stp>[MODL_NOW_US1.xlsx]Single Period!R107C7</stp>
        <stp>NOW US Equity</stp>
        <stp>CONTRIBUTOR_STATS(CB_IS_ADJ_DILUTED_AVG_SHS, MAX)/1M</stp>
        <stp>FPR=2021Y</stp>
        <stp>FPT=A</stp>
        <stp>FA_ACT_EST_DATA=E</stp>
        <stp>ACT_EST_MAPPING=PRECISE</stp>
        <stp>FS=MRC</stp>
        <stp>CURRENCY=USD</stp>
        <stp>XLFILL=b</stp>
        <tr r="G107" s="2"/>
      </tp>
      <tp t="s">
        <v/>
        <stp/>
        <stp>##V3_BQLV12</stp>
        <stp>[MODL_NOW_US1.xlsx]Single Period!R112C36</stp>
        <stp>SEG0000230975 Segment</stp>
        <stp>IS_COGS_TO_FE_AND_PP_AND_G/1M</stp>
        <stp>FPR=2021Y</stp>
        <stp>FPT=A</stp>
        <stp>FA_ACT_EST_DATA=E, EST_SOURCE=JEF</stp>
        <stp>ACT_EST_MAPPING=PRECISE</stp>
        <stp>FS=MRC</stp>
        <stp>CURRENCY=USD</stp>
        <stp>XLFILL=b</stp>
        <tr r="AJ112" s="2"/>
      </tp>
      <tp>
        <v>4774.1851214596991</v>
        <stp/>
        <stp>##V3_BQLV12</stp>
        <stp>[MODL_NOW_US1.xlsx]Single Period!R24C11</stp>
        <stp>NOW US Equity</stp>
        <stp>IS_ADJ_GROSS_PROFIT_AS_REPORTED/1M</stp>
        <stp>FPR=2021Y</stp>
        <stp>FPT=A</stp>
        <stp>FA_ACT_EST_DATA=E, EST_SOURCE=JPM</stp>
        <stp>ACT_EST_MAPPING=PRECISE</stp>
        <stp>FS=MRC</stp>
        <stp>CURRENCY=USD</stp>
        <stp>XLFILL=b</stp>
        <tr r="K24" s="2"/>
      </tp>
      <tp>
        <v>4774.1851214596991</v>
        <stp/>
        <stp>##V3_BQLV12</stp>
        <stp>[MODL_NOW_US1.xlsx]Single Period!R84C11</stp>
        <stp>NOW US Equity</stp>
        <stp>IS_ADJ_GROSS_PROFIT_AS_REPORTED/1M</stp>
        <stp>FPR=2021Y</stp>
        <stp>FPT=A</stp>
        <stp>FA_ACT_EST_DATA=E, EST_SOURCE=JPM</stp>
        <stp>ACT_EST_MAPPING=PRECISE</stp>
        <stp>FS=MRC</stp>
        <stp>CURRENCY=USD</stp>
        <stp>XLFILL=b</stp>
        <tr r="K84" s="2"/>
      </tp>
      <tp>
        <v>5.6547086618920996</v>
        <stp/>
        <stp>##V3_BQLV12</stp>
        <stp>[MODL_NOW_US1.xlsx]Single Period!R129C8</stp>
        <stp>NOW US Equity</stp>
        <stp>CONTRIBUTOR_STATS(EFF_TAX_RATE, STD)</stp>
        <stp>FPR=2021Y</stp>
        <stp>FPT=A</stp>
        <stp>FA_ACT_EST_DATA=E</stp>
        <stp>ACT_EST_MAPPING=PRECISE</stp>
        <stp>FS=MRC</stp>
        <stp>CURRENCY=USD</stp>
        <stp>XLFILL=b</stp>
        <tr r="H129" s="2"/>
      </tp>
      <tp t="s">
        <v/>
        <stp/>
        <stp>##V3_BQLV12</stp>
        <stp>[MODL_NOW_US1.xlsx]Single Period!R24C15</stp>
        <stp>NOW US Equity</stp>
        <stp>IS_ADJ_GROSS_PROFIT_AS_REPORTED/1M</stp>
        <stp>FPR=2021Y</stp>
        <stp>FPT=A</stp>
        <stp>FA_ACT_EST_DATA=E, EST_SOURCE=OPY</stp>
        <stp>ACT_EST_MAPPING=PRECISE</stp>
        <stp>FS=MRC</stp>
        <stp>CURRENCY=USD</stp>
        <stp>XLFILL=b</stp>
        <tr r="O24" s="2"/>
      </tp>
      <tp t="s">
        <v/>
        <stp/>
        <stp>##V3_BQLV12</stp>
        <stp>[MODL_NOW_US1.xlsx]Single Period!R84C15</stp>
        <stp>NOW US Equity</stp>
        <stp>IS_ADJ_GROSS_PROFIT_AS_REPORTED/1M</stp>
        <stp>FPR=2021Y</stp>
        <stp>FPT=A</stp>
        <stp>FA_ACT_EST_DATA=E, EST_SOURCE=OPY</stp>
        <stp>ACT_EST_MAPPING=PRECISE</stp>
        <stp>FS=MRC</stp>
        <stp>CURRENCY=USD</stp>
        <stp>XLFILL=b</stp>
        <tr r="O84" s="2"/>
      </tp>
      <tp>
        <v>1024.2075459991988</v>
        <stp/>
        <stp>##V3_BQLV12</stp>
        <stp>[MODL_NOW_US1.xlsx]Single Period!R112C13</stp>
        <stp>SEG0000230975 Segment</stp>
        <stp>IS_COGS_TO_FE_AND_PP_AND_G/1M</stp>
        <stp>FPR=2021Y</stp>
        <stp>FPT=A</stp>
        <stp>FA_ACT_EST_DATA=E, EST_SOURCE=KEY</stp>
        <stp>ACT_EST_MAPPING=PRECISE</stp>
        <stp>FS=MRC</stp>
        <stp>CURRENCY=USD</stp>
        <stp>XLFILL=b</stp>
        <tr r="M112" s="2"/>
      </tp>
      <tp t="s">
        <v/>
        <stp/>
        <stp>##V3_BQLV12</stp>
        <stp>[MODL_NOW_US1.xlsx]Single Period!R141C38</stp>
        <stp>SEG0000230986 Segment</stp>
        <stp>IS_SBC_ATTRIB_TO_COGS_PRETX/1M</stp>
        <stp>FPR=2021Y</stp>
        <stp>FPT=A</stp>
        <stp>FA_ACT_EST_DATA=E, EST_SOURCE=RWB</stp>
        <stp>ACT_EST_MAPPING=PRECISE</stp>
        <stp>FS=MRC</stp>
        <stp>CURRENCY=USD</stp>
        <stp>XLFILL=b</stp>
        <tr r="AL141" s="2"/>
      </tp>
      <tp t="s">
        <v/>
        <stp/>
        <stp>##V3_BQLV12</stp>
        <stp>[MODL_NOW_US1.xlsx]Single Period!R140C37</stp>
        <stp>SEG0000230975 Segment</stp>
        <stp>IS_SBC_ATTRIB_TO_COGS_PRETX/1M</stp>
        <stp>FPR=2021Y</stp>
        <stp>FPT=A</stp>
        <stp>FA_ACT_EST_DATA=E, EST_SOURCE=TTC</stp>
        <stp>ACT_EST_MAPPING=PRECISE</stp>
        <stp>FS=MRC</stp>
        <stp>CURRENCY=USD</stp>
        <stp>XLFILL=b</stp>
        <tr r="AK140" s="2"/>
      </tp>
      <tp t="s">
        <v/>
        <stp/>
        <stp>##V3_BQLV12</stp>
        <stp>[MODL_NOW_US1.xlsx]Single Period!R141C40</stp>
        <stp>SEG0000230986 Segment</stp>
        <stp>IS_SBC_ATTRIB_TO_COGS_PRETX/1M</stp>
        <stp>FPR=2021Y</stp>
        <stp>FPT=A</stp>
        <stp>FA_ACT_EST_DATA=E, EST_SOURCE=DWI</stp>
        <stp>ACT_EST_MAPPING=PRECISE</stp>
        <stp>FS=MRC</stp>
        <stp>CURRENCY=USD</stp>
        <stp>XLFILL=b</stp>
        <tr r="AN141" s="2"/>
      </tp>
      <tp t="s">
        <v/>
        <stp/>
        <stp>##V3_BQLV12</stp>
        <stp>[MODL_NOW_US1.xlsx]Single Period!R140C42</stp>
        <stp>SEG0000230975 Segment</stp>
        <stp>IS_SBC_ATTRIB_TO_COGS_PRETX/1M</stp>
        <stp>FPR=2021Y</stp>
        <stp>FPT=A</stp>
        <stp>FA_ACT_EST_DATA=E, EST_SOURCE=CTI</stp>
        <stp>ACT_EST_MAPPING=PRECISE</stp>
        <stp>FS=MRC</stp>
        <stp>CURRENCY=USD</stp>
        <stp>XLFILL=b</stp>
        <tr r="AP140" s="2"/>
      </tp>
      <tp t="s">
        <v/>
        <stp/>
        <stp>##V3_BQLV12</stp>
        <stp>[MODL_NOW_US1.xlsx]Single Period!R141C24</stp>
        <stp>SEG0000230986 Segment</stp>
        <stp>IS_SBC_ATTRIB_TO_COGS_PRETX/1M</stp>
        <stp>FPR=2021Y</stp>
        <stp>FPT=A</stp>
        <stp>FA_ACT_EST_DATA=E, EST_SOURCE=CWN</stp>
        <stp>ACT_EST_MAPPING=PRECISE</stp>
        <stp>FS=MRC</stp>
        <stp>CURRENCY=USD</stp>
        <stp>XLFILL=b</stp>
        <tr r="X141" s="2"/>
      </tp>
      <tp t="s">
        <v/>
        <stp/>
        <stp>##V3_BQLV12</stp>
        <stp>[MODL_NOW_US1.xlsx]Single Period!R231C29</stp>
        <stp>NOW US Equity</stp>
        <stp>CF_NET_CHNG_CASH/1M</stp>
        <stp>FPR=2021Y</stp>
        <stp>FPT=A</stp>
        <stp>FA_ACT_EST_DATA=E, EST_SOURCE=BNS</stp>
        <stp>ACT_EST_MAPPING=PRECISE</stp>
        <stp>FS=MRC</stp>
        <stp>CURRENCY=USD</stp>
        <stp>XLFILL=b</stp>
        <tr r="AC231" s="2"/>
      </tp>
      <tp t="s">
        <v/>
        <stp/>
        <stp>##V3_BQLV12</stp>
        <stp>[MODL_NOW_US1.xlsx]Single Period!R53C29</stp>
        <stp>NOW US Equity</stp>
        <stp>ANNUALIZED_DAYS_SALES_OUTSTDG</stp>
        <stp>FPR=2021Y</stp>
        <stp>FPT=A</stp>
        <stp>FA_ACT_EST_DATA=E, EST_SOURCE=BNS</stp>
        <stp>ACT_EST_MAPPING=PRECISE</stp>
        <stp>FS=MRC</stp>
        <stp>CURRENCY=USD</stp>
        <stp>XLFILL=b</stp>
        <tr r="AC53" s="2"/>
      </tp>
      <tp t="s">
        <v/>
        <stp/>
        <stp>##V3_BQLV12</stp>
        <stp>[MODL_NOW_US1.xlsx]Single Period!R53C18</stp>
        <stp>NOW US Equity</stp>
        <stp>ANNUALIZED_DAYS_SALES_OUTSTDG</stp>
        <stp>FPR=2021Y</stp>
        <stp>FPT=A</stp>
        <stp>FA_ACT_EST_DATA=E, EST_SOURCE=SNR</stp>
        <stp>ACT_EST_MAPPING=PRECISE</stp>
        <stp>FS=MRC</stp>
        <stp>CURRENCY=USD</stp>
        <stp>XLFILL=b</stp>
        <tr r="R53" s="2"/>
      </tp>
      <tp t="s">
        <v/>
        <stp/>
        <stp>##V3_BQLV12</stp>
        <stp>[MODL_NOW_US1.xlsx]Single Period!R52C17</stp>
        <stp>NOW US Equity</stp>
        <stp>ACCT_RCV_DAYS</stp>
        <stp>FPR=2021Y</stp>
        <stp>FPT=A</stp>
        <stp>FA_ACT_EST_DATA=E, EST_SOURCE=RHR</stp>
        <stp>ACT_EST_MAPPING=PRECISE</stp>
        <stp>FS=MRC</stp>
        <stp>CURRENCY=USD</stp>
        <stp>XLFILL=b</stp>
        <tr r="Q52" s="2"/>
      </tp>
      <tp t="s">
        <v/>
        <stp/>
        <stp>##V3_BQLV12</stp>
        <stp>[MODL_NOW_US1.xlsx]Single Period!R220C44</stp>
        <stp>NOW US Equity</stp>
        <stp>CF_PROCDS_FROM_INVSTMNTS/1M</stp>
        <stp>FPR=2021Y</stp>
        <stp>FPT=A</stp>
        <stp>FA_ACT_EST_DATA=E, EST_SOURCE=ARE</stp>
        <stp>ACT_EST_MAPPING=PRECISE</stp>
        <stp>FS=MRC</stp>
        <stp>CURRENCY=USD</stp>
        <stp>XLFILL=b</stp>
        <tr r="AR220" s="2"/>
      </tp>
      <tp t="s">
        <v/>
        <stp/>
        <stp>##V3_BQLV12</stp>
        <stp>[MODL_NOW_US1.xlsx]Single Period!R220C41</stp>
        <stp>NOW US Equity</stp>
        <stp>CF_PROCDS_FROM_INVSTMNTS/1M</stp>
        <stp>FPR=2021Y</stp>
        <stp>FPT=A</stp>
        <stp>FA_ACT_EST_DATA=E, EST_SOURCE=ARG</stp>
        <stp>ACT_EST_MAPPING=PRECISE</stp>
        <stp>FS=MRC</stp>
        <stp>CURRENCY=USD</stp>
        <stp>XLFILL=b</stp>
        <tr r="AO220" s="2"/>
      </tp>
      <tp t="s">
        <v/>
        <stp/>
        <stp>##V3_BQLV12</stp>
        <stp>[MODL_NOW_US1.xlsx]Single Period!R220C48</stp>
        <stp>NOW US Equity</stp>
        <stp>CF_PROCDS_FROM_INVSTMNTS/1M</stp>
        <stp>FPR=2021Y</stp>
        <stp>FPT=A</stp>
        <stp>FA_ACT_EST_DATA=E, EST_SOURCE=CRC</stp>
        <stp>ACT_EST_MAPPING=PRECISE</stp>
        <stp>FS=MRC</stp>
        <stp>CURRENCY=USD</stp>
        <stp>XLFILL=b</stp>
        <tr r="AV220" s="2"/>
      </tp>
      <tp t="s">
        <v/>
        <stp/>
        <stp>##V3_BQLV12</stp>
        <stp>[MODL_NOW_US1.xlsx]Single Period!R231C14</stp>
        <stp>NOW US Equity</stp>
        <stp>CF_NET_CHNG_CASH/1M</stp>
        <stp>FPR=2021Y</stp>
        <stp>FPT=A</stp>
        <stp>FA_ACT_EST_DATA=E, EST_SOURCE=BMO</stp>
        <stp>ACT_EST_MAPPING=PRECISE</stp>
        <stp>FS=MRC</stp>
        <stp>CURRENCY=USD</stp>
        <stp>XLFILL=b</stp>
        <tr r="N231" s="2"/>
      </tp>
      <tp t="s">
        <v/>
        <stp/>
        <stp>##V3_BQLV12</stp>
        <stp>[MODL_NOW_US1.xlsx]Single Period!R92C10</stp>
        <stp>NOW US Equity</stp>
        <stp>IS_ADJ_GENL_AND_ADMIN_EXPN_AR/1M</stp>
        <stp>FPR=2021Y</stp>
        <stp>FPT=A</stp>
        <stp>FA_ACT_EST_DATA=E, EST_SOURCE=CMPY</stp>
        <stp>ACT_EST_MAPPING=PRECISE</stp>
        <stp>FS=MRC</stp>
        <stp>CURRENCY=USD</stp>
        <stp>XLFILL=b</stp>
        <tr r="J92" s="2"/>
      </tp>
      <tp t="s">
        <v/>
        <stp/>
        <stp>##V3_BQLV12</stp>
        <stp>[MODL_NOW_US1.xlsx]Single Period!R50C21</stp>
        <stp>NOW US Equity</stp>
        <stp>NUM_CSTMR_CNTRCT_OVER_1_MILLN</stp>
        <stp>FPR=2021Y</stp>
        <stp>FPT=A</stp>
        <stp>FA_ACT_EST_DATA=E, EST_SOURCE=JMP</stp>
        <stp>ACT_EST_MAPPING=PRECISE</stp>
        <stp>FS=MRC</stp>
        <stp>CURRENCY=USD</stp>
        <stp>XLFILL=b</stp>
        <tr r="U50" s="2"/>
      </tp>
      <tp t="s">
        <v/>
        <stp/>
        <stp>##V3_BQLV12</stp>
        <stp>[MODL_NOW_US1.xlsx]Single Period!R108C46</stp>
        <stp>NOW US Equity</stp>
        <stp>IS_COMP_EPS_EXCL_STOCK_COMP</stp>
        <stp>FPR=2021Y</stp>
        <stp>FPT=A</stp>
        <stp>FA_ACT_EST_DATA=E, EST_SOURCE=MZS</stp>
        <stp>ACT_EST_MAPPING=PRECISE</stp>
        <stp>FS=MRC</stp>
        <stp>CURRENCY=USD</stp>
        <stp>XLFILL=b</stp>
        <tr r="AT108" s="2"/>
      </tp>
      <tp t="s">
        <v/>
        <stp/>
        <stp>##V3_BQLV12</stp>
        <stp>[MODL_NOW_US1.xlsx]Single Period!R217C39</stp>
        <stp>NOW US Equity</stp>
        <stp>CAP_EXPEND_TO_SALES</stp>
        <stp>FPR=2021Y</stp>
        <stp>FPT=A</stp>
        <stp>FA_ACT_EST_DATA=E, EST_SOURCE=DZB</stp>
        <stp>ACT_EST_MAPPING=PRECISE</stp>
        <stp>FS=MRC</stp>
        <stp>CURRENCY=USD</stp>
        <stp>XLFILL=b</stp>
        <tr r="AM217" s="2"/>
      </tp>
      <tp t="s">
        <v/>
        <stp/>
        <stp>##V3_BQLV12</stp>
        <stp>[MODL_NOW_US1.xlsx]Single Period!R90C24</stp>
        <stp>NOW US Equity</stp>
        <stp>IS_ADJ_R_AND_D_AS_REPORTED/1M</stp>
        <stp>FPR=2021Y</stp>
        <stp>FPT=A</stp>
        <stp>FA_ACT_EST_DATA=E, EST_SOURCE=CWN</stp>
        <stp>ACT_EST_MAPPING=PRECISE</stp>
        <stp>FS=MRC</stp>
        <stp>CURRENCY=USD</stp>
        <stp>XLFILL=b</stp>
        <tr r="X90" s="2"/>
      </tp>
      <tp t="s">
        <v/>
        <stp/>
        <stp>##V3_BQLV12</stp>
        <stp>[MODL_NOW_US1.xlsx]Single Period!R90C40</stp>
        <stp>NOW US Equity</stp>
        <stp>IS_ADJ_R_AND_D_AS_REPORTED/1M</stp>
        <stp>FPR=2021Y</stp>
        <stp>FPT=A</stp>
        <stp>FA_ACT_EST_DATA=E, EST_SOURCE=DWI</stp>
        <stp>ACT_EST_MAPPING=PRECISE</stp>
        <stp>FS=MRC</stp>
        <stp>CURRENCY=USD</stp>
        <stp>XLFILL=b</stp>
        <tr r="AN90" s="2"/>
      </tp>
      <tp>
        <v>1470</v>
        <stp/>
        <stp>##V3_BQLV12</stp>
        <stp>[MODL_NOW_US1.xlsx]Single Period!R95C18</stp>
        <stp>NOW US Equity</stp>
        <stp>IS_COMPARABLE_EBIT/1M</stp>
        <stp>FPR=2021Y</stp>
        <stp>FPT=A</stp>
        <stp>FA_ACT_EST_DATA=E, EST_SOURCE=SNR</stp>
        <stp>ACT_EST_MAPPING=PRECISE</stp>
        <stp>FS=MRC</stp>
        <stp>CURRENCY=USD</stp>
        <stp>XLFILL=b</stp>
        <tr r="R95" s="2"/>
      </tp>
      <tp>
        <v>1473</v>
        <stp/>
        <stp>##V3_BQLV12</stp>
        <stp>[MODL_NOW_US1.xlsx]Single Period!R95C29</stp>
        <stp>NOW US Equity</stp>
        <stp>IS_COMPARABLE_EBIT/1M</stp>
        <stp>FPR=2021Y</stp>
        <stp>FPT=A</stp>
        <stp>FA_ACT_EST_DATA=E, EST_SOURCE=BNS</stp>
        <stp>ACT_EST_MAPPING=PRECISE</stp>
        <stp>FS=MRC</stp>
        <stp>CURRENCY=USD</stp>
        <stp>XLFILL=b</stp>
        <tr r="AC95" s="2"/>
      </tp>
      <tp t="s">
        <v/>
        <stp/>
        <stp>##V3_BQLV12</stp>
        <stp>[MODL_NOW_US1.xlsx]Single Period!R50C14</stp>
        <stp>NOW US Equity</stp>
        <stp>NUM_CSTMR_CNTRCT_OVER_1_MILLN</stp>
        <stp>FPR=2021Y</stp>
        <stp>FPT=A</stp>
        <stp>FA_ACT_EST_DATA=E, EST_SOURCE=BMO</stp>
        <stp>ACT_EST_MAPPING=PRECISE</stp>
        <stp>FS=MRC</stp>
        <stp>CURRENCY=USD</stp>
        <stp>XLFILL=b</stp>
        <tr r="N50" s="2"/>
      </tp>
      <tp t="s">
        <v/>
        <stp/>
        <stp>##V3_BQLV12</stp>
        <stp>[MODL_NOW_US1.xlsx]Single Period!R90C38</stp>
        <stp>NOW US Equity</stp>
        <stp>IS_ADJ_R_AND_D_AS_REPORTED/1M</stp>
        <stp>FPR=2021Y</stp>
        <stp>FPT=A</stp>
        <stp>FA_ACT_EST_DATA=E, EST_SOURCE=RWB</stp>
        <stp>ACT_EST_MAPPING=PRECISE</stp>
        <stp>FS=MRC</stp>
        <stp>CURRENCY=USD</stp>
        <stp>XLFILL=b</stp>
        <tr r="AL90" s="2"/>
      </tp>
      <tp>
        <v>5.43622840844181</v>
        <stp/>
        <stp>##V3_BQLV12</stp>
        <stp>[MODL_NOW_US1.xlsx]Single Period!R67C7</stp>
        <stp>SEG0000230986 Segment</stp>
        <stp>CONTRIBUTOR_STATS(IS_PERCENTAGE_OF_REVENUE, MAX)</stp>
        <stp>FPR=2021Y</stp>
        <stp>FPT=A</stp>
        <stp>FA_ACT_EST_DATA=E</stp>
        <stp>ACT_EST_MAPPING=PRECISE</stp>
        <stp>FS=MRC</stp>
        <stp>CURRENCY=USD</stp>
        <stp>XLFILL=b</stp>
        <tr r="G67" s="2"/>
      </tp>
      <tp>
        <v>94.847397742669941</v>
        <stp/>
        <stp>##V3_BQLV12</stp>
        <stp>[MODL_NOW_US1.xlsx]Single Period!R59C7</stp>
        <stp>SEG0000230975 Segment</stp>
        <stp>CONTRIBUTOR_STATS(IS_PERCENTAGE_OF_REVENUE, MAX)</stp>
        <stp>FPR=2021Y</stp>
        <stp>FPT=A</stp>
        <stp>FA_ACT_EST_DATA=E</stp>
        <stp>ACT_EST_MAPPING=PRECISE</stp>
        <stp>FS=MRC</stp>
        <stp>CURRENCY=USD</stp>
        <stp>XLFILL=b</stp>
        <tr r="G59" s="2"/>
      </tp>
      <tp>
        <v>5.89</v>
        <stp/>
        <stp>##V3_BQLV12</stp>
        <stp>[MODL_NOW_US1.xlsx]Single Period!R6C25</stp>
        <stp>NOW US Equity</stp>
        <stp>IS_COMP_EPS_EXCL_STOCK_COMP</stp>
        <stp>FPR=2021Y</stp>
        <stp>FPT=A</stp>
        <stp>FA_ACT_EST_DATA=E, EST_SOURCE=DBG</stp>
        <stp>ACT_EST_MAPPING=PRECISE</stp>
        <stp>FS=MRC</stp>
        <stp>CURRENCY=USD</stp>
        <stp>XLFILL=b</stp>
        <tr r="Y6" s="2"/>
      </tp>
      <tp>
        <v>4592.0075800499999</v>
        <stp/>
        <stp>##V3_BQLV12</stp>
        <stp>[MODL_NOW_US1.xlsx]Single Period!R115C7</stp>
        <stp>NOW US Equity</stp>
        <stp>CONTRIBUTOR_STATS(GROSS_PROFIT, MAX)/1M</stp>
        <stp>FPR=2021Y</stp>
        <stp>FPT=A</stp>
        <stp>FA_ACT_EST_DATA=E</stp>
        <stp>ACT_EST_MAPPING=PRECISE</stp>
        <stp>FS=MRC</stp>
        <stp>CURRENCY=USD</stp>
        <stp>XLFILL=b</stp>
        <tr r="G115" s="2"/>
      </tp>
      <tp>
        <v>4526.3212106362835</v>
        <stp/>
        <stp>##V3_BQLV12</stp>
        <stp>[MODL_NOW_US1.xlsx]Single Period!R115C6</stp>
        <stp>NOW US Equity</stp>
        <stp>CONTRIBUTOR_STATS(GROSS_PROFIT, MIN)/1M</stp>
        <stp>FPR=2021Y</stp>
        <stp>FPT=A</stp>
        <stp>FA_ACT_EST_DATA=E</stp>
        <stp>ACT_EST_MAPPING=PRECISE</stp>
        <stp>FS=MRC</stp>
        <stp>CURRENCY=USD</stp>
        <stp>XLFILL=b</stp>
        <tr r="F115" s="2"/>
      </tp>
      <tp>
        <v>5.92</v>
        <stp/>
        <stp>##V3_BQLV12</stp>
        <stp>[MODL_NOW_US1.xlsx]Single Period!R6C27</stp>
        <stp>NOW US Equity</stp>
        <stp>IS_COMP_EPS_EXCL_STOCK_COMP</stp>
        <stp>FPR=2021Y</stp>
        <stp>FPT=A</stp>
        <stp>FA_ACT_EST_DATA=E, EST_SOURCE=RBC</stp>
        <stp>ACT_EST_MAPPING=PRECISE</stp>
        <stp>FS=MRC</stp>
        <stp>CURRENCY=USD</stp>
        <stp>XLFILL=b</stp>
        <tr r="AA6" s="2"/>
      </tp>
      <tp>
        <v>6.06</v>
        <stp/>
        <stp>##V3_BQLV12</stp>
        <stp>[MODL_NOW_US1.xlsx]Single Period!R6C26</stp>
        <stp>NOW US Equity</stp>
        <stp>IS_COMP_EPS_EXCL_STOCK_COMP</stp>
        <stp>FPR=2021Y</stp>
        <stp>FPT=A</stp>
        <stp>FA_ACT_EST_DATA=E, EST_SOURCE=UBS</stp>
        <stp>ACT_EST_MAPPING=PRECISE</stp>
        <stp>FS=MRC</stp>
        <stp>CURRENCY=USD</stp>
        <stp>XLFILL=b</stp>
        <tr r="Z6" s="2"/>
      </tp>
      <tp>
        <v>18.728849094544884</v>
        <stp/>
        <stp>##V3_BQLV12</stp>
        <stp>[MODL_NOW_US1.xlsx]Single Period!R115C8</stp>
        <stp>NOW US Equity</stp>
        <stp>CONTRIBUTOR_STATS(GROSS_PROFIT, STD)/1M</stp>
        <stp>FPR=2021Y</stp>
        <stp>FPT=A</stp>
        <stp>FA_ACT_EST_DATA=E</stp>
        <stp>ACT_EST_MAPPING=PRECISE</stp>
        <stp>FS=MRC</stp>
        <stp>CURRENCY=USD</stp>
        <stp>XLFILL=b</stp>
        <tr r="H115" s="2"/>
      </tp>
      <tp>
        <v>-266.31792803646903</v>
        <stp/>
        <stp>##V3_BQLV12</stp>
        <stp>[MODL_NOW_US1.xlsx]Single Period!R207C9</stp>
        <stp>NOW US Equity</stp>
        <stp>CONTRIBUTOR_STATS(CB_CF_CHANGE_IN_ACCOUNTS_RECEIVABLE, MEDIAN)/1M</stp>
        <stp>FPR=2021Y</stp>
        <stp>FPT=A</stp>
        <stp>FA_ACT_EST_DATA=E</stp>
        <stp>ACT_EST_MAPPING=PRECISE</stp>
        <stp>FS=MRC</stp>
        <stp>CURRENCY=USD</stp>
        <stp>XLFILL=b</stp>
        <tr r="I207" s="2"/>
      </tp>
      <tp t="s">
        <v/>
        <stp/>
        <stp>##V3_BQLV12</stp>
        <stp>[MODL_NOW_US1.xlsx]Single Period!R59C45</stp>
        <stp>SEG0000230975 Segment</stp>
        <stp>IS_PERCENTAGE_OF_REVENUE</stp>
        <stp>FPR=2021Y</stp>
        <stp>FPT=A</stp>
        <stp>FA_ACT_EST_DATA=E, EST_SOURCE=PJE</stp>
        <stp>ACT_EST_MAPPING=PRECISE</stp>
        <stp>FS=MRC</stp>
        <stp>CURRENCY=USD</stp>
        <stp>XLFILL=b</stp>
        <tr r="AS59" s="2"/>
      </tp>
      <tp>
        <v>2213.3691680263428</v>
        <stp/>
        <stp>##V3_BQLV12</stp>
        <stp>[MODL_NOW_US1.xlsx]Single Period!R178C5</stp>
        <stp>NOW US Equity</stp>
        <stp>BS_ADJ_TOTAL_LT_LIABILITIES/1M</stp>
        <stp>FPR=2021Y</stp>
        <stp>FPT=A</stp>
        <stp>FA_ACT_EST_DATA=E</stp>
        <stp>ACT_EST_MAPPING=PRECISE</stp>
        <stp>FS=MRC</stp>
        <stp>CURRENCY=USD</stp>
        <stp>XLFILL=b</stp>
        <tr r="E178" s="2"/>
      </tp>
      <tp t="s">
        <v/>
        <stp/>
        <stp>##V3_BQLV12</stp>
        <stp>[MODL_NOW_US1.xlsx]Single Period!R113C45</stp>
        <stp>SEG0000230986 Segment</stp>
        <stp>IS_COGS_TO_FE_AND_PP_AND_G/1M</stp>
        <stp>FPR=2021Y</stp>
        <stp>FPT=A</stp>
        <stp>FA_ACT_EST_DATA=E, EST_SOURCE=PJE</stp>
        <stp>ACT_EST_MAPPING=PRECISE</stp>
        <stp>FS=MRC</stp>
        <stp>CURRENCY=USD</stp>
        <stp>XLFILL=b</stp>
        <tr r="AS113" s="2"/>
      </tp>
      <tp t="s">
        <v/>
        <stp/>
        <stp>##V3_BQLV12</stp>
        <stp>[MODL_NOW_US1.xlsx]Single Period!R68C14</stp>
        <stp>SEG0000230986 Segment</stp>
        <stp>IS_ADJUSTED_COGS_AS_REPORTED/1M</stp>
        <stp>FPR=2021Y</stp>
        <stp>FPT=A</stp>
        <stp>FA_ACT_EST_DATA=E, EST_SOURCE=BMO</stp>
        <stp>ACT_EST_MAPPING=PRECISE</stp>
        <stp>FS=MRC</stp>
        <stp>CURRENCY=USD</stp>
        <stp>XLFILL=b</stp>
        <tr r="N68" s="2"/>
      </tp>
      <tp t="s">
        <v/>
        <stp/>
        <stp>##V3_BQLV12</stp>
        <stp>[MODL_NOW_US1.xlsx]Single Period!R60C14</stp>
        <stp>SEG0000230975 Segment</stp>
        <stp>IS_ADJUSTED_COGS_AS_REPORTED/1M</stp>
        <stp>FPR=2021Y</stp>
        <stp>FPT=A</stp>
        <stp>FA_ACT_EST_DATA=E, EST_SOURCE=BMO</stp>
        <stp>ACT_EST_MAPPING=PRECISE</stp>
        <stp>FS=MRC</stp>
        <stp>CURRENCY=USD</stp>
        <stp>XLFILL=b</stp>
        <tr r="N60" s="2"/>
      </tp>
      <tp t="s">
        <v/>
        <stp/>
        <stp>##V3_BQLV12</stp>
        <stp>[MODL_NOW_US1.xlsx]Single Period!R44C14</stp>
        <stp>SEG0000230986 Segment</stp>
        <stp>IS_FOREIGN_CURRENCY_TURNOVER/1M</stp>
        <stp>FPR=2021Y</stp>
        <stp>FPT=A</stp>
        <stp>FA_ACT_EST_DATA=E, EST_SOURCE=BMO</stp>
        <stp>ACT_EST_MAPPING=PRECISE</stp>
        <stp>FS=MRC</stp>
        <stp>CURRENCY=USD</stp>
        <stp>XLFILL=b</stp>
        <tr r="N44" s="2"/>
      </tp>
      <tp>
        <v>0.5652575900455602</v>
        <stp/>
        <stp>##V3_BQLV12</stp>
        <stp>[MODL_NOW_US1.xlsx]Single Period!R116C8</stp>
        <stp>NOW US Equity</stp>
        <stp>CONTRIBUTOR_STATS(GROSS_MARGIN, STD)</stp>
        <stp>FPR=2021Y</stp>
        <stp>FPT=A</stp>
        <stp>FA_ACT_EST_DATA=E</stp>
        <stp>ACT_EST_MAPPING=PRECISE</stp>
        <stp>FS=MRC</stp>
        <stp>CURRENCY=USD</stp>
        <stp>XLFILL=b</stp>
        <tr r="H116" s="2"/>
      </tp>
      <tp>
        <v>1007.545686190361</v>
        <stp/>
        <stp>##V3_BQLV12</stp>
        <stp>[MODL_NOW_US1.xlsx]Single Period!R112C22</stp>
        <stp>SEG0000230975 Segment</stp>
        <stp>IS_COGS_TO_FE_AND_PP_AND_G/1M</stp>
        <stp>FPR=2021Y</stp>
        <stp>FPT=A</stp>
        <stp>FA_ACT_EST_DATA=E, EST_SOURCE=NDH</stp>
        <stp>ACT_EST_MAPPING=PRECISE</stp>
        <stp>FS=MRC</stp>
        <stp>CURRENCY=USD</stp>
        <stp>XLFILL=b</stp>
        <tr r="V112" s="2"/>
      </tp>
      <tp>
        <v>0.15132106218182431</v>
        <stp/>
        <stp>##V3_BQLV12</stp>
        <stp>[MODL_NOW_US1.xlsx]Single Period!R105C8</stp>
        <stp>NOW US Equity</stp>
        <stp>CONTRIBUTOR_STATS(ADJ_PROFIT_MARGIN, STD)</stp>
        <stp>FPR=2021Y</stp>
        <stp>FPT=A</stp>
        <stp>FA_ACT_EST_DATA=E</stp>
        <stp>ACT_EST_MAPPING=PRECISE</stp>
        <stp>FS=MRC</stp>
        <stp>CURRENCY=USD</stp>
        <stp>XLFILL=b</stp>
        <tr r="H105" s="2"/>
      </tp>
      <tp t="s">
        <v/>
        <stp/>
        <stp>##V3_BQLV12</stp>
        <stp>[MODL_NOW_US1.xlsx]Single Period!R68C29</stp>
        <stp>SEG0000230986 Segment</stp>
        <stp>IS_ADJUSTED_COGS_AS_REPORTED/1M</stp>
        <stp>FPR=2021Y</stp>
        <stp>FPT=A</stp>
        <stp>FA_ACT_EST_DATA=E, EST_SOURCE=BNS</stp>
        <stp>ACT_EST_MAPPING=PRECISE</stp>
        <stp>FS=MRC</stp>
        <stp>CURRENCY=USD</stp>
        <stp>XLFILL=b</stp>
        <tr r="AC68" s="2"/>
      </tp>
      <tp t="s">
        <v/>
        <stp/>
        <stp>##V3_BQLV12</stp>
        <stp>[MODL_NOW_US1.xlsx]Single Period!R60C29</stp>
        <stp>SEG0000230975 Segment</stp>
        <stp>IS_ADJUSTED_COGS_AS_REPORTED/1M</stp>
        <stp>FPR=2021Y</stp>
        <stp>FPT=A</stp>
        <stp>FA_ACT_EST_DATA=E, EST_SOURCE=BNS</stp>
        <stp>ACT_EST_MAPPING=PRECISE</stp>
        <stp>FS=MRC</stp>
        <stp>CURRENCY=USD</stp>
        <stp>XLFILL=b</stp>
        <tr r="AC60" s="2"/>
      </tp>
      <tp t="s">
        <v/>
        <stp/>
        <stp>##V3_BQLV12</stp>
        <stp>[MODL_NOW_US1.xlsx]Single Period!R67C21</stp>
        <stp>SEG0000230986 Segment</stp>
        <stp>IS_PERCENTAGE_OF_REVENUE</stp>
        <stp>FPR=2021Y</stp>
        <stp>FPT=A</stp>
        <stp>FA_ACT_EST_DATA=E, EST_SOURCE=JMP</stp>
        <stp>ACT_EST_MAPPING=PRECISE</stp>
        <stp>FS=MRC</stp>
        <stp>CURRENCY=USD</stp>
        <stp>XLFILL=b</stp>
        <tr r="U67" s="2"/>
      </tp>
      <tp t="s">
        <v/>
        <stp/>
        <stp>##V3_BQLV12</stp>
        <stp>[MODL_NOW_US1.xlsx]Single Period!R44C29</stp>
        <stp>SEG0000230986 Segment</stp>
        <stp>IS_FOREIGN_CURRENCY_TURNOVER/1M</stp>
        <stp>FPR=2021Y</stp>
        <stp>FPT=A</stp>
        <stp>FA_ACT_EST_DATA=E, EST_SOURCE=BNS</stp>
        <stp>ACT_EST_MAPPING=PRECISE</stp>
        <stp>FS=MRC</stp>
        <stp>CURRENCY=USD</stp>
        <stp>XLFILL=b</stp>
        <tr r="AC44" s="2"/>
      </tp>
      <tp t="s">
        <v/>
        <stp/>
        <stp>##V3_BQLV12</stp>
        <stp>[MODL_NOW_US1.xlsx]Single Period!R59C17</stp>
        <stp>SEG0000230975 Segment</stp>
        <stp>IS_PERCENTAGE_OF_REVENUE</stp>
        <stp>FPR=2021Y</stp>
        <stp>FPT=A</stp>
        <stp>FA_ACT_EST_DATA=E, EST_SOURCE=RHR</stp>
        <stp>ACT_EST_MAPPING=PRECISE</stp>
        <stp>FS=MRC</stp>
        <stp>CURRENCY=USD</stp>
        <stp>XLFILL=b</stp>
        <tr r="Q59" s="2"/>
      </tp>
      <tp>
        <v>-121.80448</v>
        <stp/>
        <stp>##V3_BQLV12</stp>
        <stp>[MODL_NOW_US1.xlsx]Single Period!R210C6</stp>
        <stp>NOW US Equity</stp>
        <stp>CONTRIBUTOR_STATS(CF_CHANGE_IN_PREPAID_EXPNSS, MIN)/1M</stp>
        <stp>FPR=2021Y</stp>
        <stp>FPT=A</stp>
        <stp>FA_ACT_EST_DATA=E</stp>
        <stp>ACT_EST_MAPPING=PRECISE</stp>
        <stp>FS=MRC</stp>
        <stp>CURRENCY=USD</stp>
        <stp>XLFILL=b</stp>
        <tr r="F210" s="2"/>
      </tp>
      <tp>
        <v>-66.39385033730872</v>
        <stp/>
        <stp>##V3_BQLV12</stp>
        <stp>[MODL_NOW_US1.xlsx]Single Period!R210C7</stp>
        <stp>NOW US Equity</stp>
        <stp>CONTRIBUTOR_STATS(CF_CHANGE_IN_PREPAID_EXPNSS, MAX)/1M</stp>
        <stp>FPR=2021Y</stp>
        <stp>FPT=A</stp>
        <stp>FA_ACT_EST_DATA=E</stp>
        <stp>ACT_EST_MAPPING=PRECISE</stp>
        <stp>FS=MRC</stp>
        <stp>CURRENCY=USD</stp>
        <stp>XLFILL=b</stp>
        <tr r="G210" s="2"/>
      </tp>
      <tp>
        <v>65.34619289808299</v>
        <stp/>
        <stp>##V3_BQLV12</stp>
        <stp>[MODL_NOW_US1.xlsx]Single Period!R207C8</stp>
        <stp>NOW US Equity</stp>
        <stp>CONTRIBUTOR_STATS(CB_CF_CHANGE_IN_ACCOUNTS_RECEIVABLE, STD)/1M</stp>
        <stp>FPR=2021Y</stp>
        <stp>FPT=A</stp>
        <stp>FA_ACT_EST_DATA=E</stp>
        <stp>ACT_EST_MAPPING=PRECISE</stp>
        <stp>FS=MRC</stp>
        <stp>CURRENCY=USD</stp>
        <stp>XLFILL=b</stp>
        <tr r="H207" s="2"/>
      </tp>
      <tp>
        <v>318.43297397949948</v>
        <stp/>
        <stp>##V3_BQLV12</stp>
        <stp>[MODL_NOW_US1.xlsx]Single Period!R154C8</stp>
        <stp>NOW US Equity</stp>
        <stp>CONTRIBUTOR_STATS(BS_CUR_ASSET_REPORT, STD)/1M</stp>
        <stp>FPR=2021Y</stp>
        <stp>FPT=A</stp>
        <stp>FA_ACT_EST_DATA=E</stp>
        <stp>ACT_EST_MAPPING=PRECISE</stp>
        <stp>FS=MRC</stp>
        <stp>CURRENCY=USD</stp>
        <stp>XLFILL=b</stp>
        <tr r="H154" s="2"/>
      </tp>
      <tp t="s">
        <v/>
        <stp/>
        <stp>##V3_BQLV12</stp>
        <stp>[MODL_NOW_US1.xlsx]Single Period!R140C47</stp>
        <stp>SEG0000230975 Segment</stp>
        <stp>IS_SBC_ATTRIB_TO_COGS_PRETX/1M</stp>
        <stp>FPR=2021Y</stp>
        <stp>FPT=A</stp>
        <stp>FA_ACT_EST_DATA=E, EST_SOURCE=SUM</stp>
        <stp>ACT_EST_MAPPING=PRECISE</stp>
        <stp>FS=MRC</stp>
        <stp>CURRENCY=USD</stp>
        <stp>XLFILL=b</stp>
        <tr r="AU140" s="2"/>
      </tp>
      <tp t="s">
        <v/>
        <stp/>
        <stp>##V3_BQLV12</stp>
        <stp>[MODL_NOW_US1.xlsx]Single Period!R26C17</stp>
        <stp>NOW US Equity</stp>
        <stp>IS_ADJ_SELLING_AND_MRKTG_EXPN_AR/1M</stp>
        <stp>FPR=2021Y</stp>
        <stp>FPT=A</stp>
        <stp>FA_ACT_EST_DATA=E, EST_SOURCE=RHR</stp>
        <stp>ACT_EST_MAPPING=PRECISE</stp>
        <stp>FS=MRC</stp>
        <stp>CURRENCY=USD</stp>
        <stp>XLFILL=b</stp>
        <tr r="Q26" s="2"/>
      </tp>
      <tp t="s">
        <v/>
        <stp/>
        <stp>##V3_BQLV12</stp>
        <stp>[MODL_NOW_US1.xlsx]Single Period!R141C28</stp>
        <stp>SEG0000230986 Segment</stp>
        <stp>IS_SBC_ATTRIB_TO_COGS_PRETX/1M</stp>
        <stp>FPR=2021Y</stp>
        <stp>FPT=A</stp>
        <stp>FA_ACT_EST_DATA=E, EST_SOURCE=EVR</stp>
        <stp>ACT_EST_MAPPING=PRECISE</stp>
        <stp>FS=MRC</stp>
        <stp>CURRENCY=USD</stp>
        <stp>XLFILL=b</stp>
        <tr r="AB141" s="2"/>
      </tp>
      <tp>
        <v>6590.5523093966995</v>
        <stp/>
        <stp>##V3_BQLV12</stp>
        <stp>[MODL_NOW_US1.xlsx]Single Period!R154C7</stp>
        <stp>NOW US Equity</stp>
        <stp>CONTRIBUTOR_STATS(BS_CUR_ASSET_REPORT, MAX)/1M</stp>
        <stp>FPR=2021Y</stp>
        <stp>FPT=A</stp>
        <stp>FA_ACT_EST_DATA=E</stp>
        <stp>ACT_EST_MAPPING=PRECISE</stp>
        <stp>FS=MRC</stp>
        <stp>CURRENCY=USD</stp>
        <stp>XLFILL=b</stp>
        <tr r="G154" s="2"/>
      </tp>
      <tp>
        <v>5280.1722807189872</v>
        <stp/>
        <stp>##V3_BQLV12</stp>
        <stp>[MODL_NOW_US1.xlsx]Single Period!R154C6</stp>
        <stp>NOW US Equity</stp>
        <stp>CONTRIBUTOR_STATS(BS_CUR_ASSET_REPORT, MIN)/1M</stp>
        <stp>FPR=2021Y</stp>
        <stp>FPT=A</stp>
        <stp>FA_ACT_EST_DATA=E</stp>
        <stp>ACT_EST_MAPPING=PRECISE</stp>
        <stp>FS=MRC</stp>
        <stp>CURRENCY=USD</stp>
        <stp>XLFILL=b</stp>
        <tr r="F154" s="2"/>
      </tp>
      <tp t="s">
        <v/>
        <stp/>
        <stp>##V3_BQLV12</stp>
        <stp>[MODL_NOW_US1.xlsx]Single Period!R220C37</stp>
        <stp>NOW US Equity</stp>
        <stp>CF_PROCDS_FROM_INVSTMNTS/1M</stp>
        <stp>FPR=2021Y</stp>
        <stp>FPT=A</stp>
        <stp>FA_ACT_EST_DATA=E, EST_SOURCE=TTC</stp>
        <stp>ACT_EST_MAPPING=PRECISE</stp>
        <stp>FS=MRC</stp>
        <stp>CURRENCY=USD</stp>
        <stp>XLFILL=b</stp>
        <tr r="AK220" s="2"/>
      </tp>
      <tp>
        <v>-167.33034027777791</v>
        <stp/>
        <stp>##V3_BQLV12</stp>
        <stp>[MODL_NOW_US1.xlsx]Single Period!R207C7</stp>
        <stp>NOW US Equity</stp>
        <stp>CONTRIBUTOR_STATS(CB_CF_CHANGE_IN_ACCOUNTS_RECEIVABLE, MAX)/1M</stp>
        <stp>FPR=2021Y</stp>
        <stp>FPT=A</stp>
        <stp>FA_ACT_EST_DATA=E</stp>
        <stp>ACT_EST_MAPPING=PRECISE</stp>
        <stp>FS=MRC</stp>
        <stp>CURRENCY=USD</stp>
        <stp>XLFILL=b</stp>
        <tr r="G207" s="2"/>
      </tp>
      <tp>
        <v>-375.74847424472767</v>
        <stp/>
        <stp>##V3_BQLV12</stp>
        <stp>[MODL_NOW_US1.xlsx]Single Period!R207C6</stp>
        <stp>NOW US Equity</stp>
        <stp>CONTRIBUTOR_STATS(CB_CF_CHANGE_IN_ACCOUNTS_RECEIVABLE, MIN)/1M</stp>
        <stp>FPR=2021Y</stp>
        <stp>FPT=A</stp>
        <stp>FA_ACT_EST_DATA=E</stp>
        <stp>ACT_EST_MAPPING=PRECISE</stp>
        <stp>FS=MRC</stp>
        <stp>CURRENCY=USD</stp>
        <stp>XLFILL=b</stp>
        <tr r="F207" s="2"/>
      </tp>
      <tp t="s">
        <v/>
        <stp/>
        <stp>##V3_BQLV12</stp>
        <stp>[MODL_NOW_US1.xlsx]Single Period!R88C17</stp>
        <stp>NOW US Equity</stp>
        <stp>IS_ADJ_SELLING_AND_MRKTG_EXPN_AR/1M</stp>
        <stp>FPR=2021Y</stp>
        <stp>FPT=A</stp>
        <stp>FA_ACT_EST_DATA=E, EST_SOURCE=RHR</stp>
        <stp>ACT_EST_MAPPING=PRECISE</stp>
        <stp>FS=MRC</stp>
        <stp>CURRENCY=USD</stp>
        <stp>XLFILL=b</stp>
        <tr r="Q88" s="2"/>
      </tp>
      <tp>
        <v>16.696854872086078</v>
        <stp/>
        <stp>##V3_BQLV12</stp>
        <stp>[MODL_NOW_US1.xlsx]Single Period!R210C8</stp>
        <stp>NOW US Equity</stp>
        <stp>CONTRIBUTOR_STATS(CF_CHANGE_IN_PREPAID_EXPNSS, STD)/1M</stp>
        <stp>FPR=2021Y</stp>
        <stp>FPT=A</stp>
        <stp>FA_ACT_EST_DATA=E</stp>
        <stp>ACT_EST_MAPPING=PRECISE</stp>
        <stp>FS=MRC</stp>
        <stp>CURRENCY=USD</stp>
        <stp>XLFILL=b</stp>
        <tr r="H210" s="2"/>
      </tp>
      <tp t="s">
        <v/>
        <stp/>
        <stp>##V3_BQLV12</stp>
        <stp>[MODL_NOW_US1.xlsx]Single Period!R11C21</stp>
        <stp>NOW US Equity</stp>
        <stp>NUM_CSTMR_CNTRCT_OVER_1_MILLN</stp>
        <stp>FPR=2021Y</stp>
        <stp>FPT=A</stp>
        <stp>FA_ACT_EST_DATA=E, EST_SOURCE=JMP</stp>
        <stp>ACT_EST_MAPPING=PRECISE</stp>
        <stp>FS=MRC</stp>
        <stp>CURRENCY=USD</stp>
        <stp>XLFILL=b</stp>
        <tr r="U11" s="2"/>
      </tp>
      <tp t="s">
        <v/>
        <stp/>
        <stp>##V3_BQLV12</stp>
        <stp>[MODL_NOW_US1.xlsx]Single Period!R90C28</stp>
        <stp>NOW US Equity</stp>
        <stp>IS_ADJ_R_AND_D_AS_REPORTED/1M</stp>
        <stp>FPR=2021Y</stp>
        <stp>FPT=A</stp>
        <stp>FA_ACT_EST_DATA=E, EST_SOURCE=EVR</stp>
        <stp>ACT_EST_MAPPING=PRECISE</stp>
        <stp>FS=MRC</stp>
        <stp>CURRENCY=USD</stp>
        <stp>XLFILL=b</stp>
        <tr r="AB90" s="2"/>
      </tp>
      <tp>
        <v>267.5408000246224</v>
        <stp/>
        <stp>##V3_BQLV12</stp>
        <stp>[MODL_NOW_US1.xlsx]Single Period!R68C9</stp>
        <stp>SEG0000230986 Segment</stp>
        <stp>CONTRIBUTOR_STATS(IS_ADJUSTED_COGS_AS_REPORTED, MEDIAN)/1M</stp>
        <stp>FPR=2021Y</stp>
        <stp>FPT=A</stp>
        <stp>FA_ACT_EST_DATA=E</stp>
        <stp>ACT_EST_MAPPING=PRECISE</stp>
        <stp>FS=MRC</stp>
        <stp>CURRENCY=USD</stp>
        <stp>XLFILL=b</stp>
        <tr r="I68" s="2"/>
      </tp>
      <tp t="s">
        <v/>
        <stp/>
        <stp>##V3_BQLV12</stp>
        <stp>[MODL_NOW_US1.xlsx]Single Period!R11C14</stp>
        <stp>NOW US Equity</stp>
        <stp>NUM_CSTMR_CNTRCT_OVER_1_MILLN</stp>
        <stp>FPR=2021Y</stp>
        <stp>FPT=A</stp>
        <stp>FA_ACT_EST_DATA=E, EST_SOURCE=BMO</stp>
        <stp>ACT_EST_MAPPING=PRECISE</stp>
        <stp>FS=MRC</stp>
        <stp>CURRENCY=USD</stp>
        <stp>XLFILL=b</stp>
        <tr r="N11" s="2"/>
      </tp>
      <tp>
        <v>94.53326628191239</v>
        <stp/>
        <stp>##V3_BQLV12</stp>
        <stp>[MODL_NOW_US1.xlsx]Single Period!R59C6</stp>
        <stp>SEG0000230975 Segment</stp>
        <stp>CONTRIBUTOR_STATS(IS_PERCENTAGE_OF_REVENUE, MIN)</stp>
        <stp>FPR=2021Y</stp>
        <stp>FPT=A</stp>
        <stp>FA_ACT_EST_DATA=E</stp>
        <stp>ACT_EST_MAPPING=PRECISE</stp>
        <stp>FS=MRC</stp>
        <stp>CURRENCY=USD</stp>
        <stp>XLFILL=b</stp>
        <tr r="F59" s="2"/>
      </tp>
      <tp>
        <v>380.26664478282311</v>
        <stp/>
        <stp>##V3_BQLV12</stp>
        <stp>[MODL_NOW_US1.xlsx]Single Period!R143C6</stp>
        <stp>NOW US Equity</stp>
        <stp>CONTRIBUTOR_STATS(IS_SBC_ATTRIBUTABLE_TO_R_AND_D_PRETX, MIN)/1M</stp>
        <stp>FPR=2021Y</stp>
        <stp>FPT=A</stp>
        <stp>FA_ACT_EST_DATA=E</stp>
        <stp>ACT_EST_MAPPING=PRECISE</stp>
        <stp>FS=MRC</stp>
        <stp>CURRENCY=USD</stp>
        <stp>XLFILL=b</stp>
        <tr r="F143" s="2"/>
      </tp>
      <tp>
        <v>403.1849923497536</v>
        <stp/>
        <stp>##V3_BQLV12</stp>
        <stp>[MODL_NOW_US1.xlsx]Single Period!R143C7</stp>
        <stp>NOW US Equity</stp>
        <stp>CONTRIBUTOR_STATS(IS_SBC_ATTRIBUTABLE_TO_R_AND_D_PRETX, MAX)/1M</stp>
        <stp>FPR=2021Y</stp>
        <stp>FPT=A</stp>
        <stp>FA_ACT_EST_DATA=E</stp>
        <stp>ACT_EST_MAPPING=PRECISE</stp>
        <stp>FS=MRC</stp>
        <stp>CURRENCY=USD</stp>
        <stp>XLFILL=b</stp>
        <tr r="G143" s="2"/>
      </tp>
      <tp>
        <v>5.91</v>
        <stp/>
        <stp>##V3_BQLV12</stp>
        <stp>[MODL_NOW_US1.xlsx]Single Period!R6C32</stp>
        <stp>NOW US Equity</stp>
        <stp>IS_COMP_EPS_EXCL_STOCK_COMP</stp>
        <stp>FPR=2021Y</stp>
        <stp>FPT=A</stp>
        <stp>FA_ACT_EST_DATA=E, EST_SOURCE=FBC</stp>
        <stp>ACT_EST_MAPPING=PRECISE</stp>
        <stp>FS=MRC</stp>
        <stp>CURRENCY=USD</stp>
        <stp>XLFILL=b</stp>
        <tr r="AF6" s="2"/>
      </tp>
      <tp>
        <v>5.1526022573300585</v>
        <stp/>
        <stp>##V3_BQLV12</stp>
        <stp>[MODL_NOW_US1.xlsx]Single Period!R67C6</stp>
        <stp>SEG0000230986 Segment</stp>
        <stp>CONTRIBUTOR_STATS(IS_PERCENTAGE_OF_REVENUE, MIN)</stp>
        <stp>FPR=2021Y</stp>
        <stp>FPT=A</stp>
        <stp>FA_ACT_EST_DATA=E</stp>
        <stp>ACT_EST_MAPPING=PRECISE</stp>
        <stp>FS=MRC</stp>
        <stp>CURRENCY=USD</stp>
        <stp>XLFILL=b</stp>
        <tr r="F67" s="2"/>
      </tp>
      <tp>
        <v>6.0903600806172946</v>
        <stp/>
        <stp>##V3_BQLV12</stp>
        <stp>[MODL_NOW_US1.xlsx]Single Period!R143C8</stp>
        <stp>NOW US Equity</stp>
        <stp>CONTRIBUTOR_STATS(IS_SBC_ATTRIBUTABLE_TO_R_AND_D_PRETX, STD)/1M</stp>
        <stp>FPR=2021Y</stp>
        <stp>FPT=A</stp>
        <stp>FA_ACT_EST_DATA=E</stp>
        <stp>ACT_EST_MAPPING=PRECISE</stp>
        <stp>FS=MRC</stp>
        <stp>CURRENCY=USD</stp>
        <stp>XLFILL=b</stp>
        <tr r="H143" s="2"/>
      </tp>
      <tp>
        <v>21.176041619651158</v>
        <stp/>
        <stp>##V3_BQLV12</stp>
        <stp>[MODL_NOW_US1.xlsx]Single Period!R225C8</stp>
        <stp>NOW US Equity</stp>
        <stp>CONTRIBUTOR_STATS(CF_INCR_CAP_STOCK, STD)/1M</stp>
        <stp>FPR=2021Y</stp>
        <stp>FPT=A</stp>
        <stp>FA_ACT_EST_DATA=E</stp>
        <stp>ACT_EST_MAPPING=PRECISE</stp>
        <stp>FS=MRC</stp>
        <stp>CURRENCY=USD</stp>
        <stp>XLFILL=b</stp>
        <tr r="H225" s="2"/>
      </tp>
      <tp>
        <v>-457</v>
        <stp/>
        <stp>##V3_BQLV12</stp>
        <stp>[MODL_NOW_US1.xlsx]Single Period!R226C9</stp>
        <stp>NOW US Equity</stp>
        <stp>CONTRIBUTOR_STATS(CF_OTHER_FINANCING_ACT_EXCL_FX, MEDIAN)/1M</stp>
        <stp>FPR=2021Y</stp>
        <stp>FPT=A</stp>
        <stp>FA_ACT_EST_DATA=E</stp>
        <stp>ACT_EST_MAPPING=PRECISE</stp>
        <stp>FS=MRC</stp>
        <stp>CURRENCY=USD</stp>
        <stp>XLFILL=b</stp>
        <tr r="I226" s="2"/>
      </tp>
      <tp>
        <v>1020.126091482844</v>
        <stp/>
        <stp>##V3_BQLV12</stp>
        <stp>[MODL_NOW_US1.xlsx]Single Period!R112C16</stp>
        <stp>SEG0000230975 Segment</stp>
        <stp>IS_COGS_TO_FE_AND_PP_AND_G/1M</stp>
        <stp>FPR=2021Y</stp>
        <stp>FPT=A</stp>
        <stp>FA_ACT_EST_DATA=E, EST_SOURCE=BCA</stp>
        <stp>ACT_EST_MAPPING=PRECISE</stp>
        <stp>FS=MRC</stp>
        <stp>CURRENCY=USD</stp>
        <stp>XLFILL=b</stp>
        <tr r="P112" s="2"/>
      </tp>
      <tp t="s">
        <v/>
        <stp/>
        <stp>##V3_BQLV12</stp>
        <stp>[MODL_NOW_US1.xlsx]Single Period!R112C49</stp>
        <stp>SEG0000230975 Segment</stp>
        <stp>IS_COGS_TO_FE_AND_PP_AND_G/1M</stp>
        <stp>FPR=2021Y</stp>
        <stp>FPT=A</stp>
        <stp>FA_ACT_EST_DATA=E, EST_SOURCE=SCB</stp>
        <stp>ACT_EST_MAPPING=PRECISE</stp>
        <stp>FS=MRC</stp>
        <stp>CURRENCY=USD</stp>
        <stp>XLFILL=b</stp>
        <tr r="AW112" s="2"/>
      </tp>
      <tp t="s">
        <v/>
        <stp/>
        <stp>##V3_BQLV12</stp>
        <stp>[MODL_NOW_US1.xlsx]Single Period!R113C14</stp>
        <stp>SEG0000230986 Segment</stp>
        <stp>IS_COGS_TO_FE_AND_PP_AND_G/1M</stp>
        <stp>FPR=2021Y</stp>
        <stp>FPT=A</stp>
        <stp>FA_ACT_EST_DATA=E, EST_SOURCE=BMO</stp>
        <stp>ACT_EST_MAPPING=PRECISE</stp>
        <stp>FS=MRC</stp>
        <stp>CURRENCY=USD</stp>
        <stp>XLFILL=b</stp>
        <tr r="N113" s="2"/>
      </tp>
      <tp>
        <v>4730.4889625867499</v>
        <stp/>
        <stp>##V3_BQLV12</stp>
        <stp>[MODL_NOW_US1.xlsx]Single Period!R173C9</stp>
        <stp>NOW US Equity</stp>
        <stp>CONTRIBUTOR_STATS(BS_CUR_LIAB, MEDIAN)/1M</stp>
        <stp>FPR=2021Y</stp>
        <stp>FPT=A</stp>
        <stp>FA_ACT_EST_DATA=E</stp>
        <stp>ACT_EST_MAPPING=PRECISE</stp>
        <stp>FS=MRC</stp>
        <stp>CURRENCY=USD</stp>
        <stp>XLFILL=b</stp>
        <tr r="I173" s="2"/>
      </tp>
      <tp>
        <v>4737.3695068069464</v>
        <stp/>
        <stp>##V3_BQLV12</stp>
        <stp>[MODL_NOW_US1.xlsx]Single Period!R173C5</stp>
        <stp>NOW US Equity</stp>
        <stp>BS_CUR_LIAB/1M</stp>
        <stp>FPR=2021Y</stp>
        <stp>FPT=A</stp>
        <stp>FA_ACT_EST_DATA=E</stp>
        <stp>ACT_EST_MAPPING=PRECISE</stp>
        <stp>FS=MRC</stp>
        <stp>CURRENCY=USD</stp>
        <stp>XLFILL=b</stp>
        <tr r="E173" s="2"/>
      </tp>
      <tp t="s">
        <v/>
        <stp/>
        <stp>##V3_BQLV12</stp>
        <stp>[MODL_NOW_US1.xlsx]Single Period!R84C28</stp>
        <stp>NOW US Equity</stp>
        <stp>IS_ADJ_GROSS_PROFIT_AS_REPORTED/1M</stp>
        <stp>FPR=2021Y</stp>
        <stp>FPT=A</stp>
        <stp>FA_ACT_EST_DATA=E, EST_SOURCE=EVR</stp>
        <stp>ACT_EST_MAPPING=PRECISE</stp>
        <stp>FS=MRC</stp>
        <stp>CURRENCY=USD</stp>
        <stp>XLFILL=b</stp>
        <tr r="AB84" s="2"/>
      </tp>
      <tp t="s">
        <v/>
        <stp/>
        <stp>##V3_BQLV12</stp>
        <stp>[MODL_NOW_US1.xlsx]Single Period!R24C28</stp>
        <stp>NOW US Equity</stp>
        <stp>IS_ADJ_GROSS_PROFIT_AS_REPORTED/1M</stp>
        <stp>FPR=2021Y</stp>
        <stp>FPT=A</stp>
        <stp>FA_ACT_EST_DATA=E, EST_SOURCE=EVR</stp>
        <stp>ACT_EST_MAPPING=PRECISE</stp>
        <stp>FS=MRC</stp>
        <stp>CURRENCY=USD</stp>
        <stp>XLFILL=b</stp>
        <tr r="AB24" s="2"/>
      </tp>
      <tp>
        <v>325.56778250000002</v>
        <stp/>
        <stp>##V3_BQLV12</stp>
        <stp>[MODL_NOW_US1.xlsx]Single Period!R113C21</stp>
        <stp>SEG0000230986 Segment</stp>
        <stp>IS_COGS_TO_FE_AND_PP_AND_G/1M</stp>
        <stp>FPR=2021Y</stp>
        <stp>FPT=A</stp>
        <stp>FA_ACT_EST_DATA=E, EST_SOURCE=JMP</stp>
        <stp>ACT_EST_MAPPING=PRECISE</stp>
        <stp>FS=MRC</stp>
        <stp>CURRENCY=USD</stp>
        <stp>XLFILL=b</stp>
        <tr r="U113" s="2"/>
      </tp>
      <tp>
        <v>14.259312688340668</v>
        <stp/>
        <stp>##V3_BQLV12</stp>
        <stp>[MODL_NOW_US1.xlsx]Single Period!R22C9</stp>
        <stp>SEG0000230986 Segment</stp>
        <stp>CONTRIBUTOR_STATS(IS_ADJ_GROSS_MARGIN_PCT_AR, MEDIAN)</stp>
        <stp>FPR=2021Y</stp>
        <stp>FPT=A</stp>
        <stp>FA_ACT_EST_DATA=E</stp>
        <stp>ACT_EST_MAPPING=PRECISE</stp>
        <stp>FS=MRC</stp>
        <stp>CURRENCY=USD</stp>
        <stp>XLFILL=b</stp>
        <tr r="I22" s="2"/>
      </tp>
      <tp>
        <v>18.583375922958499</v>
        <stp/>
        <stp>##V3_BQLV12</stp>
        <stp>[MODL_NOW_US1.xlsx]Single Period!R128C9</stp>
        <stp>NOW US Equity</stp>
        <stp>CONTRIBUTOR_STATS(IS_INC_TAX_EXP, MEDIAN)/1M</stp>
        <stp>FPR=2021Y</stp>
        <stp>FPT=A</stp>
        <stp>FA_ACT_EST_DATA=E</stp>
        <stp>ACT_EST_MAPPING=PRECISE</stp>
        <stp>FS=MRC</stp>
        <stp>CURRENCY=USD</stp>
        <stp>XLFILL=b</stp>
        <tr r="I128" s="2"/>
      </tp>
      <tp t="s">
        <v/>
        <stp/>
        <stp>##V3_BQLV12</stp>
        <stp>[MODL_NOW_US1.xlsx]Single Period!R220C31</stp>
        <stp>NOW US Equity</stp>
        <stp>CF_PROCDS_FROM_INVSTMNTS/1M</stp>
        <stp>FPR=2021Y</stp>
        <stp>FPT=A</stp>
        <stp>FA_ACT_EST_DATA=E, EST_SOURCE=GSR</stp>
        <stp>ACT_EST_MAPPING=PRECISE</stp>
        <stp>FS=MRC</stp>
        <stp>CURRENCY=USD</stp>
        <stp>XLFILL=b</stp>
        <tr r="AE220" s="2"/>
      </tp>
      <tp t="s">
        <v/>
        <stp/>
        <stp>##V3_BQLV12</stp>
        <stp>[MODL_NOW_US1.xlsx]Single Period!R140C48</stp>
        <stp>SEG0000230975 Segment</stp>
        <stp>IS_SBC_ATTRIB_TO_COGS_PRETX/1M</stp>
        <stp>FPR=2021Y</stp>
        <stp>FPT=A</stp>
        <stp>FA_ACT_EST_DATA=E, EST_SOURCE=CRC</stp>
        <stp>ACT_EST_MAPPING=PRECISE</stp>
        <stp>FS=MRC</stp>
        <stp>CURRENCY=USD</stp>
        <stp>XLFILL=b</stp>
        <tr r="AV140" s="2"/>
      </tp>
      <tp t="s">
        <v/>
        <stp/>
        <stp>##V3_BQLV12</stp>
        <stp>[MODL_NOW_US1.xlsx]Single Period!R140C44</stp>
        <stp>SEG0000230975 Segment</stp>
        <stp>IS_SBC_ATTRIB_TO_COGS_PRETX/1M</stp>
        <stp>FPR=2021Y</stp>
        <stp>FPT=A</stp>
        <stp>FA_ACT_EST_DATA=E, EST_SOURCE=ARE</stp>
        <stp>ACT_EST_MAPPING=PRECISE</stp>
        <stp>FS=MRC</stp>
        <stp>CURRENCY=USD</stp>
        <stp>XLFILL=b</stp>
        <tr r="AR140" s="2"/>
      </tp>
      <tp t="s">
        <v/>
        <stp/>
        <stp>##V3_BQLV12</stp>
        <stp>[MODL_NOW_US1.xlsx]Single Period!R26C45</stp>
        <stp>NOW US Equity</stp>
        <stp>IS_ADJ_SELLING_AND_MRKTG_EXPN_AR/1M</stp>
        <stp>FPR=2021Y</stp>
        <stp>FPT=A</stp>
        <stp>FA_ACT_EST_DATA=E, EST_SOURCE=PJE</stp>
        <stp>ACT_EST_MAPPING=PRECISE</stp>
        <stp>FS=MRC</stp>
        <stp>CURRENCY=USD</stp>
        <stp>XLFILL=b</stp>
        <tr r="AS26" s="2"/>
      </tp>
      <tp t="s">
        <v/>
        <stp/>
        <stp>##V3_BQLV12</stp>
        <stp>[MODL_NOW_US1.xlsx]Single Period!R220C35</stp>
        <stp>NOW US Equity</stp>
        <stp>CF_PROCDS_FROM_INVSTMNTS/1M</stp>
        <stp>FPR=2021Y</stp>
        <stp>FPT=A</stp>
        <stp>FA_ACT_EST_DATA=E, EST_SOURCE=MSR</stp>
        <stp>ACT_EST_MAPPING=PRECISE</stp>
        <stp>FS=MRC</stp>
        <stp>CURRENCY=USD</stp>
        <stp>XLFILL=b</stp>
        <tr r="AI220" s="2"/>
      </tp>
      <tp t="s">
        <v/>
        <stp/>
        <stp>##V3_BQLV12</stp>
        <stp>[MODL_NOW_US1.xlsx]Single Period!R140C41</stp>
        <stp>SEG0000230975 Segment</stp>
        <stp>IS_SBC_ATTRIB_TO_COGS_PRETX/1M</stp>
        <stp>FPR=2021Y</stp>
        <stp>FPT=A</stp>
        <stp>FA_ACT_EST_DATA=E, EST_SOURCE=ARG</stp>
        <stp>ACT_EST_MAPPING=PRECISE</stp>
        <stp>FS=MRC</stp>
        <stp>CURRENCY=USD</stp>
        <stp>XLFILL=b</stp>
        <tr r="AO140" s="2"/>
      </tp>
      <tp t="s">
        <v/>
        <stp/>
        <stp>##V3_BQLV12</stp>
        <stp>[MODL_NOW_US1.xlsx]Single Period!R53C17</stp>
        <stp>NOW US Equity</stp>
        <stp>ANNUALIZED_DAYS_SALES_OUTSTDG</stp>
        <stp>FPR=2021Y</stp>
        <stp>FPT=A</stp>
        <stp>FA_ACT_EST_DATA=E, EST_SOURCE=RHR</stp>
        <stp>ACT_EST_MAPPING=PRECISE</stp>
        <stp>FS=MRC</stp>
        <stp>CURRENCY=USD</stp>
        <stp>XLFILL=b</stp>
        <tr r="Q53" s="2"/>
      </tp>
      <tp t="s">
        <v/>
        <stp/>
        <stp>##V3_BQLV12</stp>
        <stp>[MODL_NOW_US1.xlsx]Single Period!R88C45</stp>
        <stp>NOW US Equity</stp>
        <stp>IS_ADJ_SELLING_AND_MRKTG_EXPN_AR/1M</stp>
        <stp>FPR=2021Y</stp>
        <stp>FPT=A</stp>
        <stp>FA_ACT_EST_DATA=E, EST_SOURCE=PJE</stp>
        <stp>ACT_EST_MAPPING=PRECISE</stp>
        <stp>FS=MRC</stp>
        <stp>CURRENCY=USD</stp>
        <stp>XLFILL=b</stp>
        <tr r="AS88" s="2"/>
      </tp>
      <tp t="s">
        <v/>
        <stp/>
        <stp>##V3_BQLV12</stp>
        <stp>[MODL_NOW_US1.xlsx]Single Period!R52C18</stp>
        <stp>NOW US Equity</stp>
        <stp>ACCT_RCV_DAYS</stp>
        <stp>FPR=2021Y</stp>
        <stp>FPT=A</stp>
        <stp>FA_ACT_EST_DATA=E, EST_SOURCE=SNR</stp>
        <stp>ACT_EST_MAPPING=PRECISE</stp>
        <stp>FS=MRC</stp>
        <stp>CURRENCY=USD</stp>
        <stp>XLFILL=b</stp>
        <tr r="R52" s="2"/>
      </tp>
      <tp t="s">
        <v/>
        <stp/>
        <stp>##V3_BQLV12</stp>
        <stp>[MODL_NOW_US1.xlsx]Single Period!R220C34</stp>
        <stp>NOW US Equity</stp>
        <stp>CF_PROCDS_FROM_INVSTMNTS/1M</stp>
        <stp>FPR=2021Y</stp>
        <stp>FPT=A</stp>
        <stp>FA_ACT_EST_DATA=E, EST_SOURCE=PSG</stp>
        <stp>ACT_EST_MAPPING=PRECISE</stp>
        <stp>FS=MRC</stp>
        <stp>CURRENCY=USD</stp>
        <stp>XLFILL=b</stp>
        <tr r="AH220" s="2"/>
      </tp>
      <tp t="s">
        <v/>
        <stp/>
        <stp>##V3_BQLV12</stp>
        <stp>[MODL_NOW_US1.xlsx]Single Period!R52C29</stp>
        <stp>NOW US Equity</stp>
        <stp>ACCT_RCV_DAYS</stp>
        <stp>FPR=2021Y</stp>
        <stp>FPT=A</stp>
        <stp>FA_ACT_EST_DATA=E, EST_SOURCE=BNS</stp>
        <stp>ACT_EST_MAPPING=PRECISE</stp>
        <stp>FS=MRC</stp>
        <stp>CURRENCY=USD</stp>
        <stp>XLFILL=b</stp>
        <tr r="AC52" s="2"/>
      </tp>
      <tp t="s">
        <v/>
        <stp/>
        <stp>##V3_BQLV12</stp>
        <stp>[MODL_NOW_US1.xlsx]Single Period!R220C42</stp>
        <stp>NOW US Equity</stp>
        <stp>CF_PROCDS_FROM_INVSTMNTS/1M</stp>
        <stp>FPR=2021Y</stp>
        <stp>FPT=A</stp>
        <stp>FA_ACT_EST_DATA=E, EST_SOURCE=CTI</stp>
        <stp>ACT_EST_MAPPING=PRECISE</stp>
        <stp>FS=MRC</stp>
        <stp>CURRENCY=USD</stp>
        <stp>XLFILL=b</stp>
        <tr r="AP220" s="2"/>
      </tp>
      <tp>
        <v>-403.20713242143751</v>
        <stp/>
        <stp>##V3_BQLV12</stp>
        <stp>[MODL_NOW_US1.xlsx]Single Period!R216C9</stp>
        <stp>NOW US Equity</stp>
        <stp>CONTRIBUTOR_STATS(CF_PURCHASE_OF_FIXED_PROD_ASSETS, MEDIAN)/1M</stp>
        <stp>FPR=2021Y</stp>
        <stp>FPT=A</stp>
        <stp>FA_ACT_EST_DATA=E</stp>
        <stp>ACT_EST_MAPPING=PRECISE</stp>
        <stp>FS=MRC</stp>
        <stp>CURRENCY=USD</stp>
        <stp>XLFILL=b</stp>
        <tr r="I216" s="2"/>
      </tp>
      <tp t="s">
        <v/>
        <stp/>
        <stp>##V3_BQLV12</stp>
        <stp>[MODL_NOW_US1.xlsx]Single Period!R154C10</stp>
        <stp>NOW US Equity</stp>
        <stp>BS_CUR_ASSET_REPORT/1M</stp>
        <stp>FPR=2021Y</stp>
        <stp>FPT=A</stp>
        <stp>FA_ACT_EST_DATA=E, EST_SOURCE=CMPY</stp>
        <stp>ACT_EST_MAPPING=PRECISE</stp>
        <stp>FS=MRC</stp>
        <stp>CURRENCY=USD</stp>
        <stp>XLFILL=b</stp>
        <tr r="J154" s="2"/>
      </tp>
      <tp t="s">
        <v/>
        <stp/>
        <stp>##V3_BQLV12</stp>
        <stp>[MODL_NOW_US1.xlsx]Single Period!R11C45</stp>
        <stp>NOW US Equity</stp>
        <stp>NUM_CSTMR_CNTRCT_OVER_1_MILLN</stp>
        <stp>FPR=2021Y</stp>
        <stp>FPT=A</stp>
        <stp>FA_ACT_EST_DATA=E, EST_SOURCE=PJE</stp>
        <stp>ACT_EST_MAPPING=PRECISE</stp>
        <stp>FS=MRC</stp>
        <stp>CURRENCY=USD</stp>
        <stp>XLFILL=b</stp>
        <tr r="AS11" s="2"/>
      </tp>
      <tp>
        <v>1467</v>
        <stp/>
        <stp>##V3_BQLV12</stp>
        <stp>[MODL_NOW_US1.xlsx]Single Period!R95C17</stp>
        <stp>NOW US Equity</stp>
        <stp>IS_COMPARABLE_EBIT/1M</stp>
        <stp>FPR=2021Y</stp>
        <stp>FPT=A</stp>
        <stp>FA_ACT_EST_DATA=E, EST_SOURCE=RHR</stp>
        <stp>ACT_EST_MAPPING=PRECISE</stp>
        <stp>FS=MRC</stp>
        <stp>CURRENCY=USD</stp>
        <stp>XLFILL=b</stp>
        <tr r="Q95" s="2"/>
      </tp>
      <tp>
        <v>208</v>
        <stp/>
        <stp>##V3_BQLV12</stp>
        <stp>[MODL_NOW_US1.xlsx]Single Period!R195C6</stp>
        <stp>NOW US Equity</stp>
        <stp>CONTRIBUTOR_STATS(CB_BS_DEFERRED_COST_LT, MIN)/1M</stp>
        <stp>FPR=2021Y</stp>
        <stp>FPT=A</stp>
        <stp>FA_ACT_EST_DATA=E</stp>
        <stp>ACT_EST_MAPPING=PRECISE</stp>
        <stp>FS=MRC</stp>
        <stp>CURRENCY=USD</stp>
        <stp>XLFILL=b</stp>
        <tr r="F195" s="2"/>
      </tp>
      <tp>
        <v>625.96091999999999</v>
        <stp/>
        <stp>##V3_BQLV12</stp>
        <stp>[MODL_NOW_US1.xlsx]Single Period!R195C7</stp>
        <stp>NOW US Equity</stp>
        <stp>CONTRIBUTOR_STATS(CB_BS_DEFERRED_COST_LT, MAX)/1M</stp>
        <stp>FPR=2021Y</stp>
        <stp>FPT=A</stp>
        <stp>FA_ACT_EST_DATA=E</stp>
        <stp>ACT_EST_MAPPING=PRECISE</stp>
        <stp>FS=MRC</stp>
        <stp>CURRENCY=USD</stp>
        <stp>XLFILL=b</stp>
        <tr r="G195" s="2"/>
      </tp>
      <tp>
        <v>5.94</v>
        <stp/>
        <stp>##V3_BQLV12</stp>
        <stp>[MODL_NOW_US1.xlsx]Single Period!R6C22</stp>
        <stp>NOW US Equity</stp>
        <stp>IS_COMP_EPS_EXCL_STOCK_COMP</stp>
        <stp>FPR=2021Y</stp>
        <stp>FPT=A</stp>
        <stp>FA_ACT_EST_DATA=E, EST_SOURCE=NDH</stp>
        <stp>ACT_EST_MAPPING=PRECISE</stp>
        <stp>FS=MRC</stp>
        <stp>CURRENCY=USD</stp>
        <stp>XLFILL=b</stp>
        <tr r="V6" s="2"/>
      </tp>
      <tp>
        <v>5.88</v>
        <stp/>
        <stp>##V3_BQLV12</stp>
        <stp>[MODL_NOW_US1.xlsx]Single Period!R6C36</stp>
        <stp>NOW US Equity</stp>
        <stp>IS_COMP_EPS_EXCL_STOCK_COMP</stp>
        <stp>FPR=2021Y</stp>
        <stp>FPT=A</stp>
        <stp>FA_ACT_EST_DATA=E, EST_SOURCE=JEF</stp>
        <stp>ACT_EST_MAPPING=PRECISE</stp>
        <stp>FS=MRC</stp>
        <stp>CURRENCY=USD</stp>
        <stp>XLFILL=b</stp>
        <tr r="AJ6" s="2"/>
      </tp>
      <tp>
        <v>104.60115557678897</v>
        <stp/>
        <stp>##V3_BQLV12</stp>
        <stp>[MODL_NOW_US1.xlsx]Single Period!R195C8</stp>
        <stp>NOW US Equity</stp>
        <stp>CONTRIBUTOR_STATS(CB_BS_DEFERRED_COST_LT, STD)/1M</stp>
        <stp>FPR=2021Y</stp>
        <stp>FPT=A</stp>
        <stp>FA_ACT_EST_DATA=E</stp>
        <stp>ACT_EST_MAPPING=PRECISE</stp>
        <stp>FS=MRC</stp>
        <stp>CURRENCY=USD</stp>
        <stp>XLFILL=b</stp>
        <tr r="H195" s="2"/>
      </tp>
      <tp t="s">
        <v/>
        <stp/>
        <stp>##V3_BQLV12</stp>
        <stp>[MODL_NOW_US1.xlsx]Single Period!R84C38</stp>
        <stp>NOW US Equity</stp>
        <stp>IS_ADJ_GROSS_PROFIT_AS_REPORTED/1M</stp>
        <stp>FPR=2021Y</stp>
        <stp>FPT=A</stp>
        <stp>FA_ACT_EST_DATA=E, EST_SOURCE=RWB</stp>
        <stp>ACT_EST_MAPPING=PRECISE</stp>
        <stp>FS=MRC</stp>
        <stp>CURRENCY=USD</stp>
        <stp>XLFILL=b</stp>
        <tr r="AL84" s="2"/>
      </tp>
      <tp t="s">
        <v/>
        <stp/>
        <stp>##V3_BQLV12</stp>
        <stp>[MODL_NOW_US1.xlsx]Single Period!R24C38</stp>
        <stp>NOW US Equity</stp>
        <stp>IS_ADJ_GROSS_PROFIT_AS_REPORTED/1M</stp>
        <stp>FPR=2021Y</stp>
        <stp>FPT=A</stp>
        <stp>FA_ACT_EST_DATA=E, EST_SOURCE=RWB</stp>
        <stp>ACT_EST_MAPPING=PRECISE</stp>
        <stp>FS=MRC</stp>
        <stp>CURRENCY=USD</stp>
        <stp>XLFILL=b</stp>
        <tr r="AL24" s="2"/>
      </tp>
      <tp t="s">
        <v/>
        <stp/>
        <stp>##V3_BQLV12</stp>
        <stp>[MODL_NOW_US1.xlsx]Single Period!R112C25</stp>
        <stp>SEG0000230975 Segment</stp>
        <stp>IS_COGS_TO_FE_AND_PP_AND_G/1M</stp>
        <stp>FPR=2021Y</stp>
        <stp>FPT=A</stp>
        <stp>FA_ACT_EST_DATA=E, EST_SOURCE=DBG</stp>
        <stp>ACT_EST_MAPPING=PRECISE</stp>
        <stp>FS=MRC</stp>
        <stp>CURRENCY=USD</stp>
        <stp>XLFILL=b</stp>
        <tr r="Y112" s="2"/>
      </tp>
      <tp t="s">
        <v/>
        <stp/>
        <stp>##V3_BQLV12</stp>
        <stp>[MODL_NOW_US1.xlsx]Single Period!R67C49</stp>
        <stp>SEG0000230986 Segment</stp>
        <stp>IS_PERCENTAGE_OF_REVENUE</stp>
        <stp>FPR=2021Y</stp>
        <stp>FPT=A</stp>
        <stp>FA_ACT_EST_DATA=E, EST_SOURCE=SCB</stp>
        <stp>ACT_EST_MAPPING=PRECISE</stp>
        <stp>FS=MRC</stp>
        <stp>CURRENCY=USD</stp>
        <stp>XLFILL=b</stp>
        <tr r="AW67" s="2"/>
      </tp>
      <tp t="s">
        <v/>
        <stp/>
        <stp>##V3_BQLV12</stp>
        <stp>[MODL_NOW_US1.xlsx]Single Period!R112C27</stp>
        <stp>SEG0000230975 Segment</stp>
        <stp>IS_COGS_TO_FE_AND_PP_AND_G/1M</stp>
        <stp>FPR=2021Y</stp>
        <stp>FPT=A</stp>
        <stp>FA_ACT_EST_DATA=E, EST_SOURCE=RBC</stp>
        <stp>ACT_EST_MAPPING=PRECISE</stp>
        <stp>FS=MRC</stp>
        <stp>CURRENCY=USD</stp>
        <stp>XLFILL=b</stp>
        <tr r="AA112" s="2"/>
      </tp>
      <tp t="s">
        <v/>
        <stp/>
        <stp>##V3_BQLV12</stp>
        <stp>[MODL_NOW_US1.xlsx]Single Period!R112C32</stp>
        <stp>SEG0000230975 Segment</stp>
        <stp>IS_COGS_TO_FE_AND_PP_AND_G/1M</stp>
        <stp>FPR=2021Y</stp>
        <stp>FPT=A</stp>
        <stp>FA_ACT_EST_DATA=E, EST_SOURCE=FBC</stp>
        <stp>ACT_EST_MAPPING=PRECISE</stp>
        <stp>FS=MRC</stp>
        <stp>CURRENCY=USD</stp>
        <stp>XLFILL=b</stp>
        <tr r="AF112" s="2"/>
      </tp>
      <tp t="s">
        <v/>
        <stp/>
        <stp>##V3_BQLV12</stp>
        <stp>[MODL_NOW_US1.xlsx]Single Period!R112C12</stp>
        <stp>SEG0000230975 Segment</stp>
        <stp>IS_COGS_TO_FE_AND_PP_AND_G/1M</stp>
        <stp>FPR=2021Y</stp>
        <stp>FPT=A</stp>
        <stp>FA_ACT_EST_DATA=E, EST_SOURCE=WBL</stp>
        <stp>ACT_EST_MAPPING=PRECISE</stp>
        <stp>FS=MRC</stp>
        <stp>CURRENCY=USD</stp>
        <stp>XLFILL=b</stp>
        <tr r="L112" s="2"/>
      </tp>
      <tp t="s">
        <v/>
        <stp/>
        <stp>##V3_BQLV12</stp>
        <stp>[MODL_NOW_US1.xlsx]Single Period!R59C14</stp>
        <stp>SEG0000230975 Segment</stp>
        <stp>IS_PERCENTAGE_OF_REVENUE</stp>
        <stp>FPR=2021Y</stp>
        <stp>FPT=A</stp>
        <stp>FA_ACT_EST_DATA=E, EST_SOURCE=BMO</stp>
        <stp>ACT_EST_MAPPING=PRECISE</stp>
        <stp>FS=MRC</stp>
        <stp>CURRENCY=USD</stp>
        <stp>XLFILL=b</stp>
        <tr r="N59" s="2"/>
      </tp>
      <tp>
        <v>2148.461598614369</v>
        <stp/>
        <stp>##V3_BQLV12</stp>
        <stp>[MODL_NOW_US1.xlsx]Single Period!R156C9</stp>
        <stp>NOW US Equity</stp>
        <stp>CONTRIBUTOR_STATS(BS_CASH_NEAR_CASH_ITEM, MEDIAN)/1M</stp>
        <stp>FPR=2021Y</stp>
        <stp>FPT=A</stp>
        <stp>FA_ACT_EST_DATA=E</stp>
        <stp>ACT_EST_MAPPING=PRECISE</stp>
        <stp>FS=MRC</stp>
        <stp>CURRENCY=USD</stp>
        <stp>XLFILL=b</stp>
        <tr r="I156" s="2"/>
      </tp>
      <tp t="s">
        <v/>
        <stp/>
        <stp>##V3_BQLV12</stp>
        <stp>[MODL_NOW_US1.xlsx]Single Period!R24C40</stp>
        <stp>NOW US Equity</stp>
        <stp>IS_ADJ_GROSS_PROFIT_AS_REPORTED/1M</stp>
        <stp>FPR=2021Y</stp>
        <stp>FPT=A</stp>
        <stp>FA_ACT_EST_DATA=E, EST_SOURCE=DWI</stp>
        <stp>ACT_EST_MAPPING=PRECISE</stp>
        <stp>FS=MRC</stp>
        <stp>CURRENCY=USD</stp>
        <stp>XLFILL=b</stp>
        <tr r="AN24" s="2"/>
      </tp>
      <tp t="s">
        <v/>
        <stp/>
        <stp>##V3_BQLV12</stp>
        <stp>[MODL_NOW_US1.xlsx]Single Period!R84C40</stp>
        <stp>NOW US Equity</stp>
        <stp>IS_ADJ_GROSS_PROFIT_AS_REPORTED/1M</stp>
        <stp>FPR=2021Y</stp>
        <stp>FPT=A</stp>
        <stp>FA_ACT_EST_DATA=E, EST_SOURCE=DWI</stp>
        <stp>ACT_EST_MAPPING=PRECISE</stp>
        <stp>FS=MRC</stp>
        <stp>CURRENCY=USD</stp>
        <stp>XLFILL=b</stp>
        <tr r="AN84" s="2"/>
      </tp>
      <tp t="s">
        <v/>
        <stp/>
        <stp>##V3_BQLV12</stp>
        <stp>[MODL_NOW_US1.xlsx]Single Period!R24C24</stp>
        <stp>NOW US Equity</stp>
        <stp>IS_ADJ_GROSS_PROFIT_AS_REPORTED/1M</stp>
        <stp>FPR=2021Y</stp>
        <stp>FPT=A</stp>
        <stp>FA_ACT_EST_DATA=E, EST_SOURCE=CWN</stp>
        <stp>ACT_EST_MAPPING=PRECISE</stp>
        <stp>FS=MRC</stp>
        <stp>CURRENCY=USD</stp>
        <stp>XLFILL=b</stp>
        <tr r="X24" s="2"/>
      </tp>
      <tp t="s">
        <v/>
        <stp/>
        <stp>##V3_BQLV12</stp>
        <stp>[MODL_NOW_US1.xlsx]Single Period!R84C24</stp>
        <stp>NOW US Equity</stp>
        <stp>IS_ADJ_GROSS_PROFIT_AS_REPORTED/1M</stp>
        <stp>FPR=2021Y</stp>
        <stp>FPT=A</stp>
        <stp>FA_ACT_EST_DATA=E, EST_SOURCE=CWN</stp>
        <stp>ACT_EST_MAPPING=PRECISE</stp>
        <stp>FS=MRC</stp>
        <stp>CURRENCY=USD</stp>
        <stp>XLFILL=b</stp>
        <tr r="X84" s="2"/>
      </tp>
      <tp>
        <v>1241.1516082905789</v>
        <stp/>
        <stp>##V3_BQLV12</stp>
        <stp>[MODL_NOW_US1.xlsx]Single Period!R158C5</stp>
        <stp>NOW US Equity</stp>
        <stp>BS_ACCTS_REC_EXCL_NOTES_REC/1M</stp>
        <stp>FPR=2021Y</stp>
        <stp>FPT=A</stp>
        <stp>FA_ACT_EST_DATA=E</stp>
        <stp>ACT_EST_MAPPING=PRECISE</stp>
        <stp>FS=MRC</stp>
        <stp>CURRENCY=USD</stp>
        <stp>XLFILL=b</stp>
        <tr r="E158" s="2"/>
      </tp>
      <tp t="s">
        <v/>
        <stp/>
        <stp>##V3_BQLV12</stp>
        <stp>[MODL_NOW_US1.xlsx]Single Period!R112C26</stp>
        <stp>SEG0000230975 Segment</stp>
        <stp>IS_COGS_TO_FE_AND_PP_AND_G/1M</stp>
        <stp>FPR=2021Y</stp>
        <stp>FPT=A</stp>
        <stp>FA_ACT_EST_DATA=E, EST_SOURCE=UBS</stp>
        <stp>ACT_EST_MAPPING=PRECISE</stp>
        <stp>FS=MRC</stp>
        <stp>CURRENCY=USD</stp>
        <stp>XLFILL=b</stp>
        <tr r="Z112" s="2"/>
      </tp>
      <tp t="s">
        <v/>
        <stp/>
        <stp>##V3_BQLV12</stp>
        <stp>[MODL_NOW_US1.xlsx]Single Period!R140C34</stp>
        <stp>SEG0000230975 Segment</stp>
        <stp>IS_SBC_ATTRIB_TO_COGS_PRETX/1M</stp>
        <stp>FPR=2021Y</stp>
        <stp>FPT=A</stp>
        <stp>FA_ACT_EST_DATA=E, EST_SOURCE=PSG</stp>
        <stp>ACT_EST_MAPPING=PRECISE</stp>
        <stp>FS=MRC</stp>
        <stp>CURRENCY=USD</stp>
        <stp>XLFILL=b</stp>
        <tr r="AH140" s="2"/>
      </tp>
      <tp t="s">
        <v/>
        <stp/>
        <stp>##V3_BQLV12</stp>
        <stp>[MODL_NOW_US1.xlsx]Single Period!R162C29</stp>
        <stp>NOW US Equity</stp>
        <stp>BS_LONG_TERM_INVESTMENTS/1M</stp>
        <stp>FPR=2021Y</stp>
        <stp>FPT=A</stp>
        <stp>FA_ACT_EST_DATA=E, EST_SOURCE=BNS</stp>
        <stp>ACT_EST_MAPPING=PRECISE</stp>
        <stp>FS=MRC</stp>
        <stp>CURRENCY=USD</stp>
        <stp>XLFILL=b</stp>
        <tr r="AC162" s="2"/>
      </tp>
      <tp>
        <v>58.559171693721005</v>
        <stp/>
        <stp>##V3_BQLV12</stp>
        <stp>[MODL_NOW_US1.xlsx]Single Period!R141C11</stp>
        <stp>SEG0000230986 Segment</stp>
        <stp>IS_SBC_ATTRIB_TO_COGS_PRETX/1M</stp>
        <stp>FPR=2021Y</stp>
        <stp>FPT=A</stp>
        <stp>FA_ACT_EST_DATA=E, EST_SOURCE=JPM</stp>
        <stp>ACT_EST_MAPPING=PRECISE</stp>
        <stp>FS=MRC</stp>
        <stp>CURRENCY=USD</stp>
        <stp>XLFILL=b</stp>
        <tr r="K141" s="2"/>
      </tp>
      <tp t="s">
        <v/>
        <stp/>
        <stp>##V3_BQLV12</stp>
        <stp>[MODL_NOW_US1.xlsx]Single Period!R220C15</stp>
        <stp>NOW US Equity</stp>
        <stp>CF_PROCDS_FROM_INVSTMNTS/1M</stp>
        <stp>FPR=2021Y</stp>
        <stp>FPT=A</stp>
        <stp>FA_ACT_EST_DATA=E, EST_SOURCE=OPY</stp>
        <stp>ACT_EST_MAPPING=PRECISE</stp>
        <stp>FS=MRC</stp>
        <stp>CURRENCY=USD</stp>
        <stp>XLFILL=b</stp>
        <tr r="O220" s="2"/>
      </tp>
      <tp>
        <v>91.124975982766045</v>
        <stp/>
        <stp>##V3_BQLV12</stp>
        <stp>[MODL_NOW_US1.xlsx]Single Period!R140C19</stp>
        <stp>SEG0000230975 Segment</stp>
        <stp>IS_SBC_ATTRIB_TO_COGS_PRETX/1M</stp>
        <stp>FPR=2021Y</stp>
        <stp>FPT=A</stp>
        <stp>FA_ACT_EST_DATA=E, EST_SOURCE=MSV</stp>
        <stp>ACT_EST_MAPPING=PRECISE</stp>
        <stp>FS=MRC</stp>
        <stp>CURRENCY=USD</stp>
        <stp>XLFILL=b</stp>
        <tr r="S140" s="2"/>
      </tp>
      <tp t="s">
        <v/>
        <stp/>
        <stp>##V3_BQLV12</stp>
        <stp>[MODL_NOW_US1.xlsx]Single Period!R140C31</stp>
        <stp>SEG0000230975 Segment</stp>
        <stp>IS_SBC_ATTRIB_TO_COGS_PRETX/1M</stp>
        <stp>FPR=2021Y</stp>
        <stp>FPT=A</stp>
        <stp>FA_ACT_EST_DATA=E, EST_SOURCE=GSR</stp>
        <stp>ACT_EST_MAPPING=PRECISE</stp>
        <stp>FS=MRC</stp>
        <stp>CURRENCY=USD</stp>
        <stp>XLFILL=b</stp>
        <tr r="AE140" s="2"/>
      </tp>
      <tp t="s">
        <v/>
        <stp/>
        <stp>##V3_BQLV12</stp>
        <stp>[MODL_NOW_US1.xlsx]Single Period!R88C18</stp>
        <stp>NOW US Equity</stp>
        <stp>IS_ADJ_SELLING_AND_MRKTG_EXPN_AR/1M</stp>
        <stp>FPR=2021Y</stp>
        <stp>FPT=A</stp>
        <stp>FA_ACT_EST_DATA=E, EST_SOURCE=SNR</stp>
        <stp>ACT_EST_MAPPING=PRECISE</stp>
        <stp>FS=MRC</stp>
        <stp>CURRENCY=USD</stp>
        <stp>XLFILL=b</stp>
        <tr r="R88" s="2"/>
      </tp>
      <tp t="s">
        <v/>
        <stp/>
        <stp>##V3_BQLV12</stp>
        <stp>[MODL_NOW_US1.xlsx]Single Period!R140C35</stp>
        <stp>SEG0000230975 Segment</stp>
        <stp>IS_SBC_ATTRIB_TO_COGS_PRETX/1M</stp>
        <stp>FPR=2021Y</stp>
        <stp>FPT=A</stp>
        <stp>FA_ACT_EST_DATA=E, EST_SOURCE=MSR</stp>
        <stp>ACT_EST_MAPPING=PRECISE</stp>
        <stp>FS=MRC</stp>
        <stp>CURRENCY=USD</stp>
        <stp>XLFILL=b</stp>
        <tr r="AI140" s="2"/>
      </tp>
      <tp t="s">
        <v/>
        <stp/>
        <stp>##V3_BQLV12</stp>
        <stp>[MODL_NOW_US1.xlsx]Single Period!R162C14</stp>
        <stp>NOW US Equity</stp>
        <stp>BS_LONG_TERM_INVESTMENTS/1M</stp>
        <stp>FPR=2021Y</stp>
        <stp>FPT=A</stp>
        <stp>FA_ACT_EST_DATA=E, EST_SOURCE=BMO</stp>
        <stp>ACT_EST_MAPPING=PRECISE</stp>
        <stp>FS=MRC</stp>
        <stp>CURRENCY=USD</stp>
        <stp>XLFILL=b</stp>
        <tr r="N162" s="2"/>
      </tp>
      <tp>
        <v>1970.3149703000001</v>
        <stp/>
        <stp>##V3_BQLV12</stp>
        <stp>[MODL_NOW_US1.xlsx]Single Period!R26C21</stp>
        <stp>NOW US Equity</stp>
        <stp>IS_ADJ_SELLING_AND_MRKTG_EXPN_AR/1M</stp>
        <stp>FPR=2021Y</stp>
        <stp>FPT=A</stp>
        <stp>FA_ACT_EST_DATA=E, EST_SOURCE=JMP</stp>
        <stp>ACT_EST_MAPPING=PRECISE</stp>
        <stp>FS=MRC</stp>
        <stp>CURRENCY=USD</stp>
        <stp>XLFILL=b</stp>
        <tr r="U26" s="2"/>
      </tp>
      <tp t="s">
        <v/>
        <stp/>
        <stp>##V3_BQLV12</stp>
        <stp>[MODL_NOW_US1.xlsx]Single Period!R220C47</stp>
        <stp>NOW US Equity</stp>
        <stp>CF_PROCDS_FROM_INVSTMNTS/1M</stp>
        <stp>FPR=2021Y</stp>
        <stp>FPT=A</stp>
        <stp>FA_ACT_EST_DATA=E, EST_SOURCE=SUM</stp>
        <stp>ACT_EST_MAPPING=PRECISE</stp>
        <stp>FS=MRC</stp>
        <stp>CURRENCY=USD</stp>
        <stp>XLFILL=b</stp>
        <tr r="AU220" s="2"/>
      </tp>
      <tp t="s">
        <v/>
        <stp/>
        <stp>##V3_BQLV12</stp>
        <stp>[MODL_NOW_US1.xlsx]Single Period!R141C15</stp>
        <stp>SEG0000230986 Segment</stp>
        <stp>IS_SBC_ATTRIB_TO_COGS_PRETX/1M</stp>
        <stp>FPR=2021Y</stp>
        <stp>FPT=A</stp>
        <stp>FA_ACT_EST_DATA=E, EST_SOURCE=OPY</stp>
        <stp>ACT_EST_MAPPING=PRECISE</stp>
        <stp>FS=MRC</stp>
        <stp>CURRENCY=USD</stp>
        <stp>XLFILL=b</stp>
        <tr r="O141" s="2"/>
      </tp>
      <tp t="s">
        <v/>
        <stp/>
        <stp>##V3_BQLV12</stp>
        <stp>[MODL_NOW_US1.xlsx]Single Period!R26C18</stp>
        <stp>NOW US Equity</stp>
        <stp>IS_ADJ_SELLING_AND_MRKTG_EXPN_AR/1M</stp>
        <stp>FPR=2021Y</stp>
        <stp>FPT=A</stp>
        <stp>FA_ACT_EST_DATA=E, EST_SOURCE=SNR</stp>
        <stp>ACT_EST_MAPPING=PRECISE</stp>
        <stp>FS=MRC</stp>
        <stp>CURRENCY=USD</stp>
        <stp>XLFILL=b</stp>
        <tr r="R26" s="2"/>
      </tp>
      <tp>
        <v>1970.3149702999999</v>
        <stp/>
        <stp>##V3_BQLV12</stp>
        <stp>[MODL_NOW_US1.xlsx]Single Period!R88C21</stp>
        <stp>NOW US Equity</stp>
        <stp>IS_ADJ_SELLING_AND_MRKTG_EXPN_AR/1M</stp>
        <stp>FPR=2021Y</stp>
        <stp>FPT=A</stp>
        <stp>FA_ACT_EST_DATA=E, EST_SOURCE=JMP</stp>
        <stp>ACT_EST_MAPPING=PRECISE</stp>
        <stp>FS=MRC</stp>
        <stp>CURRENCY=USD</stp>
        <stp>XLFILL=b</stp>
        <tr r="U88" s="2"/>
      </tp>
      <tp>
        <v>1579</v>
        <stp/>
        <stp>##V3_BQLV12</stp>
        <stp>[MODL_NOW_US1.xlsx]Single Period!R220C11</stp>
        <stp>NOW US Equity</stp>
        <stp>CF_PROCDS_FROM_INVSTMNTS/1M</stp>
        <stp>FPR=2021Y</stp>
        <stp>FPT=A</stp>
        <stp>FA_ACT_EST_DATA=E, EST_SOURCE=JPM</stp>
        <stp>ACT_EST_MAPPING=PRECISE</stp>
        <stp>FS=MRC</stp>
        <stp>CURRENCY=USD</stp>
        <stp>XLFILL=b</stp>
        <tr r="K220" s="2"/>
      </tp>
      <tp t="s">
        <v/>
        <stp/>
        <stp>##V3_BQLV12</stp>
        <stp>[MODL_NOW_US1.xlsx]Single Period!R90C15</stp>
        <stp>NOW US Equity</stp>
        <stp>IS_ADJ_R_AND_D_AS_REPORTED/1M</stp>
        <stp>FPR=2021Y</stp>
        <stp>FPT=A</stp>
        <stp>FA_ACT_EST_DATA=E, EST_SOURCE=OPY</stp>
        <stp>ACT_EST_MAPPING=PRECISE</stp>
        <stp>FS=MRC</stp>
        <stp>CURRENCY=USD</stp>
        <stp>XLFILL=b</stp>
        <tr r="O90" s="2"/>
      </tp>
      <tp>
        <v>5.94</v>
        <stp/>
        <stp>##V3_BQLV12</stp>
        <stp>[MODL_NOW_US1.xlsx]Single Period!R108C39</stp>
        <stp>NOW US Equity</stp>
        <stp>IS_COMP_EPS_EXCL_STOCK_COMP</stp>
        <stp>FPR=2021Y</stp>
        <stp>FPT=A</stp>
        <stp>FA_ACT_EST_DATA=E, EST_SOURCE=DZB</stp>
        <stp>ACT_EST_MAPPING=PRECISE</stp>
        <stp>FS=MRC</stp>
        <stp>CURRENCY=USD</stp>
        <stp>XLFILL=b</stp>
        <tr r="AM108" s="2"/>
      </tp>
      <tp t="s">
        <v/>
        <stp/>
        <stp>##V3_BQLV12</stp>
        <stp>[MODL_NOW_US1.xlsx]Single Period!R217C46</stp>
        <stp>NOW US Equity</stp>
        <stp>CAP_EXPEND_TO_SALES</stp>
        <stp>FPR=2021Y</stp>
        <stp>FPT=A</stp>
        <stp>FA_ACT_EST_DATA=E, EST_SOURCE=MZS</stp>
        <stp>ACT_EST_MAPPING=PRECISE</stp>
        <stp>FS=MRC</stp>
        <stp>CURRENCY=USD</stp>
        <stp>XLFILL=b</stp>
        <tr r="AT217" s="2"/>
      </tp>
      <tp>
        <v>976.30844449114375</v>
        <stp/>
        <stp>##V3_BQLV12</stp>
        <stp>[MODL_NOW_US1.xlsx]Single Period!R90C11</stp>
        <stp>NOW US Equity</stp>
        <stp>IS_ADJ_R_AND_D_AS_REPORTED/1M</stp>
        <stp>FPR=2021Y</stp>
        <stp>FPT=A</stp>
        <stp>FA_ACT_EST_DATA=E, EST_SOURCE=JPM</stp>
        <stp>ACT_EST_MAPPING=PRECISE</stp>
        <stp>FS=MRC</stp>
        <stp>CURRENCY=USD</stp>
        <stp>XLFILL=b</stp>
        <tr r="K90" s="2"/>
      </tp>
      <tp t="s">
        <v/>
        <stp/>
        <stp>##V3_BQLV12</stp>
        <stp>[MODL_NOW_US1.xlsx]Single Period!R50C45</stp>
        <stp>NOW US Equity</stp>
        <stp>NUM_CSTMR_CNTRCT_OVER_1_MILLN</stp>
        <stp>FPR=2021Y</stp>
        <stp>FPT=A</stp>
        <stp>FA_ACT_EST_DATA=E, EST_SOURCE=PJE</stp>
        <stp>ACT_EST_MAPPING=PRECISE</stp>
        <stp>FS=MRC</stp>
        <stp>CURRENCY=USD</stp>
        <stp>XLFILL=b</stp>
        <tr r="AS50" s="2"/>
      </tp>
      <tp t="s">
        <v/>
        <stp/>
        <stp>##V3_BQLV12</stp>
        <stp>[MODL_NOW_US1.xlsx]Single Period!R6C49</stp>
        <stp>NOW US Equity</stp>
        <stp>IS_COMP_EPS_EXCL_STOCK_COMP</stp>
        <stp>FPR=2021Y</stp>
        <stp>FPT=A</stp>
        <stp>FA_ACT_EST_DATA=E, EST_SOURCE=SCB</stp>
        <stp>ACT_EST_MAPPING=PRECISE</stp>
        <stp>FS=MRC</stp>
        <stp>CURRENCY=USD</stp>
        <stp>XLFILL=b</stp>
        <tr r="AW6" s="2"/>
      </tp>
      <tp>
        <v>28.306706055932263</v>
        <stp/>
        <stp>##V3_BQLV12</stp>
        <stp>[MODL_NOW_US1.xlsx]Single Period!R40C9</stp>
        <stp>NOW US Equity</stp>
        <stp>CONTRIBUTOR_STATS(BILLNG_AMOUNT_GROWTH_PCT, MEDIAN)</stp>
        <stp>FPR=2021Y</stp>
        <stp>FPT=A</stp>
        <stp>FA_ACT_EST_DATA=E</stp>
        <stp>ACT_EST_MAPPING=PRECISE</stp>
        <stp>FS=MRC</stp>
        <stp>CURRENCY=USD</stp>
        <stp>XLFILL=b</stp>
        <tr r="I40" s="2"/>
      </tp>
      <tp>
        <v>28.30670605593226</v>
        <stp/>
        <stp>##V3_BQLV12</stp>
        <stp>[MODL_NOW_US1.xlsx]Single Period!R10C9</stp>
        <stp>NOW US Equity</stp>
        <stp>CONTRIBUTOR_STATS(BILLNG_AMOUNT_GROWTH_PCT, MEDIAN)</stp>
        <stp>FPR=2021Y</stp>
        <stp>FPT=A</stp>
        <stp>FA_ACT_EST_DATA=E</stp>
        <stp>ACT_EST_MAPPING=PRECISE</stp>
        <stp>FS=MRC</stp>
        <stp>CURRENCY=USD</stp>
        <stp>XLFILL=b</stp>
        <tr r="I10" s="2"/>
      </tp>
      <tp t="s">
        <v/>
        <stp/>
        <stp>##V3_BQLV12</stp>
        <stp>[MODL_NOW_US1.xlsx]Single Period!R24C37</stp>
        <stp>NOW US Equity</stp>
        <stp>IS_ADJ_GROSS_PROFIT_AS_REPORTED/1M</stp>
        <stp>FPR=2021Y</stp>
        <stp>FPT=A</stp>
        <stp>FA_ACT_EST_DATA=E, EST_SOURCE=TTC</stp>
        <stp>ACT_EST_MAPPING=PRECISE</stp>
        <stp>FS=MRC</stp>
        <stp>CURRENCY=USD</stp>
        <stp>XLFILL=b</stp>
        <tr r="AK24" s="2"/>
      </tp>
      <tp t="s">
        <v/>
        <stp/>
        <stp>##V3_BQLV12</stp>
        <stp>[MODL_NOW_US1.xlsx]Single Period!R84C37</stp>
        <stp>NOW US Equity</stp>
        <stp>IS_ADJ_GROSS_PROFIT_AS_REPORTED/1M</stp>
        <stp>FPR=2021Y</stp>
        <stp>FPT=A</stp>
        <stp>FA_ACT_EST_DATA=E, EST_SOURCE=TTC</stp>
        <stp>ACT_EST_MAPPING=PRECISE</stp>
        <stp>FS=MRC</stp>
        <stp>CURRENCY=USD</stp>
        <stp>XLFILL=b</stp>
        <tr r="AK84" s="2"/>
      </tp>
      <tp t="s">
        <v/>
        <stp/>
        <stp>##V3_BQLV12</stp>
        <stp>[MODL_NOW_US1.xlsx]Single Period!R59C49</stp>
        <stp>SEG0000230975 Segment</stp>
        <stp>IS_PERCENTAGE_OF_REVENUE</stp>
        <stp>FPR=2021Y</stp>
        <stp>FPT=A</stp>
        <stp>FA_ACT_EST_DATA=E, EST_SOURCE=SCB</stp>
        <stp>ACT_EST_MAPPING=PRECISE</stp>
        <stp>FS=MRC</stp>
        <stp>CURRENCY=USD</stp>
        <stp>XLFILL=b</stp>
        <tr r="AW59" s="2"/>
      </tp>
      <tp t="s">
        <v/>
        <stp/>
        <stp>##V3_BQLV12</stp>
        <stp>[MODL_NOW_US1.xlsx]Single Period!R112C33</stp>
        <stp>SEG0000230975 Segment</stp>
        <stp>IS_COGS_TO_FE_AND_PP_AND_G/1M</stp>
        <stp>FPR=2021Y</stp>
        <stp>FPT=A</stp>
        <stp>FA_ACT_EST_DATA=E, EST_SOURCE=MAC</stp>
        <stp>ACT_EST_MAPPING=PRECISE</stp>
        <stp>FS=MRC</stp>
        <stp>CURRENCY=USD</stp>
        <stp>XLFILL=b</stp>
        <tr r="AG112" s="2"/>
      </tp>
      <tp t="s">
        <v/>
        <stp/>
        <stp>##V3_BQLV12</stp>
        <stp>[MODL_NOW_US1.xlsx]Single Period!R112C30</stp>
        <stp>SEG0000230975 Segment</stp>
        <stp>IS_COGS_TO_FE_AND_PP_AND_G/1M</stp>
        <stp>FPR=2021Y</stp>
        <stp>FPT=A</stp>
        <stp>FA_ACT_EST_DATA=E, EST_SOURCE=BAM</stp>
        <stp>ACT_EST_MAPPING=PRECISE</stp>
        <stp>FS=MRC</stp>
        <stp>CURRENCY=USD</stp>
        <stp>XLFILL=b</stp>
        <tr r="AD112" s="2"/>
      </tp>
      <tp>
        <v>174.84517857142856</v>
        <stp/>
        <stp>##V3_BQLV12</stp>
        <stp>[MODL_NOW_US1.xlsx]Single Period!R225C5</stp>
        <stp>NOW US Equity</stp>
        <stp>CF_INCR_CAP_STOCK/1M</stp>
        <stp>FPR=2021Y</stp>
        <stp>FPT=A</stp>
        <stp>FA_ACT_EST_DATA=E</stp>
        <stp>ACT_EST_MAPPING=PRECISE</stp>
        <stp>FS=MRC</stp>
        <stp>CURRENCY=USD</stp>
        <stp>XLFILL=b</stp>
        <tr r="E225" s="2"/>
      </tp>
      <tp t="s">
        <v/>
        <stp/>
        <stp>##V3_BQLV12</stp>
        <stp>[MODL_NOW_US1.xlsx]Single Period!R112C20</stp>
        <stp>SEG0000230975 Segment</stp>
        <stp>IS_COGS_TO_FE_AND_PP_AND_G/1M</stp>
        <stp>FPR=2021Y</stp>
        <stp>FPT=A</stp>
        <stp>FA_ACT_EST_DATA=E, EST_SOURCE=CAN</stp>
        <stp>ACT_EST_MAPPING=PRECISE</stp>
        <stp>FS=MRC</stp>
        <stp>CURRENCY=USD</stp>
        <stp>XLFILL=b</stp>
        <tr r="T112" s="2"/>
      </tp>
      <tp t="s">
        <v/>
        <stp/>
        <stp>##V3_BQLV12</stp>
        <stp>[MODL_NOW_US1.xlsx]Single Period!R67C14</stp>
        <stp>SEG0000230986 Segment</stp>
        <stp>IS_PERCENTAGE_OF_REVENUE</stp>
        <stp>FPR=2021Y</stp>
        <stp>FPT=A</stp>
        <stp>FA_ACT_EST_DATA=E, EST_SOURCE=BMO</stp>
        <stp>ACT_EST_MAPPING=PRECISE</stp>
        <stp>FS=MRC</stp>
        <stp>CURRENCY=USD</stp>
        <stp>XLFILL=b</stp>
        <tr r="N67" s="2"/>
      </tp>
      <tp>
        <v>202.5</v>
        <stp/>
        <stp>##V3_BQLV12</stp>
        <stp>[MODL_NOW_US1.xlsx]Single Period!R107C9</stp>
        <stp>NOW US Equity</stp>
        <stp>CONTRIBUTOR_STATS(CB_IS_ADJ_DILUTED_AVG_SHS, MEDIAN)/1M</stp>
        <stp>FPR=2021Y</stp>
        <stp>FPT=A</stp>
        <stp>FA_ACT_EST_DATA=E</stp>
        <stp>ACT_EST_MAPPING=PRECISE</stp>
        <stp>FS=MRC</stp>
        <stp>CURRENCY=USD</stp>
        <stp>XLFILL=b</stp>
        <tr r="I107" s="2"/>
      </tp>
      <tp t="s">
        <v/>
        <stp/>
        <stp>##V3_BQLV12</stp>
        <stp>[MODL_NOW_US1.xlsx]Single Period!R24C42</stp>
        <stp>NOW US Equity</stp>
        <stp>IS_ADJ_GROSS_PROFIT_AS_REPORTED/1M</stp>
        <stp>FPR=2021Y</stp>
        <stp>FPT=A</stp>
        <stp>FA_ACT_EST_DATA=E, EST_SOURCE=CTI</stp>
        <stp>ACT_EST_MAPPING=PRECISE</stp>
        <stp>FS=MRC</stp>
        <stp>CURRENCY=USD</stp>
        <stp>XLFILL=b</stp>
        <tr r="AP24" s="2"/>
      </tp>
      <tp t="s">
        <v/>
        <stp/>
        <stp>##V3_BQLV12</stp>
        <stp>[MODL_NOW_US1.xlsx]Single Period!R84C42</stp>
        <stp>NOW US Equity</stp>
        <stp>IS_ADJ_GROSS_PROFIT_AS_REPORTED/1M</stp>
        <stp>FPR=2021Y</stp>
        <stp>FPT=A</stp>
        <stp>FA_ACT_EST_DATA=E, EST_SOURCE=CTI</stp>
        <stp>ACT_EST_MAPPING=PRECISE</stp>
        <stp>FS=MRC</stp>
        <stp>CURRENCY=USD</stp>
        <stp>XLFILL=b</stp>
        <tr r="AP84" s="2"/>
      </tp>
      <tp t="s">
        <v/>
        <stp/>
        <stp>##V3_BQLV12</stp>
        <stp>[MODL_NOW_US1.xlsx]Single Period!R44C17</stp>
        <stp>SEG0000230986 Segment</stp>
        <stp>IS_FOREIGN_CURRENCY_TURNOVER/1M</stp>
        <stp>FPR=2021Y</stp>
        <stp>FPT=A</stp>
        <stp>FA_ACT_EST_DATA=E, EST_SOURCE=RHR</stp>
        <stp>ACT_EST_MAPPING=PRECISE</stp>
        <stp>FS=MRC</stp>
        <stp>CURRENCY=USD</stp>
        <stp>XLFILL=b</stp>
        <tr r="Q44" s="2"/>
      </tp>
      <tp t="s">
        <v/>
        <stp/>
        <stp>##V3_BQLV12</stp>
        <stp>[MODL_NOW_US1.xlsx]Single Period!R68C17</stp>
        <stp>SEG0000230986 Segment</stp>
        <stp>IS_ADJUSTED_COGS_AS_REPORTED/1M</stp>
        <stp>FPR=2021Y</stp>
        <stp>FPT=A</stp>
        <stp>FA_ACT_EST_DATA=E, EST_SOURCE=RHR</stp>
        <stp>ACT_EST_MAPPING=PRECISE</stp>
        <stp>FS=MRC</stp>
        <stp>CURRENCY=USD</stp>
        <stp>XLFILL=b</stp>
        <tr r="Q68" s="2"/>
      </tp>
      <tp t="s">
        <v/>
        <stp/>
        <stp>##V3_BQLV12</stp>
        <stp>[MODL_NOW_US1.xlsx]Single Period!R60C17</stp>
        <stp>SEG0000230975 Segment</stp>
        <stp>IS_ADJUSTED_COGS_AS_REPORTED/1M</stp>
        <stp>FPR=2021Y</stp>
        <stp>FPT=A</stp>
        <stp>FA_ACT_EST_DATA=E, EST_SOURCE=RHR</stp>
        <stp>ACT_EST_MAPPING=PRECISE</stp>
        <stp>FS=MRC</stp>
        <stp>CURRENCY=USD</stp>
        <stp>XLFILL=b</stp>
        <tr r="Q60" s="2"/>
      </tp>
      <tp t="s">
        <v>#N/A Requesting Data...</v>
        <stp/>
        <stp>##V3_BQLV12</stp>
        <stp>[MODL_NOW_US1.xlsx]Single Period!R141C34</stp>
        <stp>SEG0000230986 Segment</stp>
        <stp>IS_SBC_ATTRIB_TO_COGS_PRETX/1M</stp>
        <stp>FPR=2021Y</stp>
        <stp>FPT=A</stp>
        <stp>FA_ACT_EST_DATA=E, EST_SOURCE=PSG</stp>
        <stp>ACT_EST_MAPPING=PRECISE</stp>
        <stp>FS=MRC</stp>
        <stp>CURRENCY=USD</stp>
        <stp>XLFILL=b</stp>
        <tr r="AH141" s="2"/>
      </tp>
      <tp t="s">
        <v>#N/A Requesting Data...</v>
        <stp/>
        <stp>##V3_BQLV12</stp>
        <stp>[MODL_NOW_US1.xlsx]Single Period!R88C14</stp>
        <stp>NOW US Equity</stp>
        <stp>IS_ADJ_SELLING_AND_MRKTG_EXPN_AR/1M</stp>
        <stp>FPR=2021Y</stp>
        <stp>FPT=A</stp>
        <stp>FA_ACT_EST_DATA=E, EST_SOURCE=BMO</stp>
        <stp>ACT_EST_MAPPING=PRECISE</stp>
        <stp>FS=MRC</stp>
        <stp>CURRENCY=USD</stp>
        <stp>XLFILL=b</stp>
        <tr r="N88" s="2"/>
      </tp>
      <tp t="s">
        <v/>
        <stp/>
        <stp>##V3_BQLV12</stp>
        <stp>[MODL_NOW_US1.xlsx]Single Period!R162C18</stp>
        <stp>NOW US Equity</stp>
        <stp>BS_LONG_TERM_INVESTMENTS/1M</stp>
        <stp>FPR=2021Y</stp>
        <stp>FPT=A</stp>
        <stp>FA_ACT_EST_DATA=E, EST_SOURCE=SNR</stp>
        <stp>ACT_EST_MAPPING=PRECISE</stp>
        <stp>FS=MRC</stp>
        <stp>CURRENCY=USD</stp>
        <stp>XLFILL=b</stp>
        <tr r="R162" s="2"/>
      </tp>
      <tp t="s">
        <v>#N/A Requesting Data...</v>
        <stp/>
        <stp>##V3_BQLV12</stp>
        <stp>[MODL_NOW_US1.xlsx]Single Period!R140C11</stp>
        <stp>SEG0000230975 Segment</stp>
        <stp>IS_SBC_ATTRIB_TO_COGS_PRETX/1M</stp>
        <stp>FPR=2021Y</stp>
        <stp>FPT=A</stp>
        <stp>FA_ACT_EST_DATA=E, EST_SOURCE=JPM</stp>
        <stp>ACT_EST_MAPPING=PRECISE</stp>
        <stp>FS=MRC</stp>
        <stp>CURRENCY=USD</stp>
        <stp>XLFILL=b</stp>
        <tr r="K140" s="2"/>
      </tp>
      <tp t="s">
        <v>#N/A Requesting Data...</v>
        <stp/>
        <stp>##V3_BQLV12</stp>
        <stp>[MODL_NOW_US1.xlsx]Single Period!R220C19</stp>
        <stp>NOW US Equity</stp>
        <stp>CF_PROCDS_FROM_INVSTMNTS/1M</stp>
        <stp>FPR=2021Y</stp>
        <stp>FPT=A</stp>
        <stp>FA_ACT_EST_DATA=E, EST_SOURCE=MSV</stp>
        <stp>ACT_EST_MAPPING=PRECISE</stp>
        <stp>FS=MRC</stp>
        <stp>CURRENCY=USD</stp>
        <stp>XLFILL=b</stp>
        <tr r="S220" s="2"/>
      </tp>
      <tp t="s">
        <v>#N/A Requesting Data...</v>
        <stp/>
        <stp>##V3_BQLV12</stp>
        <stp>[MODL_NOW_US1.xlsx]Single Period!R162C21</stp>
        <stp>NOW US Equity</stp>
        <stp>BS_LONG_TERM_INVESTMENTS/1M</stp>
        <stp>FPR=2021Y</stp>
        <stp>FPT=A</stp>
        <stp>FA_ACT_EST_DATA=E, EST_SOURCE=JMP</stp>
        <stp>ACT_EST_MAPPING=PRECISE</stp>
        <stp>FS=MRC</stp>
        <stp>CURRENCY=USD</stp>
        <stp>XLFILL=b</stp>
        <tr r="U162" s="2"/>
      </tp>
      <tp t="s">
        <v>#N/A Requesting Data...</v>
        <stp/>
        <stp>##V3_BQLV12</stp>
        <stp>[MODL_NOW_US1.xlsx]Single Period!R26C14</stp>
        <stp>NOW US Equity</stp>
        <stp>IS_ADJ_SELLING_AND_MRKTG_EXPN_AR/1M</stp>
        <stp>FPR=2021Y</stp>
        <stp>FPT=A</stp>
        <stp>FA_ACT_EST_DATA=E, EST_SOURCE=BMO</stp>
        <stp>ACT_EST_MAPPING=PRECISE</stp>
        <stp>FS=MRC</stp>
        <stp>CURRENCY=USD</stp>
        <stp>XLFILL=b</stp>
        <tr r="N26" s="2"/>
      </tp>
      <tp t="s">
        <v>#N/A Requesting Data...</v>
        <stp/>
        <stp>##V3_BQLV12</stp>
        <stp>[MODL_NOW_US1.xlsx]Single Period!R141C19</stp>
        <stp>SEG0000230986 Segment</stp>
        <stp>IS_SBC_ATTRIB_TO_COGS_PRETX/1M</stp>
        <stp>FPR=2021Y</stp>
        <stp>FPT=A</stp>
        <stp>FA_ACT_EST_DATA=E, EST_SOURCE=MSV</stp>
        <stp>ACT_EST_MAPPING=PRECISE</stp>
        <stp>FS=MRC</stp>
        <stp>CURRENCY=USD</stp>
        <stp>XLFILL=b</stp>
        <tr r="S141" s="2"/>
      </tp>
      <tp t="s">
        <v>#N/A Requesting Data...</v>
        <stp/>
        <stp>##V3_BQLV12</stp>
        <stp>[MODL_NOW_US1.xlsx]Single Period!R141C31</stp>
        <stp>SEG0000230986 Segment</stp>
        <stp>IS_SBC_ATTRIB_TO_COGS_PRETX/1M</stp>
        <stp>FPR=2021Y</stp>
        <stp>FPT=A</stp>
        <stp>FA_ACT_EST_DATA=E, EST_SOURCE=GSR</stp>
        <stp>ACT_EST_MAPPING=PRECISE</stp>
        <stp>FS=MRC</stp>
        <stp>CURRENCY=USD</stp>
        <stp>XLFILL=b</stp>
        <tr r="AE141" s="2"/>
      </tp>
      <tp t="s">
        <v>#N/A Requesting Data...</v>
        <stp/>
        <stp>##V3_BQLV12</stp>
        <stp>[MODL_NOW_US1.xlsx]Single Period!R88C29</stp>
        <stp>NOW US Equity</stp>
        <stp>IS_ADJ_SELLING_AND_MRKTG_EXPN_AR/1M</stp>
        <stp>FPR=2021Y</stp>
        <stp>FPT=A</stp>
        <stp>FA_ACT_EST_DATA=E, EST_SOURCE=BNS</stp>
        <stp>ACT_EST_MAPPING=PRECISE</stp>
        <stp>FS=MRC</stp>
        <stp>CURRENCY=USD</stp>
        <stp>XLFILL=b</stp>
        <tr r="AC88" s="2"/>
      </tp>
      <tp t="s">
        <v>#N/A Requesting Data...</v>
        <stp/>
        <stp>##V3_BQLV12</stp>
        <stp>[MODL_NOW_US1.xlsx]Single Period!R141C35</stp>
        <stp>SEG0000230986 Segment</stp>
        <stp>IS_SBC_ATTRIB_TO_COGS_PRETX/1M</stp>
        <stp>FPR=2021Y</stp>
        <stp>FPT=A</stp>
        <stp>FA_ACT_EST_DATA=E, EST_SOURCE=MSR</stp>
        <stp>ACT_EST_MAPPING=PRECISE</stp>
        <stp>FS=MRC</stp>
        <stp>CURRENCY=USD</stp>
        <stp>XLFILL=b</stp>
        <tr r="AI141" s="2"/>
      </tp>
      <tp t="s">
        <v>#N/A Requesting Data...</v>
        <stp/>
        <stp>##V3_BQLV12</stp>
        <stp>[MODL_NOW_US1.xlsx]Single Period!R53C45</stp>
        <stp>NOW US Equity</stp>
        <stp>ANNUALIZED_DAYS_SALES_OUTSTDG</stp>
        <stp>FPR=2021Y</stp>
        <stp>FPT=A</stp>
        <stp>FA_ACT_EST_DATA=E, EST_SOURCE=PJE</stp>
        <stp>ACT_EST_MAPPING=PRECISE</stp>
        <stp>FS=MRC</stp>
        <stp>CURRENCY=USD</stp>
        <stp>XLFILL=b</stp>
        <tr r="AS53" s="2"/>
      </tp>
      <tp t="s">
        <v>#N/A Requesting Data...</v>
        <stp/>
        <stp>##V3_BQLV12</stp>
        <stp>[MODL_NOW_US1.xlsx]Single Period!R140C15</stp>
        <stp>SEG0000230975 Segment</stp>
        <stp>IS_SBC_ATTRIB_TO_COGS_PRETX/1M</stp>
        <stp>FPR=2021Y</stp>
        <stp>FPT=A</stp>
        <stp>FA_ACT_EST_DATA=E, EST_SOURCE=OPY</stp>
        <stp>ACT_EST_MAPPING=PRECISE</stp>
        <stp>FS=MRC</stp>
        <stp>CURRENCY=USD</stp>
        <stp>XLFILL=b</stp>
        <tr r="O140" s="2"/>
      </tp>
      <tp t="s">
        <v>#N/A Requesting Data...</v>
        <stp/>
        <stp>##V3_BQLV12</stp>
        <stp>[MODL_NOW_US1.xlsx]Single Period!R26C29</stp>
        <stp>NOW US Equity</stp>
        <stp>IS_ADJ_SELLING_AND_MRKTG_EXPN_AR/1M</stp>
        <stp>FPR=2021Y</stp>
        <stp>FPT=A</stp>
        <stp>FA_ACT_EST_DATA=E, EST_SOURCE=BNS</stp>
        <stp>ACT_EST_MAPPING=PRECISE</stp>
        <stp>FS=MRC</stp>
        <stp>CURRENCY=USD</stp>
        <stp>XLFILL=b</stp>
        <tr r="AC26" s="2"/>
      </tp>
      <tp t="s">
        <v>#N/A Requesting Data...</v>
        <stp/>
        <stp>##V3_BQLV12</stp>
        <stp>[MODL_NOW_US1.xlsx]Single Period!R95C45</stp>
        <stp>NOW US Equity</stp>
        <stp>IS_COMPARABLE_EBIT/1M</stp>
        <stp>FPR=2021Y</stp>
        <stp>FPT=A</stp>
        <stp>FA_ACT_EST_DATA=E, EST_SOURCE=PJE</stp>
        <stp>ACT_EST_MAPPING=PRECISE</stp>
        <stp>FS=MRC</stp>
        <stp>CURRENCY=USD</stp>
        <stp>XLFILL=b</stp>
        <tr r="AS95" s="2"/>
      </tp>
      <tp t="s">
        <v>#N/A Requesting Data...</v>
        <stp/>
        <stp>##V3_BQLV12</stp>
        <stp>[MODL_NOW_US1.xlsx]Single Period!R11C17</stp>
        <stp>NOW US Equity</stp>
        <stp>NUM_CSTMR_CNTRCT_OVER_1_MILLN</stp>
        <stp>FPR=2021Y</stp>
        <stp>FPT=A</stp>
        <stp>FA_ACT_EST_DATA=E, EST_SOURCE=RHR</stp>
        <stp>ACT_EST_MAPPING=PRECISE</stp>
        <stp>FS=MRC</stp>
        <stp>CURRENCY=USD</stp>
        <stp>XLFILL=b</stp>
        <tr r="Q11" s="2"/>
      </tp>
      <tp t="s">
        <v>#N/A Requesting Data...</v>
        <stp/>
        <stp>##V3_BQLV12</stp>
        <stp>[MODL_NOW_US1.xlsx]Single Period!R90C19</stp>
        <stp>NOW US Equity</stp>
        <stp>IS_ADJ_R_AND_D_AS_REPORTED/1M</stp>
        <stp>FPR=2021Y</stp>
        <stp>FPT=A</stp>
        <stp>FA_ACT_EST_DATA=E, EST_SOURCE=MSV</stp>
        <stp>ACT_EST_MAPPING=PRECISE</stp>
        <stp>FS=MRC</stp>
        <stp>CURRENCY=USD</stp>
        <stp>XLFILL=b</stp>
        <tr r="S90" s="2"/>
      </tp>
      <tp t="s">
        <v>#N/A Requesting Data...</v>
        <stp/>
        <stp>##V3_BQLV12</stp>
        <stp>[MODL_NOW_US1.xlsx]Single Period!R90C35</stp>
        <stp>NOW US Equity</stp>
        <stp>IS_ADJ_R_AND_D_AS_REPORTED/1M</stp>
        <stp>FPR=2021Y</stp>
        <stp>FPT=A</stp>
        <stp>FA_ACT_EST_DATA=E, EST_SOURCE=MSR</stp>
        <stp>ACT_EST_MAPPING=PRECISE</stp>
        <stp>FS=MRC</stp>
        <stp>CURRENCY=USD</stp>
        <stp>XLFILL=b</stp>
        <tr r="AI90" s="2"/>
      </tp>
      <tp t="s">
        <v>#N/A Requesting Data...</v>
        <stp/>
        <stp>##V3_BQLV12</stp>
        <stp>[MODL_NOW_US1.xlsx]Single Period!R90C31</stp>
        <stp>NOW US Equity</stp>
        <stp>IS_ADJ_R_AND_D_AS_REPORTED/1M</stp>
        <stp>FPR=2021Y</stp>
        <stp>FPT=A</stp>
        <stp>FA_ACT_EST_DATA=E, EST_SOURCE=GSR</stp>
        <stp>ACT_EST_MAPPING=PRECISE</stp>
        <stp>FS=MRC</stp>
        <stp>CURRENCY=USD</stp>
        <stp>XLFILL=b</stp>
        <tr r="AE90" s="2"/>
      </tp>
      <tp t="s">
        <v>#N/A Requesting Data...</v>
        <stp/>
        <stp>##V3_BQLV12</stp>
        <stp>[MODL_NOW_US1.xlsx]Single Period!R108C23</stp>
        <stp>NOW US Equity</stp>
        <stp>IS_COMP_EPS_EXCL_STOCK_COMP</stp>
        <stp>FPR=2021Y</stp>
        <stp>FPT=A</stp>
        <stp>FA_ACT_EST_DATA=E, EST_SOURCE=ZXS</stp>
        <stp>ACT_EST_MAPPING=PRECISE</stp>
        <stp>FS=MRC</stp>
        <stp>CURRENCY=USD</stp>
        <stp>XLFILL=b</stp>
        <tr r="W108" s="2"/>
      </tp>
      <tp t="s">
        <v>#N/A Requesting Data...</v>
        <stp/>
        <stp>##V3_BQLV12</stp>
        <stp>[MODL_NOW_US1.xlsx]Single Period!R90C34</stp>
        <stp>NOW US Equity</stp>
        <stp>IS_ADJ_R_AND_D_AS_REPORTED/1M</stp>
        <stp>FPR=2021Y</stp>
        <stp>FPT=A</stp>
        <stp>FA_ACT_EST_DATA=E, EST_SOURCE=PSG</stp>
        <stp>ACT_EST_MAPPING=PRECISE</stp>
        <stp>FS=MRC</stp>
        <stp>CURRENCY=USD</stp>
        <stp>XLFILL=b</stp>
        <tr r="AH90" s="2"/>
      </tp>
      <tp t="s">
        <v>#N/A Requesting Data...</v>
        <stp/>
        <stp>##V3_BQLV12</stp>
        <stp>[MODL_NOW_US1.xlsx]Single Period!R71C9</stp>
        <stp>SEG0000230986 Segment</stp>
        <stp>CONTRIBUTOR_STATS(CB_IS_GROSS_PROFIT, MEDIAN)/1M</stp>
        <stp>FPR=2021Y</stp>
        <stp>FPT=A</stp>
        <stp>FA_ACT_EST_DATA=E</stp>
        <stp>ACT_EST_MAPPING=PRECISE</stp>
        <stp>FS=MRC</stp>
        <stp>CURRENCY=USD</stp>
        <stp>XLFILL=b</stp>
        <tr r="I71" s="2"/>
      </tp>
      <tp t="s">
        <v>#N/A Requesting Data...</v>
        <stp/>
        <stp>##V3_BQLV12</stp>
        <stp>[MODL_NOW_US1.xlsx]Single Period!R63C9</stp>
        <stp>SEG0000230975 Segment</stp>
        <stp>CONTRIBUTOR_STATS(CB_IS_GROSS_PROFIT, MEDIAN)/1M</stp>
        <stp>FPR=2021Y</stp>
        <stp>FPT=A</stp>
        <stp>FA_ACT_EST_DATA=E</stp>
        <stp>ACT_EST_MAPPING=PRECISE</stp>
        <stp>FS=MRC</stp>
        <stp>CURRENCY=USD</stp>
        <stp>XLFILL=b</stp>
        <tr r="I63" s="2"/>
      </tp>
      <tp t="s">
        <v>#N/A Requesting Data...</v>
        <stp/>
        <stp>##V3_BQLV12</stp>
        <stp>[MODL_NOW_US1.xlsx]Single Period!R239C5</stp>
        <stp>NOW US Equity</stp>
        <stp>CFO_TO_SALES</stp>
        <stp>FPR=2021Y</stp>
        <stp>FPT=A</stp>
        <stp>FA_ACT_EST_DATA=E</stp>
        <stp>ACT_EST_MAPPING=PRECISE</stp>
        <stp>FS=MRC</stp>
        <stp>CURRENCY=USD</stp>
        <stp>XLFILL=b</stp>
        <tr r="E239" s="2"/>
      </tp>
      <tp t="s">
        <v>#N/A Requesting Data...</v>
        <stp/>
        <stp>##V3_BQLV12</stp>
        <stp>[MODL_NOW_US1.xlsx]Single Period!R6C13</stp>
        <stp>NOW US Equity</stp>
        <stp>IS_COMP_EPS_EXCL_STOCK_COMP</stp>
        <stp>FPR=2021Y</stp>
        <stp>FPT=A</stp>
        <stp>FA_ACT_EST_DATA=E, EST_SOURCE=KEY</stp>
        <stp>ACT_EST_MAPPING=PRECISE</stp>
        <stp>FS=MRC</stp>
        <stp>CURRENCY=USD</stp>
        <stp>XLFILL=b</stp>
        <tr r="M6" s="2"/>
      </tp>
      <tp t="s">
        <v>#N/A Requesting Data...</v>
        <stp/>
        <stp>##V3_BQLV12</stp>
        <stp>[MODL_NOW_US1.xlsx]Single Period!R142C5</stp>
        <stp>NOW US Equity</stp>
        <stp>IS_SBC_ATT_TO_S_AND_M_PRETX/1M</stp>
        <stp>FPR=2021Y</stp>
        <stp>FPT=A</stp>
        <stp>FA_ACT_EST_DATA=E</stp>
        <stp>ACT_EST_MAPPING=PRECISE</stp>
        <stp>FS=MRC</stp>
        <stp>CURRENCY=USD</stp>
        <stp>XLFILL=b</stp>
        <tr r="E142" s="2"/>
      </tp>
      <tp t="s">
        <v>#N/A Requesting Data...</v>
        <stp/>
        <stp>##V3_BQLV12</stp>
        <stp>[MODL_NOW_US1.xlsx]Single Period!R230C5</stp>
        <stp>NOW US Equity</stp>
        <stp>CF_EFFECT_FOREIGN_EXCHANGES/1M</stp>
        <stp>FPR=2021Y</stp>
        <stp>FPT=A</stp>
        <stp>FA_ACT_EST_DATA=E</stp>
        <stp>ACT_EST_MAPPING=PRECISE</stp>
        <stp>FS=MRC</stp>
        <stp>CURRENCY=USD</stp>
        <stp>XLFILL=b</stp>
        <tr r="E230" s="2"/>
      </tp>
      <tp t="s">
        <v>#N/A Requesting Data...</v>
        <stp/>
        <stp>##V3_BQLV12</stp>
        <stp>[MODL_NOW_US1.xlsx]Single Period!R24C47</stp>
        <stp>NOW US Equity</stp>
        <stp>IS_ADJ_GROSS_PROFIT_AS_REPORTED/1M</stp>
        <stp>FPR=2021Y</stp>
        <stp>FPT=A</stp>
        <stp>FA_ACT_EST_DATA=E, EST_SOURCE=SUM</stp>
        <stp>ACT_EST_MAPPING=PRECISE</stp>
        <stp>FS=MRC</stp>
        <stp>CURRENCY=USD</stp>
        <stp>XLFILL=b</stp>
        <tr r="AU24" s="2"/>
      </tp>
      <tp t="s">
        <v>#N/A Requesting Data...</v>
        <stp/>
        <stp>##V3_BQLV12</stp>
        <stp>[MODL_NOW_US1.xlsx]Single Period!R84C47</stp>
        <stp>NOW US Equity</stp>
        <stp>IS_ADJ_GROSS_PROFIT_AS_REPORTED/1M</stp>
        <stp>FPR=2021Y</stp>
        <stp>FPT=A</stp>
        <stp>FA_ACT_EST_DATA=E, EST_SOURCE=SUM</stp>
        <stp>ACT_EST_MAPPING=PRECISE</stp>
        <stp>FS=MRC</stp>
        <stp>CURRENCY=USD</stp>
        <stp>XLFILL=b</stp>
        <tr r="AU84" s="2"/>
      </tp>
      <tp t="s">
        <v>#N/A Requesting Data...</v>
        <stp/>
        <stp>##V3_BQLV12</stp>
        <stp>[MODL_NOW_US1.xlsx]Single Period!R176C9</stp>
        <stp>NOW US Equity</stp>
        <stp>CONTRIBUTOR_STATS(ST_DEFERRED_REVENUE, MEDIAN)/1M</stp>
        <stp>FPR=2021Y</stp>
        <stp>FPT=A</stp>
        <stp>FA_ACT_EST_DATA=E</stp>
        <stp>ACT_EST_MAPPING=PRECISE</stp>
        <stp>FS=MRC</stp>
        <stp>CURRENCY=USD</stp>
        <stp>XLFILL=b</stp>
        <tr r="I176" s="2"/>
      </tp>
      <tp t="s">
        <v>#N/A Requesting Data...</v>
        <stp/>
        <stp>##V3_BQLV12</stp>
        <stp>[MODL_NOW_US1.xlsx]Single Period!R148C5</stp>
        <stp>NOW US Equity</stp>
        <stp>IS_AMORT_ACQD_INTANGIBLES_R_AND_D/1M</stp>
        <stp>FPR=2021Y</stp>
        <stp>FPT=A</stp>
        <stp>FA_ACT_EST_DATA=E</stp>
        <stp>ACT_EST_MAPPING=PRECISE</stp>
        <stp>FS=MRC</stp>
        <stp>CURRENCY=USD</stp>
        <stp>XLFILL=b</stp>
        <tr r="E148" s="2"/>
      </tp>
      <tp t="s">
        <v>#N/A Requesting Data...</v>
        <stp/>
        <stp>##V3_BQLV12</stp>
        <stp>[MODL_NOW_US1.xlsx]Single Period!R113C29</stp>
        <stp>SEG0000230986 Segment</stp>
        <stp>IS_COGS_TO_FE_AND_PP_AND_G/1M</stp>
        <stp>FPR=2021Y</stp>
        <stp>FPT=A</stp>
        <stp>FA_ACT_EST_DATA=E, EST_SOURCE=BNS</stp>
        <stp>ACT_EST_MAPPING=PRECISE</stp>
        <stp>FS=MRC</stp>
        <stp>CURRENCY=USD</stp>
        <stp>XLFILL=b</stp>
        <tr r="AC113" s="2"/>
      </tp>
      <tp t="s">
        <v>#N/A Requesting Data...</v>
        <stp/>
        <stp>##V3_BQLV12</stp>
        <stp>[MODL_NOW_US1.xlsx]Single Period!R113C18</stp>
        <stp>SEG0000230986 Segment</stp>
        <stp>IS_COGS_TO_FE_AND_PP_AND_G/1M</stp>
        <stp>FPR=2021Y</stp>
        <stp>FPT=A</stp>
        <stp>FA_ACT_EST_DATA=E, EST_SOURCE=SNR</stp>
        <stp>ACT_EST_MAPPING=PRECISE</stp>
        <stp>FS=MRC</stp>
        <stp>CURRENCY=USD</stp>
        <stp>XLFILL=b</stp>
        <tr r="R113" s="2"/>
      </tp>
      <tp t="s">
        <v>#N/A Requesting Data...</v>
        <stp/>
        <stp>##V3_BQLV12</stp>
        <stp>[MODL_NOW_US1.xlsx]Single Period!R204C9</stp>
        <stp>NOW US Equity</stp>
        <stp>CONTRIBUTOR_STATS(CF_DEF_INC_TAX, MEDIAN)/1M</stp>
        <stp>FPR=2021Y</stp>
        <stp>FPT=A</stp>
        <stp>FA_ACT_EST_DATA=E</stp>
        <stp>ACT_EST_MAPPING=PRECISE</stp>
        <stp>FS=MRC</stp>
        <stp>CURRENCY=USD</stp>
        <stp>XLFILL=b</stp>
        <tr r="I204" s="2"/>
      </tp>
      <tp t="s">
        <v>#N/A Requesting Data...</v>
        <stp/>
        <stp>##V3_BQLV12</stp>
        <stp>[MODL_NOW_US1.xlsx]Single Period!R179C9</stp>
        <stp>NOW US Equity</stp>
        <stp>CONTRIBUTOR_STATS(LT_DEFERRED_REVENUE, MEDIAN)/1M</stp>
        <stp>FPR=2021Y</stp>
        <stp>FPT=A</stp>
        <stp>FA_ACT_EST_DATA=E</stp>
        <stp>ACT_EST_MAPPING=PRECISE</stp>
        <stp>FS=MRC</stp>
        <stp>CURRENCY=USD</stp>
        <stp>XLFILL=b</stp>
        <tr r="I179" s="2"/>
      </tp>
      <tp t="s">
        <v>#N/A Requesting Data...</v>
        <stp/>
        <stp>##V3_BQLV12</stp>
        <stp>[MODL_NOW_US1.xlsx]Single Period!R141C48</stp>
        <stp>SEG0000230986 Segment</stp>
        <stp>IS_SBC_ATTRIB_TO_COGS_PRETX/1M</stp>
        <stp>FPR=2021Y</stp>
        <stp>FPT=A</stp>
        <stp>FA_ACT_EST_DATA=E, EST_SOURCE=CRC</stp>
        <stp>ACT_EST_MAPPING=PRECISE</stp>
        <stp>FS=MRC</stp>
        <stp>CURRENCY=USD</stp>
        <stp>XLFILL=b</stp>
        <tr r="AV141" s="2"/>
      </tp>
      <tp t="s">
        <v>#N/A Requesting Data...</v>
        <stp/>
        <stp>##V3_BQLV12</stp>
        <stp>[MODL_NOW_US1.xlsx]Single Period!R141C44</stp>
        <stp>SEG0000230986 Segment</stp>
        <stp>IS_SBC_ATTRIB_TO_COGS_PRETX/1M</stp>
        <stp>FPR=2021Y</stp>
        <stp>FPT=A</stp>
        <stp>FA_ACT_EST_DATA=E, EST_SOURCE=ARE</stp>
        <stp>ACT_EST_MAPPING=PRECISE</stp>
        <stp>FS=MRC</stp>
        <stp>CURRENCY=USD</stp>
        <stp>XLFILL=b</stp>
        <tr r="AR141" s="2"/>
      </tp>
      <tp t="s">
        <v>#N/A Requesting Data...</v>
        <stp/>
        <stp>##V3_BQLV12</stp>
        <stp>[MODL_NOW_US1.xlsx]Single Period!R231C17</stp>
        <stp>NOW US Equity</stp>
        <stp>CF_NET_CHNG_CASH/1M</stp>
        <stp>FPR=2021Y</stp>
        <stp>FPT=A</stp>
        <stp>FA_ACT_EST_DATA=E, EST_SOURCE=RHR</stp>
        <stp>ACT_EST_MAPPING=PRECISE</stp>
        <stp>FS=MRC</stp>
        <stp>CURRENCY=USD</stp>
        <stp>XLFILL=b</stp>
        <tr r="Q231" s="2"/>
      </tp>
      <tp t="s">
        <v>#N/A Requesting Data...</v>
        <stp/>
        <stp>##V3_BQLV12</stp>
        <stp>[MODL_NOW_US1.xlsx]Single Period!R141C41</stp>
        <stp>SEG0000230986 Segment</stp>
        <stp>IS_SBC_ATTRIB_TO_COGS_PRETX/1M</stp>
        <stp>FPR=2021Y</stp>
        <stp>FPT=A</stp>
        <stp>FA_ACT_EST_DATA=E, EST_SOURCE=ARG</stp>
        <stp>ACT_EST_MAPPING=PRECISE</stp>
        <stp>FS=MRC</stp>
        <stp>CURRENCY=USD</stp>
        <stp>XLFILL=b</stp>
        <tr r="AO141" s="2"/>
      </tp>
      <tp t="s">
        <v>#N/A Requesting Data...</v>
        <stp/>
        <stp>##V3_BQLV12</stp>
        <stp>[MODL_NOW_US1.xlsx]Single Period!R52C14</stp>
        <stp>NOW US Equity</stp>
        <stp>ACCT_RCV_DAYS</stp>
        <stp>FPR=2021Y</stp>
        <stp>FPT=A</stp>
        <stp>FA_ACT_EST_DATA=E, EST_SOURCE=BMO</stp>
        <stp>ACT_EST_MAPPING=PRECISE</stp>
        <stp>FS=MRC</stp>
        <stp>CURRENCY=USD</stp>
        <stp>XLFILL=b</stp>
        <tr r="N52" s="2"/>
      </tp>
      <tp t="s">
        <v>#N/A Requesting Data...</v>
        <stp/>
        <stp>##V3_BQLV12</stp>
        <stp>[MODL_NOW_US1.xlsx]Single Period!R52C21</stp>
        <stp>NOW US Equity</stp>
        <stp>ACCT_RCV_DAYS</stp>
        <stp>FPR=2021Y</stp>
        <stp>FPT=A</stp>
        <stp>FA_ACT_EST_DATA=E, EST_SOURCE=JMP</stp>
        <stp>ACT_EST_MAPPING=PRECISE</stp>
        <stp>FS=MRC</stp>
        <stp>CURRENCY=USD</stp>
        <stp>XLFILL=b</stp>
        <tr r="U52" s="2"/>
      </tp>
      <tp t="s">
        <v>#N/A Requesting Data...</v>
        <stp/>
        <stp>##V3_BQLV12</stp>
        <stp>[MODL_NOW_US1.xlsx]Single Period!R220C40</stp>
        <stp>NOW US Equity</stp>
        <stp>CF_PROCDS_FROM_INVSTMNTS/1M</stp>
        <stp>FPR=2021Y</stp>
        <stp>FPT=A</stp>
        <stp>FA_ACT_EST_DATA=E, EST_SOURCE=DWI</stp>
        <stp>ACT_EST_MAPPING=PRECISE</stp>
        <stp>FS=MRC</stp>
        <stp>CURRENCY=USD</stp>
        <stp>XLFILL=b</stp>
        <tr r="AN220" s="2"/>
      </tp>
      <tp t="s">
        <v>#N/A Requesting Data...</v>
        <stp/>
        <stp>##V3_BQLV12</stp>
        <stp>[MODL_NOW_US1.xlsx]Single Period!R162C45</stp>
        <stp>NOW US Equity</stp>
        <stp>BS_LONG_TERM_INVESTMENTS/1M</stp>
        <stp>FPR=2021Y</stp>
        <stp>FPT=A</stp>
        <stp>FA_ACT_EST_DATA=E, EST_SOURCE=PJE</stp>
        <stp>ACT_EST_MAPPING=PRECISE</stp>
        <stp>FS=MRC</stp>
        <stp>CURRENCY=USD</stp>
        <stp>XLFILL=b</stp>
        <tr r="AS162" s="2"/>
      </tp>
      <tp t="s">
        <v>#N/A Requesting Data...</v>
        <stp/>
        <stp>##V3_BQLV12</stp>
        <stp>[MODL_NOW_US1.xlsx]Single Period!R50C17</stp>
        <stp>NOW US Equity</stp>
        <stp>NUM_CSTMR_CNTRCT_OVER_1_MILLN</stp>
        <stp>FPR=2021Y</stp>
        <stp>FPT=A</stp>
        <stp>FA_ACT_EST_DATA=E, EST_SOURCE=RHR</stp>
        <stp>ACT_EST_MAPPING=PRECISE</stp>
        <stp>FS=MRC</stp>
        <stp>CURRENCY=USD</stp>
        <stp>XLFILL=b</stp>
        <tr r="Q50" s="2"/>
      </tp>
      <tp t="s">
        <v>#N/A Requesting Data...</v>
        <stp/>
        <stp>##V3_BQLV12</stp>
        <stp>[MODL_NOW_US1.xlsx]Single Period!R180C10</stp>
        <stp>NOW US Equity</stp>
        <stp>BS_LT_OPERATING_LEASE_LIABS/1M</stp>
        <stp>FPR=2021Y</stp>
        <stp>FPT=A</stp>
        <stp>FA_ACT_EST_DATA=E, EST_SOURCE=CMPY</stp>
        <stp>ACT_EST_MAPPING=PRECISE</stp>
        <stp>FS=MRC</stp>
        <stp>CURRENCY=USD</stp>
        <stp>XLFILL=b</stp>
        <tr r="J180" s="2"/>
      </tp>
      <tp t="s">
        <v>#N/A Requesting Data...</v>
        <stp/>
        <stp>##V3_BQLV12</stp>
        <stp>[MODL_NOW_US1.xlsx]Single Period!R90C44</stp>
        <stp>NOW US Equity</stp>
        <stp>IS_ADJ_R_AND_D_AS_REPORTED/1M</stp>
        <stp>FPR=2021Y</stp>
        <stp>FPT=A</stp>
        <stp>FA_ACT_EST_DATA=E, EST_SOURCE=ARE</stp>
        <stp>ACT_EST_MAPPING=PRECISE</stp>
        <stp>FS=MRC</stp>
        <stp>CURRENCY=USD</stp>
        <stp>XLFILL=b</stp>
        <tr r="AR90" s="2"/>
      </tp>
      <tp t="s">
        <v>#N/A Requesting Data...</v>
        <stp/>
        <stp>##V3_BQLV12</stp>
        <stp>[MODL_NOW_US1.xlsx]Single Period!R90C41</stp>
        <stp>NOW US Equity</stp>
        <stp>IS_ADJ_R_AND_D_AS_REPORTED/1M</stp>
        <stp>FPR=2021Y</stp>
        <stp>FPT=A</stp>
        <stp>FA_ACT_EST_DATA=E, EST_SOURCE=ARG</stp>
        <stp>ACT_EST_MAPPING=PRECISE</stp>
        <stp>FS=MRC</stp>
        <stp>CURRENCY=USD</stp>
        <stp>XLFILL=b</stp>
        <tr r="AO90" s="2"/>
      </tp>
      <tp t="s">
        <v>#N/A Requesting Data...</v>
        <stp/>
        <stp>##V3_BQLV12</stp>
        <stp>[MODL_NOW_US1.xlsx]Single Period!R90C48</stp>
        <stp>NOW US Equity</stp>
        <stp>IS_ADJ_R_AND_D_AS_REPORTED/1M</stp>
        <stp>FPR=2021Y</stp>
        <stp>FPT=A</stp>
        <stp>FA_ACT_EST_DATA=E, EST_SOURCE=CRC</stp>
        <stp>ACT_EST_MAPPING=PRECISE</stp>
        <stp>FS=MRC</stp>
        <stp>CURRENCY=USD</stp>
        <stp>XLFILL=b</stp>
        <tr r="AV90" s="2"/>
      </tp>
      <tp t="s">
        <v>#N/A Requesting Data...</v>
        <stp/>
        <stp>##V3_BQLV12</stp>
        <stp>[MODL_NOW_US1.xlsx]Single Period!R146C7</stp>
        <stp>NOW US Equity</stp>
        <stp>CONTRIBUTOR_STATS(IS_AMORT_ACQD_INTANGIBLES_COGS, MAX)/1M</stp>
        <stp>FPR=2021Y</stp>
        <stp>FPT=A</stp>
        <stp>FA_ACT_EST_DATA=E</stp>
        <stp>ACT_EST_MAPPING=PRECISE</stp>
        <stp>FS=MRC</stp>
        <stp>CURRENCY=USD</stp>
        <stp>XLFILL=b</stp>
        <tr r="G146" s="2"/>
      </tp>
      <tp t="s">
        <v>#N/A Requesting Data...</v>
        <stp/>
        <stp>##V3_BQLV12</stp>
        <stp>[MODL_NOW_US1.xlsx]Single Period!R146C6</stp>
        <stp>NOW US Equity</stp>
        <stp>CONTRIBUTOR_STATS(IS_AMORT_ACQD_INTANGIBLES_COGS, MIN)/1M</stp>
        <stp>FPR=2021Y</stp>
        <stp>FPT=A</stp>
        <stp>FA_ACT_EST_DATA=E</stp>
        <stp>ACT_EST_MAPPING=PRECISE</stp>
        <stp>FS=MRC</stp>
        <stp>CURRENCY=USD</stp>
        <stp>XLFILL=b</stp>
        <tr r="F146" s="2"/>
      </tp>
      <tp t="s">
        <v>#N/A Requesting Data...</v>
        <stp/>
        <stp>##V3_BQLV12</stp>
        <stp>[MODL_NOW_US1.xlsx]Single Period!R226C7</stp>
        <stp>NOW US Equity</stp>
        <stp>CONTRIBUTOR_STATS(CF_OTHER_FINANCING_ACT_EXCL_FX, MAX)/1M</stp>
        <stp>FPR=2021Y</stp>
        <stp>FPT=A</stp>
        <stp>FA_ACT_EST_DATA=E</stp>
        <stp>ACT_EST_MAPPING=PRECISE</stp>
        <stp>FS=MRC</stp>
        <stp>CURRENCY=USD</stp>
        <stp>XLFILL=b</stp>
        <tr r="G226" s="2"/>
      </tp>
      <tp t="s">
        <v>#N/A Requesting Data...</v>
        <stp/>
        <stp>##V3_BQLV12</stp>
        <stp>[MODL_NOW_US1.xlsx]Single Period!R226C6</stp>
        <stp>NOW US Equity</stp>
        <stp>CONTRIBUTOR_STATS(CF_OTHER_FINANCING_ACT_EXCL_FX, MIN)/1M</stp>
        <stp>FPR=2021Y</stp>
        <stp>FPT=A</stp>
        <stp>FA_ACT_EST_DATA=E</stp>
        <stp>ACT_EST_MAPPING=PRECISE</stp>
        <stp>FS=MRC</stp>
        <stp>CURRENCY=USD</stp>
        <stp>XLFILL=b</stp>
        <tr r="F226" s="2"/>
      </tp>
      <tp t="s">
        <v>#N/A Requesting Data...</v>
        <stp/>
        <stp>##V3_BQLV12</stp>
        <stp>[MODL_NOW_US1.xlsx]Single Period!R226C8</stp>
        <stp>NOW US Equity</stp>
        <stp>CONTRIBUTOR_STATS(CF_OTHER_FINANCING_ACT_EXCL_FX, STD)/1M</stp>
        <stp>FPR=2021Y</stp>
        <stp>FPT=A</stp>
        <stp>FA_ACT_EST_DATA=E</stp>
        <stp>ACT_EST_MAPPING=PRECISE</stp>
        <stp>FS=MRC</stp>
        <stp>CURRENCY=USD</stp>
        <stp>XLFILL=b</stp>
        <tr r="H226" s="2"/>
      </tp>
      <tp t="s">
        <v>#N/A Requesting Data...</v>
        <stp/>
        <stp>##V3_BQLV12</stp>
        <stp>[MODL_NOW_US1.xlsx]Single Period!R146C8</stp>
        <stp>NOW US Equity</stp>
        <stp>CONTRIBUTOR_STATS(IS_AMORT_ACQD_INTANGIBLES_COGS, STD)/1M</stp>
        <stp>FPR=2021Y</stp>
        <stp>FPT=A</stp>
        <stp>FA_ACT_EST_DATA=E</stp>
        <stp>ACT_EST_MAPPING=PRECISE</stp>
        <stp>FS=MRC</stp>
        <stp>CURRENCY=USD</stp>
        <stp>XLFILL=b</stp>
        <tr r="H146" s="2"/>
      </tp>
      <tp t="s">
        <v>#N/A Requesting Data...</v>
        <stp/>
        <stp>##V3_BQLV12</stp>
        <stp>[MODL_NOW_US1.xlsx]Single Period!R84C39</stp>
        <stp>NOW US Equity</stp>
        <stp>IS_ADJ_GROSS_PROFIT_AS_REPORTED/1M</stp>
        <stp>FPR=2021Y</stp>
        <stp>FPT=A</stp>
        <stp>FA_ACT_EST_DATA=E, EST_SOURCE=DZB</stp>
        <stp>ACT_EST_MAPPING=PRECISE</stp>
        <stp>FS=MRC</stp>
        <stp>CURRENCY=USD</stp>
        <stp>XLFILL=b</stp>
        <tr r="AM84" s="2"/>
      </tp>
      <tp t="s">
        <v>#N/A Requesting Data...</v>
        <stp/>
        <stp>##V3_BQLV12</stp>
        <stp>[MODL_NOW_US1.xlsx]Single Period!R24C39</stp>
        <stp>NOW US Equity</stp>
        <stp>IS_ADJ_GROSS_PROFIT_AS_REPORTED/1M</stp>
        <stp>FPR=2021Y</stp>
        <stp>FPT=A</stp>
        <stp>FA_ACT_EST_DATA=E, EST_SOURCE=DZB</stp>
        <stp>ACT_EST_MAPPING=PRECISE</stp>
        <stp>FS=MRC</stp>
        <stp>CURRENCY=USD</stp>
        <stp>XLFILL=b</stp>
        <tr r="AM24" s="2"/>
      </tp>
      <tp t="s">
        <v>#N/A Requesting Data...</v>
        <stp/>
        <stp>##V3_BQLV12</stp>
        <stp>[MODL_NOW_US1.xlsx]Single Period!R67C25</stp>
        <stp>SEG0000230986 Segment</stp>
        <stp>IS_PERCENTAGE_OF_REVENUE</stp>
        <stp>FPR=2021Y</stp>
        <stp>FPT=A</stp>
        <stp>FA_ACT_EST_DATA=E, EST_SOURCE=DBG</stp>
        <stp>ACT_EST_MAPPING=PRECISE</stp>
        <stp>FS=MRC</stp>
        <stp>CURRENCY=USD</stp>
        <stp>XLFILL=b</stp>
        <tr r="Y67" s="2"/>
      </tp>
      <tp t="s">
        <v>#N/A Requesting Data...</v>
        <stp/>
        <stp>##V3_BQLV12</stp>
        <stp>[MODL_NOW_US1.xlsx]Single Period!R68C49</stp>
        <stp>SEG0000230986 Segment</stp>
        <stp>IS_ADJUSTED_COGS_AS_REPORTED/1M</stp>
        <stp>FPR=2021Y</stp>
        <stp>FPT=A</stp>
        <stp>FA_ACT_EST_DATA=E, EST_SOURCE=SCB</stp>
        <stp>ACT_EST_MAPPING=PRECISE</stp>
        <stp>FS=MRC</stp>
        <stp>CURRENCY=USD</stp>
        <stp>XLFILL=b</stp>
        <tr r="AW68" s="2"/>
      </tp>
      <tp t="s">
        <v>#N/A Requesting Data...</v>
        <stp/>
        <stp>##V3_BQLV12</stp>
        <stp>[MODL_NOW_US1.xlsx]Single Period!R60C49</stp>
        <stp>SEG0000230975 Segment</stp>
        <stp>IS_ADJUSTED_COGS_AS_REPORTED/1M</stp>
        <stp>FPR=2021Y</stp>
        <stp>FPT=A</stp>
        <stp>FA_ACT_EST_DATA=E, EST_SOURCE=SCB</stp>
        <stp>ACT_EST_MAPPING=PRECISE</stp>
        <stp>FS=MRC</stp>
        <stp>CURRENCY=USD</stp>
        <stp>XLFILL=b</stp>
        <tr r="AW60" s="2"/>
      </tp>
      <tp t="s">
        <v>#N/A Requesting Data...</v>
        <stp/>
        <stp>##V3_BQLV12</stp>
        <stp>[MODL_NOW_US1.xlsx]Single Period!R113C33</stp>
        <stp>SEG0000230986 Segment</stp>
        <stp>IS_COGS_TO_FE_AND_PP_AND_G/1M</stp>
        <stp>FPR=2021Y</stp>
        <stp>FPT=A</stp>
        <stp>FA_ACT_EST_DATA=E, EST_SOURCE=MAC</stp>
        <stp>ACT_EST_MAPPING=PRECISE</stp>
        <stp>FS=MRC</stp>
        <stp>CURRENCY=USD</stp>
        <stp>XLFILL=b</stp>
        <tr r="AG113" s="2"/>
      </tp>
      <tp t="s">
        <v>#N/A Requesting Data...</v>
        <stp/>
        <stp>##V3_BQLV12</stp>
        <stp>[MODL_NOW_US1.xlsx]Single Period!R44C49</stp>
        <stp>SEG0000230986 Segment</stp>
        <stp>IS_FOREIGN_CURRENCY_TURNOVER/1M</stp>
        <stp>FPR=2021Y</stp>
        <stp>FPT=A</stp>
        <stp>FA_ACT_EST_DATA=E, EST_SOURCE=SCB</stp>
        <stp>ACT_EST_MAPPING=PRECISE</stp>
        <stp>FS=MRC</stp>
        <stp>CURRENCY=USD</stp>
        <stp>XLFILL=b</stp>
        <tr r="AW44" s="2"/>
      </tp>
      <tp t="s">
        <v>#N/A Requesting Data...</v>
        <stp/>
        <stp>##V3_BQLV12</stp>
        <stp>[MODL_NOW_US1.xlsx]Single Period!R113C20</stp>
        <stp>SEG0000230986 Segment</stp>
        <stp>IS_COGS_TO_FE_AND_PP_AND_G/1M</stp>
        <stp>FPR=2021Y</stp>
        <stp>FPT=A</stp>
        <stp>FA_ACT_EST_DATA=E, EST_SOURCE=CAN</stp>
        <stp>ACT_EST_MAPPING=PRECISE</stp>
        <stp>FS=MRC</stp>
        <stp>CURRENCY=USD</stp>
        <stp>XLFILL=b</stp>
        <tr r="T113" s="2"/>
      </tp>
      <tp t="s">
        <v>#N/A Requesting Data...</v>
        <stp/>
        <stp>##V3_BQLV12</stp>
        <stp>[MODL_NOW_US1.xlsx]Single Period!R113C30</stp>
        <stp>SEG0000230986 Segment</stp>
        <stp>IS_COGS_TO_FE_AND_PP_AND_G/1M</stp>
        <stp>FPR=2021Y</stp>
        <stp>FPT=A</stp>
        <stp>FA_ACT_EST_DATA=E, EST_SOURCE=BAM</stp>
        <stp>ACT_EST_MAPPING=PRECISE</stp>
        <stp>FS=MRC</stp>
        <stp>CURRENCY=USD</stp>
        <stp>XLFILL=b</stp>
        <tr r="AD113" s="2"/>
      </tp>
      <tp t="s">
        <v>#N/A Requesting Data...</v>
        <stp/>
        <stp>##V3_BQLV12</stp>
        <stp>[MODL_NOW_US1.xlsx]Single Period!R18C9</stp>
        <stp>SEG0000230975 Segment</stp>
        <stp>CONTRIBUTOR_STATS(IS_ADJ_GROSS_MARGIN_PCT_AR, MEDIAN)</stp>
        <stp>FPR=2021Y</stp>
        <stp>FPT=A</stp>
        <stp>FA_ACT_EST_DATA=E</stp>
        <stp>ACT_EST_MAPPING=PRECISE</stp>
        <stp>FS=MRC</stp>
        <stp>CURRENCY=USD</stp>
        <stp>XLFILL=b</stp>
        <tr r="I18" s="2"/>
      </tp>
      <tp t="s">
        <v>#N/A Requesting Data...</v>
        <stp/>
        <stp>##V3_BQLV12</stp>
        <stp>[MODL_NOW_US1.xlsx]Single Period!R132C7</stp>
        <stp>NOW US Equity</stp>
        <stp>CONTRIBUTOR_STATS(CONT_INC_PER_SH, MAX)</stp>
        <stp>FPR=2021Y</stp>
        <stp>FPT=A</stp>
        <stp>FA_ACT_EST_DATA=E</stp>
        <stp>ACT_EST_MAPPING=PRECISE</stp>
        <stp>FS=MRC</stp>
        <stp>CURRENCY=USD</stp>
        <stp>XLFILL=b</stp>
        <tr r="G132" s="2"/>
      </tp>
      <tp t="s">
        <v>#N/A Requesting Data...</v>
        <stp/>
        <stp>##V3_BQLV12</stp>
        <stp>[MODL_NOW_US1.xlsx]Single Period!R24C46</stp>
        <stp>NOW US Equity</stp>
        <stp>IS_ADJ_GROSS_PROFIT_AS_REPORTED/1M</stp>
        <stp>FPR=2021Y</stp>
        <stp>FPT=A</stp>
        <stp>FA_ACT_EST_DATA=E, EST_SOURCE=MZS</stp>
        <stp>ACT_EST_MAPPING=PRECISE</stp>
        <stp>FS=MRC</stp>
        <stp>CURRENCY=USD</stp>
        <stp>XLFILL=b</stp>
        <tr r="AT24" s="2"/>
      </tp>
      <tp t="s">
        <v>#N/A Requesting Data...</v>
        <stp/>
        <stp>##V3_BQLV12</stp>
        <stp>[MODL_NOW_US1.xlsx]Single Period!R84C46</stp>
        <stp>NOW US Equity</stp>
        <stp>IS_ADJ_GROSS_PROFIT_AS_REPORTED/1M</stp>
        <stp>FPR=2021Y</stp>
        <stp>FPT=A</stp>
        <stp>FA_ACT_EST_DATA=E, EST_SOURCE=MZS</stp>
        <stp>ACT_EST_MAPPING=PRECISE</stp>
        <stp>FS=MRC</stp>
        <stp>CURRENCY=USD</stp>
        <stp>XLFILL=b</stp>
        <tr r="AT84" s="2"/>
      </tp>
      <tp t="s">
        <v>#N/A Requesting Data...</v>
        <stp/>
        <stp>##V3_BQLV12</stp>
        <stp>[MODL_NOW_US1.xlsx]Single Period!R59C26</stp>
        <stp>SEG0000230975 Segment</stp>
        <stp>IS_PERCENTAGE_OF_REVENUE</stp>
        <stp>FPR=2021Y</stp>
        <stp>FPT=A</stp>
        <stp>FA_ACT_EST_DATA=E, EST_SOURCE=UBS</stp>
        <stp>ACT_EST_MAPPING=PRECISE</stp>
        <stp>FS=MRC</stp>
        <stp>CURRENCY=USD</stp>
        <stp>XLFILL=b</stp>
        <tr r="Z59" s="2"/>
      </tp>
      <tp t="s">
        <v>#N/A Requesting Data...</v>
        <stp/>
        <stp>##V3_BQLV12</stp>
        <stp>[MODL_NOW_US1.xlsx]Single Period!R67C29</stp>
        <stp>SEG0000230986 Segment</stp>
        <stp>IS_PERCENTAGE_OF_REVENUE</stp>
        <stp>FPR=2021Y</stp>
        <stp>FPT=A</stp>
        <stp>FA_ACT_EST_DATA=E, EST_SOURCE=BNS</stp>
        <stp>ACT_EST_MAPPING=PRECISE</stp>
        <stp>FS=MRC</stp>
        <stp>CURRENCY=USD</stp>
        <stp>XLFILL=b</stp>
        <tr r="AC67" s="2"/>
      </tp>
      <tp t="s">
        <v>#N/A Requesting Data...</v>
        <stp/>
        <stp>##V3_BQLV12</stp>
        <stp>[MODL_NOW_US1.xlsx]Single Period!R132C6</stp>
        <stp>NOW US Equity</stp>
        <stp>CONTRIBUTOR_STATS(CONT_INC_PER_SH, MIN)</stp>
        <stp>FPR=2021Y</stp>
        <stp>FPT=A</stp>
        <stp>FA_ACT_EST_DATA=E</stp>
        <stp>ACT_EST_MAPPING=PRECISE</stp>
        <stp>FS=MRC</stp>
        <stp>CURRENCY=USD</stp>
        <stp>XLFILL=b</stp>
        <tr r="F132" s="2"/>
      </tp>
      <tp t="s">
        <v>#N/A Requesting Data...</v>
        <stp/>
        <stp>##V3_BQLV12</stp>
        <stp>[MODL_NOW_US1.xlsx]Single Period!R52C27</stp>
        <stp>NOW US Equity</stp>
        <stp>ACCT_RCV_DAYS</stp>
        <stp>FPR=2021Y</stp>
        <stp>FPT=A</stp>
        <stp>FA_ACT_EST_DATA=E, EST_SOURCE=RBC</stp>
        <stp>ACT_EST_MAPPING=PRECISE</stp>
        <stp>FS=MRC</stp>
        <stp>CURRENCY=USD</stp>
        <stp>XLFILL=b</stp>
        <tr r="AA52" s="2"/>
      </tp>
      <tp t="s">
        <v>#N/A Requesting Data...</v>
        <stp/>
        <stp>##V3_BQLV12</stp>
        <stp>[MODL_NOW_US1.xlsx]Single Period!R52C32</stp>
        <stp>NOW US Equity</stp>
        <stp>ACCT_RCV_DAYS</stp>
        <stp>FPR=2021Y</stp>
        <stp>FPT=A</stp>
        <stp>FA_ACT_EST_DATA=E, EST_SOURCE=FBC</stp>
        <stp>ACT_EST_MAPPING=PRECISE</stp>
        <stp>FS=MRC</stp>
        <stp>CURRENCY=USD</stp>
        <stp>XLFILL=b</stp>
        <tr r="AF52" s="2"/>
      </tp>
      <tp t="s">
        <v>#N/A Requesting Data...</v>
        <stp/>
        <stp>##V3_BQLV12</stp>
        <stp>[MODL_NOW_US1.xlsx]Single Period!R142C7</stp>
        <stp>NOW US Equity</stp>
        <stp>CONTRIBUTOR_STATS(IS_SBC_ATT_TO_S_AND_M_PRETX, MAX)/1M</stp>
        <stp>FPR=2021Y</stp>
        <stp>FPT=A</stp>
        <stp>FA_ACT_EST_DATA=E</stp>
        <stp>ACT_EST_MAPPING=PRECISE</stp>
        <stp>FS=MRC</stp>
        <stp>CURRENCY=USD</stp>
        <stp>XLFILL=b</stp>
        <tr r="G142" s="2"/>
      </tp>
      <tp t="s">
        <v>#N/A Requesting Data...</v>
        <stp/>
        <stp>##V3_BQLV12</stp>
        <stp>[MODL_NOW_US1.xlsx]Single Period!R142C6</stp>
        <stp>NOW US Equity</stp>
        <stp>CONTRIBUTOR_STATS(IS_SBC_ATT_TO_S_AND_M_PRETX, MIN)/1M</stp>
        <stp>FPR=2021Y</stp>
        <stp>FPT=A</stp>
        <stp>FA_ACT_EST_DATA=E</stp>
        <stp>ACT_EST_MAPPING=PRECISE</stp>
        <stp>FS=MRC</stp>
        <stp>CURRENCY=USD</stp>
        <stp>XLFILL=b</stp>
        <tr r="F142" s="2"/>
      </tp>
      <tp t="s">
        <v>#N/A Requesting Data...</v>
        <stp/>
        <stp>##V3_BQLV12</stp>
        <stp>[MODL_NOW_US1.xlsx]Single Period!R88C30</stp>
        <stp>NOW US Equity</stp>
        <stp>IS_ADJ_SELLING_AND_MRKTG_EXPN_AR/1M</stp>
        <stp>FPR=2021Y</stp>
        <stp>FPT=A</stp>
        <stp>FA_ACT_EST_DATA=E, EST_SOURCE=BAM</stp>
        <stp>ACT_EST_MAPPING=PRECISE</stp>
        <stp>FS=MRC</stp>
        <stp>CURRENCY=USD</stp>
        <stp>XLFILL=b</stp>
        <tr r="AD88" s="2"/>
      </tp>
      <tp t="s">
        <v>#N/A Requesting Data...</v>
        <stp/>
        <stp>##V3_BQLV12</stp>
        <stp>[MODL_NOW_US1.xlsx]Single Period!R26C16</stp>
        <stp>NOW US Equity</stp>
        <stp>IS_ADJ_SELLING_AND_MRKTG_EXPN_AR/1M</stp>
        <stp>FPR=2021Y</stp>
        <stp>FPT=A</stp>
        <stp>FA_ACT_EST_DATA=E, EST_SOURCE=BCA</stp>
        <stp>ACT_EST_MAPPING=PRECISE</stp>
        <stp>FS=MRC</stp>
        <stp>CURRENCY=USD</stp>
        <stp>XLFILL=b</stp>
        <tr r="P26" s="2"/>
      </tp>
      <tp t="s">
        <v>#N/A Requesting Data...</v>
        <stp/>
        <stp>##V3_BQLV12</stp>
        <stp>[MODL_NOW_US1.xlsx]Single Period!R26C33</stp>
        <stp>NOW US Equity</stp>
        <stp>IS_ADJ_SELLING_AND_MRKTG_EXPN_AR/1M</stp>
        <stp>FPR=2021Y</stp>
        <stp>FPT=A</stp>
        <stp>FA_ACT_EST_DATA=E, EST_SOURCE=MAC</stp>
        <stp>ACT_EST_MAPPING=PRECISE</stp>
        <stp>FS=MRC</stp>
        <stp>CURRENCY=USD</stp>
        <stp>XLFILL=b</stp>
        <tr r="AG26" s="2"/>
      </tp>
      <tp t="s">
        <v>#N/A Requesting Data...</v>
        <stp/>
        <stp>##V3_BQLV12</stp>
        <stp>[MODL_NOW_US1.xlsx]Single Period!R93C8</stp>
        <stp>NOW US Equity</stp>
        <stp>CONTRIBUTOR_STATS(G_AND_A_COST_PCT_REVENUES, STD)</stp>
        <stp>FPR=2021Y</stp>
        <stp>FPT=A</stp>
        <stp>FA_ACT_EST_DATA=E</stp>
        <stp>ACT_EST_MAPPING=PRECISE</stp>
        <stp>FS=MRC</stp>
        <stp>CURRENCY=USD</stp>
        <stp>XLFILL=b</stp>
        <tr r="H93" s="2"/>
      </tp>
      <tp t="s">
        <v>#N/A Requesting Data...</v>
        <stp/>
        <stp>##V3_BQLV12</stp>
        <stp>[MODL_NOW_US1.xlsx]Single Period!R52C25</stp>
        <stp>NOW US Equity</stp>
        <stp>ACCT_RCV_DAYS</stp>
        <stp>FPR=2021Y</stp>
        <stp>FPT=A</stp>
        <stp>FA_ACT_EST_DATA=E, EST_SOURCE=DBG</stp>
        <stp>ACT_EST_MAPPING=PRECISE</stp>
        <stp>FS=MRC</stp>
        <stp>CURRENCY=USD</stp>
        <stp>XLFILL=b</stp>
        <tr r="Y52" s="2"/>
      </tp>
      <tp t="s">
        <v>#N/A Requesting Data...</v>
        <stp/>
        <stp>##V3_BQLV12</stp>
        <stp>[MODL_NOW_US1.xlsx]Single Period!R88C16</stp>
        <stp>NOW US Equity</stp>
        <stp>IS_ADJ_SELLING_AND_MRKTG_EXPN_AR/1M</stp>
        <stp>FPR=2021Y</stp>
        <stp>FPT=A</stp>
        <stp>FA_ACT_EST_DATA=E, EST_SOURCE=BCA</stp>
        <stp>ACT_EST_MAPPING=PRECISE</stp>
        <stp>FS=MRC</stp>
        <stp>CURRENCY=USD</stp>
        <stp>XLFILL=b</stp>
        <tr r="P88" s="2"/>
      </tp>
      <tp t="s">
        <v>#N/A Requesting Data...</v>
        <stp/>
        <stp>##V3_BQLV12</stp>
        <stp>[MODL_NOW_US1.xlsx]Single Period!R26C30</stp>
        <stp>NOW US Equity</stp>
        <stp>IS_ADJ_SELLING_AND_MRKTG_EXPN_AR/1M</stp>
        <stp>FPR=2021Y</stp>
        <stp>FPT=A</stp>
        <stp>FA_ACT_EST_DATA=E, EST_SOURCE=BAM</stp>
        <stp>ACT_EST_MAPPING=PRECISE</stp>
        <stp>FS=MRC</stp>
        <stp>CURRENCY=USD</stp>
        <stp>XLFILL=b</stp>
        <tr r="AD26" s="2"/>
      </tp>
      <tp t="s">
        <v>#N/A Requesting Data...</v>
        <stp/>
        <stp>##V3_BQLV12</stp>
        <stp>[MODL_NOW_US1.xlsx]Single Period!R88C33</stp>
        <stp>NOW US Equity</stp>
        <stp>IS_ADJ_SELLING_AND_MRKTG_EXPN_AR/1M</stp>
        <stp>FPR=2021Y</stp>
        <stp>FPT=A</stp>
        <stp>FA_ACT_EST_DATA=E, EST_SOURCE=MAC</stp>
        <stp>ACT_EST_MAPPING=PRECISE</stp>
        <stp>FS=MRC</stp>
        <stp>CURRENCY=USD</stp>
        <stp>XLFILL=b</stp>
        <tr r="AG88" s="2"/>
      </tp>
      <tp t="s">
        <v>#N/A Requesting Data...</v>
        <stp/>
        <stp>##V3_BQLV12</stp>
        <stp>[MODL_NOW_US1.xlsx]Single Period!R52C12</stp>
        <stp>NOW US Equity</stp>
        <stp>ACCT_RCV_DAYS</stp>
        <stp>FPR=2021Y</stp>
        <stp>FPT=A</stp>
        <stp>FA_ACT_EST_DATA=E, EST_SOURCE=WBL</stp>
        <stp>ACT_EST_MAPPING=PRECISE</stp>
        <stp>FS=MRC</stp>
        <stp>CURRENCY=USD</stp>
        <stp>XLFILL=b</stp>
        <tr r="L52" s="2"/>
      </tp>
      <tp t="s">
        <v>#N/A Requesting Data...</v>
        <stp/>
        <stp>##V3_BQLV12</stp>
        <stp>[MODL_NOW_US1.xlsx]Single Period!R52C26</stp>
        <stp>NOW US Equity</stp>
        <stp>ACCT_RCV_DAYS</stp>
        <stp>FPR=2021Y</stp>
        <stp>FPT=A</stp>
        <stp>FA_ACT_EST_DATA=E, EST_SOURCE=UBS</stp>
        <stp>ACT_EST_MAPPING=PRECISE</stp>
        <stp>FS=MRC</stp>
        <stp>CURRENCY=USD</stp>
        <stp>XLFILL=b</stp>
        <tr r="Z52" s="2"/>
      </tp>
      <tp t="s">
        <v>#N/A Requesting Data...</v>
        <stp/>
        <stp>##V3_BQLV12</stp>
        <stp>[MODL_NOW_US1.xlsx]Single Period!R231C36</stp>
        <stp>NOW US Equity</stp>
        <stp>CF_NET_CHNG_CASH/1M</stp>
        <stp>FPR=2021Y</stp>
        <stp>FPT=A</stp>
        <stp>FA_ACT_EST_DATA=E, EST_SOURCE=JEF</stp>
        <stp>ACT_EST_MAPPING=PRECISE</stp>
        <stp>FS=MRC</stp>
        <stp>CURRENCY=USD</stp>
        <stp>XLFILL=b</stp>
        <tr r="AJ231" s="2"/>
      </tp>
      <tp t="s">
        <v>#N/A Requesting Data...</v>
        <stp/>
        <stp>##V3_BQLV12</stp>
        <stp>[MODL_NOW_US1.xlsx]Single Period!R26C43</stp>
        <stp>NOW US Equity</stp>
        <stp>IS_ADJ_SELLING_AND_MRKTG_EXPN_AR/1M</stp>
        <stp>FPR=2021Y</stp>
        <stp>FPT=A</stp>
        <stp>FA_ACT_EST_DATA=E, EST_SOURCE=WFT</stp>
        <stp>ACT_EST_MAPPING=PRECISE</stp>
        <stp>FS=MRC</stp>
        <stp>CURRENCY=USD</stp>
        <stp>XLFILL=b</stp>
        <tr r="AQ26" s="2"/>
      </tp>
      <tp t="s">
        <v>#N/A Requesting Data...</v>
        <stp/>
        <stp>##V3_BQLV12</stp>
        <stp>[MODL_NOW_US1.xlsx]Single Period!R53C22</stp>
        <stp>NOW US Equity</stp>
        <stp>ANNUALIZED_DAYS_SALES_OUTSTDG</stp>
        <stp>FPR=2021Y</stp>
        <stp>FPT=A</stp>
        <stp>FA_ACT_EST_DATA=E, EST_SOURCE=NDH</stp>
        <stp>ACT_EST_MAPPING=PRECISE</stp>
        <stp>FS=MRC</stp>
        <stp>CURRENCY=USD</stp>
        <stp>XLFILL=b</stp>
        <tr r="V53" s="2"/>
      </tp>
      <tp t="s">
        <v>#N/A Requesting Data...</v>
        <stp/>
        <stp>##V3_BQLV12</stp>
        <stp>[MODL_NOW_US1.xlsx]Single Period!R88C43</stp>
        <stp>NOW US Equity</stp>
        <stp>IS_ADJ_SELLING_AND_MRKTG_EXPN_AR/1M</stp>
        <stp>FPR=2021Y</stp>
        <stp>FPT=A</stp>
        <stp>FA_ACT_EST_DATA=E, EST_SOURCE=WFT</stp>
        <stp>ACT_EST_MAPPING=PRECISE</stp>
        <stp>FS=MRC</stp>
        <stp>CURRENCY=USD</stp>
        <stp>XLFILL=b</stp>
        <tr r="AQ88" s="2"/>
      </tp>
      <tp t="s">
        <v>#N/A Requesting Data...</v>
        <stp/>
        <stp>##V3_BQLV12</stp>
        <stp>[MODL_NOW_US1.xlsx]Single Period!R231C22</stp>
        <stp>NOW US Equity</stp>
        <stp>CF_NET_CHNG_CASH/1M</stp>
        <stp>FPR=2021Y</stp>
        <stp>FPT=A</stp>
        <stp>FA_ACT_EST_DATA=E, EST_SOURCE=NDH</stp>
        <stp>ACT_EST_MAPPING=PRECISE</stp>
        <stp>FS=MRC</stp>
        <stp>CURRENCY=USD</stp>
        <stp>XLFILL=b</stp>
        <tr r="V231" s="2"/>
      </tp>
      <tp t="s">
        <v>#N/A Requesting Data...</v>
        <stp/>
        <stp>##V3_BQLV12</stp>
        <stp>[MODL_NOW_US1.xlsx]Single Period!R162C32</stp>
        <stp>NOW US Equity</stp>
        <stp>BS_LONG_TERM_INVESTMENTS/1M</stp>
        <stp>FPR=2021Y</stp>
        <stp>FPT=A</stp>
        <stp>FA_ACT_EST_DATA=E, EST_SOURCE=FBC</stp>
        <stp>ACT_EST_MAPPING=PRECISE</stp>
        <stp>FS=MRC</stp>
        <stp>CURRENCY=USD</stp>
        <stp>XLFILL=b</stp>
        <tr r="AF162" s="2"/>
      </tp>
      <tp t="s">
        <v>#N/A Requesting Data...</v>
        <stp/>
        <stp>##V3_BQLV12</stp>
        <stp>[MODL_NOW_US1.xlsx]Single Period!R142C8</stp>
        <stp>NOW US Equity</stp>
        <stp>CONTRIBUTOR_STATS(IS_SBC_ATT_TO_S_AND_M_PRETX, STD)/1M</stp>
        <stp>FPR=2021Y</stp>
        <stp>FPT=A</stp>
        <stp>FA_ACT_EST_DATA=E</stp>
        <stp>ACT_EST_MAPPING=PRECISE</stp>
        <stp>FS=MRC</stp>
        <stp>CURRENCY=USD</stp>
        <stp>XLFILL=b</stp>
        <tr r="H142" s="2"/>
      </tp>
      <tp t="s">
        <v>#N/A Requesting Data...</v>
        <stp/>
        <stp>##V3_BQLV12</stp>
        <stp>[MODL_NOW_US1.xlsx]Single Period!R11C43</stp>
        <stp>NOW US Equity</stp>
        <stp>NUM_CSTMR_CNTRCT_OVER_1_MILLN</stp>
        <stp>FPR=2021Y</stp>
        <stp>FPT=A</stp>
        <stp>FA_ACT_EST_DATA=E, EST_SOURCE=WFT</stp>
        <stp>ACT_EST_MAPPING=PRECISE</stp>
        <stp>FS=MRC</stp>
        <stp>CURRENCY=USD</stp>
        <stp>XLFILL=b</stp>
        <tr r="AQ11" s="2"/>
      </tp>
      <tp t="s">
        <v>#N/A Requesting Data...</v>
        <stp/>
        <stp>##V3_BQLV12</stp>
        <stp>[MODL_NOW_US1.xlsx]Single Period!R81C10</stp>
        <stp>NOW US Equity</stp>
        <stp>IS_ADJ_SALES_YOY_CHG_PCT_CC</stp>
        <stp>FPR=2021Y</stp>
        <stp>FPT=A</stp>
        <stp>FA_ACT_EST_DATA=E, EST_SOURCE=CMPY</stp>
        <stp>ACT_EST_MAPPING=PRECISE</stp>
        <stp>FS=MRC</stp>
        <stp>CURRENCY=USD</stp>
        <stp>XLFILL=b</stp>
        <tr r="J81" s="2"/>
      </tp>
      <tp t="s">
        <v>#N/A Requesting Data...</v>
        <stp/>
        <stp>##V3_BQLV12</stp>
        <stp>[MODL_NOW_US1.xlsx]Single Period!R95C22</stp>
        <stp>NOW US Equity</stp>
        <stp>IS_COMPARABLE_EBIT/1M</stp>
        <stp>FPR=2021Y</stp>
        <stp>FPT=A</stp>
        <stp>FA_ACT_EST_DATA=E, EST_SOURCE=NDH</stp>
        <stp>ACT_EST_MAPPING=PRECISE</stp>
        <stp>FS=MRC</stp>
        <stp>CURRENCY=USD</stp>
        <stp>XLFILL=b</stp>
        <tr r="V95" s="2"/>
      </tp>
      <tp t="s">
        <v>#N/A Requesting Data...</v>
        <stp/>
        <stp>##V3_BQLV12</stp>
        <stp>[MODL_NOW_US1.xlsx]Single Period!R22C8</stp>
        <stp>SEG0000230986 Segment</stp>
        <stp>CONTRIBUTOR_STATS(IS_ADJ_GROSS_MARGIN_PCT_AR, STD)</stp>
        <stp>FPR=2021Y</stp>
        <stp>FPT=A</stp>
        <stp>FA_ACT_EST_DATA=E</stp>
        <stp>ACT_EST_MAPPING=PRECISE</stp>
        <stp>FS=MRC</stp>
        <stp>CURRENCY=USD</stp>
        <stp>XLFILL=b</stp>
        <tr r="H22" s="2"/>
      </tp>
      <tp t="s">
        <v>#N/A Requesting Data...</v>
        <stp/>
        <stp>##V3_BQLV12</stp>
        <stp>[MODL_NOW_US1.xlsx]Single Period!R108C38</stp>
        <stp>NOW US Equity</stp>
        <stp>IS_COMP_EPS_EXCL_STOCK_COMP</stp>
        <stp>FPR=2021Y</stp>
        <stp>FPT=A</stp>
        <stp>FA_ACT_EST_DATA=E, EST_SOURCE=RWB</stp>
        <stp>ACT_EST_MAPPING=PRECISE</stp>
        <stp>FS=MRC</stp>
        <stp>CURRENCY=USD</stp>
        <stp>XLFILL=b</stp>
        <tr r="AL108" s="2"/>
      </tp>
      <tp t="s">
        <v>#N/A Requesting Data...</v>
        <stp/>
        <stp>##V3_BQLV12</stp>
        <stp>[MODL_NOW_US1.xlsx]Single Period!R217C40</stp>
        <stp>NOW US Equity</stp>
        <stp>CAP_EXPEND_TO_SALES</stp>
        <stp>FPR=2021Y</stp>
        <stp>FPT=A</stp>
        <stp>FA_ACT_EST_DATA=E, EST_SOURCE=DWI</stp>
        <stp>ACT_EST_MAPPING=PRECISE</stp>
        <stp>FS=MRC</stp>
        <stp>CURRENCY=USD</stp>
        <stp>XLFILL=b</stp>
        <tr r="AN217" s="2"/>
      </tp>
      <tp t="s">
        <v>#N/A Requesting Data...</v>
        <stp/>
        <stp>##V3_BQLV12</stp>
        <stp>[MODL_NOW_US1.xlsx]Single Period!R60C9</stp>
        <stp>SEG0000230975 Segment</stp>
        <stp>CONTRIBUTOR_STATS(IS_ADJUSTED_COGS_AS_REPORTED, MEDIAN)/1M</stp>
        <stp>FPR=2021Y</stp>
        <stp>FPT=A</stp>
        <stp>FA_ACT_EST_DATA=E</stp>
        <stp>ACT_EST_MAPPING=PRECISE</stp>
        <stp>FS=MRC</stp>
        <stp>CURRENCY=USD</stp>
        <stp>XLFILL=b</stp>
        <tr r="I60" s="2"/>
      </tp>
      <tp t="s">
        <v>#N/A Requesting Data...</v>
        <stp/>
        <stp>##V3_BQLV12</stp>
        <stp>[MODL_NOW_US1.xlsx]Single Period!R158C10</stp>
        <stp>NOW US Equity</stp>
        <stp>BS_ACCTS_REC_EXCL_NOTES_REC/1M</stp>
        <stp>FPR=2021Y</stp>
        <stp>FPT=A</stp>
        <stp>FA_ACT_EST_DATA=E, EST_SOURCE=CMPY</stp>
        <stp>ACT_EST_MAPPING=PRECISE</stp>
        <stp>FS=MRC</stp>
        <stp>CURRENCY=USD</stp>
        <stp>XLFILL=b</stp>
        <tr r="J158" s="2"/>
      </tp>
      <tp t="s">
        <v>#N/A Requesting Data...</v>
        <stp/>
        <stp>##V3_BQLV12</stp>
        <stp>[MODL_NOW_US1.xlsx]Single Period!R108C28</stp>
        <stp>NOW US Equity</stp>
        <stp>IS_COMP_EPS_EXCL_STOCK_COMP</stp>
        <stp>FPR=2021Y</stp>
        <stp>FPT=A</stp>
        <stp>FA_ACT_EST_DATA=E, EST_SOURCE=EVR</stp>
        <stp>ACT_EST_MAPPING=PRECISE</stp>
        <stp>FS=MRC</stp>
        <stp>CURRENCY=USD</stp>
        <stp>XLFILL=b</stp>
        <tr r="AB108" s="2"/>
      </tp>
      <tp t="s">
        <v>#N/A Requesting Data...</v>
        <stp/>
        <stp>##V3_BQLV12</stp>
        <stp>[MODL_NOW_US1.xlsx]Single Period!R156C7</stp>
        <stp>NOW US Equity</stp>
        <stp>CONTRIBUTOR_STATS(BS_CASH_NEAR_CASH_ITEM, MAX)/1M</stp>
        <stp>FPR=2021Y</stp>
        <stp>FPT=A</stp>
        <stp>FA_ACT_EST_DATA=E</stp>
        <stp>ACT_EST_MAPPING=PRECISE</stp>
        <stp>FS=MRC</stp>
        <stp>CURRENCY=USD</stp>
        <stp>XLFILL=b</stp>
        <tr r="G156" s="2"/>
      </tp>
      <tp t="s">
        <v>#N/A Requesting Data...</v>
        <stp/>
        <stp>##V3_BQLV12</stp>
        <stp>[MODL_NOW_US1.xlsx]Single Period!R156C6</stp>
        <stp>NOW US Equity</stp>
        <stp>CONTRIBUTOR_STATS(BS_CASH_NEAR_CASH_ITEM, MIN)/1M</stp>
        <stp>FPR=2021Y</stp>
        <stp>FPT=A</stp>
        <stp>FA_ACT_EST_DATA=E</stp>
        <stp>ACT_EST_MAPPING=PRECISE</stp>
        <stp>FS=MRC</stp>
        <stp>CURRENCY=USD</stp>
        <stp>XLFILL=b</stp>
        <tr r="F156" s="2"/>
      </tp>
      <tp t="s">
        <v>#N/A Requesting Data...</v>
        <stp/>
        <stp>##V3_BQLV12</stp>
        <stp>[MODL_NOW_US1.xlsx]Single Period!R156C8</stp>
        <stp>NOW US Equity</stp>
        <stp>CONTRIBUTOR_STATS(BS_CASH_NEAR_CASH_ITEM, STD)/1M</stp>
        <stp>FPR=2021Y</stp>
        <stp>FPT=A</stp>
        <stp>FA_ACT_EST_DATA=E</stp>
        <stp>ACT_EST_MAPPING=PRECISE</stp>
        <stp>FS=MRC</stp>
        <stp>CURRENCY=USD</stp>
        <stp>XLFILL=b</stp>
        <tr r="H156" s="2"/>
      </tp>
      <tp t="s">
        <v>#N/A Requesting Data...</v>
        <stp/>
        <stp>##V3_BQLV12</stp>
        <stp>[MODL_NOW_US1.xlsx]Single Period!R68C22</stp>
        <stp>SEG0000230986 Segment</stp>
        <stp>IS_ADJUSTED_COGS_AS_REPORTED/1M</stp>
        <stp>FPR=2021Y</stp>
        <stp>FPT=A</stp>
        <stp>FA_ACT_EST_DATA=E, EST_SOURCE=NDH</stp>
        <stp>ACT_EST_MAPPING=PRECISE</stp>
        <stp>FS=MRC</stp>
        <stp>CURRENCY=USD</stp>
        <stp>XLFILL=b</stp>
        <tr r="V68" s="2"/>
      </tp>
      <tp t="s">
        <v>#N/A Requesting Data...</v>
        <stp/>
        <stp>##V3_BQLV12</stp>
        <stp>[MODL_NOW_US1.xlsx]Single Period!R180C9</stp>
        <stp>NOW US Equity</stp>
        <stp>CONTRIBUTOR_STATS(BS_LT_OPERATING_LEASE_LIABS, MEDIAN)/1M</stp>
        <stp>FPR=2021Y</stp>
        <stp>FPT=A</stp>
        <stp>FA_ACT_EST_DATA=E</stp>
        <stp>ACT_EST_MAPPING=PRECISE</stp>
        <stp>FS=MRC</stp>
        <stp>CURRENCY=USD</stp>
        <stp>XLFILL=b</stp>
        <tr r="I180" s="2"/>
      </tp>
      <tp t="s">
        <v>#N/A Requesting Data...</v>
        <stp/>
        <stp>##V3_BQLV12</stp>
        <stp>[MODL_NOW_US1.xlsx]Single Period!R60C22</stp>
        <stp>SEG0000230975 Segment</stp>
        <stp>IS_ADJUSTED_COGS_AS_REPORTED/1M</stp>
        <stp>FPR=2021Y</stp>
        <stp>FPT=A</stp>
        <stp>FA_ACT_EST_DATA=E, EST_SOURCE=NDH</stp>
        <stp>ACT_EST_MAPPING=PRECISE</stp>
        <stp>FS=MRC</stp>
        <stp>CURRENCY=USD</stp>
        <stp>XLFILL=b</stp>
        <tr r="V60" s="2"/>
      </tp>
      <tp t="s">
        <v>#N/A Requesting Data...</v>
        <stp/>
        <stp>##V3_BQLV12</stp>
        <stp>[MODL_NOW_US1.xlsx]Single Period!R148C9</stp>
        <stp>NOW US Equity</stp>
        <stp>CONTRIBUTOR_STATS(IS_AMORT_ACQD_INTANGIBLES_R_AND_D, MEDIAN)/1M</stp>
        <stp>FPR=2021Y</stp>
        <stp>FPT=A</stp>
        <stp>FA_ACT_EST_DATA=E</stp>
        <stp>ACT_EST_MAPPING=PRECISE</stp>
        <stp>FS=MRC</stp>
        <stp>CURRENCY=USD</stp>
        <stp>XLFILL=b</stp>
        <tr r="I148" s="2"/>
      </tp>
      <tp t="s">
        <v>#N/A Requesting Data...</v>
        <stp/>
        <stp>##V3_BQLV12</stp>
        <stp>[MODL_NOW_US1.xlsx]Single Period!R59C16</stp>
        <stp>SEG0000230975 Segment</stp>
        <stp>IS_PERCENTAGE_OF_REVENUE</stp>
        <stp>FPR=2021Y</stp>
        <stp>FPT=A</stp>
        <stp>FA_ACT_EST_DATA=E, EST_SOURCE=BCA</stp>
        <stp>ACT_EST_MAPPING=PRECISE</stp>
        <stp>FS=MRC</stp>
        <stp>CURRENCY=USD</stp>
        <stp>XLFILL=b</stp>
        <tr r="P59" s="2"/>
      </tp>
      <tp t="s">
        <v>#N/A Requesting Data...</v>
        <stp/>
        <stp>##V3_BQLV12</stp>
        <stp>[MODL_NOW_US1.xlsx]Single Period!R44C22</stp>
        <stp>SEG0000230986 Segment</stp>
        <stp>IS_FOREIGN_CURRENCY_TURNOVER/1M</stp>
        <stp>FPR=2021Y</stp>
        <stp>FPT=A</stp>
        <stp>FA_ACT_EST_DATA=E, EST_SOURCE=NDH</stp>
        <stp>ACT_EST_MAPPING=PRECISE</stp>
        <stp>FS=MRC</stp>
        <stp>CURRENCY=USD</stp>
        <stp>XLFILL=b</stp>
        <tr r="V44" s="2"/>
      </tp>
      <tp t="s">
        <v>#N/A Requesting Data...</v>
        <stp/>
        <stp>##V3_BQLV12</stp>
        <stp>[MODL_NOW_US1.xlsx]Single Period!R59C27</stp>
        <stp>SEG0000230975 Segment</stp>
        <stp>IS_PERCENTAGE_OF_REVENUE</stp>
        <stp>FPR=2021Y</stp>
        <stp>FPT=A</stp>
        <stp>FA_ACT_EST_DATA=E, EST_SOURCE=RBC</stp>
        <stp>ACT_EST_MAPPING=PRECISE</stp>
        <stp>FS=MRC</stp>
        <stp>CURRENCY=USD</stp>
        <stp>XLFILL=b</stp>
        <tr r="AA59" s="2"/>
      </tp>
      <tp t="s">
        <v>#N/A Requesting Data...</v>
        <stp/>
        <stp>##V3_BQLV12</stp>
        <stp>[MODL_NOW_US1.xlsx]Single Period!R68C36</stp>
        <stp>SEG0000230986 Segment</stp>
        <stp>IS_ADJUSTED_COGS_AS_REPORTED/1M</stp>
        <stp>FPR=2021Y</stp>
        <stp>FPT=A</stp>
        <stp>FA_ACT_EST_DATA=E, EST_SOURCE=JEF</stp>
        <stp>ACT_EST_MAPPING=PRECISE</stp>
        <stp>FS=MRC</stp>
        <stp>CURRENCY=USD</stp>
        <stp>XLFILL=b</stp>
        <tr r="AJ68" s="2"/>
      </tp>
      <tp t="s">
        <v>#N/A Requesting Data...</v>
        <stp/>
        <stp>##V3_BQLV12</stp>
        <stp>[MODL_NOW_US1.xlsx]Single Period!R60C36</stp>
        <stp>SEG0000230975 Segment</stp>
        <stp>IS_ADJUSTED_COGS_AS_REPORTED/1M</stp>
        <stp>FPR=2021Y</stp>
        <stp>FPT=A</stp>
        <stp>FA_ACT_EST_DATA=E, EST_SOURCE=JEF</stp>
        <stp>ACT_EST_MAPPING=PRECISE</stp>
        <stp>FS=MRC</stp>
        <stp>CURRENCY=USD</stp>
        <stp>XLFILL=b</stp>
        <tr r="AJ60" s="2"/>
      </tp>
      <tp t="s">
        <v>#N/A Requesting Data...</v>
        <stp/>
        <stp>##V3_BQLV12</stp>
        <stp>[MODL_NOW_US1.xlsx]Single Period!R191C9</stp>
        <stp>NOW US Equity</stp>
        <stp>CONTRIBUTOR_STATS(ST_DEFERRED_REVENUE, MEDIAN)/1M</stp>
        <stp>FPR=2021Y</stp>
        <stp>FPT=A</stp>
        <stp>FA_ACT_EST_DATA=E</stp>
        <stp>ACT_EST_MAPPING=PRECISE</stp>
        <stp>FS=MRC</stp>
        <stp>CURRENCY=USD</stp>
        <stp>XLFILL=b</stp>
        <tr r="I191" s="2"/>
      </tp>
      <tp t="s">
        <v>#N/A Requesting Data...</v>
        <stp/>
        <stp>##V3_BQLV12</stp>
        <stp>[MODL_NOW_US1.xlsx]Single Period!R67C22</stp>
        <stp>SEG0000230986 Segment</stp>
        <stp>IS_PERCENTAGE_OF_REVENUE</stp>
        <stp>FPR=2021Y</stp>
        <stp>FPT=A</stp>
        <stp>FA_ACT_EST_DATA=E, EST_SOURCE=NDH</stp>
        <stp>ACT_EST_MAPPING=PRECISE</stp>
        <stp>FS=MRC</stp>
        <stp>CURRENCY=USD</stp>
        <stp>XLFILL=b</stp>
        <tr r="V67" s="2"/>
      </tp>
      <tp t="s">
        <v>#N/A Requesting Data...</v>
        <stp/>
        <stp>##V3_BQLV12</stp>
        <stp>[MODL_NOW_US1.xlsx]Single Period!R44C36</stp>
        <stp>SEG0000230986 Segment</stp>
        <stp>IS_FOREIGN_CURRENCY_TURNOVER/1M</stp>
        <stp>FPR=2021Y</stp>
        <stp>FPT=A</stp>
        <stp>FA_ACT_EST_DATA=E, EST_SOURCE=JEF</stp>
        <stp>ACT_EST_MAPPING=PRECISE</stp>
        <stp>FS=MRC</stp>
        <stp>CURRENCY=USD</stp>
        <stp>XLFILL=b</stp>
        <tr r="AJ44" s="2"/>
      </tp>
      <tp t="s">
        <v>#N/A Requesting Data...</v>
        <stp/>
        <stp>##V3_BQLV12</stp>
        <stp>[MODL_NOW_US1.xlsx]Single Period!R59C43</stp>
        <stp>SEG0000230975 Segment</stp>
        <stp>IS_PERCENTAGE_OF_REVENUE</stp>
        <stp>FPR=2021Y</stp>
        <stp>FPT=A</stp>
        <stp>FA_ACT_EST_DATA=E, EST_SOURCE=WFT</stp>
        <stp>ACT_EST_MAPPING=PRECISE</stp>
        <stp>FS=MRC</stp>
        <stp>CURRENCY=USD</stp>
        <stp>XLFILL=b</stp>
        <tr r="AQ59" s="2"/>
      </tp>
      <tp t="s">
        <v>#N/A Requesting Data...</v>
        <stp/>
        <stp>##V3_BQLV12</stp>
        <stp>[MODL_NOW_US1.xlsx]Single Period!R7C10</stp>
        <stp>NOW US Equity</stp>
        <stp>IS_COMP_SALES/1M</stp>
        <stp>FPR=2021Y</stp>
        <stp>FPT=A</stp>
        <stp>FA_ACT_EST_DATA=E, EST_SOURCE=CMPY</stp>
        <stp>ACT_EST_MAPPING=PRECISE</stp>
        <stp>FS=MRC</stp>
        <stp>CURRENCY=USD</stp>
        <stp>XLFILL=b</stp>
        <tr r="J7" s="2"/>
      </tp>
      <tp t="s">
        <v>#N/A Requesting Data...</v>
        <stp/>
        <stp>##V3_BQLV12</stp>
        <stp>[MODL_NOW_US1.xlsx]Single Period!R191C5</stp>
        <stp>NOW US Equity</stp>
        <stp>ST_DEFERRED_REVENUE/1M</stp>
        <stp>FPR=2021Y</stp>
        <stp>FPT=A</stp>
        <stp>FA_ACT_EST_DATA=E</stp>
        <stp>ACT_EST_MAPPING=PRECISE</stp>
        <stp>FS=MRC</stp>
        <stp>CURRENCY=USD</stp>
        <stp>XLFILL=b</stp>
        <tr r="E191" s="2"/>
      </tp>
      <tp t="s">
        <v>#N/A Requesting Data...</v>
        <stp/>
        <stp>##V3_BQLV12</stp>
        <stp>[MODL_NOW_US1.xlsx]Single Period!R161C9</stp>
        <stp>NOW US Equity</stp>
        <stp>CONTRIBUTOR_STATS(BS_TOTAL_NON_CURRENT_ASSETS, MEDIAN)/1M</stp>
        <stp>FPR=2021Y</stp>
        <stp>FPT=A</stp>
        <stp>FA_ACT_EST_DATA=E</stp>
        <stp>ACT_EST_MAPPING=PRECISE</stp>
        <stp>FS=MRC</stp>
        <stp>CURRENCY=USD</stp>
        <stp>XLFILL=b</stp>
        <tr r="I161" s="2"/>
      </tp>
      <tp t="s">
        <v>#N/A Requesting Data...</v>
        <stp/>
        <stp>##V3_BQLV12</stp>
        <stp>[MODL_NOW_US1.xlsx]Single Period!R192C9</stp>
        <stp>NOW US Equity</stp>
        <stp>CONTRIBUTOR_STATS(LT_DEFERRED_REVENUE, MEDIAN)/1M</stp>
        <stp>FPR=2021Y</stp>
        <stp>FPT=A</stp>
        <stp>FA_ACT_EST_DATA=E</stp>
        <stp>ACT_EST_MAPPING=PRECISE</stp>
        <stp>FS=MRC</stp>
        <stp>CURRENCY=USD</stp>
        <stp>XLFILL=b</stp>
        <tr r="I192" s="2"/>
      </tp>
      <tp t="s">
        <v>#N/A Requesting Data...</v>
        <stp/>
        <stp>##V3_BQLV12</stp>
        <stp>[MODL_NOW_US1.xlsx]Single Period!R67C18</stp>
        <stp>SEG0000230986 Segment</stp>
        <stp>IS_PERCENTAGE_OF_REVENUE</stp>
        <stp>FPR=2021Y</stp>
        <stp>FPT=A</stp>
        <stp>FA_ACT_EST_DATA=E, EST_SOURCE=SNR</stp>
        <stp>ACT_EST_MAPPING=PRECISE</stp>
        <stp>FS=MRC</stp>
        <stp>CURRENCY=USD</stp>
        <stp>XLFILL=b</stp>
        <tr r="R67" s="2"/>
      </tp>
      <tp t="s">
        <v>#N/A Requesting Data...</v>
        <stp/>
        <stp>##V3_BQLV12</stp>
        <stp>[MODL_NOW_US1.xlsx]Single Period!R112C18</stp>
        <stp>SEG0000230975 Segment</stp>
        <stp>IS_COGS_TO_FE_AND_PP_AND_G/1M</stp>
        <stp>FPR=2021Y</stp>
        <stp>FPT=A</stp>
        <stp>FA_ACT_EST_DATA=E, EST_SOURCE=SNR</stp>
        <stp>ACT_EST_MAPPING=PRECISE</stp>
        <stp>FS=MRC</stp>
        <stp>CURRENCY=USD</stp>
        <stp>XLFILL=b</stp>
        <tr r="R112" s="2"/>
      </tp>
      <tp t="s">
        <v>#N/A Requesting Data...</v>
        <stp/>
        <stp>##V3_BQLV12</stp>
        <stp>[MODL_NOW_US1.xlsx]Single Period!R112C29</stp>
        <stp>SEG0000230975 Segment</stp>
        <stp>IS_COGS_TO_FE_AND_PP_AND_G/1M</stp>
        <stp>FPR=2021Y</stp>
        <stp>FPT=A</stp>
        <stp>FA_ACT_EST_DATA=E, EST_SOURCE=BNS</stp>
        <stp>ACT_EST_MAPPING=PRECISE</stp>
        <stp>FS=MRC</stp>
        <stp>CURRENCY=USD</stp>
        <stp>XLFILL=b</stp>
        <tr r="AC112" s="2"/>
      </tp>
      <tp t="s">
        <v>#N/A Requesting Data...</v>
        <stp/>
        <stp>##V3_BQLV12</stp>
        <stp>[MODL_NOW_US1.xlsx]Single Period!R232C9</stp>
        <stp>NOW US Equity</stp>
        <stp>CONTRIBUTOR_STATS(CF_CASH_AND_CASH_EQUIV_BEG_BAL, MEDIAN)/1M</stp>
        <stp>FPR=2021Y</stp>
        <stp>FPT=A</stp>
        <stp>FA_ACT_EST_DATA=E</stp>
        <stp>ACT_EST_MAPPING=PRECISE</stp>
        <stp>FS=MRC</stp>
        <stp>CURRENCY=USD</stp>
        <stp>XLFILL=b</stp>
        <tr r="I232" s="2"/>
      </tp>
      <tp t="s">
        <v>#N/A Requesting Data...</v>
        <stp/>
        <stp>##V3_BQLV12</stp>
        <stp>[MODL_NOW_US1.xlsx]Single Period!R67C13</stp>
        <stp>SEG0000230986 Segment</stp>
        <stp>IS_PERCENTAGE_OF_REVENUE</stp>
        <stp>FPR=2021Y</stp>
        <stp>FPT=A</stp>
        <stp>FA_ACT_EST_DATA=E, EST_SOURCE=KEY</stp>
        <stp>ACT_EST_MAPPING=PRECISE</stp>
        <stp>FS=MRC</stp>
        <stp>CURRENCY=USD</stp>
        <stp>XLFILL=b</stp>
        <tr r="M67" s="2"/>
      </tp>
      <tp t="s">
        <v>#N/A Requesting Data...</v>
        <stp/>
        <stp>##V3_BQLV12</stp>
        <stp>[MODL_NOW_US1.xlsx]Single Period!R233C9</stp>
        <stp>NOW US Equity</stp>
        <stp>CONTRIBUTOR_STATS(CF_CASH_AND_CASH_EQUIV_END_BAL, MEDIAN)/1M</stp>
        <stp>FPR=2021Y</stp>
        <stp>FPT=A</stp>
        <stp>FA_ACT_EST_DATA=E</stp>
        <stp>ACT_EST_MAPPING=PRECISE</stp>
        <stp>FS=MRC</stp>
        <stp>CURRENCY=USD</stp>
        <stp>XLFILL=b</stp>
        <tr r="I233" s="2"/>
      </tp>
      <tp t="s">
        <v>#N/A Requesting Data...</v>
        <stp/>
        <stp>##V3_BQLV12</stp>
        <stp>[MODL_NOW_US1.xlsx]Single Period!R88C20</stp>
        <stp>NOW US Equity</stp>
        <stp>IS_ADJ_SELLING_AND_MRKTG_EXPN_AR/1M</stp>
        <stp>FPR=2021Y</stp>
        <stp>FPT=A</stp>
        <stp>FA_ACT_EST_DATA=E, EST_SOURCE=CAN</stp>
        <stp>ACT_EST_MAPPING=PRECISE</stp>
        <stp>FS=MRC</stp>
        <stp>CURRENCY=USD</stp>
        <stp>XLFILL=b</stp>
        <tr r="T88" s="2"/>
      </tp>
      <tp t="s">
        <v>#N/A Requesting Data...</v>
        <stp/>
        <stp>##V3_BQLV12</stp>
        <stp>[MODL_NOW_US1.xlsx]Single Period!R88C12</stp>
        <stp>NOW US Equity</stp>
        <stp>IS_ADJ_SELLING_AND_MRKTG_EXPN_AR/1M</stp>
        <stp>FPR=2021Y</stp>
        <stp>FPT=A</stp>
        <stp>FA_ACT_EST_DATA=E, EST_SOURCE=WBL</stp>
        <stp>ACT_EST_MAPPING=PRECISE</stp>
        <stp>FS=MRC</stp>
        <stp>CURRENCY=USD</stp>
        <stp>XLFILL=b</stp>
        <tr r="L88" s="2"/>
      </tp>
      <tp t="s">
        <v>#N/A Requesting Data...</v>
        <stp/>
        <stp>##V3_BQLV12</stp>
        <stp>[MODL_NOW_US1.xlsx]Single Period!R52C49</stp>
        <stp>NOW US Equity</stp>
        <stp>ACCT_RCV_DAYS</stp>
        <stp>FPR=2021Y</stp>
        <stp>FPT=A</stp>
        <stp>FA_ACT_EST_DATA=E, EST_SOURCE=SCB</stp>
        <stp>ACT_EST_MAPPING=PRECISE</stp>
        <stp>FS=MRC</stp>
        <stp>CURRENCY=USD</stp>
        <stp>XLFILL=b</stp>
        <tr r="AW52" s="2"/>
      </tp>
      <tp t="s">
        <v>#N/A Requesting Data...</v>
        <stp/>
        <stp>##V3_BQLV12</stp>
        <stp>[MODL_NOW_US1.xlsx]Single Period!R52C16</stp>
        <stp>NOW US Equity</stp>
        <stp>ACCT_RCV_DAYS</stp>
        <stp>FPR=2021Y</stp>
        <stp>FPT=A</stp>
        <stp>FA_ACT_EST_DATA=E, EST_SOURCE=BCA</stp>
        <stp>ACT_EST_MAPPING=PRECISE</stp>
        <stp>FS=MRC</stp>
        <stp>CURRENCY=USD</stp>
        <stp>XLFILL=b</stp>
        <tr r="P52" s="2"/>
      </tp>
      <tp t="s">
        <v>#N/A Requesting Data...</v>
        <stp/>
        <stp>##V3_BQLV12</stp>
        <stp>[MODL_NOW_US1.xlsx]Single Period!R53C13</stp>
        <stp>NOW US Equity</stp>
        <stp>ANNUALIZED_DAYS_SALES_OUTSTDG</stp>
        <stp>FPR=2021Y</stp>
        <stp>FPT=A</stp>
        <stp>FA_ACT_EST_DATA=E, EST_SOURCE=KEY</stp>
        <stp>ACT_EST_MAPPING=PRECISE</stp>
        <stp>FS=MRC</stp>
        <stp>CURRENCY=USD</stp>
        <stp>XLFILL=b</stp>
        <tr r="M53" s="2"/>
      </tp>
      <tp t="s">
        <v>#N/A Requesting Data...</v>
        <stp/>
        <stp>##V3_BQLV12</stp>
        <stp>[MODL_NOW_US1.xlsx]Single Period!R26C20</stp>
        <stp>NOW US Equity</stp>
        <stp>IS_ADJ_SELLING_AND_MRKTG_EXPN_AR/1M</stp>
        <stp>FPR=2021Y</stp>
        <stp>FPT=A</stp>
        <stp>FA_ACT_EST_DATA=E, EST_SOURCE=CAN</stp>
        <stp>ACT_EST_MAPPING=PRECISE</stp>
        <stp>FS=MRC</stp>
        <stp>CURRENCY=USD</stp>
        <stp>XLFILL=b</stp>
        <tr r="T26" s="2"/>
      </tp>
      <tp t="s">
        <v>#N/A Requesting Data...</v>
        <stp/>
        <stp>##V3_BQLV12</stp>
        <stp>[MODL_NOW_US1.xlsx]Single Period!R26C12</stp>
        <stp>NOW US Equity</stp>
        <stp>IS_ADJ_SELLING_AND_MRKTG_EXPN_AR/1M</stp>
        <stp>FPR=2021Y</stp>
        <stp>FPT=A</stp>
        <stp>FA_ACT_EST_DATA=E, EST_SOURCE=WBL</stp>
        <stp>ACT_EST_MAPPING=PRECISE</stp>
        <stp>FS=MRC</stp>
        <stp>CURRENCY=USD</stp>
        <stp>XLFILL=b</stp>
        <tr r="L26" s="2"/>
      </tp>
      <tp t="s">
        <v>#N/A Requesting Data...</v>
        <stp/>
        <stp>##V3_BQLV12</stp>
        <stp>[MODL_NOW_US1.xlsx]Single Period!R162C26</stp>
        <stp>NOW US Equity</stp>
        <stp>BS_LONG_TERM_INVESTMENTS/1M</stp>
        <stp>FPR=2021Y</stp>
        <stp>FPT=A</stp>
        <stp>FA_ACT_EST_DATA=E, EST_SOURCE=UBS</stp>
        <stp>ACT_EST_MAPPING=PRECISE</stp>
        <stp>FS=MRC</stp>
        <stp>CURRENCY=USD</stp>
        <stp>XLFILL=b</stp>
        <tr r="Z162" s="2"/>
      </tp>
      <tp t="s">
        <v>#N/A Requesting Data...</v>
        <stp/>
        <stp>##V3_BQLV12</stp>
        <stp>[MODL_NOW_US1.xlsx]Single Period!R53C36</stp>
        <stp>NOW US Equity</stp>
        <stp>ANNUALIZED_DAYS_SALES_OUTSTDG</stp>
        <stp>FPR=2021Y</stp>
        <stp>FPT=A</stp>
        <stp>FA_ACT_EST_DATA=E, EST_SOURCE=JEF</stp>
        <stp>ACT_EST_MAPPING=PRECISE</stp>
        <stp>FS=MRC</stp>
        <stp>CURRENCY=USD</stp>
        <stp>XLFILL=b</stp>
        <tr r="AJ53" s="2"/>
      </tp>
      <tp t="s">
        <v>#N/A Requesting Data...</v>
        <stp/>
        <stp>##V3_BQLV12</stp>
        <stp>[MODL_NOW_US1.xlsx]Single Period!R231C49</stp>
        <stp>NOW US Equity</stp>
        <stp>CF_NET_CHNG_CASH/1M</stp>
        <stp>FPR=2021Y</stp>
        <stp>FPT=A</stp>
        <stp>FA_ACT_EST_DATA=E, EST_SOURCE=SCB</stp>
        <stp>ACT_EST_MAPPING=PRECISE</stp>
        <stp>FS=MRC</stp>
        <stp>CURRENCY=USD</stp>
        <stp>XLFILL=b</stp>
        <tr r="AW231" s="2"/>
      </tp>
      <tp t="s">
        <v>#N/A Requesting Data...</v>
        <stp/>
        <stp>##V3_BQLV12</stp>
        <stp>[MODL_NOW_US1.xlsx]Single Period!R162C27</stp>
        <stp>NOW US Equity</stp>
        <stp>BS_LONG_TERM_INVESTMENTS/1M</stp>
        <stp>FPR=2021Y</stp>
        <stp>FPT=A</stp>
        <stp>FA_ACT_EST_DATA=E, EST_SOURCE=RBC</stp>
        <stp>ACT_EST_MAPPING=PRECISE</stp>
        <stp>FS=MRC</stp>
        <stp>CURRENCY=USD</stp>
        <stp>XLFILL=b</stp>
        <tr r="AA162" s="2"/>
      </tp>
      <tp t="s">
        <v>#N/A Requesting Data...</v>
        <stp/>
        <stp>##V3_BQLV12</stp>
        <stp>[MODL_NOW_US1.xlsx]Single Period!R162C25</stp>
        <stp>NOW US Equity</stp>
        <stp>BS_LONG_TERM_INVESTMENTS/1M</stp>
        <stp>FPR=2021Y</stp>
        <stp>FPT=A</stp>
        <stp>FA_ACT_EST_DATA=E, EST_SOURCE=DBG</stp>
        <stp>ACT_EST_MAPPING=PRECISE</stp>
        <stp>FS=MRC</stp>
        <stp>CURRENCY=USD</stp>
        <stp>XLFILL=b</stp>
        <tr r="Y162" s="2"/>
      </tp>
      <tp t="s">
        <v>#N/A Requesting Data...</v>
        <stp/>
        <stp>##V3_BQLV12</stp>
        <stp>[MODL_NOW_US1.xlsx]Single Period!R95C36</stp>
        <stp>NOW US Equity</stp>
        <stp>IS_COMPARABLE_EBIT/1M</stp>
        <stp>FPR=2021Y</stp>
        <stp>FPT=A</stp>
        <stp>FA_ACT_EST_DATA=E, EST_SOURCE=JEF</stp>
        <stp>ACT_EST_MAPPING=PRECISE</stp>
        <stp>FS=MRC</stp>
        <stp>CURRENCY=USD</stp>
        <stp>XLFILL=b</stp>
        <tr r="AJ95" s="2"/>
      </tp>
      <tp t="s">
        <v>#N/A Requesting Data...</v>
        <stp/>
        <stp>##V3_BQLV12</stp>
        <stp>[MODL_NOW_US1.xlsx]Single Period!R50C43</stp>
        <stp>NOW US Equity</stp>
        <stp>NUM_CSTMR_CNTRCT_OVER_1_MILLN</stp>
        <stp>FPR=2021Y</stp>
        <stp>FPT=A</stp>
        <stp>FA_ACT_EST_DATA=E, EST_SOURCE=WFT</stp>
        <stp>ACT_EST_MAPPING=PRECISE</stp>
        <stp>FS=MRC</stp>
        <stp>CURRENCY=USD</stp>
        <stp>XLFILL=b</stp>
        <tr r="AQ50" s="2"/>
      </tp>
      <tp t="s">
        <v>#N/A Requesting Data...</v>
        <stp/>
        <stp>##V3_BQLV12</stp>
        <stp>[MODL_NOW_US1.xlsx]Single Period!R217C19</stp>
        <stp>NOW US Equity</stp>
        <stp>CAP_EXPEND_TO_SALES</stp>
        <stp>FPR=2021Y</stp>
        <stp>FPT=A</stp>
        <stp>FA_ACT_EST_DATA=E, EST_SOURCE=MSV</stp>
        <stp>ACT_EST_MAPPING=PRECISE</stp>
        <stp>FS=MRC</stp>
        <stp>CURRENCY=USD</stp>
        <stp>XLFILL=b</stp>
        <tr r="S217" s="2"/>
      </tp>
      <tp t="s">
        <v>#N/A Requesting Data...</v>
        <stp/>
        <stp>##V3_BQLV12</stp>
        <stp>[MODL_NOW_US1.xlsx]Single Period!R108C24</stp>
        <stp>NOW US Equity</stp>
        <stp>IS_COMP_EPS_EXCL_STOCK_COMP</stp>
        <stp>FPR=2021Y</stp>
        <stp>FPT=A</stp>
        <stp>FA_ACT_EST_DATA=E, EST_SOURCE=CWN</stp>
        <stp>ACT_EST_MAPPING=PRECISE</stp>
        <stp>FS=MRC</stp>
        <stp>CURRENCY=USD</stp>
        <stp>XLFILL=b</stp>
        <tr r="X108" s="2"/>
      </tp>
      <tp t="s">
        <v>#N/A Requesting Data...</v>
        <stp/>
        <stp>##V3_BQLV12</stp>
        <stp>[MODL_NOW_US1.xlsx]Single Period!R161C10</stp>
        <stp>NOW US Equity</stp>
        <stp>BS_TOTAL_NON_CURRENT_ASSETS/1M</stp>
        <stp>FPR=2021Y</stp>
        <stp>FPT=A</stp>
        <stp>FA_ACT_EST_DATA=E, EST_SOURCE=CMPY</stp>
        <stp>ACT_EST_MAPPING=PRECISE</stp>
        <stp>FS=MRC</stp>
        <stp>CURRENCY=USD</stp>
        <stp>XLFILL=b</stp>
        <tr r="J161" s="2"/>
      </tp>
      <tp t="s">
        <v>#N/A Requesting Data...</v>
        <stp/>
        <stp>##V3_BQLV12</stp>
        <stp>[MODL_NOW_US1.xlsx]Single Period!R95C13</stp>
        <stp>NOW US Equity</stp>
        <stp>IS_COMPARABLE_EBIT/1M</stp>
        <stp>FPR=2021Y</stp>
        <stp>FPT=A</stp>
        <stp>FA_ACT_EST_DATA=E, EST_SOURCE=KEY</stp>
        <stp>ACT_EST_MAPPING=PRECISE</stp>
        <stp>FS=MRC</stp>
        <stp>CURRENCY=USD</stp>
        <stp>XLFILL=b</stp>
        <tr r="M95" s="2"/>
      </tp>
      <tp t="s">
        <v>#N/A Requesting Data...</v>
        <stp/>
        <stp>##V3_BQLV12</stp>
        <stp>[MODL_NOW_US1.xlsx]Single Period!R147C8</stp>
        <stp>NOW US Equity</stp>
        <stp>CONTRIBUTOR_STATS(IS_AMORT_OF_TOT_INTANG_PRETX, STD)/1M</stp>
        <stp>FPR=2021Y</stp>
        <stp>FPT=A</stp>
        <stp>FA_ACT_EST_DATA=E</stp>
        <stp>ACT_EST_MAPPING=PRECISE</stp>
        <stp>FS=MRC</stp>
        <stp>CURRENCY=USD</stp>
        <stp>XLFILL=b</stp>
        <tr r="H147" s="2"/>
      </tp>
      <tp t="s">
        <v>#N/A Requesting Data...</v>
        <stp/>
        <stp>##V3_BQLV12</stp>
        <stp>[MODL_NOW_US1.xlsx]Single Period!R147C7</stp>
        <stp>NOW US Equity</stp>
        <stp>CONTRIBUTOR_STATS(IS_AMORT_OF_TOT_INTANG_PRETX, MAX)/1M</stp>
        <stp>FPR=2021Y</stp>
        <stp>FPT=A</stp>
        <stp>FA_ACT_EST_DATA=E</stp>
        <stp>ACT_EST_MAPPING=PRECISE</stp>
        <stp>FS=MRC</stp>
        <stp>CURRENCY=USD</stp>
        <stp>XLFILL=b</stp>
        <tr r="G147" s="2"/>
      </tp>
      <tp t="s">
        <v>#N/A Requesting Data...</v>
        <stp/>
        <stp>##V3_BQLV12</stp>
        <stp>[MODL_NOW_US1.xlsx]Single Period!R147C6</stp>
        <stp>NOW US Equity</stp>
        <stp>CONTRIBUTOR_STATS(IS_AMORT_OF_TOT_INTANG_PRETX, MIN)/1M</stp>
        <stp>FPR=2021Y</stp>
        <stp>FPT=A</stp>
        <stp>FA_ACT_EST_DATA=E</stp>
        <stp>ACT_EST_MAPPING=PRECISE</stp>
        <stp>FS=MRC</stp>
        <stp>CURRENCY=USD</stp>
        <stp>XLFILL=b</stp>
        <tr r="F147" s="2"/>
      </tp>
      <tp t="s">
        <v>#N/A Requesting Data...</v>
        <stp/>
        <stp>##V3_BQLV12</stp>
        <stp>[MODL_NOW_US1.xlsx]Single Period!R67C16</stp>
        <stp>SEG0000230986 Segment</stp>
        <stp>IS_PERCENTAGE_OF_REVENUE</stp>
        <stp>FPR=2021Y</stp>
        <stp>FPT=A</stp>
        <stp>FA_ACT_EST_DATA=E, EST_SOURCE=BCA</stp>
        <stp>ACT_EST_MAPPING=PRECISE</stp>
        <stp>FS=MRC</stp>
        <stp>CURRENCY=USD</stp>
        <stp>XLFILL=b</stp>
        <tr r="P67" s="2"/>
      </tp>
      <tp t="s">
        <v>#N/A Requesting Data...</v>
        <stp/>
        <stp>##V3_BQLV12</stp>
        <stp>[MODL_NOW_US1.xlsx]Single Period!R113C49</stp>
        <stp>SEG0000230986 Segment</stp>
        <stp>IS_COGS_TO_FE_AND_PP_AND_G/1M</stp>
        <stp>FPR=2021Y</stp>
        <stp>FPT=A</stp>
        <stp>FA_ACT_EST_DATA=E, EST_SOURCE=SCB</stp>
        <stp>ACT_EST_MAPPING=PRECISE</stp>
        <stp>FS=MRC</stp>
        <stp>CURRENCY=USD</stp>
        <stp>XLFILL=b</stp>
        <tr r="AW113" s="2"/>
      </tp>
      <tp t="s">
        <v>#N/A Requesting Data...</v>
        <stp/>
        <stp>##V3_BQLV12</stp>
        <stp>[MODL_NOW_US1.xlsx]Single Period!R113C16</stp>
        <stp>SEG0000230986 Segment</stp>
        <stp>IS_COGS_TO_FE_AND_PP_AND_G/1M</stp>
        <stp>FPR=2021Y</stp>
        <stp>FPT=A</stp>
        <stp>FA_ACT_EST_DATA=E, EST_SOURCE=BCA</stp>
        <stp>ACT_EST_MAPPING=PRECISE</stp>
        <stp>FS=MRC</stp>
        <stp>CURRENCY=USD</stp>
        <stp>XLFILL=b</stp>
        <tr r="P113" s="2"/>
      </tp>
      <tp t="s">
        <v>#N/A Requesting Data...</v>
        <stp/>
        <stp>##V3_BQLV12</stp>
        <stp>[MODL_NOW_US1.xlsx]Single Period!R67C27</stp>
        <stp>SEG0000230986 Segment</stp>
        <stp>IS_PERCENTAGE_OF_REVENUE</stp>
        <stp>FPR=2021Y</stp>
        <stp>FPT=A</stp>
        <stp>FA_ACT_EST_DATA=E, EST_SOURCE=RBC</stp>
        <stp>ACT_EST_MAPPING=PRECISE</stp>
        <stp>FS=MRC</stp>
        <stp>CURRENCY=USD</stp>
        <stp>XLFILL=b</stp>
        <tr r="AA67" s="2"/>
      </tp>
      <tp t="s">
        <v>#N/A Requesting Data...</v>
        <stp/>
        <stp>##V3_BQLV12</stp>
        <stp>[MODL_NOW_US1.xlsx]Single Period!R112C14</stp>
        <stp>SEG0000230975 Segment</stp>
        <stp>IS_COGS_TO_FE_AND_PP_AND_G/1M</stp>
        <stp>FPR=2021Y</stp>
        <stp>FPT=A</stp>
        <stp>FA_ACT_EST_DATA=E, EST_SOURCE=BMO</stp>
        <stp>ACT_EST_MAPPING=PRECISE</stp>
        <stp>FS=MRC</stp>
        <stp>CURRENCY=USD</stp>
        <stp>XLFILL=b</stp>
        <tr r="N112" s="2"/>
      </tp>
      <tp t="s">
        <v>#N/A Requesting Data...</v>
        <stp/>
        <stp>##V3_BQLV12</stp>
        <stp>[MODL_NOW_US1.xlsx]Single Period!R59C22</stp>
        <stp>SEG0000230975 Segment</stp>
        <stp>IS_PERCENTAGE_OF_REVENUE</stp>
        <stp>FPR=2021Y</stp>
        <stp>FPT=A</stp>
        <stp>FA_ACT_EST_DATA=E, EST_SOURCE=NDH</stp>
        <stp>ACT_EST_MAPPING=PRECISE</stp>
        <stp>FS=MRC</stp>
        <stp>CURRENCY=USD</stp>
        <stp>XLFILL=b</stp>
        <tr r="V59" s="2"/>
      </tp>
      <tp t="s">
        <v>#N/A Requesting Data...</v>
        <stp/>
        <stp>##V3_BQLV12</stp>
        <stp>[MODL_NOW_US1.xlsx]Single Period!R67C43</stp>
        <stp>SEG0000230986 Segment</stp>
        <stp>IS_PERCENTAGE_OF_REVENUE</stp>
        <stp>FPR=2021Y</stp>
        <stp>FPT=A</stp>
        <stp>FA_ACT_EST_DATA=E, EST_SOURCE=WFT</stp>
        <stp>ACT_EST_MAPPING=PRECISE</stp>
        <stp>FS=MRC</stp>
        <stp>CURRENCY=USD</stp>
        <stp>XLFILL=b</stp>
        <tr r="AQ67" s="2"/>
      </tp>
      <tp t="s">
        <v>#N/A Requesting Data...</v>
        <stp/>
        <stp>##V3_BQLV12</stp>
        <stp>[MODL_NOW_US1.xlsx]Single Period!R237C7</stp>
        <stp>NOW US Equity</stp>
        <stp>CONTRIBUTOR_STATS(FCF_PER_DIL_SHR, MAX)</stp>
        <stp>FPR=2021Y</stp>
        <stp>FPT=A</stp>
        <stp>FA_ACT_EST_DATA=E</stp>
        <stp>ACT_EST_MAPPING=PRECISE</stp>
        <stp>FS=MRC</stp>
        <stp>CURRENCY=USD</stp>
        <stp>XLFILL=b</stp>
        <tr r="G237" s="2"/>
      </tp>
      <tp t="s">
        <v>#N/A Requesting Data...</v>
        <stp/>
        <stp>##V3_BQLV12</stp>
        <stp>[MODL_NOW_US1.xlsx]Single Period!R24C23</stp>
        <stp>NOW US Equity</stp>
        <stp>IS_ADJ_GROSS_PROFIT_AS_REPORTED/1M</stp>
        <stp>FPR=2021Y</stp>
        <stp>FPT=A</stp>
        <stp>FA_ACT_EST_DATA=E, EST_SOURCE=ZXS</stp>
        <stp>ACT_EST_MAPPING=PRECISE</stp>
        <stp>FS=MRC</stp>
        <stp>CURRENCY=USD</stp>
        <stp>XLFILL=b</stp>
        <tr r="W24" s="2"/>
      </tp>
      <tp t="s">
        <v>#N/A Requesting Data...</v>
        <stp/>
        <stp>##V3_BQLV12</stp>
        <stp>[MODL_NOW_US1.xlsx]Single Period!R84C23</stp>
        <stp>NOW US Equity</stp>
        <stp>IS_ADJ_GROSS_PROFIT_AS_REPORTED/1M</stp>
        <stp>FPR=2021Y</stp>
        <stp>FPT=A</stp>
        <stp>FA_ACT_EST_DATA=E, EST_SOURCE=ZXS</stp>
        <stp>ACT_EST_MAPPING=PRECISE</stp>
        <stp>FS=MRC</stp>
        <stp>CURRENCY=USD</stp>
        <stp>XLFILL=b</stp>
        <tr r="W84" s="2"/>
      </tp>
      <tp t="s">
        <v>#N/A Requesting Data...</v>
        <stp/>
        <stp>##V3_BQLV12</stp>
        <stp>[MODL_NOW_US1.xlsx]Single Period!R112C21</stp>
        <stp>SEG0000230975 Segment</stp>
        <stp>IS_COGS_TO_FE_AND_PP_AND_G/1M</stp>
        <stp>FPR=2021Y</stp>
        <stp>FPT=A</stp>
        <stp>FA_ACT_EST_DATA=E, EST_SOURCE=JMP</stp>
        <stp>ACT_EST_MAPPING=PRECISE</stp>
        <stp>FS=MRC</stp>
        <stp>CURRENCY=USD</stp>
        <stp>XLFILL=b</stp>
        <tr r="U112" s="2"/>
      </tp>
      <tp t="s">
        <v>#N/A Requesting Data...</v>
        <stp/>
        <stp>##V3_BQLV12</stp>
        <stp>[MODL_NOW_US1.xlsx]Single Period!R192C5</stp>
        <stp>NOW US Equity</stp>
        <stp>LT_DEFERRED_REVENUE/1M</stp>
        <stp>FPR=2021Y</stp>
        <stp>FPT=A</stp>
        <stp>FA_ACT_EST_DATA=E</stp>
        <stp>ACT_EST_MAPPING=PRECISE</stp>
        <stp>FS=MRC</stp>
        <stp>CURRENCY=USD</stp>
        <stp>XLFILL=b</stp>
        <tr r="E192" s="2"/>
      </tp>
      <tp t="s">
        <v>#N/A Requesting Data...</v>
        <stp/>
        <stp>##V3_BQLV12</stp>
        <stp>[MODL_NOW_US1.xlsx]Single Period!R59C18</stp>
        <stp>SEG0000230975 Segment</stp>
        <stp>IS_PERCENTAGE_OF_REVENUE</stp>
        <stp>FPR=2021Y</stp>
        <stp>FPT=A</stp>
        <stp>FA_ACT_EST_DATA=E, EST_SOURCE=SNR</stp>
        <stp>ACT_EST_MAPPING=PRECISE</stp>
        <stp>FS=MRC</stp>
        <stp>CURRENCY=USD</stp>
        <stp>XLFILL=b</stp>
        <tr r="R59" s="2"/>
      </tp>
      <tp t="s">
        <v>#N/A Requesting Data...</v>
        <stp/>
        <stp>##V3_BQLV12</stp>
        <stp>[MODL_NOW_US1.xlsx]Single Period!R237C6</stp>
        <stp>NOW US Equity</stp>
        <stp>CONTRIBUTOR_STATS(FCF_PER_DIL_SHR, MIN)</stp>
        <stp>FPR=2021Y</stp>
        <stp>FPT=A</stp>
        <stp>FA_ACT_EST_DATA=E</stp>
        <stp>ACT_EST_MAPPING=PRECISE</stp>
        <stp>FS=MRC</stp>
        <stp>CURRENCY=USD</stp>
        <stp>XLFILL=b</stp>
        <tr r="F237" s="2"/>
      </tp>
      <tp t="s">
        <v>#N/A Requesting Data...</v>
        <stp/>
        <stp>##V3_BQLV12</stp>
        <stp>[MODL_NOW_US1.xlsx]Single Period!R59C13</stp>
        <stp>SEG0000230975 Segment</stp>
        <stp>IS_PERCENTAGE_OF_REVENUE</stp>
        <stp>FPR=2021Y</stp>
        <stp>FPT=A</stp>
        <stp>FA_ACT_EST_DATA=E, EST_SOURCE=KEY</stp>
        <stp>ACT_EST_MAPPING=PRECISE</stp>
        <stp>FS=MRC</stp>
        <stp>CURRENCY=USD</stp>
        <stp>XLFILL=b</stp>
        <tr r="M59" s="2"/>
      </tp>
      <tp t="s">
        <v>#N/A Requesting Data...</v>
        <stp/>
        <stp>##V3_BQLV12</stp>
        <stp>[MODL_NOW_US1.xlsx]Single Period!R26C27</stp>
        <stp>NOW US Equity</stp>
        <stp>IS_ADJ_SELLING_AND_MRKTG_EXPN_AR/1M</stp>
        <stp>FPR=2021Y</stp>
        <stp>FPT=A</stp>
        <stp>FA_ACT_EST_DATA=E, EST_SOURCE=RBC</stp>
        <stp>ACT_EST_MAPPING=PRECISE</stp>
        <stp>FS=MRC</stp>
        <stp>CURRENCY=USD</stp>
        <stp>XLFILL=b</stp>
        <tr r="AA26" s="2"/>
      </tp>
      <tp t="s">
        <v>#N/A Requesting Data...</v>
        <stp/>
        <stp>##V3_BQLV12</stp>
        <stp>[MODL_NOW_US1.xlsx]Single Period!R191C6</stp>
        <stp>NOW US Equity</stp>
        <stp>CONTRIBUTOR_STATS(ST_DEFERRED_REVENUE, MIN)/1M</stp>
        <stp>FPR=2021Y</stp>
        <stp>FPT=A</stp>
        <stp>FA_ACT_EST_DATA=E</stp>
        <stp>ACT_EST_MAPPING=PRECISE</stp>
        <stp>FS=MRC</stp>
        <stp>CURRENCY=USD</stp>
        <stp>XLFILL=b</stp>
        <tr r="F191" s="2"/>
      </tp>
      <tp t="s">
        <v>#N/A Requesting Data...</v>
        <stp/>
        <stp>##V3_BQLV12</stp>
        <stp>[MODL_NOW_US1.xlsx]Single Period!R191C7</stp>
        <stp>NOW US Equity</stp>
        <stp>CONTRIBUTOR_STATS(ST_DEFERRED_REVENUE, MAX)/1M</stp>
        <stp>FPR=2021Y</stp>
        <stp>FPT=A</stp>
        <stp>FA_ACT_EST_DATA=E</stp>
        <stp>ACT_EST_MAPPING=PRECISE</stp>
        <stp>FS=MRC</stp>
        <stp>CURRENCY=USD</stp>
        <stp>XLFILL=b</stp>
        <tr r="G191" s="2"/>
      </tp>
      <tp t="s">
        <v>#N/A Requesting Data...</v>
        <stp/>
        <stp>##V3_BQLV12</stp>
        <stp>[MODL_NOW_US1.xlsx]Single Period!R26C25</stp>
        <stp>NOW US Equity</stp>
        <stp>IS_ADJ_SELLING_AND_MRKTG_EXPN_AR/1M</stp>
        <stp>FPR=2021Y</stp>
        <stp>FPT=A</stp>
        <stp>FA_ACT_EST_DATA=E, EST_SOURCE=DBG</stp>
        <stp>ACT_EST_MAPPING=PRECISE</stp>
        <stp>FS=MRC</stp>
        <stp>CURRENCY=USD</stp>
        <stp>XLFILL=b</stp>
        <tr r="Y26" s="2"/>
      </tp>
      <tp t="s">
        <v>#N/A Requesting Data...</v>
        <stp/>
        <stp>##V3_BQLV12</stp>
        <stp>[MODL_NOW_US1.xlsx]Single Period!R220C46</stp>
        <stp>NOW US Equity</stp>
        <stp>CF_PROCDS_FROM_INVSTMNTS/1M</stp>
        <stp>FPR=2021Y</stp>
        <stp>FPT=A</stp>
        <stp>FA_ACT_EST_DATA=E, EST_SOURCE=MZS</stp>
        <stp>ACT_EST_MAPPING=PRECISE</stp>
        <stp>FS=MRC</stp>
        <stp>CURRENCY=USD</stp>
        <stp>XLFILL=b</stp>
        <tr r="AT220" s="2"/>
      </tp>
      <tp t="s">
        <v>#N/A Requesting Data...</v>
        <stp/>
        <stp>##V3_BQLV12</stp>
        <stp>[MODL_NOW_US1.xlsx]Single Period!R88C27</stp>
        <stp>NOW US Equity</stp>
        <stp>IS_ADJ_SELLING_AND_MRKTG_EXPN_AR/1M</stp>
        <stp>FPR=2021Y</stp>
        <stp>FPT=A</stp>
        <stp>FA_ACT_EST_DATA=E, EST_SOURCE=RBC</stp>
        <stp>ACT_EST_MAPPING=PRECISE</stp>
        <stp>FS=MRC</stp>
        <stp>CURRENCY=USD</stp>
        <stp>XLFILL=b</stp>
        <tr r="AA88" s="2"/>
      </tp>
      <tp t="s">
        <v>#N/A Requesting Data...</v>
        <stp/>
        <stp>##V3_BQLV12</stp>
        <stp>[MODL_NOW_US1.xlsx]Single Period!R53C43</stp>
        <stp>NOW US Equity</stp>
        <stp>ANNUALIZED_DAYS_SALES_OUTSTDG</stp>
        <stp>FPR=2021Y</stp>
        <stp>FPT=A</stp>
        <stp>FA_ACT_EST_DATA=E, EST_SOURCE=WFT</stp>
        <stp>ACT_EST_MAPPING=PRECISE</stp>
        <stp>FS=MRC</stp>
        <stp>CURRENCY=USD</stp>
        <stp>XLFILL=b</stp>
        <tr r="AQ53" s="2"/>
      </tp>
      <tp t="s">
        <v>#N/A Requesting Data...</v>
        <stp/>
        <stp>##V3_BQLV12</stp>
        <stp>[MODL_NOW_US1.xlsx]Single Period!R231C13</stp>
        <stp>NOW US Equity</stp>
        <stp>CF_NET_CHNG_CASH/1M</stp>
        <stp>FPR=2021Y</stp>
        <stp>FPT=A</stp>
        <stp>FA_ACT_EST_DATA=E, EST_SOURCE=KEY</stp>
        <stp>ACT_EST_MAPPING=PRECISE</stp>
        <stp>FS=MRC</stp>
        <stp>CURRENCY=USD</stp>
        <stp>XLFILL=b</stp>
        <tr r="M231" s="2"/>
      </tp>
      <tp t="s">
        <v>#N/A Requesting Data...</v>
        <stp/>
        <stp>##V3_BQLV12</stp>
        <stp>[MODL_NOW_US1.xlsx]Single Period!R88C25</stp>
        <stp>NOW US Equity</stp>
        <stp>IS_ADJ_SELLING_AND_MRKTG_EXPN_AR/1M</stp>
        <stp>FPR=2021Y</stp>
        <stp>FPT=A</stp>
        <stp>FA_ACT_EST_DATA=E, EST_SOURCE=DBG</stp>
        <stp>ACT_EST_MAPPING=PRECISE</stp>
        <stp>FS=MRC</stp>
        <stp>CURRENCY=USD</stp>
        <stp>XLFILL=b</stp>
        <tr r="Y88" s="2"/>
      </tp>
      <tp t="s">
        <v>#N/A Requesting Data...</v>
        <stp/>
        <stp>##V3_BQLV12</stp>
        <stp>[MODL_NOW_US1.xlsx]Single Period!R26C26</stp>
        <stp>NOW US Equity</stp>
        <stp>IS_ADJ_SELLING_AND_MRKTG_EXPN_AR/1M</stp>
        <stp>FPR=2021Y</stp>
        <stp>FPT=A</stp>
        <stp>FA_ACT_EST_DATA=E, EST_SOURCE=UBS</stp>
        <stp>ACT_EST_MAPPING=PRECISE</stp>
        <stp>FS=MRC</stp>
        <stp>CURRENCY=USD</stp>
        <stp>XLFILL=b</stp>
        <tr r="Z26" s="2"/>
      </tp>
      <tp t="s">
        <v>#N/A Requesting Data...</v>
        <stp/>
        <stp>##V3_BQLV12</stp>
        <stp>[MODL_NOW_US1.xlsx]Single Period!R162C20</stp>
        <stp>NOW US Equity</stp>
        <stp>BS_LONG_TERM_INVESTMENTS/1M</stp>
        <stp>FPR=2021Y</stp>
        <stp>FPT=A</stp>
        <stp>FA_ACT_EST_DATA=E, EST_SOURCE=CAN</stp>
        <stp>ACT_EST_MAPPING=PRECISE</stp>
        <stp>FS=MRC</stp>
        <stp>CURRENCY=USD</stp>
        <stp>XLFILL=b</stp>
        <tr r="T162" s="2"/>
      </tp>
      <tp t="s">
        <v>#N/A Requesting Data...</v>
        <stp/>
        <stp>##V3_BQLV12</stp>
        <stp>[MODL_NOW_US1.xlsx]Single Period!R162C12</stp>
        <stp>NOW US Equity</stp>
        <stp>BS_LONG_TERM_INVESTMENTS/1M</stp>
        <stp>FPR=2021Y</stp>
        <stp>FPT=A</stp>
        <stp>FA_ACT_EST_DATA=E, EST_SOURCE=WBL</stp>
        <stp>ACT_EST_MAPPING=PRECISE</stp>
        <stp>FS=MRC</stp>
        <stp>CURRENCY=USD</stp>
        <stp>XLFILL=b</stp>
        <tr r="L162" s="2"/>
      </tp>
      <tp t="s">
        <v>#N/A Requesting Data...</v>
        <stp/>
        <stp>##V3_BQLV12</stp>
        <stp>[MODL_NOW_US1.xlsx]Single Period!R88C26</stp>
        <stp>NOW US Equity</stp>
        <stp>IS_ADJ_SELLING_AND_MRKTG_EXPN_AR/1M</stp>
        <stp>FPR=2021Y</stp>
        <stp>FPT=A</stp>
        <stp>FA_ACT_EST_DATA=E, EST_SOURCE=UBS</stp>
        <stp>ACT_EST_MAPPING=PRECISE</stp>
        <stp>FS=MRC</stp>
        <stp>CURRENCY=USD</stp>
        <stp>XLFILL=b</stp>
        <tr r="Z88" s="2"/>
      </tp>
      <tp t="s">
        <v>#N/A Requesting Data...</v>
        <stp/>
        <stp>##V3_BQLV12</stp>
        <stp>[MODL_NOW_US1.xlsx]Single Period!R191C8</stp>
        <stp>NOW US Equity</stp>
        <stp>CONTRIBUTOR_STATS(ST_DEFERRED_REVENUE, STD)/1M</stp>
        <stp>FPR=2021Y</stp>
        <stp>FPT=A</stp>
        <stp>FA_ACT_EST_DATA=E</stp>
        <stp>ACT_EST_MAPPING=PRECISE</stp>
        <stp>FS=MRC</stp>
        <stp>CURRENCY=USD</stp>
        <stp>XLFILL=b</stp>
        <tr r="H191" s="2"/>
      </tp>
      <tp t="s">
        <v>#N/A Requesting Data...</v>
        <stp/>
        <stp>##V3_BQLV12</stp>
        <stp>[MODL_NOW_US1.xlsx]Single Period!R108C41</stp>
        <stp>NOW US Equity</stp>
        <stp>IS_COMP_EPS_EXCL_STOCK_COMP</stp>
        <stp>FPR=2021Y</stp>
        <stp>FPT=A</stp>
        <stp>FA_ACT_EST_DATA=E, EST_SOURCE=ARG</stp>
        <stp>ACT_EST_MAPPING=PRECISE</stp>
        <stp>FS=MRC</stp>
        <stp>CURRENCY=USD</stp>
        <stp>XLFILL=b</stp>
        <tr r="AO108" s="2"/>
      </tp>
      <tp t="s">
        <v>#N/A Requesting Data...</v>
        <stp/>
        <stp>##V3_BQLV12</stp>
        <stp>[MODL_NOW_US1.xlsx]Single Period!R108C44</stp>
        <stp>NOW US Equity</stp>
        <stp>IS_COMP_EPS_EXCL_STOCK_COMP</stp>
        <stp>FPR=2021Y</stp>
        <stp>FPT=A</stp>
        <stp>FA_ACT_EST_DATA=E, EST_SOURCE=ARE</stp>
        <stp>ACT_EST_MAPPING=PRECISE</stp>
        <stp>FS=MRC</stp>
        <stp>CURRENCY=USD</stp>
        <stp>XLFILL=b</stp>
        <tr r="AR108" s="2"/>
      </tp>
      <tp t="s">
        <v>#N/A Requesting Data...</v>
        <stp/>
        <stp>##V3_BQLV12</stp>
        <stp>[MODL_NOW_US1.xlsx]Single Period!R217C15</stp>
        <stp>NOW US Equity</stp>
        <stp>CAP_EXPEND_TO_SALES</stp>
        <stp>FPR=2021Y</stp>
        <stp>FPT=A</stp>
        <stp>FA_ACT_EST_DATA=E, EST_SOURCE=OPY</stp>
        <stp>ACT_EST_MAPPING=PRECISE</stp>
        <stp>FS=MRC</stp>
        <stp>CURRENCY=USD</stp>
        <stp>XLFILL=b</stp>
        <tr r="O217" s="2"/>
      </tp>
      <tp t="s">
        <v>#N/A Requesting Data...</v>
        <stp/>
        <stp>##V3_BQLV12</stp>
        <stp>[MODL_NOW_US1.xlsx]Single Period!R50C13</stp>
        <stp>NOW US Equity</stp>
        <stp>NUM_CSTMR_CNTRCT_OVER_1_MILLN</stp>
        <stp>FPR=2021Y</stp>
        <stp>FPT=A</stp>
        <stp>FA_ACT_EST_DATA=E, EST_SOURCE=KEY</stp>
        <stp>ACT_EST_MAPPING=PRECISE</stp>
        <stp>FS=MRC</stp>
        <stp>CURRENCY=USD</stp>
        <stp>XLFILL=b</stp>
        <tr r="M50" s="2"/>
      </tp>
      <tp t="s">
        <v>#N/A Requesting Data...</v>
        <stp/>
        <stp>##V3_BQLV12</stp>
        <stp>[MODL_NOW_US1.xlsx]Single Period!R108C48</stp>
        <stp>NOW US Equity</stp>
        <stp>IS_COMP_EPS_EXCL_STOCK_COMP</stp>
        <stp>FPR=2021Y</stp>
        <stp>FPT=A</stp>
        <stp>FA_ACT_EST_DATA=E, EST_SOURCE=CRC</stp>
        <stp>ACT_EST_MAPPING=PRECISE</stp>
        <stp>FS=MRC</stp>
        <stp>CURRENCY=USD</stp>
        <stp>XLFILL=b</stp>
        <tr r="AV108" s="2"/>
      </tp>
      <tp t="s">
        <v>#N/A Requesting Data...</v>
        <stp/>
        <stp>##V3_BQLV12</stp>
        <stp>[MODL_NOW_US1.xlsx]Single Period!R70C8</stp>
        <stp>SEG0000230986 Segment</stp>
        <stp>CONTRIBUTOR_STATS(IS_ADJ_GROSS_MARGIN_PCT_AR, STD)</stp>
        <stp>FPR=2021Y</stp>
        <stp>FPT=A</stp>
        <stp>FA_ACT_EST_DATA=E</stp>
        <stp>ACT_EST_MAPPING=PRECISE</stp>
        <stp>FS=MRC</stp>
        <stp>CURRENCY=USD</stp>
        <stp>XLFILL=b</stp>
        <tr r="H70" s="2"/>
      </tp>
      <tp t="s">
        <v>#N/A Requesting Data...</v>
        <stp/>
        <stp>##V3_BQLV12</stp>
        <stp>[MODL_NOW_US1.xlsx]Single Period!R221C9</stp>
        <stp>NOW US Equity</stp>
        <stp>CONTRIBUTOR_STATS(CB_CF_OTHER_INVESTING_ACTIVITIES, MEDIAN)/1M</stp>
        <stp>FPR=2021Y</stp>
        <stp>FPT=A</stp>
        <stp>FA_ACT_EST_DATA=E</stp>
        <stp>ACT_EST_MAPPING=PRECISE</stp>
        <stp>FS=MRC</stp>
        <stp>CURRENCY=USD</stp>
        <stp>XLFILL=b</stp>
        <tr r="I221" s="2"/>
      </tp>
      <tp t="s">
        <v>#N/A Requesting Data...</v>
        <stp/>
        <stp>##V3_BQLV12</stp>
        <stp>[MODL_NOW_US1.xlsx]Single Period!R217C47</stp>
        <stp>NOW US Equity</stp>
        <stp>CAP_EXPEND_TO_SALES</stp>
        <stp>FPR=2021Y</stp>
        <stp>FPT=A</stp>
        <stp>FA_ACT_EST_DATA=E, EST_SOURCE=SUM</stp>
        <stp>ACT_EST_MAPPING=PRECISE</stp>
        <stp>FS=MRC</stp>
        <stp>CURRENCY=USD</stp>
        <stp>XLFILL=b</stp>
        <tr r="AU217" s="2"/>
      </tp>
      <tp t="s">
        <v>#N/A Requesting Data...</v>
        <stp/>
        <stp>##V3_BQLV12</stp>
        <stp>[MODL_NOW_US1.xlsx]Single Period!R95C43</stp>
        <stp>NOW US Equity</stp>
        <stp>IS_COMPARABLE_EBIT/1M</stp>
        <stp>FPR=2021Y</stp>
        <stp>FPT=A</stp>
        <stp>FA_ACT_EST_DATA=E, EST_SOURCE=WFT</stp>
        <stp>ACT_EST_MAPPING=PRECISE</stp>
        <stp>FS=MRC</stp>
        <stp>CURRENCY=USD</stp>
        <stp>XLFILL=b</stp>
        <tr r="AQ95" s="2"/>
      </tp>
      <tp t="s">
        <v>#N/A Requesting Data...</v>
        <stp/>
        <stp>##V3_BQLV12</stp>
        <stp>[MODL_NOW_US1.xlsx]Single Period!R95C10</stp>
        <stp>NOW US Equity</stp>
        <stp>IS_COMPARABLE_EBIT/1M</stp>
        <stp>FPR=2021Y</stp>
        <stp>FPT=A</stp>
        <stp>FA_ACT_EST_DATA=E, EST_SOURCE=CMPY</stp>
        <stp>ACT_EST_MAPPING=PRECISE</stp>
        <stp>FS=MRC</stp>
        <stp>CURRENCY=USD</stp>
        <stp>XLFILL=b</stp>
        <tr r="J95" s="2"/>
      </tp>
      <tp t="s">
        <v>#N/A Requesting Data...</v>
        <stp/>
        <stp>##V3_BQLV12</stp>
        <stp>[MODL_NOW_US1.xlsx]Single Period!R167C10</stp>
        <stp>NOW US Equity</stp>
        <stp>BS_GOODWILL/1M</stp>
        <stp>FPR=2021Y</stp>
        <stp>FPT=A</stp>
        <stp>FA_ACT_EST_DATA=E, EST_SOURCE=CMPY</stp>
        <stp>ACT_EST_MAPPING=PRECISE</stp>
        <stp>FS=MRC</stp>
        <stp>CURRENCY=USD</stp>
        <stp>XLFILL=b</stp>
        <tr r="J167" s="2"/>
      </tp>
      <tp t="s">
        <v>#N/A Requesting Data...</v>
        <stp/>
        <stp>##V3_BQLV12</stp>
        <stp>[MODL_NOW_US1.xlsx]Single Period!R217C11</stp>
        <stp>NOW US Equity</stp>
        <stp>CAP_EXPEND_TO_SALES</stp>
        <stp>FPR=2021Y</stp>
        <stp>FPT=A</stp>
        <stp>FA_ACT_EST_DATA=E, EST_SOURCE=JPM</stp>
        <stp>ACT_EST_MAPPING=PRECISE</stp>
        <stp>FS=MRC</stp>
        <stp>CURRENCY=USD</stp>
        <stp>XLFILL=b</stp>
        <tr r="K217" s="2"/>
      </tp>
      <tp t="s">
        <v>#N/A Requesting Data...</v>
        <stp/>
        <stp>##V3_BQLV12</stp>
        <stp>[MODL_NOW_US1.xlsx]Single Period!R50C36</stp>
        <stp>NOW US Equity</stp>
        <stp>NUM_CSTMR_CNTRCT_OVER_1_MILLN</stp>
        <stp>FPR=2021Y</stp>
        <stp>FPT=A</stp>
        <stp>FA_ACT_EST_DATA=E, EST_SOURCE=JEF</stp>
        <stp>ACT_EST_MAPPING=PRECISE</stp>
        <stp>FS=MRC</stp>
        <stp>CURRENCY=USD</stp>
        <stp>XLFILL=b</stp>
        <tr r="AJ50" s="2"/>
      </tp>
      <tp t="s">
        <v>#N/A Requesting Data...</v>
        <stp/>
        <stp>##V3_BQLV12</stp>
        <stp>[MODL_NOW_US1.xlsx]Single Period!R11C22</stp>
        <stp>NOW US Equity</stp>
        <stp>NUM_CSTMR_CNTRCT_OVER_1_MILLN</stp>
        <stp>FPR=2021Y</stp>
        <stp>FPT=A</stp>
        <stp>FA_ACT_EST_DATA=E, EST_SOURCE=NDH</stp>
        <stp>ACT_EST_MAPPING=PRECISE</stp>
        <stp>FS=MRC</stp>
        <stp>CURRENCY=USD</stp>
        <stp>XLFILL=b</stp>
        <tr r="V11" s="2"/>
      </tp>
      <tp t="s">
        <v>#N/A Requesting Data...</v>
        <stp/>
        <stp>##V3_BQLV12</stp>
        <stp>[MODL_NOW_US1.xlsx]Single Period!R189C10</stp>
        <stp>NOW US Equity</stp>
        <stp>CUR_RATIO</stp>
        <stp>FPR=2021Y</stp>
        <stp>FPT=A</stp>
        <stp>FA_ACT_EST_DATA=E, EST_SOURCE=CMPY</stp>
        <stp>ACT_EST_MAPPING=PRECISE</stp>
        <stp>FS=MRC</stp>
        <stp>CURRENCY=USD</stp>
        <stp>XLFILL=b</stp>
        <tr r="J189" s="2"/>
      </tp>
      <tp t="s">
        <v>#N/A Requesting Data...</v>
        <stp/>
        <stp>##V3_BQLV12</stp>
        <stp>[MODL_NOW_US1.xlsx]Single Period!R183C7</stp>
        <stp>NOW US Equity</stp>
        <stp>CONTRIBUTOR_STATS(BS_TOTAL_LIABILITIES, MAX)/1M</stp>
        <stp>FPR=2021Y</stp>
        <stp>FPT=A</stp>
        <stp>FA_ACT_EST_DATA=E</stp>
        <stp>ACT_EST_MAPPING=PRECISE</stp>
        <stp>FS=MRC</stp>
        <stp>CURRENCY=USD</stp>
        <stp>XLFILL=b</stp>
        <tr r="G183" s="2"/>
      </tp>
      <tp t="s">
        <v>#N/A Requesting Data...</v>
        <stp/>
        <stp>##V3_BQLV12</stp>
        <stp>[MODL_NOW_US1.xlsx]Single Period!R183C6</stp>
        <stp>NOW US Equity</stp>
        <stp>CONTRIBUTOR_STATS(BS_TOTAL_LIABILITIES, MIN)/1M</stp>
        <stp>FPR=2021Y</stp>
        <stp>FPT=A</stp>
        <stp>FA_ACT_EST_DATA=E</stp>
        <stp>ACT_EST_MAPPING=PRECISE</stp>
        <stp>FS=MRC</stp>
        <stp>CURRENCY=USD</stp>
        <stp>XLFILL=b</stp>
        <tr r="F183" s="2"/>
      </tp>
      <tp t="s">
        <v>#N/A Requesting Data...</v>
        <stp/>
        <stp>##V3_BQLV12</stp>
        <stp>[MODL_NOW_US1.xlsx]Single Period!R183C8</stp>
        <stp>NOW US Equity</stp>
        <stp>CONTRIBUTOR_STATS(BS_TOTAL_LIABILITIES, STD)/1M</stp>
        <stp>FPR=2021Y</stp>
        <stp>FPT=A</stp>
        <stp>FA_ACT_EST_DATA=E</stp>
        <stp>ACT_EST_MAPPING=PRECISE</stp>
        <stp>FS=MRC</stp>
        <stp>CURRENCY=USD</stp>
        <stp>XLFILL=b</stp>
        <tr r="H183" s="2"/>
      </tp>
      <tp t="s">
        <v>#N/A Requesting Data...</v>
        <stp/>
        <stp>##V3_BQLV12</stp>
        <stp>[MODL_NOW_US1.xlsx]Single Period!R113C25</stp>
        <stp>SEG0000230986 Segment</stp>
        <stp>IS_COGS_TO_FE_AND_PP_AND_G/1M</stp>
        <stp>FPR=2021Y</stp>
        <stp>FPT=A</stp>
        <stp>FA_ACT_EST_DATA=E, EST_SOURCE=DBG</stp>
        <stp>ACT_EST_MAPPING=PRECISE</stp>
        <stp>FS=MRC</stp>
        <stp>CURRENCY=USD</stp>
        <stp>XLFILL=b</stp>
        <tr r="Y113" s="2"/>
      </tp>
      <tp t="s">
        <v>#N/A Requesting Data...</v>
        <stp/>
        <stp>##V3_BQLV12</stp>
        <stp>[MODL_NOW_US1.xlsx]Single Period!R59C25</stp>
        <stp>SEG0000230975 Segment</stp>
        <stp>IS_PERCENTAGE_OF_REVENUE</stp>
        <stp>FPR=2021Y</stp>
        <stp>FPT=A</stp>
        <stp>FA_ACT_EST_DATA=E, EST_SOURCE=DBG</stp>
        <stp>ACT_EST_MAPPING=PRECISE</stp>
        <stp>FS=MRC</stp>
        <stp>CURRENCY=USD</stp>
        <stp>XLFILL=b</stp>
        <tr r="Y59" s="2"/>
      </tp>
      <tp t="s">
        <v>#N/A Requesting Data...</v>
        <stp/>
        <stp>##V3_BQLV12</stp>
        <stp>[MODL_NOW_US1.xlsx]Single Period!R113C27</stp>
        <stp>SEG0000230986 Segment</stp>
        <stp>IS_COGS_TO_FE_AND_PP_AND_G/1M</stp>
        <stp>FPR=2021Y</stp>
        <stp>FPT=A</stp>
        <stp>FA_ACT_EST_DATA=E, EST_SOURCE=RBC</stp>
        <stp>ACT_EST_MAPPING=PRECISE</stp>
        <stp>FS=MRC</stp>
        <stp>CURRENCY=USD</stp>
        <stp>XLFILL=b</stp>
        <tr r="AA113" s="2"/>
      </tp>
      <tp t="s">
        <v>#N/A Requesting Data...</v>
        <stp/>
        <stp>##V3_BQLV12</stp>
        <stp>[MODL_NOW_US1.xlsx]Single Period!R113C32</stp>
        <stp>SEG0000230986 Segment</stp>
        <stp>IS_COGS_TO_FE_AND_PP_AND_G/1M</stp>
        <stp>FPR=2021Y</stp>
        <stp>FPT=A</stp>
        <stp>FA_ACT_EST_DATA=E, EST_SOURCE=FBC</stp>
        <stp>ACT_EST_MAPPING=PRECISE</stp>
        <stp>FS=MRC</stp>
        <stp>CURRENCY=USD</stp>
        <stp>XLFILL=b</stp>
        <tr r="AF113" s="2"/>
      </tp>
      <tp t="s">
        <v>#N/A Requesting Data...</v>
        <stp/>
        <stp>##V3_BQLV12</stp>
        <stp>[MODL_NOW_US1.xlsx]Single Period!R113C12</stp>
        <stp>SEG0000230986 Segment</stp>
        <stp>IS_COGS_TO_FE_AND_PP_AND_G/1M</stp>
        <stp>FPR=2021Y</stp>
        <stp>FPT=A</stp>
        <stp>FA_ACT_EST_DATA=E, EST_SOURCE=WBL</stp>
        <stp>ACT_EST_MAPPING=PRECISE</stp>
        <stp>FS=MRC</stp>
        <stp>CURRENCY=USD</stp>
        <stp>XLFILL=b</stp>
        <tr r="L113" s="2"/>
      </tp>
      <tp t="s">
        <v>#N/A Requesting Data...</v>
        <stp/>
        <stp>##V3_BQLV12</stp>
        <stp>[MODL_NOW_US1.xlsx]Single Period!R68C13</stp>
        <stp>SEG0000230986 Segment</stp>
        <stp>IS_ADJUSTED_COGS_AS_REPORTED/1M</stp>
        <stp>FPR=2021Y</stp>
        <stp>FPT=A</stp>
        <stp>FA_ACT_EST_DATA=E, EST_SOURCE=KEY</stp>
        <stp>ACT_EST_MAPPING=PRECISE</stp>
        <stp>FS=MRC</stp>
        <stp>CURRENCY=USD</stp>
        <stp>XLFILL=b</stp>
        <tr r="M68" s="2"/>
      </tp>
      <tp t="s">
        <v>#N/A Requesting Data...</v>
        <stp/>
        <stp>##V3_BQLV12</stp>
        <stp>[MODL_NOW_US1.xlsx]Single Period!R60C13</stp>
        <stp>SEG0000230975 Segment</stp>
        <stp>IS_ADJUSTED_COGS_AS_REPORTED/1M</stp>
        <stp>FPR=2021Y</stp>
        <stp>FPT=A</stp>
        <stp>FA_ACT_EST_DATA=E, EST_SOURCE=KEY</stp>
        <stp>ACT_EST_MAPPING=PRECISE</stp>
        <stp>FS=MRC</stp>
        <stp>CURRENCY=USD</stp>
        <stp>XLFILL=b</stp>
        <tr r="M60" s="2"/>
      </tp>
      <tp t="s">
        <v>#N/A Requesting Data...</v>
        <stp/>
        <stp>##V3_BQLV12</stp>
        <stp>[MODL_NOW_US1.xlsx]Single Period!R64C9</stp>
        <stp>SEG0000230975 Segment</stp>
        <stp>CONTRIBUTOR_STATS(CB_IS_GROSS_MARGIN, MEDIAN)</stp>
        <stp>FPR=2021Y</stp>
        <stp>FPT=A</stp>
        <stp>FA_ACT_EST_DATA=E</stp>
        <stp>ACT_EST_MAPPING=PRECISE</stp>
        <stp>FS=MRC</stp>
        <stp>CURRENCY=USD</stp>
        <stp>XLFILL=b</stp>
        <tr r="I64" s="2"/>
      </tp>
      <tp t="s">
        <v>#N/A Requesting Data...</v>
        <stp/>
        <stp>##V3_BQLV12</stp>
        <stp>[MODL_NOW_US1.xlsx]Single Period!R158C9</stp>
        <stp>NOW US Equity</stp>
        <stp>CONTRIBUTOR_STATS(BS_ACCTS_REC_EXCL_NOTES_REC, MEDIAN)/1M</stp>
        <stp>FPR=2021Y</stp>
        <stp>FPT=A</stp>
        <stp>FA_ACT_EST_DATA=E</stp>
        <stp>ACT_EST_MAPPING=PRECISE</stp>
        <stp>FS=MRC</stp>
        <stp>CURRENCY=USD</stp>
        <stp>XLFILL=b</stp>
        <tr r="I158" s="2"/>
      </tp>
      <tp t="s">
        <v>#N/A Requesting Data...</v>
        <stp/>
        <stp>##V3_BQLV12</stp>
        <stp>[MODL_NOW_US1.xlsx]Single Period!R113C26</stp>
        <stp>SEG0000230986 Segment</stp>
        <stp>IS_COGS_TO_FE_AND_PP_AND_G/1M</stp>
        <stp>FPR=2021Y</stp>
        <stp>FPT=A</stp>
        <stp>FA_ACT_EST_DATA=E, EST_SOURCE=UBS</stp>
        <stp>ACT_EST_MAPPING=PRECISE</stp>
        <stp>FS=MRC</stp>
        <stp>CURRENCY=USD</stp>
        <stp>XLFILL=b</stp>
        <tr r="Z113" s="2"/>
      </tp>
      <tp t="s">
        <v>#N/A Requesting Data...</v>
        <stp/>
        <stp>##V3_BQLV12</stp>
        <stp>[MODL_NOW_US1.xlsx]Single Period!R44C13</stp>
        <stp>SEG0000230986 Segment</stp>
        <stp>IS_FOREIGN_CURRENCY_TURNOVER/1M</stp>
        <stp>FPR=2021Y</stp>
        <stp>FPT=A</stp>
        <stp>FA_ACT_EST_DATA=E, EST_SOURCE=KEY</stp>
        <stp>ACT_EST_MAPPING=PRECISE</stp>
        <stp>FS=MRC</stp>
        <stp>CURRENCY=USD</stp>
        <stp>XLFILL=b</stp>
        <tr r="M44" s="2"/>
      </tp>
      <tp t="s">
        <v>#N/A Requesting Data...</v>
        <stp/>
        <stp>##V3_BQLV12</stp>
        <stp>[MODL_NOW_US1.xlsx]Single Period!R118C8</stp>
        <stp>NOW US Equity</stp>
        <stp>CONTRIBUTOR_STATS(OPERATING_EXPENSES_TO_NET_SALES, STD)</stp>
        <stp>FPR=2021Y</stp>
        <stp>FPT=A</stp>
        <stp>FA_ACT_EST_DATA=E</stp>
        <stp>ACT_EST_MAPPING=PRECISE</stp>
        <stp>FS=MRC</stp>
        <stp>CURRENCY=USD</stp>
        <stp>XLFILL=b</stp>
        <tr r="H118" s="2"/>
      </tp>
      <tp t="s">
        <v>#N/A Requesting Data...</v>
        <stp/>
        <stp>##V3_BQLV12</stp>
        <stp>[MODL_NOW_US1.xlsx]Single Period!R59C29</stp>
        <stp>SEG0000230975 Segment</stp>
        <stp>IS_PERCENTAGE_OF_REVENUE</stp>
        <stp>FPR=2021Y</stp>
        <stp>FPT=A</stp>
        <stp>FA_ACT_EST_DATA=E, EST_SOURCE=BNS</stp>
        <stp>ACT_EST_MAPPING=PRECISE</stp>
        <stp>FS=MRC</stp>
        <stp>CURRENCY=USD</stp>
        <stp>XLFILL=b</stp>
        <tr r="AC59" s="2"/>
      </tp>
      <tp t="s">
        <v>#N/A Requesting Data...</v>
        <stp/>
        <stp>##V3_BQLV12</stp>
        <stp>[MODL_NOW_US1.xlsx]Single Period!R67C26</stp>
        <stp>SEG0000230986 Segment</stp>
        <stp>IS_PERCENTAGE_OF_REVENUE</stp>
        <stp>FPR=2021Y</stp>
        <stp>FPT=A</stp>
        <stp>FA_ACT_EST_DATA=E, EST_SOURCE=UBS</stp>
        <stp>ACT_EST_MAPPING=PRECISE</stp>
        <stp>FS=MRC</stp>
        <stp>CURRENCY=USD</stp>
        <stp>XLFILL=b</stp>
        <tr r="Z67" s="2"/>
      </tp>
      <tp t="s">
        <v>#N/A Requesting Data...</v>
        <stp/>
        <stp>##V3_BQLV12</stp>
        <stp>[MODL_NOW_US1.xlsx]Single Period!R52C33</stp>
        <stp>NOW US Equity</stp>
        <stp>ACCT_RCV_DAYS</stp>
        <stp>FPR=2021Y</stp>
        <stp>FPT=A</stp>
        <stp>FA_ACT_EST_DATA=E, EST_SOURCE=MAC</stp>
        <stp>ACT_EST_MAPPING=PRECISE</stp>
        <stp>FS=MRC</stp>
        <stp>CURRENCY=USD</stp>
        <stp>XLFILL=b</stp>
        <tr r="AG52" s="2"/>
      </tp>
      <tp t="s">
        <v>#N/A Requesting Data...</v>
        <stp/>
        <stp>##V3_BQLV12</stp>
        <stp>[MODL_NOW_US1.xlsx]Single Period!R26C32</stp>
        <stp>NOW US Equity</stp>
        <stp>IS_ADJ_SELLING_AND_MRKTG_EXPN_AR/1M</stp>
        <stp>FPR=2021Y</stp>
        <stp>FPT=A</stp>
        <stp>FA_ACT_EST_DATA=E, EST_SOURCE=FBC</stp>
        <stp>ACT_EST_MAPPING=PRECISE</stp>
        <stp>FS=MRC</stp>
        <stp>CURRENCY=USD</stp>
        <stp>XLFILL=b</stp>
        <tr r="AF26" s="2"/>
      </tp>
      <tp t="s">
        <v>#N/A Requesting Data...</v>
        <stp/>
        <stp>##V3_BQLV12</stp>
        <stp>[MODL_NOW_US1.xlsx]Single Period!R162C43</stp>
        <stp>NOW US Equity</stp>
        <stp>BS_LONG_TERM_INVESTMENTS/1M</stp>
        <stp>FPR=2021Y</stp>
        <stp>FPT=A</stp>
        <stp>FA_ACT_EST_DATA=E, EST_SOURCE=WFT</stp>
        <stp>ACT_EST_MAPPING=PRECISE</stp>
        <stp>FS=MRC</stp>
        <stp>CURRENCY=USD</stp>
        <stp>XLFILL=b</stp>
        <tr r="AQ162" s="2"/>
      </tp>
      <tp t="s">
        <v>#N/A Requesting Data...</v>
        <stp/>
        <stp>##V3_BQLV12</stp>
        <stp>[MODL_NOW_US1.xlsx]Single Period!R52C20</stp>
        <stp>NOW US Equity</stp>
        <stp>ACCT_RCV_DAYS</stp>
        <stp>FPR=2021Y</stp>
        <stp>FPT=A</stp>
        <stp>FA_ACT_EST_DATA=E, EST_SOURCE=CAN</stp>
        <stp>ACT_EST_MAPPING=PRECISE</stp>
        <stp>FS=MRC</stp>
        <stp>CURRENCY=USD</stp>
        <stp>XLFILL=b</stp>
        <tr r="T52" s="2"/>
      </tp>
      <tp t="s">
        <v>#N/A Requesting Data...</v>
        <stp/>
        <stp>##V3_BQLV12</stp>
        <stp>[MODL_NOW_US1.xlsx]Single Period!R88C32</stp>
        <stp>NOW US Equity</stp>
        <stp>IS_ADJ_SELLING_AND_MRKTG_EXPN_AR/1M</stp>
        <stp>FPR=2021Y</stp>
        <stp>FPT=A</stp>
        <stp>FA_ACT_EST_DATA=E, EST_SOURCE=FBC</stp>
        <stp>ACT_EST_MAPPING=PRECISE</stp>
        <stp>FS=MRC</stp>
        <stp>CURRENCY=USD</stp>
        <stp>XLFILL=b</stp>
        <tr r="AF88" s="2"/>
      </tp>
      <tp t="s">
        <v>#N/A Requesting Data...</v>
        <stp/>
        <stp>##V3_BQLV12</stp>
        <stp>[MODL_NOW_US1.xlsx]Single Period!R52C30</stp>
        <stp>NOW US Equity</stp>
        <stp>ACCT_RCV_DAYS</stp>
        <stp>FPR=2021Y</stp>
        <stp>FPT=A</stp>
        <stp>FA_ACT_EST_DATA=E, EST_SOURCE=BAM</stp>
        <stp>ACT_EST_MAPPING=PRECISE</stp>
        <stp>FS=MRC</stp>
        <stp>CURRENCY=USD</stp>
        <stp>XLFILL=b</stp>
        <tr r="AD52" s="2"/>
      </tp>
      <tp t="s">
        <v>#N/A Requesting Data...</v>
        <stp/>
        <stp>##V3_BQLV12</stp>
        <stp>[MODL_NOW_US1.xlsx]Single Period!R162C30</stp>
        <stp>NOW US Equity</stp>
        <stp>BS_LONG_TERM_INVESTMENTS/1M</stp>
        <stp>FPR=2021Y</stp>
        <stp>FPT=A</stp>
        <stp>FA_ACT_EST_DATA=E, EST_SOURCE=BAM</stp>
        <stp>ACT_EST_MAPPING=PRECISE</stp>
        <stp>FS=MRC</stp>
        <stp>CURRENCY=USD</stp>
        <stp>XLFILL=b</stp>
        <tr r="AD162" s="2"/>
      </tp>
      <tp t="s">
        <v>#N/A Requesting Data...</v>
        <stp/>
        <stp>##V3_BQLV12</stp>
        <stp>[MODL_NOW_US1.xlsx]Single Period!R162C16</stp>
        <stp>NOW US Equity</stp>
        <stp>BS_LONG_TERM_INVESTMENTS/1M</stp>
        <stp>FPR=2021Y</stp>
        <stp>FPT=A</stp>
        <stp>FA_ACT_EST_DATA=E, EST_SOURCE=BCA</stp>
        <stp>ACT_EST_MAPPING=PRECISE</stp>
        <stp>FS=MRC</stp>
        <stp>CURRENCY=USD</stp>
        <stp>XLFILL=b</stp>
        <tr r="P162" s="2"/>
      </tp>
      <tp t="s">
        <v>#N/A Requesting Data...</v>
        <stp/>
        <stp>##V3_BQLV12</stp>
        <stp>[MODL_NOW_US1.xlsx]Single Period!R162C33</stp>
        <stp>NOW US Equity</stp>
        <stp>BS_LONG_TERM_INVESTMENTS/1M</stp>
        <stp>FPR=2021Y</stp>
        <stp>FPT=A</stp>
        <stp>FA_ACT_EST_DATA=E, EST_SOURCE=MAC</stp>
        <stp>ACT_EST_MAPPING=PRECISE</stp>
        <stp>FS=MRC</stp>
        <stp>CURRENCY=USD</stp>
        <stp>XLFILL=b</stp>
        <tr r="AG162" s="2"/>
      </tp>
      <tp t="s">
        <v>#N/A Requesting Data...</v>
        <stp/>
        <stp>##V3_BQLV12</stp>
        <stp>[MODL_NOW_US1.xlsx]Single Period!R139C10</stp>
        <stp>NOW US Equity</stp>
        <stp>IS_SBC_ATTRIB_TO_COGS_PRETX/1M</stp>
        <stp>FPR=2021Y</stp>
        <stp>FPT=A</stp>
        <stp>FA_ACT_EST_DATA=E, EST_SOURCE=CMPY</stp>
        <stp>ACT_EST_MAPPING=PRECISE</stp>
        <stp>FS=MRC</stp>
        <stp>CURRENCY=USD</stp>
        <stp>XLFILL=b</stp>
        <tr r="J139" s="2"/>
      </tp>
      <tp t="s">
        <v>#N/A Requesting Data...</v>
        <stp/>
        <stp>##V3_BQLV12</stp>
        <stp>[MODL_NOW_US1.xlsx]Single Period!R108C37</stp>
        <stp>NOW US Equity</stp>
        <stp>IS_COMP_EPS_EXCL_STOCK_COMP</stp>
        <stp>FPR=2021Y</stp>
        <stp>FPT=A</stp>
        <stp>FA_ACT_EST_DATA=E, EST_SOURCE=TTC</stp>
        <stp>ACT_EST_MAPPING=PRECISE</stp>
        <stp>FS=MRC</stp>
        <stp>CURRENCY=USD</stp>
        <stp>XLFILL=b</stp>
        <tr r="AK108" s="2"/>
      </tp>
      <tp t="s">
        <v>#N/A Requesting Data...</v>
        <stp/>
        <stp>##V3_BQLV12</stp>
        <stp>[MODL_NOW_US1.xlsx]Single Period!R11C13</stp>
        <stp>NOW US Equity</stp>
        <stp>NUM_CSTMR_CNTRCT_OVER_1_MILLN</stp>
        <stp>FPR=2021Y</stp>
        <stp>FPT=A</stp>
        <stp>FA_ACT_EST_DATA=E, EST_SOURCE=KEY</stp>
        <stp>ACT_EST_MAPPING=PRECISE</stp>
        <stp>FS=MRC</stp>
        <stp>CURRENCY=USD</stp>
        <stp>XLFILL=b</stp>
        <tr r="M11" s="2"/>
      </tp>
      <tp t="s">
        <v>#N/A Requesting Data...</v>
        <stp/>
        <stp>##V3_BQLV12</stp>
        <stp>[MODL_NOW_US1.xlsx]Single Period!R217C31</stp>
        <stp>NOW US Equity</stp>
        <stp>CAP_EXPEND_TO_SALES</stp>
        <stp>FPR=2021Y</stp>
        <stp>FPT=A</stp>
        <stp>FA_ACT_EST_DATA=E, EST_SOURCE=GSR</stp>
        <stp>ACT_EST_MAPPING=PRECISE</stp>
        <stp>FS=MRC</stp>
        <stp>CURRENCY=USD</stp>
        <stp>XLFILL=b</stp>
        <tr r="AE217" s="2"/>
      </tp>
      <tp t="s">
        <v>#N/A Requesting Data...</v>
        <stp/>
        <stp>##V3_BQLV12</stp>
        <stp>[MODL_NOW_US1.xlsx]Single Period!R44C9</stp>
        <stp>SEG0000230986 Segment</stp>
        <stp>CONTRIBUTOR_STATS(IS_FOREIGN_CURRENCY_TURNOVER, MEDIAN)/1M</stp>
        <stp>FPR=2021Y</stp>
        <stp>FPT=A</stp>
        <stp>FA_ACT_EST_DATA=E</stp>
        <stp>ACT_EST_MAPPING=PRECISE</stp>
        <stp>FS=MRC</stp>
        <stp>CURRENCY=USD</stp>
        <stp>XLFILL=b</stp>
        <tr r="I44" s="2"/>
      </tp>
      <tp t="s">
        <v>#N/A Requesting Data...</v>
        <stp/>
        <stp>##V3_BQLV12</stp>
        <stp>[MODL_NOW_US1.xlsx]Single Period!R217C35</stp>
        <stp>NOW US Equity</stp>
        <stp>CAP_EXPEND_TO_SALES</stp>
        <stp>FPR=2021Y</stp>
        <stp>FPT=A</stp>
        <stp>FA_ACT_EST_DATA=E, EST_SOURCE=MSR</stp>
        <stp>ACT_EST_MAPPING=PRECISE</stp>
        <stp>FS=MRC</stp>
        <stp>CURRENCY=USD</stp>
        <stp>XLFILL=b</stp>
        <tr r="AI217" s="2"/>
      </tp>
      <tp t="s">
        <v>#N/A Requesting Data...</v>
        <stp/>
        <stp>##V3_BQLV12</stp>
        <stp>[MODL_NOW_US1.xlsx]Single Period!R62C8</stp>
        <stp>SEG0000230975 Segment</stp>
        <stp>CONTRIBUTOR_STATS(IS_ADJ_GROSS_MARGIN_PCT_AR, STD)</stp>
        <stp>FPR=2021Y</stp>
        <stp>FPT=A</stp>
        <stp>FA_ACT_EST_DATA=E</stp>
        <stp>ACT_EST_MAPPING=PRECISE</stp>
        <stp>FS=MRC</stp>
        <stp>CURRENCY=USD</stp>
        <stp>XLFILL=b</stp>
        <tr r="H62" s="2"/>
      </tp>
      <tp t="s">
        <v>#N/A Requesting Data...</v>
        <stp/>
        <stp>##V3_BQLV12</stp>
        <stp>[MODL_NOW_US1.xlsx]Single Period!R217C42</stp>
        <stp>NOW US Equity</stp>
        <stp>CAP_EXPEND_TO_SALES</stp>
        <stp>FPR=2021Y</stp>
        <stp>FPT=A</stp>
        <stp>FA_ACT_EST_DATA=E, EST_SOURCE=CTI</stp>
        <stp>ACT_EST_MAPPING=PRECISE</stp>
        <stp>FS=MRC</stp>
        <stp>CURRENCY=USD</stp>
        <stp>XLFILL=b</stp>
        <tr r="AP217" s="2"/>
      </tp>
      <tp t="s">
        <v>#N/A Requesting Data...</v>
        <stp/>
        <stp>##V3_BQLV12</stp>
        <stp>[MODL_NOW_US1.xlsx]Single Period!R11C36</stp>
        <stp>NOW US Equity</stp>
        <stp>NUM_CSTMR_CNTRCT_OVER_1_MILLN</stp>
        <stp>FPR=2021Y</stp>
        <stp>FPT=A</stp>
        <stp>FA_ACT_EST_DATA=E, EST_SOURCE=JEF</stp>
        <stp>ACT_EST_MAPPING=PRECISE</stp>
        <stp>FS=MRC</stp>
        <stp>CURRENCY=USD</stp>
        <stp>XLFILL=b</stp>
        <tr r="AJ11" s="2"/>
      </tp>
      <tp t="s">
        <v>#N/A Requesting Data...</v>
        <stp/>
        <stp>##V3_BQLV12</stp>
        <stp>[MODL_NOW_US1.xlsx]Single Period!R50C22</stp>
        <stp>NOW US Equity</stp>
        <stp>NUM_CSTMR_CNTRCT_OVER_1_MILLN</stp>
        <stp>FPR=2021Y</stp>
        <stp>FPT=A</stp>
        <stp>FA_ACT_EST_DATA=E, EST_SOURCE=NDH</stp>
        <stp>ACT_EST_MAPPING=PRECISE</stp>
        <stp>FS=MRC</stp>
        <stp>CURRENCY=USD</stp>
        <stp>XLFILL=b</stp>
        <tr r="V50" s="2"/>
      </tp>
      <tp t="s">
        <v>#N/A Requesting Data...</v>
        <stp/>
        <stp>##V3_BQLV12</stp>
        <stp>[MODL_NOW_US1.xlsx]Single Period!R217C34</stp>
        <stp>NOW US Equity</stp>
        <stp>CAP_EXPEND_TO_SALES</stp>
        <stp>FPR=2021Y</stp>
        <stp>FPT=A</stp>
        <stp>FA_ACT_EST_DATA=E, EST_SOURCE=PSG</stp>
        <stp>ACT_EST_MAPPING=PRECISE</stp>
        <stp>FS=MRC</stp>
        <stp>CURRENCY=USD</stp>
        <stp>XLFILL=b</stp>
        <tr r="AH217" s="2"/>
      </tp>
      <tp t="s">
        <v>#N/A Requesting Data...</v>
        <stp/>
        <stp>##V3_BQLV12</stp>
        <stp>[MODL_NOW_US1.xlsx]Single Period!R108C10</stp>
        <stp>NOW US Equity</stp>
        <stp>IS_COMP_EPS_EXCL_STOCK_COMP</stp>
        <stp>FPR=2021Y</stp>
        <stp>FPT=A</stp>
        <stp>FA_ACT_EST_DATA=E, EST_SOURCE=CMPY</stp>
        <stp>ACT_EST_MAPPING=PRECISE</stp>
        <stp>FS=MRC</stp>
        <stp>CURRENCY=USD</stp>
        <stp>XLFILL=b</stp>
        <tr r="J108" s="2"/>
      </tp>
      <tp t="s">
        <v>#N/A Requesting Data...</v>
        <stp/>
        <stp>##V3_BQLV12</stp>
        <stp>[MODL_NOW_US1.xlsx]Single Period!R168C6</stp>
        <stp>NOW US Equity</stp>
        <stp>CONTRIBUTOR_STATS(CB_BS_DEFERRED_COST_LT, MIN)/1M</stp>
        <stp>FPR=2021Y</stp>
        <stp>FPT=A</stp>
        <stp>FA_ACT_EST_DATA=E</stp>
        <stp>ACT_EST_MAPPING=PRECISE</stp>
        <stp>FS=MRC</stp>
        <stp>CURRENCY=USD</stp>
        <stp>XLFILL=b</stp>
        <tr r="F168" s="2"/>
      </tp>
      <tp t="s">
        <v>#N/A Requesting Data...</v>
        <stp/>
        <stp>##V3_BQLV12</stp>
        <stp>[MODL_NOW_US1.xlsx]Single Period!R168C7</stp>
        <stp>NOW US Equity</stp>
        <stp>CONTRIBUTOR_STATS(CB_BS_DEFERRED_COST_LT, MAX)/1M</stp>
        <stp>FPR=2021Y</stp>
        <stp>FPT=A</stp>
        <stp>FA_ACT_EST_DATA=E</stp>
        <stp>ACT_EST_MAPPING=PRECISE</stp>
        <stp>FS=MRC</stp>
        <stp>CURRENCY=USD</stp>
        <stp>XLFILL=b</stp>
        <tr r="G168" s="2"/>
      </tp>
      <tp t="s">
        <v>#N/A Requesting Data...</v>
        <stp/>
        <stp>##V3_BQLV12</stp>
        <stp>[MODL_NOW_US1.xlsx]Single Period!R168C8</stp>
        <stp>NOW US Equity</stp>
        <stp>CONTRIBUTOR_STATS(CB_BS_DEFERRED_COST_LT, STD)/1M</stp>
        <stp>FPR=2021Y</stp>
        <stp>FPT=A</stp>
        <stp>FA_ACT_EST_DATA=E</stp>
        <stp>ACT_EST_MAPPING=PRECISE</stp>
        <stp>FS=MRC</stp>
        <stp>CURRENCY=USD</stp>
        <stp>XLFILL=b</stp>
        <tr r="H168" s="2"/>
      </tp>
      <tp t="s">
        <v>#N/A Requesting Data...</v>
        <stp/>
        <stp>##V3_BQLV12</stp>
        <stp>[MODL_NOW_US1.xlsx]Single Period!R6C17</stp>
        <stp>NOW US Equity</stp>
        <stp>IS_COMP_EPS_EXCL_STOCK_COMP</stp>
        <stp>FPR=2021Y</stp>
        <stp>FPT=A</stp>
        <stp>FA_ACT_EST_DATA=E, EST_SOURCE=RHR</stp>
        <stp>ACT_EST_MAPPING=PRECISE</stp>
        <stp>FS=MRC</stp>
        <stp>CURRENCY=USD</stp>
        <stp>XLFILL=b</stp>
        <tr r="Q6" s="2"/>
      </tp>
      <tp t="s">
        <v>#N/A Requesting Data...</v>
        <stp/>
        <stp>##V3_BQLV12</stp>
        <stp>[MODL_NOW_US1.xlsx]Single Period!R44C12</stp>
        <stp>SEG0000230986 Segment</stp>
        <stp>IS_FOREIGN_CURRENCY_TURNOVER/1M</stp>
        <stp>FPR=2021Y</stp>
        <stp>FPT=A</stp>
        <stp>FA_ACT_EST_DATA=E, EST_SOURCE=WBL</stp>
        <stp>ACT_EST_MAPPING=PRECISE</stp>
        <stp>FS=MRC</stp>
        <stp>CURRENCY=USD</stp>
        <stp>XLFILL=b</stp>
        <tr r="L44" s="2"/>
      </tp>
      <tp t="s">
        <v>#N/A Requesting Data...</v>
        <stp/>
        <stp>##V3_BQLV12</stp>
        <stp>[MODL_NOW_US1.xlsx]Single Period!R44C20</stp>
        <stp>SEG0000230986 Segment</stp>
        <stp>IS_FOREIGN_CURRENCY_TURNOVER/1M</stp>
        <stp>FPR=2021Y</stp>
        <stp>FPT=A</stp>
        <stp>FA_ACT_EST_DATA=E, EST_SOURCE=CAN</stp>
        <stp>ACT_EST_MAPPING=PRECISE</stp>
        <stp>FS=MRC</stp>
        <stp>CURRENCY=USD</stp>
        <stp>XLFILL=b</stp>
        <tr r="T44" s="2"/>
      </tp>
      <tp t="s">
        <v>#N/A Requesting Data...</v>
        <stp/>
        <stp>##V3_BQLV12</stp>
        <stp>[MODL_NOW_US1.xlsx]Single Period!R113C36</stp>
        <stp>SEG0000230986 Segment</stp>
        <stp>IS_COGS_TO_FE_AND_PP_AND_G/1M</stp>
        <stp>FPR=2021Y</stp>
        <stp>FPT=A</stp>
        <stp>FA_ACT_EST_DATA=E, EST_SOURCE=JEF</stp>
        <stp>ACT_EST_MAPPING=PRECISE</stp>
        <stp>FS=MRC</stp>
        <stp>CURRENCY=USD</stp>
        <stp>XLFILL=b</stp>
        <tr r="AJ113" s="2"/>
      </tp>
      <tp t="s">
        <v>#N/A Requesting Data...</v>
        <stp/>
        <stp>##V3_BQLV12</stp>
        <stp>[MODL_NOW_US1.xlsx]Single Period!R67C36</stp>
        <stp>SEG0000230986 Segment</stp>
        <stp>IS_PERCENTAGE_OF_REVENUE</stp>
        <stp>FPR=2021Y</stp>
        <stp>FPT=A</stp>
        <stp>FA_ACT_EST_DATA=E, EST_SOURCE=JEF</stp>
        <stp>ACT_EST_MAPPING=PRECISE</stp>
        <stp>FS=MRC</stp>
        <stp>CURRENCY=USD</stp>
        <stp>XLFILL=b</stp>
        <tr r="AJ67" s="2"/>
      </tp>
      <tp t="s">
        <v>#N/A Requesting Data...</v>
        <stp/>
        <stp>##V3_BQLV12</stp>
        <stp>[MODL_NOW_US1.xlsx]Single Period!R59C32</stp>
        <stp>SEG0000230975 Segment</stp>
        <stp>IS_PERCENTAGE_OF_REVENUE</stp>
        <stp>FPR=2021Y</stp>
        <stp>FPT=A</stp>
        <stp>FA_ACT_EST_DATA=E, EST_SOURCE=FBC</stp>
        <stp>ACT_EST_MAPPING=PRECISE</stp>
        <stp>FS=MRC</stp>
        <stp>CURRENCY=USD</stp>
        <stp>XLFILL=b</stp>
        <tr r="AF59" s="2"/>
      </tp>
      <tp t="s">
        <v>#N/A Requesting Data...</v>
        <stp/>
        <stp>##V3_BQLV12</stp>
        <stp>[MODL_NOW_US1.xlsx]Single Period!R68C20</stp>
        <stp>SEG0000230986 Segment</stp>
        <stp>IS_ADJUSTED_COGS_AS_REPORTED/1M</stp>
        <stp>FPR=2021Y</stp>
        <stp>FPT=A</stp>
        <stp>FA_ACT_EST_DATA=E, EST_SOURCE=CAN</stp>
        <stp>ACT_EST_MAPPING=PRECISE</stp>
        <stp>FS=MRC</stp>
        <stp>CURRENCY=USD</stp>
        <stp>XLFILL=b</stp>
        <tr r="T68" s="2"/>
      </tp>
      <tp t="s">
        <v>#N/A Requesting Data...</v>
        <stp/>
        <stp>##V3_BQLV12</stp>
        <stp>[MODL_NOW_US1.xlsx]Single Period!R68C12</stp>
        <stp>SEG0000230986 Segment</stp>
        <stp>IS_ADJUSTED_COGS_AS_REPORTED/1M</stp>
        <stp>FPR=2021Y</stp>
        <stp>FPT=A</stp>
        <stp>FA_ACT_EST_DATA=E, EST_SOURCE=WBL</stp>
        <stp>ACT_EST_MAPPING=PRECISE</stp>
        <stp>FS=MRC</stp>
        <stp>CURRENCY=USD</stp>
        <stp>XLFILL=b</stp>
        <tr r="L68" s="2"/>
      </tp>
      <tp t="s">
        <v>#N/A Requesting Data...</v>
        <stp/>
        <stp>##V3_BQLV12</stp>
        <stp>[MODL_NOW_US1.xlsx]Single Period!R60C20</stp>
        <stp>SEG0000230975 Segment</stp>
        <stp>IS_ADJUSTED_COGS_AS_REPORTED/1M</stp>
        <stp>FPR=2021Y</stp>
        <stp>FPT=A</stp>
        <stp>FA_ACT_EST_DATA=E, EST_SOURCE=CAN</stp>
        <stp>ACT_EST_MAPPING=PRECISE</stp>
        <stp>FS=MRC</stp>
        <stp>CURRENCY=USD</stp>
        <stp>XLFILL=b</stp>
        <tr r="T60" s="2"/>
      </tp>
      <tp t="s">
        <v>#N/A Requesting Data...</v>
        <stp/>
        <stp>##V3_BQLV12</stp>
        <stp>[MODL_NOW_US1.xlsx]Single Period!R60C12</stp>
        <stp>SEG0000230975 Segment</stp>
        <stp>IS_ADJUSTED_COGS_AS_REPORTED/1M</stp>
        <stp>FPR=2021Y</stp>
        <stp>FPT=A</stp>
        <stp>FA_ACT_EST_DATA=E, EST_SOURCE=WBL</stp>
        <stp>ACT_EST_MAPPING=PRECISE</stp>
        <stp>FS=MRC</stp>
        <stp>CURRENCY=USD</stp>
        <stp>XLFILL=b</stp>
        <tr r="L60" s="2"/>
      </tp>
      <tp t="s">
        <v>#N/A Requesting Data...</v>
        <stp/>
        <stp>##V3_BQLV12</stp>
        <stp>[MODL_NOW_US1.xlsx]Single Period!R59C12</stp>
        <stp>SEG0000230975 Segment</stp>
        <stp>IS_PERCENTAGE_OF_REVENUE</stp>
        <stp>FPR=2021Y</stp>
        <stp>FPT=A</stp>
        <stp>FA_ACT_EST_DATA=E, EST_SOURCE=WBL</stp>
        <stp>ACT_EST_MAPPING=PRECISE</stp>
        <stp>FS=MRC</stp>
        <stp>CURRENCY=USD</stp>
        <stp>XLFILL=b</stp>
        <tr r="L59" s="2"/>
      </tp>
      <tp t="s">
        <v>#N/A Requesting Data...</v>
        <stp/>
        <stp>##V3_BQLV12</stp>
        <stp>[MODL_NOW_US1.xlsx]Single Period!R121C9</stp>
        <stp>NOW US Equity</stp>
        <stp>CONTRIBUTOR_STATS(CB_IS_GENL_AND_ADMIN_EXPN, MEDIAN)/1M</stp>
        <stp>FPR=2021Y</stp>
        <stp>FPT=A</stp>
        <stp>FA_ACT_EST_DATA=E</stp>
        <stp>ACT_EST_MAPPING=PRECISE</stp>
        <stp>FS=MRC</stp>
        <stp>CURRENCY=USD</stp>
        <stp>XLFILL=b</stp>
        <tr r="I121" s="2"/>
      </tp>
      <tp t="s">
        <v>#N/A Requesting Data...</v>
        <stp/>
        <stp>##V3_BQLV12</stp>
        <stp>[MODL_NOW_US1.xlsx]Single Period!R113C13</stp>
        <stp>SEG0000230986 Segment</stp>
        <stp>IS_COGS_TO_FE_AND_PP_AND_G/1M</stp>
        <stp>FPR=2021Y</stp>
        <stp>FPT=A</stp>
        <stp>FA_ACT_EST_DATA=E, EST_SOURCE=KEY</stp>
        <stp>ACT_EST_MAPPING=PRECISE</stp>
        <stp>FS=MRC</stp>
        <stp>CURRENCY=USD</stp>
        <stp>XLFILL=b</stp>
        <tr r="M113" s="2"/>
      </tp>
      <tp t="s">
        <v>#N/A Requesting Data...</v>
        <stp/>
        <stp>##V3_BQLV12</stp>
        <stp>[MODL_NOW_US1.xlsx]Single Period!R88C22</stp>
        <stp>NOW US Equity</stp>
        <stp>IS_ADJ_SELLING_AND_MRKTG_EXPN_AR/1M</stp>
        <stp>FPR=2021Y</stp>
        <stp>FPT=A</stp>
        <stp>FA_ACT_EST_DATA=E, EST_SOURCE=NDH</stp>
        <stp>ACT_EST_MAPPING=PRECISE</stp>
        <stp>FS=MRC</stp>
        <stp>CURRENCY=USD</stp>
        <stp>XLFILL=b</stp>
        <tr r="V88" s="2"/>
      </tp>
      <tp t="s">
        <v>#N/A Requesting Data...</v>
        <stp/>
        <stp>##V3_BQLV12</stp>
        <stp>[MODL_NOW_US1.xlsx]Single Period!R140C39</stp>
        <stp>SEG0000230975 Segment</stp>
        <stp>IS_SBC_ATTRIB_TO_COGS_PRETX/1M</stp>
        <stp>FPR=2021Y</stp>
        <stp>FPT=A</stp>
        <stp>FA_ACT_EST_DATA=E, EST_SOURCE=DZB</stp>
        <stp>ACT_EST_MAPPING=PRECISE</stp>
        <stp>FS=MRC</stp>
        <stp>CURRENCY=USD</stp>
        <stp>XLFILL=b</stp>
        <tr r="AM140" s="2"/>
      </tp>
      <tp t="s">
        <v>#N/A Requesting Data...</v>
        <stp/>
        <stp>##V3_BQLV12</stp>
        <stp>[MODL_NOW_US1.xlsx]Single Period!R26C36</stp>
        <stp>NOW US Equity</stp>
        <stp>IS_ADJ_SELLING_AND_MRKTG_EXPN_AR/1M</stp>
        <stp>FPR=2021Y</stp>
        <stp>FPT=A</stp>
        <stp>FA_ACT_EST_DATA=E, EST_SOURCE=JEF</stp>
        <stp>ACT_EST_MAPPING=PRECISE</stp>
        <stp>FS=MRC</stp>
        <stp>CURRENCY=USD</stp>
        <stp>XLFILL=b</stp>
        <tr r="AJ26" s="2"/>
      </tp>
      <tp t="s">
        <v>#N/A Requesting Data...</v>
        <stp/>
        <stp>##V3_BQLV12</stp>
        <stp>[MODL_NOW_US1.xlsx]Single Period!R124C8</stp>
        <stp>NOW US Equity</stp>
        <stp>CONTRIBUTOR_STATS(IS_EBIT_AS_REPORTED, STD)/1M</stp>
        <stp>FPR=2021Y</stp>
        <stp>FPT=A</stp>
        <stp>FA_ACT_EST_DATA=E</stp>
        <stp>ACT_EST_MAPPING=PRECISE</stp>
        <stp>FS=MRC</stp>
        <stp>CURRENCY=USD</stp>
        <stp>XLFILL=b</stp>
        <tr r="H124" s="2"/>
      </tp>
      <tp t="s">
        <v>#N/A Requesting Data...</v>
        <stp/>
        <stp>##V3_BQLV12</stp>
        <stp>[MODL_NOW_US1.xlsx]Single Period!R231C43</stp>
        <stp>NOW US Equity</stp>
        <stp>CF_NET_CHNG_CASH/1M</stp>
        <stp>FPR=2021Y</stp>
        <stp>FPT=A</stp>
        <stp>FA_ACT_EST_DATA=E, EST_SOURCE=WFT</stp>
        <stp>ACT_EST_MAPPING=PRECISE</stp>
        <stp>FS=MRC</stp>
        <stp>CURRENCY=USD</stp>
        <stp>XLFILL=b</stp>
        <tr r="AQ231" s="2"/>
      </tp>
      <tp t="s">
        <v>#N/A Requesting Data...</v>
        <stp/>
        <stp>##V3_BQLV12</stp>
        <stp>[MODL_NOW_US1.xlsx]Single Period!R88C36</stp>
        <stp>NOW US Equity</stp>
        <stp>IS_ADJ_SELLING_AND_MRKTG_EXPN_AR/1M</stp>
        <stp>FPR=2021Y</stp>
        <stp>FPT=A</stp>
        <stp>FA_ACT_EST_DATA=E, EST_SOURCE=JEF</stp>
        <stp>ACT_EST_MAPPING=PRECISE</stp>
        <stp>FS=MRC</stp>
        <stp>CURRENCY=USD</stp>
        <stp>XLFILL=b</stp>
        <tr r="AJ88" s="2"/>
      </tp>
      <tp t="s">
        <v>#N/A Requesting Data...</v>
        <stp/>
        <stp>##V3_BQLV12</stp>
        <stp>[MODL_NOW_US1.xlsx]Single Period!R26C22</stp>
        <stp>NOW US Equity</stp>
        <stp>IS_ADJ_SELLING_AND_MRKTG_EXPN_AR/1M</stp>
        <stp>FPR=2021Y</stp>
        <stp>FPT=A</stp>
        <stp>FA_ACT_EST_DATA=E, EST_SOURCE=NDH</stp>
        <stp>ACT_EST_MAPPING=PRECISE</stp>
        <stp>FS=MRC</stp>
        <stp>CURRENCY=USD</stp>
        <stp>XLFILL=b</stp>
        <tr r="V26" s="2"/>
      </tp>
      <tp t="s">
        <v>#N/A Requesting Data...</v>
        <stp/>
        <stp>##V3_BQLV12</stp>
        <stp>[MODL_NOW_US1.xlsx]Single Period!R231C33</stp>
        <stp>NOW US Equity</stp>
        <stp>CF_NET_CHNG_CASH/1M</stp>
        <stp>FPR=2021Y</stp>
        <stp>FPT=A</stp>
        <stp>FA_ACT_EST_DATA=E, EST_SOURCE=MAC</stp>
        <stp>ACT_EST_MAPPING=PRECISE</stp>
        <stp>FS=MRC</stp>
        <stp>CURRENCY=USD</stp>
        <stp>XLFILL=b</stp>
        <tr r="AG231" s="2"/>
      </tp>
      <tp t="s">
        <v>#N/A Requesting Data...</v>
        <stp/>
        <stp>##V3_BQLV12</stp>
        <stp>[MODL_NOW_US1.xlsx]Single Period!R140C46</stp>
        <stp>SEG0000230975 Segment</stp>
        <stp>IS_SBC_ATTRIB_TO_COGS_PRETX/1M</stp>
        <stp>FPR=2021Y</stp>
        <stp>FPT=A</stp>
        <stp>FA_ACT_EST_DATA=E, EST_SOURCE=MZS</stp>
        <stp>ACT_EST_MAPPING=PRECISE</stp>
        <stp>FS=MRC</stp>
        <stp>CURRENCY=USD</stp>
        <stp>XLFILL=b</stp>
        <tr r="AT140" s="2"/>
      </tp>
      <tp t="s">
        <v>#N/A Requesting Data...</v>
        <stp/>
        <stp>##V3_BQLV12</stp>
        <stp>[MODL_NOW_US1.xlsx]Single Period!R52C43</stp>
        <stp>NOW US Equity</stp>
        <stp>ACCT_RCV_DAYS</stp>
        <stp>FPR=2021Y</stp>
        <stp>FPT=A</stp>
        <stp>FA_ACT_EST_DATA=E, EST_SOURCE=WFT</stp>
        <stp>ACT_EST_MAPPING=PRECISE</stp>
        <stp>FS=MRC</stp>
        <stp>CURRENCY=USD</stp>
        <stp>XLFILL=b</stp>
        <tr r="AQ52" s="2"/>
      </tp>
      <tp t="s">
        <v>#N/A Requesting Data...</v>
        <stp/>
        <stp>##V3_BQLV12</stp>
        <stp>[MODL_NOW_US1.xlsx]Single Period!R231C16</stp>
        <stp>NOW US Equity</stp>
        <stp>CF_NET_CHNG_CASH/1M</stp>
        <stp>FPR=2021Y</stp>
        <stp>FPT=A</stp>
        <stp>FA_ACT_EST_DATA=E, EST_SOURCE=BCA</stp>
        <stp>ACT_EST_MAPPING=PRECISE</stp>
        <stp>FS=MRC</stp>
        <stp>CURRENCY=USD</stp>
        <stp>XLFILL=b</stp>
        <tr r="P231" s="2"/>
      </tp>
      <tp t="s">
        <v>#N/A Requesting Data...</v>
        <stp/>
        <stp>##V3_BQLV12</stp>
        <stp>[MODL_NOW_US1.xlsx]Single Period!R124C6</stp>
        <stp>NOW US Equity</stp>
        <stp>CONTRIBUTOR_STATS(IS_EBIT_AS_REPORTED, MIN)/1M</stp>
        <stp>FPR=2021Y</stp>
        <stp>FPT=A</stp>
        <stp>FA_ACT_EST_DATA=E</stp>
        <stp>ACT_EST_MAPPING=PRECISE</stp>
        <stp>FS=MRC</stp>
        <stp>CURRENCY=USD</stp>
        <stp>XLFILL=b</stp>
        <tr r="F124" s="2"/>
      </tp>
      <tp t="s">
        <v>#N/A Requesting Data...</v>
        <stp/>
        <stp>##V3_BQLV12</stp>
        <stp>[MODL_NOW_US1.xlsx]Single Period!R124C7</stp>
        <stp>NOW US Equity</stp>
        <stp>CONTRIBUTOR_STATS(IS_EBIT_AS_REPORTED, MAX)/1M</stp>
        <stp>FPR=2021Y</stp>
        <stp>FPT=A</stp>
        <stp>FA_ACT_EST_DATA=E</stp>
        <stp>ACT_EST_MAPPING=PRECISE</stp>
        <stp>FS=MRC</stp>
        <stp>CURRENCY=USD</stp>
        <stp>XLFILL=b</stp>
        <tr r="G124" s="2"/>
      </tp>
      <tp t="s">
        <v>#N/A Requesting Data...</v>
        <stp/>
        <stp>##V3_BQLV12</stp>
        <stp>[MODL_NOW_US1.xlsx]Single Period!R231C30</stp>
        <stp>NOW US Equity</stp>
        <stp>CF_NET_CHNG_CASH/1M</stp>
        <stp>FPR=2021Y</stp>
        <stp>FPT=A</stp>
        <stp>FA_ACT_EST_DATA=E, EST_SOURCE=BAM</stp>
        <stp>ACT_EST_MAPPING=PRECISE</stp>
        <stp>FS=MRC</stp>
        <stp>CURRENCY=USD</stp>
        <stp>XLFILL=b</stp>
        <tr r="AD231" s="2"/>
      </tp>
      <tp t="s">
        <v>#N/A Requesting Data...</v>
        <stp/>
        <stp>##V3_BQLV12</stp>
        <stp>[MODL_NOW_US1.xlsx]Single Period!R11C26</stp>
        <stp>NOW US Equity</stp>
        <stp>NUM_CSTMR_CNTRCT_OVER_1_MILLN</stp>
        <stp>FPR=2021Y</stp>
        <stp>FPT=A</stp>
        <stp>FA_ACT_EST_DATA=E, EST_SOURCE=UBS</stp>
        <stp>ACT_EST_MAPPING=PRECISE</stp>
        <stp>FS=MRC</stp>
        <stp>CURRENCY=USD</stp>
        <stp>XLFILL=b</stp>
        <tr r="Z11" s="2"/>
      </tp>
      <tp t="s">
        <v>#N/A Requesting Data...</v>
        <stp/>
        <stp>##V3_BQLV12</stp>
        <stp>[MODL_NOW_US1.xlsx]Single Period!R108C34</stp>
        <stp>NOW US Equity</stp>
        <stp>IS_COMP_EPS_EXCL_STOCK_COMP</stp>
        <stp>FPR=2021Y</stp>
        <stp>FPT=A</stp>
        <stp>FA_ACT_EST_DATA=E, EST_SOURCE=PSG</stp>
        <stp>ACT_EST_MAPPING=PRECISE</stp>
        <stp>FS=MRC</stp>
        <stp>CURRENCY=USD</stp>
        <stp>XLFILL=b</stp>
        <tr r="AH108" s="2"/>
      </tp>
      <tp t="s">
        <v>#N/A Requesting Data...</v>
        <stp/>
        <stp>##V3_BQLV12</stp>
        <stp>[MODL_NOW_US1.xlsx]Single Period!R108C42</stp>
        <stp>NOW US Equity</stp>
        <stp>IS_COMP_EPS_EXCL_STOCK_COMP</stp>
        <stp>FPR=2021Y</stp>
        <stp>FPT=A</stp>
        <stp>FA_ACT_EST_DATA=E, EST_SOURCE=CTI</stp>
        <stp>ACT_EST_MAPPING=PRECISE</stp>
        <stp>FS=MRC</stp>
        <stp>CURRENCY=USD</stp>
        <stp>XLFILL=b</stp>
        <tr r="AP108" s="2"/>
      </tp>
      <tp t="s">
        <v>#N/A Requesting Data...</v>
        <stp/>
        <stp>##V3_BQLV12</stp>
        <stp>[MODL_NOW_US1.xlsx]Single Period!R50C16</stp>
        <stp>NOW US Equity</stp>
        <stp>NUM_CSTMR_CNTRCT_OVER_1_MILLN</stp>
        <stp>FPR=2021Y</stp>
        <stp>FPT=A</stp>
        <stp>FA_ACT_EST_DATA=E, EST_SOURCE=BCA</stp>
        <stp>ACT_EST_MAPPING=PRECISE</stp>
        <stp>FS=MRC</stp>
        <stp>CURRENCY=USD</stp>
        <stp>XLFILL=b</stp>
        <tr r="P50" s="2"/>
      </tp>
      <tp t="s">
        <v>#N/A Requesting Data...</v>
        <stp/>
        <stp>##V3_BQLV12</stp>
        <stp>[MODL_NOW_US1.xlsx]Single Period!R11C32</stp>
        <stp>NOW US Equity</stp>
        <stp>NUM_CSTMR_CNTRCT_OVER_1_MILLN</stp>
        <stp>FPR=2021Y</stp>
        <stp>FPT=A</stp>
        <stp>FA_ACT_EST_DATA=E, EST_SOURCE=FBC</stp>
        <stp>ACT_EST_MAPPING=PRECISE</stp>
        <stp>FS=MRC</stp>
        <stp>CURRENCY=USD</stp>
        <stp>XLFILL=b</stp>
        <tr r="AF11" s="2"/>
      </tp>
      <tp t="s">
        <v>#N/A Requesting Data...</v>
        <stp/>
        <stp>##V3_BQLV12</stp>
        <stp>[MODL_NOW_US1.xlsx]Single Period!R11C27</stp>
        <stp>NOW US Equity</stp>
        <stp>NUM_CSTMR_CNTRCT_OVER_1_MILLN</stp>
        <stp>FPR=2021Y</stp>
        <stp>FPT=A</stp>
        <stp>FA_ACT_EST_DATA=E, EST_SOURCE=RBC</stp>
        <stp>ACT_EST_MAPPING=PRECISE</stp>
        <stp>FS=MRC</stp>
        <stp>CURRENCY=USD</stp>
        <stp>XLFILL=b</stp>
        <tr r="AA11" s="2"/>
      </tp>
      <tp t="s">
        <v>#N/A Requesting Data...</v>
        <stp/>
        <stp>##V3_BQLV12</stp>
        <stp>[MODL_NOW_US1.xlsx]Single Period!R108C35</stp>
        <stp>NOW US Equity</stp>
        <stp>IS_COMP_EPS_EXCL_STOCK_COMP</stp>
        <stp>FPR=2021Y</stp>
        <stp>FPT=A</stp>
        <stp>FA_ACT_EST_DATA=E, EST_SOURCE=MSR</stp>
        <stp>ACT_EST_MAPPING=PRECISE</stp>
        <stp>FS=MRC</stp>
        <stp>CURRENCY=USD</stp>
        <stp>XLFILL=b</stp>
        <tr r="AI108" s="2"/>
      </tp>
      <tp t="s">
        <v>#N/A Requesting Data...</v>
        <stp/>
        <stp>##V3_BQLV12</stp>
        <stp>[MODL_NOW_US1.xlsx]Single Period!R50C49</stp>
        <stp>NOW US Equity</stp>
        <stp>NUM_CSTMR_CNTRCT_OVER_1_MILLN</stp>
        <stp>FPR=2021Y</stp>
        <stp>FPT=A</stp>
        <stp>FA_ACT_EST_DATA=E, EST_SOURCE=SCB</stp>
        <stp>ACT_EST_MAPPING=PRECISE</stp>
        <stp>FS=MRC</stp>
        <stp>CURRENCY=USD</stp>
        <stp>XLFILL=b</stp>
        <tr r="AW50" s="2"/>
      </tp>
      <tp t="s">
        <v>#N/A Requesting Data...</v>
        <stp/>
        <stp>##V3_BQLV12</stp>
        <stp>[MODL_NOW_US1.xlsx]Single Period!R11C25</stp>
        <stp>NOW US Equity</stp>
        <stp>NUM_CSTMR_CNTRCT_OVER_1_MILLN</stp>
        <stp>FPR=2021Y</stp>
        <stp>FPT=A</stp>
        <stp>FA_ACT_EST_DATA=E, EST_SOURCE=DBG</stp>
        <stp>ACT_EST_MAPPING=PRECISE</stp>
        <stp>FS=MRC</stp>
        <stp>CURRENCY=USD</stp>
        <stp>XLFILL=b</stp>
        <tr r="Y11" s="2"/>
      </tp>
      <tp t="s">
        <v>#N/A Requesting Data...</v>
        <stp/>
        <stp>##V3_BQLV12</stp>
        <stp>[MODL_NOW_US1.xlsx]Single Period!R108C31</stp>
        <stp>NOW US Equity</stp>
        <stp>IS_COMP_EPS_EXCL_STOCK_COMP</stp>
        <stp>FPR=2021Y</stp>
        <stp>FPT=A</stp>
        <stp>FA_ACT_EST_DATA=E, EST_SOURCE=GSR</stp>
        <stp>ACT_EST_MAPPING=PRECISE</stp>
        <stp>FS=MRC</stp>
        <stp>CURRENCY=USD</stp>
        <stp>XLFILL=b</stp>
        <tr r="AE108" s="2"/>
      </tp>
      <tp t="s">
        <v>#N/A Requesting Data...</v>
        <stp/>
        <stp>##V3_BQLV12</stp>
        <stp>[MODL_NOW_US1.xlsx]Single Period!R227C9</stp>
        <stp>NOW US Equity</stp>
        <stp>CONTRIBUTOR_STATS(CF_NET_CSH_PROV_BY_FINANCING_ACT, MEDIAN)/1M</stp>
        <stp>FPR=2021Y</stp>
        <stp>FPT=A</stp>
        <stp>FA_ACT_EST_DATA=E</stp>
        <stp>ACT_EST_MAPPING=PRECISE</stp>
        <stp>FS=MRC</stp>
        <stp>CURRENCY=USD</stp>
        <stp>XLFILL=b</stp>
        <tr r="I227" s="2"/>
      </tp>
      <tp t="s">
        <v>#N/A Requesting Data...</v>
        <stp/>
        <stp>##V3_BQLV12</stp>
        <stp>[MODL_NOW_US1.xlsx]Single Period!R11C12</stp>
        <stp>NOW US Equity</stp>
        <stp>NUM_CSTMR_CNTRCT_OVER_1_MILLN</stp>
        <stp>FPR=2021Y</stp>
        <stp>FPT=A</stp>
        <stp>FA_ACT_EST_DATA=E, EST_SOURCE=WBL</stp>
        <stp>ACT_EST_MAPPING=PRECISE</stp>
        <stp>FS=MRC</stp>
        <stp>CURRENCY=USD</stp>
        <stp>XLFILL=b</stp>
        <tr r="L11" s="2"/>
      </tp>
      <tp t="s">
        <v>#N/A Requesting Data...</v>
        <stp/>
        <stp>##V3_BQLV12</stp>
        <stp>[MODL_NOW_US1.xlsx]Single Period!R217C37</stp>
        <stp>NOW US Equity</stp>
        <stp>CAP_EXPEND_TO_SALES</stp>
        <stp>FPR=2021Y</stp>
        <stp>FPT=A</stp>
        <stp>FA_ACT_EST_DATA=E, EST_SOURCE=TTC</stp>
        <stp>ACT_EST_MAPPING=PRECISE</stp>
        <stp>FS=MRC</stp>
        <stp>CURRENCY=USD</stp>
        <stp>XLFILL=b</stp>
        <tr r="AK217" s="2"/>
      </tp>
      <tp t="s">
        <v>#N/A Requesting Data...</v>
        <stp/>
        <stp>##V3_BQLV12</stp>
        <stp>[MODL_NOW_US1.xlsx]Single Period!R6C45</stp>
        <stp>NOW US Equity</stp>
        <stp>IS_COMP_EPS_EXCL_STOCK_COMP</stp>
        <stp>FPR=2021Y</stp>
        <stp>FPT=A</stp>
        <stp>FA_ACT_EST_DATA=E, EST_SOURCE=PJE</stp>
        <stp>ACT_EST_MAPPING=PRECISE</stp>
        <stp>FS=MRC</stp>
        <stp>CURRENCY=USD</stp>
        <stp>XLFILL=b</stp>
        <tr r="AS6" s="2"/>
      </tp>
      <tp t="s">
        <v>#N/A Requesting Data...</v>
        <stp/>
        <stp>##V3_BQLV12</stp>
        <stp>[MODL_NOW_US1.xlsx]Single Period!R225C7</stp>
        <stp>NOW US Equity</stp>
        <stp>CONTRIBUTOR_STATS(CF_INCR_CAP_STOCK, MAX)/1M</stp>
        <stp>FPR=2021Y</stp>
        <stp>FPT=A</stp>
        <stp>FA_ACT_EST_DATA=E</stp>
        <stp>ACT_EST_MAPPING=PRECISE</stp>
        <stp>FS=MRC</stp>
        <stp>CURRENCY=USD</stp>
        <stp>XLFILL=b</stp>
        <tr r="G225" s="2"/>
      </tp>
      <tp t="s">
        <v>#N/A Requesting Data...</v>
        <stp/>
        <stp>##V3_BQLV12</stp>
        <stp>[MODL_NOW_US1.xlsx]Single Period!R190C8</stp>
        <stp>NOW US Equity</stp>
        <stp>CONTRIBUTOR_STATS(DEFERRED_REV, STD)/1M</stp>
        <stp>FPR=2021Y</stp>
        <stp>FPT=A</stp>
        <stp>FA_ACT_EST_DATA=E</stp>
        <stp>ACT_EST_MAPPING=PRECISE</stp>
        <stp>FS=MRC</stp>
        <stp>CURRENCY=USD</stp>
        <stp>XLFILL=b</stp>
        <tr r="H190" s="2"/>
      </tp>
      <tp t="s">
        <v>#N/A Requesting Data...</v>
        <stp/>
        <stp>##V3_BQLV12</stp>
        <stp>[MODL_NOW_US1.xlsx]Single Period!R190C7</stp>
        <stp>NOW US Equity</stp>
        <stp>CONTRIBUTOR_STATS(DEFERRED_REV, MAX)/1M</stp>
        <stp>FPR=2021Y</stp>
        <stp>FPT=A</stp>
        <stp>FA_ACT_EST_DATA=E</stp>
        <stp>ACT_EST_MAPPING=PRECISE</stp>
        <stp>FS=MRC</stp>
        <stp>CURRENCY=USD</stp>
        <stp>XLFILL=b</stp>
        <tr r="G190" s="2"/>
      </tp>
      <tp t="s">
        <v>#N/A Requesting Data...</v>
        <stp/>
        <stp>##V3_BQLV12</stp>
        <stp>[MODL_NOW_US1.xlsx]Single Period!R190C6</stp>
        <stp>NOW US Equity</stp>
        <stp>CONTRIBUTOR_STATS(DEFERRED_REV, MIN)/1M</stp>
        <stp>FPR=2021Y</stp>
        <stp>FPT=A</stp>
        <stp>FA_ACT_EST_DATA=E</stp>
        <stp>ACT_EST_MAPPING=PRECISE</stp>
        <stp>FS=MRC</stp>
        <stp>CURRENCY=USD</stp>
        <stp>XLFILL=b</stp>
        <tr r="F190" s="2"/>
      </tp>
      <tp t="s">
        <v>#N/A Requesting Data...</v>
        <stp/>
        <stp>##V3_BQLV12</stp>
        <stp>[MODL_NOW_US1.xlsx]Single Period!R112C45</stp>
        <stp>SEG0000230975 Segment</stp>
        <stp>IS_COGS_TO_FE_AND_PP_AND_G/1M</stp>
        <stp>FPR=2021Y</stp>
        <stp>FPT=A</stp>
        <stp>FA_ACT_EST_DATA=E, EST_SOURCE=PJE</stp>
        <stp>ACT_EST_MAPPING=PRECISE</stp>
        <stp>FS=MRC</stp>
        <stp>CURRENCY=USD</stp>
        <stp>XLFILL=b</stp>
        <tr r="AS112" s="2"/>
      </tp>
      <tp t="s">
        <v>#N/A Requesting Data...</v>
        <stp/>
        <stp>##V3_BQLV12</stp>
        <stp>[MODL_NOW_US1.xlsx]Single Period!R44C30</stp>
        <stp>SEG0000230986 Segment</stp>
        <stp>IS_FOREIGN_CURRENCY_TURNOVER/1M</stp>
        <stp>FPR=2021Y</stp>
        <stp>FPT=A</stp>
        <stp>FA_ACT_EST_DATA=E, EST_SOURCE=BAM</stp>
        <stp>ACT_EST_MAPPING=PRECISE</stp>
        <stp>FS=MRC</stp>
        <stp>CURRENCY=USD</stp>
        <stp>XLFILL=b</stp>
        <tr r="AD44" s="2"/>
      </tp>
      <tp t="s">
        <v>#N/A Requesting Data...</v>
        <stp/>
        <stp>##V3_BQLV12</stp>
        <stp>[MODL_NOW_US1.xlsx]Single Period!R68C30</stp>
        <stp>SEG0000230986 Segment</stp>
        <stp>IS_ADJUSTED_COGS_AS_REPORTED/1M</stp>
        <stp>FPR=2021Y</stp>
        <stp>FPT=A</stp>
        <stp>FA_ACT_EST_DATA=E, EST_SOURCE=BAM</stp>
        <stp>ACT_EST_MAPPING=PRECISE</stp>
        <stp>FS=MRC</stp>
        <stp>CURRENCY=USD</stp>
        <stp>XLFILL=b</stp>
        <tr r="AD68" s="2"/>
      </tp>
      <tp t="s">
        <v>#N/A Requesting Data...</v>
        <stp/>
        <stp>##V3_BQLV12</stp>
        <stp>[MODL_NOW_US1.xlsx]Single Period!R60C30</stp>
        <stp>SEG0000230975 Segment</stp>
        <stp>IS_ADJUSTED_COGS_AS_REPORTED/1M</stp>
        <stp>FPR=2021Y</stp>
        <stp>FPT=A</stp>
        <stp>FA_ACT_EST_DATA=E, EST_SOURCE=BAM</stp>
        <stp>ACT_EST_MAPPING=PRECISE</stp>
        <stp>FS=MRC</stp>
        <stp>CURRENCY=USD</stp>
        <stp>XLFILL=b</stp>
        <tr r="AD60" s="2"/>
      </tp>
      <tp t="s">
        <v>#N/A Requesting Data...</v>
        <stp/>
        <stp>##V3_BQLV12</stp>
        <stp>[MODL_NOW_US1.xlsx]Single Period!R67C33</stp>
        <stp>SEG0000230986 Segment</stp>
        <stp>IS_PERCENTAGE_OF_REVENUE</stp>
        <stp>FPR=2021Y</stp>
        <stp>FPT=A</stp>
        <stp>FA_ACT_EST_DATA=E, EST_SOURCE=MAC</stp>
        <stp>ACT_EST_MAPPING=PRECISE</stp>
        <stp>FS=MRC</stp>
        <stp>CURRENCY=USD</stp>
        <stp>XLFILL=b</stp>
        <tr r="AG67" s="2"/>
      </tp>
      <tp t="s">
        <v>#N/A Requesting Data...</v>
        <stp/>
        <stp>##V3_BQLV12</stp>
        <stp>[MODL_NOW_US1.xlsx]Single Period!R59C30</stp>
        <stp>SEG0000230975 Segment</stp>
        <stp>IS_PERCENTAGE_OF_REVENUE</stp>
        <stp>FPR=2021Y</stp>
        <stp>FPT=A</stp>
        <stp>FA_ACT_EST_DATA=E, EST_SOURCE=BAM</stp>
        <stp>ACT_EST_MAPPING=PRECISE</stp>
        <stp>FS=MRC</stp>
        <stp>CURRENCY=USD</stp>
        <stp>XLFILL=b</stp>
        <tr r="AD59" s="2"/>
      </tp>
      <tp t="s">
        <v>#N/A Requesting Data...</v>
        <stp/>
        <stp>##V3_BQLV12</stp>
        <stp>[MODL_NOW_US1.xlsx]Single Period!R68C33</stp>
        <stp>SEG0000230986 Segment</stp>
        <stp>IS_ADJUSTED_COGS_AS_REPORTED/1M</stp>
        <stp>FPR=2021Y</stp>
        <stp>FPT=A</stp>
        <stp>FA_ACT_EST_DATA=E, EST_SOURCE=MAC</stp>
        <stp>ACT_EST_MAPPING=PRECISE</stp>
        <stp>FS=MRC</stp>
        <stp>CURRENCY=USD</stp>
        <stp>XLFILL=b</stp>
        <tr r="AG68" s="2"/>
      </tp>
      <tp t="s">
        <v>#N/A Requesting Data...</v>
        <stp/>
        <stp>##V3_BQLV12</stp>
        <stp>[MODL_NOW_US1.xlsx]Single Period!R60C33</stp>
        <stp>SEG0000230975 Segment</stp>
        <stp>IS_ADJUSTED_COGS_AS_REPORTED/1M</stp>
        <stp>FPR=2021Y</stp>
        <stp>FPT=A</stp>
        <stp>FA_ACT_EST_DATA=E, EST_SOURCE=MAC</stp>
        <stp>ACT_EST_MAPPING=PRECISE</stp>
        <stp>FS=MRC</stp>
        <stp>CURRENCY=USD</stp>
        <stp>XLFILL=b</stp>
        <tr r="AG60" s="2"/>
      </tp>
      <tp t="s">
        <v>#N/A Requesting Data...</v>
        <stp/>
        <stp>##V3_BQLV12</stp>
        <stp>[MODL_NOW_US1.xlsx]Single Period!R44C16</stp>
        <stp>SEG0000230986 Segment</stp>
        <stp>IS_FOREIGN_CURRENCY_TURNOVER/1M</stp>
        <stp>FPR=2021Y</stp>
        <stp>FPT=A</stp>
        <stp>FA_ACT_EST_DATA=E, EST_SOURCE=BCA</stp>
        <stp>ACT_EST_MAPPING=PRECISE</stp>
        <stp>FS=MRC</stp>
        <stp>CURRENCY=USD</stp>
        <stp>XLFILL=b</stp>
        <tr r="P44" s="2"/>
      </tp>
      <tp t="s">
        <v>#N/A Requesting Data...</v>
        <stp/>
        <stp>##V3_BQLV12</stp>
        <stp>[MODL_NOW_US1.xlsx]Single Period!R59C20</stp>
        <stp>SEG0000230975 Segment</stp>
        <stp>IS_PERCENTAGE_OF_REVENUE</stp>
        <stp>FPR=2021Y</stp>
        <stp>FPT=A</stp>
        <stp>FA_ACT_EST_DATA=E, EST_SOURCE=CAN</stp>
        <stp>ACT_EST_MAPPING=PRECISE</stp>
        <stp>FS=MRC</stp>
        <stp>CURRENCY=USD</stp>
        <stp>XLFILL=b</stp>
        <tr r="T59" s="2"/>
      </tp>
      <tp t="s">
        <v>#N/A Requesting Data...</v>
        <stp/>
        <stp>##V3_BQLV12</stp>
        <stp>[MODL_NOW_US1.xlsx]Single Period!R210C5</stp>
        <stp>NOW US Equity</stp>
        <stp>CF_CHANGE_IN_PREPAID_EXPNSS/1M</stp>
        <stp>FPR=2021Y</stp>
        <stp>FPT=A</stp>
        <stp>FA_ACT_EST_DATA=E</stp>
        <stp>ACT_EST_MAPPING=PRECISE</stp>
        <stp>FS=MRC</stp>
        <stp>CURRENCY=USD</stp>
        <stp>XLFILL=b</stp>
        <tr r="E210" s="2"/>
      </tp>
      <tp t="s">
        <v>#N/A Requesting Data...</v>
        <stp/>
        <stp>##V3_BQLV12</stp>
        <stp>[MODL_NOW_US1.xlsx]Single Period!R44C33</stp>
        <stp>SEG0000230986 Segment</stp>
        <stp>IS_FOREIGN_CURRENCY_TURNOVER/1M</stp>
        <stp>FPR=2021Y</stp>
        <stp>FPT=A</stp>
        <stp>FA_ACT_EST_DATA=E, EST_SOURCE=MAC</stp>
        <stp>ACT_EST_MAPPING=PRECISE</stp>
        <stp>FS=MRC</stp>
        <stp>CURRENCY=USD</stp>
        <stp>XLFILL=b</stp>
        <tr r="AG44" s="2"/>
      </tp>
      <tp t="s">
        <v>#N/A Requesting Data...</v>
        <stp/>
        <stp>##V3_BQLV12</stp>
        <stp>[MODL_NOW_US1.xlsx]Single Period!R113C22</stp>
        <stp>SEG0000230986 Segment</stp>
        <stp>IS_COGS_TO_FE_AND_PP_AND_G/1M</stp>
        <stp>FPR=2021Y</stp>
        <stp>FPT=A</stp>
        <stp>FA_ACT_EST_DATA=E, EST_SOURCE=NDH</stp>
        <stp>ACT_EST_MAPPING=PRECISE</stp>
        <stp>FS=MRC</stp>
        <stp>CURRENCY=USD</stp>
        <stp>XLFILL=b</stp>
        <tr r="V113" s="2"/>
      </tp>
      <tp t="s">
        <v>#N/A Requesting Data...</v>
        <stp/>
        <stp>##V3_BQLV12</stp>
        <stp>[MODL_NOW_US1.xlsx]Single Period!R68C16</stp>
        <stp>SEG0000230986 Segment</stp>
        <stp>IS_ADJUSTED_COGS_AS_REPORTED/1M</stp>
        <stp>FPR=2021Y</stp>
        <stp>FPT=A</stp>
        <stp>FA_ACT_EST_DATA=E, EST_SOURCE=BCA</stp>
        <stp>ACT_EST_MAPPING=PRECISE</stp>
        <stp>FS=MRC</stp>
        <stp>CURRENCY=USD</stp>
        <stp>XLFILL=b</stp>
        <tr r="P68" s="2"/>
      </tp>
      <tp t="s">
        <v>#N/A Requesting Data...</v>
        <stp/>
        <stp>##V3_BQLV12</stp>
        <stp>[MODL_NOW_US1.xlsx]Single Period!R60C16</stp>
        <stp>SEG0000230975 Segment</stp>
        <stp>IS_ADJUSTED_COGS_AS_REPORTED/1M</stp>
        <stp>FPR=2021Y</stp>
        <stp>FPT=A</stp>
        <stp>FA_ACT_EST_DATA=E, EST_SOURCE=BCA</stp>
        <stp>ACT_EST_MAPPING=PRECISE</stp>
        <stp>FS=MRC</stp>
        <stp>CURRENCY=USD</stp>
        <stp>XLFILL=b</stp>
        <tr r="P60" s="2"/>
      </tp>
      <tp t="s">
        <v>#N/A Requesting Data...</v>
        <stp/>
        <stp>##V3_BQLV12</stp>
        <stp>[MODL_NOW_US1.xlsx]Single Period!R139C5</stp>
        <stp>NOW US Equity</stp>
        <stp>IS_SBC_ATTRIB_TO_COGS_PRETX/1M</stp>
        <stp>FPR=2021Y</stp>
        <stp>FPT=A</stp>
        <stp>FA_ACT_EST_DATA=E</stp>
        <stp>ACT_EST_MAPPING=PRECISE</stp>
        <stp>FS=MRC</stp>
        <stp>CURRENCY=USD</stp>
        <stp>XLFILL=b</stp>
        <tr r="E139" s="2"/>
      </tp>
      <tp t="s">
        <v>#N/A Requesting Data...</v>
        <stp/>
        <stp>##V3_BQLV12</stp>
        <stp>[MODL_NOW_US1.xlsx]Single Period!R44C43</stp>
        <stp>SEG0000230986 Segment</stp>
        <stp>IS_FOREIGN_CURRENCY_TURNOVER/1M</stp>
        <stp>FPR=2021Y</stp>
        <stp>FPT=A</stp>
        <stp>FA_ACT_EST_DATA=E, EST_SOURCE=WFT</stp>
        <stp>ACT_EST_MAPPING=PRECISE</stp>
        <stp>FS=MRC</stp>
        <stp>CURRENCY=USD</stp>
        <stp>XLFILL=b</stp>
        <tr r="AQ44" s="2"/>
      </tp>
      <tp t="s">
        <v>#N/A Requesting Data...</v>
        <stp/>
        <stp>##V3_BQLV12</stp>
        <stp>[MODL_NOW_US1.xlsx]Single Period!R180C5</stp>
        <stp>NOW US Equity</stp>
        <stp>BS_LT_OPERATING_LEASE_LIABS/1M</stp>
        <stp>FPR=2021Y</stp>
        <stp>FPT=A</stp>
        <stp>FA_ACT_EST_DATA=E</stp>
        <stp>ACT_EST_MAPPING=PRECISE</stp>
        <stp>FS=MRC</stp>
        <stp>CURRENCY=USD</stp>
        <stp>XLFILL=b</stp>
        <tr r="E180" s="2"/>
      </tp>
      <tp t="s">
        <v>#N/A Requesting Data...</v>
        <stp/>
        <stp>##V3_BQLV12</stp>
        <stp>[MODL_NOW_US1.xlsx]Single Period!R68C43</stp>
        <stp>SEG0000230986 Segment</stp>
        <stp>IS_ADJUSTED_COGS_AS_REPORTED/1M</stp>
        <stp>FPR=2021Y</stp>
        <stp>FPT=A</stp>
        <stp>FA_ACT_EST_DATA=E, EST_SOURCE=WFT</stp>
        <stp>ACT_EST_MAPPING=PRECISE</stp>
        <stp>FS=MRC</stp>
        <stp>CURRENCY=USD</stp>
        <stp>XLFILL=b</stp>
        <tr r="AQ68" s="2"/>
      </tp>
      <tp t="s">
        <v>#N/A Requesting Data...</v>
        <stp/>
        <stp>##V3_BQLV12</stp>
        <stp>[MODL_NOW_US1.xlsx]Single Period!R60C43</stp>
        <stp>SEG0000230975 Segment</stp>
        <stp>IS_ADJUSTED_COGS_AS_REPORTED/1M</stp>
        <stp>FPR=2021Y</stp>
        <stp>FPT=A</stp>
        <stp>FA_ACT_EST_DATA=E, EST_SOURCE=WFT</stp>
        <stp>ACT_EST_MAPPING=PRECISE</stp>
        <stp>FS=MRC</stp>
        <stp>CURRENCY=USD</stp>
        <stp>XLFILL=b</stp>
        <tr r="AQ60" s="2"/>
      </tp>
      <tp t="s">
        <v>#N/A Requesting Data...</v>
        <stp/>
        <stp>##V3_BQLV12</stp>
        <stp>[MODL_NOW_US1.xlsx]Single Period!R176C6</stp>
        <stp>NOW US Equity</stp>
        <stp>CONTRIBUTOR_STATS(ST_DEFERRED_REVENUE, MIN)/1M</stp>
        <stp>FPR=2021Y</stp>
        <stp>FPT=A</stp>
        <stp>FA_ACT_EST_DATA=E</stp>
        <stp>ACT_EST_MAPPING=PRECISE</stp>
        <stp>FS=MRC</stp>
        <stp>CURRENCY=USD</stp>
        <stp>XLFILL=b</stp>
        <tr r="F176" s="2"/>
      </tp>
      <tp t="s">
        <v>#N/A Requesting Data...</v>
        <stp/>
        <stp>##V3_BQLV12</stp>
        <stp>[MODL_NOW_US1.xlsx]Single Period!R176C7</stp>
        <stp>NOW US Equity</stp>
        <stp>CONTRIBUTOR_STATS(ST_DEFERRED_REVENUE, MAX)/1M</stp>
        <stp>FPR=2021Y</stp>
        <stp>FPT=A</stp>
        <stp>FA_ACT_EST_DATA=E</stp>
        <stp>ACT_EST_MAPPING=PRECISE</stp>
        <stp>FS=MRC</stp>
        <stp>CURRENCY=USD</stp>
        <stp>XLFILL=b</stp>
        <tr r="G176" s="2"/>
      </tp>
      <tp t="s">
        <v>#N/A Requesting Data...</v>
        <stp/>
        <stp>##V3_BQLV12</stp>
        <stp>[MODL_NOW_US1.xlsx]Single Period!R88C49</stp>
        <stp>NOW US Equity</stp>
        <stp>IS_ADJ_SELLING_AND_MRKTG_EXPN_AR/1M</stp>
        <stp>FPR=2021Y</stp>
        <stp>FPT=A</stp>
        <stp>FA_ACT_EST_DATA=E, EST_SOURCE=SCB</stp>
        <stp>ACT_EST_MAPPING=PRECISE</stp>
        <stp>FS=MRC</stp>
        <stp>CURRENCY=USD</stp>
        <stp>XLFILL=b</stp>
        <tr r="AW88" s="2"/>
      </tp>
      <tp t="s">
        <v>#N/A Requesting Data...</v>
        <stp/>
        <stp>##V3_BQLV12</stp>
        <stp>[MODL_NOW_US1.xlsx]Single Period!R162C13</stp>
        <stp>NOW US Equity</stp>
        <stp>BS_LONG_TERM_INVESTMENTS/1M</stp>
        <stp>FPR=2021Y</stp>
        <stp>FPT=A</stp>
        <stp>FA_ACT_EST_DATA=E, EST_SOURCE=KEY</stp>
        <stp>ACT_EST_MAPPING=PRECISE</stp>
        <stp>FS=MRC</stp>
        <stp>CURRENCY=USD</stp>
        <stp>XLFILL=b</stp>
        <tr r="M162" s="2"/>
      </tp>
      <tp t="s">
        <v>#N/A Requesting Data...</v>
        <stp/>
        <stp>##V3_BQLV12</stp>
        <stp>[MODL_NOW_US1.xlsx]Single Period!R26C49</stp>
        <stp>NOW US Equity</stp>
        <stp>IS_ADJ_SELLING_AND_MRKTG_EXPN_AR/1M</stp>
        <stp>FPR=2021Y</stp>
        <stp>FPT=A</stp>
        <stp>FA_ACT_EST_DATA=E, EST_SOURCE=SCB</stp>
        <stp>ACT_EST_MAPPING=PRECISE</stp>
        <stp>FS=MRC</stp>
        <stp>CURRENCY=USD</stp>
        <stp>XLFILL=b</stp>
        <tr r="AW26" s="2"/>
      </tp>
      <tp t="s">
        <v>#N/A Requesting Data...</v>
        <stp/>
        <stp>##V3_BQLV12</stp>
        <stp>[MODL_NOW_US1.xlsx]Single Period!R203C6</stp>
        <stp>NOW US Equity</stp>
        <stp>CONTRIBUTOR_STATS(AMORTIZATN_OF_FINNCNG_COSTS, MIN)/1M</stp>
        <stp>FPR=2021Y</stp>
        <stp>FPT=A</stp>
        <stp>FA_ACT_EST_DATA=E</stp>
        <stp>ACT_EST_MAPPING=PRECISE</stp>
        <stp>FS=MRC</stp>
        <stp>CURRENCY=USD</stp>
        <stp>XLFILL=b</stp>
        <tr r="F203" s="2"/>
      </tp>
      <tp t="s">
        <v>#N/A Requesting Data...</v>
        <stp/>
        <stp>##V3_BQLV12</stp>
        <stp>[MODL_NOW_US1.xlsx]Single Period!R203C7</stp>
        <stp>NOW US Equity</stp>
        <stp>CONTRIBUTOR_STATS(AMORTIZATN_OF_FINNCNG_COSTS, MAX)/1M</stp>
        <stp>FPR=2021Y</stp>
        <stp>FPT=A</stp>
        <stp>FA_ACT_EST_DATA=E</stp>
        <stp>ACT_EST_MAPPING=PRECISE</stp>
        <stp>FS=MRC</stp>
        <stp>CURRENCY=USD</stp>
        <stp>XLFILL=b</stp>
        <tr r="G203" s="2"/>
      </tp>
      <tp t="s">
        <v>#N/A Requesting Data...</v>
        <stp/>
        <stp>##V3_BQLV12</stp>
        <stp>[MODL_NOW_US1.xlsx]Single Period!R53C20</stp>
        <stp>NOW US Equity</stp>
        <stp>ANNUALIZED_DAYS_SALES_OUTSTDG</stp>
        <stp>FPR=2021Y</stp>
        <stp>FPT=A</stp>
        <stp>FA_ACT_EST_DATA=E, EST_SOURCE=CAN</stp>
        <stp>ACT_EST_MAPPING=PRECISE</stp>
        <stp>FS=MRC</stp>
        <stp>CURRENCY=USD</stp>
        <stp>XLFILL=b</stp>
        <tr r="T53" s="2"/>
      </tp>
      <tp t="s">
        <v>#N/A Requesting Data...</v>
        <stp/>
        <stp>##V3_BQLV12</stp>
        <stp>[MODL_NOW_US1.xlsx]Single Period!R203C8</stp>
        <stp>NOW US Equity</stp>
        <stp>CONTRIBUTOR_STATS(AMORTIZATN_OF_FINNCNG_COSTS, STD)/1M</stp>
        <stp>FPR=2021Y</stp>
        <stp>FPT=A</stp>
        <stp>FA_ACT_EST_DATA=E</stp>
        <stp>ACT_EST_MAPPING=PRECISE</stp>
        <stp>FS=MRC</stp>
        <stp>CURRENCY=USD</stp>
        <stp>XLFILL=b</stp>
        <tr r="H203" s="2"/>
      </tp>
      <tp t="s">
        <v>#N/A Requesting Data...</v>
        <stp/>
        <stp>##V3_BQLV12</stp>
        <stp>[MODL_NOW_US1.xlsx]Single Period!R53C30</stp>
        <stp>NOW US Equity</stp>
        <stp>ANNUALIZED_DAYS_SALES_OUTSTDG</stp>
        <stp>FPR=2021Y</stp>
        <stp>FPT=A</stp>
        <stp>FA_ACT_EST_DATA=E, EST_SOURCE=BAM</stp>
        <stp>ACT_EST_MAPPING=PRECISE</stp>
        <stp>FS=MRC</stp>
        <stp>CURRENCY=USD</stp>
        <stp>XLFILL=b</stp>
        <tr r="AD53" s="2"/>
      </tp>
      <tp t="s">
        <v>#N/A Requesting Data...</v>
        <stp/>
        <stp>##V3_BQLV12</stp>
        <stp>[MODL_NOW_US1.xlsx]Single Period!R141C23</stp>
        <stp>SEG0000230986 Segment</stp>
        <stp>IS_SBC_ATTRIB_TO_COGS_PRETX/1M</stp>
        <stp>FPR=2021Y</stp>
        <stp>FPT=A</stp>
        <stp>FA_ACT_EST_DATA=E, EST_SOURCE=ZXS</stp>
        <stp>ACT_EST_MAPPING=PRECISE</stp>
        <stp>FS=MRC</stp>
        <stp>CURRENCY=USD</stp>
        <stp>XLFILL=b</stp>
        <tr r="W141" s="2"/>
      </tp>
      <tp t="s">
        <v>#N/A Requesting Data...</v>
        <stp/>
        <stp>##V3_BQLV12</stp>
        <stp>[MODL_NOW_US1.xlsx]Single Period!R220C39</stp>
        <stp>NOW US Equity</stp>
        <stp>CF_PROCDS_FROM_INVSTMNTS/1M</stp>
        <stp>FPR=2021Y</stp>
        <stp>FPT=A</stp>
        <stp>FA_ACT_EST_DATA=E, EST_SOURCE=DZB</stp>
        <stp>ACT_EST_MAPPING=PRECISE</stp>
        <stp>FS=MRC</stp>
        <stp>CURRENCY=USD</stp>
        <stp>XLFILL=b</stp>
        <tr r="AM220" s="2"/>
      </tp>
      <tp t="s">
        <v>#N/A Requesting Data...</v>
        <stp/>
        <stp>##V3_BQLV12</stp>
        <stp>[MODL_NOW_US1.xlsx]Single Period!R53C33</stp>
        <stp>NOW US Equity</stp>
        <stp>ANNUALIZED_DAYS_SALES_OUTSTDG</stp>
        <stp>FPR=2021Y</stp>
        <stp>FPT=A</stp>
        <stp>FA_ACT_EST_DATA=E, EST_SOURCE=MAC</stp>
        <stp>ACT_EST_MAPPING=PRECISE</stp>
        <stp>FS=MRC</stp>
        <stp>CURRENCY=USD</stp>
        <stp>XLFILL=b</stp>
        <tr r="AG53" s="2"/>
      </tp>
      <tp t="s">
        <v>#N/A Requesting Data...</v>
        <stp/>
        <stp>##V3_BQLV12</stp>
        <stp>[MODL_NOW_US1.xlsx]Single Period!R176C8</stp>
        <stp>NOW US Equity</stp>
        <stp>CONTRIBUTOR_STATS(ST_DEFERRED_REVENUE, STD)/1M</stp>
        <stp>FPR=2021Y</stp>
        <stp>FPT=A</stp>
        <stp>FA_ACT_EST_DATA=E</stp>
        <stp>ACT_EST_MAPPING=PRECISE</stp>
        <stp>FS=MRC</stp>
        <stp>CURRENCY=USD</stp>
        <stp>XLFILL=b</stp>
        <tr r="H176" s="2"/>
      </tp>
      <tp t="s">
        <v>#N/A Requesting Data...</v>
        <stp/>
        <stp>##V3_BQLV12</stp>
        <stp>[MODL_NOW_US1.xlsx]Single Period!R231C12</stp>
        <stp>NOW US Equity</stp>
        <stp>CF_NET_CHNG_CASH/1M</stp>
        <stp>FPR=2021Y</stp>
        <stp>FPT=A</stp>
        <stp>FA_ACT_EST_DATA=E, EST_SOURCE=WBL</stp>
        <stp>ACT_EST_MAPPING=PRECISE</stp>
        <stp>FS=MRC</stp>
        <stp>CURRENCY=USD</stp>
        <stp>XLFILL=b</stp>
        <tr r="L231" s="2"/>
      </tp>
      <tp t="s">
        <v>#N/A Requesting Data...</v>
        <stp/>
        <stp>##V3_BQLV12</stp>
        <stp>[MODL_NOW_US1.xlsx]Single Period!R231C20</stp>
        <stp>NOW US Equity</stp>
        <stp>CF_NET_CHNG_CASH/1M</stp>
        <stp>FPR=2021Y</stp>
        <stp>FPT=A</stp>
        <stp>FA_ACT_EST_DATA=E, EST_SOURCE=CAN</stp>
        <stp>ACT_EST_MAPPING=PRECISE</stp>
        <stp>FS=MRC</stp>
        <stp>CURRENCY=USD</stp>
        <stp>XLFILL=b</stp>
        <tr r="T231" s="2"/>
      </tp>
      <tp t="s">
        <v>#N/A Requesting Data...</v>
        <stp/>
        <stp>##V3_BQLV12</stp>
        <stp>[MODL_NOW_US1.xlsx]Single Period!R50C26</stp>
        <stp>NOW US Equity</stp>
        <stp>NUM_CSTMR_CNTRCT_OVER_1_MILLN</stp>
        <stp>FPR=2021Y</stp>
        <stp>FPT=A</stp>
        <stp>FA_ACT_EST_DATA=E, EST_SOURCE=UBS</stp>
        <stp>ACT_EST_MAPPING=PRECISE</stp>
        <stp>FS=MRC</stp>
        <stp>CURRENCY=USD</stp>
        <stp>XLFILL=b</stp>
        <tr r="Z50" s="2"/>
      </tp>
      <tp t="s">
        <v>#N/A Requesting Data...</v>
        <stp/>
        <stp>##V3_BQLV12</stp>
        <stp>[MODL_NOW_US1.xlsx]Single Period!R95C33</stp>
        <stp>NOW US Equity</stp>
        <stp>IS_COMPARABLE_EBIT/1M</stp>
        <stp>FPR=2021Y</stp>
        <stp>FPT=A</stp>
        <stp>FA_ACT_EST_DATA=E, EST_SOURCE=MAC</stp>
        <stp>ACT_EST_MAPPING=PRECISE</stp>
        <stp>FS=MRC</stp>
        <stp>CURRENCY=USD</stp>
        <stp>XLFILL=b</stp>
        <tr r="AG95" s="2"/>
      </tp>
      <tp t="s">
        <v>#N/A Requesting Data...</v>
        <stp/>
        <stp>##V3_BQLV12</stp>
        <stp>[MODL_NOW_US1.xlsx]Single Period!R108C11</stp>
        <stp>NOW US Equity</stp>
        <stp>IS_COMP_EPS_EXCL_STOCK_COMP</stp>
        <stp>FPR=2021Y</stp>
        <stp>FPT=A</stp>
        <stp>FA_ACT_EST_DATA=E, EST_SOURCE=JPM</stp>
        <stp>ACT_EST_MAPPING=PRECISE</stp>
        <stp>FS=MRC</stp>
        <stp>CURRENCY=USD</stp>
        <stp>XLFILL=b</stp>
        <tr r="K108" s="2"/>
      </tp>
      <tp t="s">
        <v>#N/A Requesting Data...</v>
        <stp/>
        <stp>##V3_BQLV12</stp>
        <stp>[MODL_NOW_US1.xlsx]Single Period!R95C30</stp>
        <stp>NOW US Equity</stp>
        <stp>IS_COMPARABLE_EBIT/1M</stp>
        <stp>FPR=2021Y</stp>
        <stp>FPT=A</stp>
        <stp>FA_ACT_EST_DATA=E, EST_SOURCE=BAM</stp>
        <stp>ACT_EST_MAPPING=PRECISE</stp>
        <stp>FS=MRC</stp>
        <stp>CURRENCY=USD</stp>
        <stp>XLFILL=b</stp>
        <tr r="AD95" s="2"/>
      </tp>
      <tp t="s">
        <v>#N/A Requesting Data...</v>
        <stp/>
        <stp>##V3_BQLV12</stp>
        <stp>[MODL_NOW_US1.xlsx]Single Period!R95C20</stp>
        <stp>NOW US Equity</stp>
        <stp>IS_COMPARABLE_EBIT/1M</stp>
        <stp>FPR=2021Y</stp>
        <stp>FPT=A</stp>
        <stp>FA_ACT_EST_DATA=E, EST_SOURCE=CAN</stp>
        <stp>ACT_EST_MAPPING=PRECISE</stp>
        <stp>FS=MRC</stp>
        <stp>CURRENCY=USD</stp>
        <stp>XLFILL=b</stp>
        <tr r="T95" s="2"/>
      </tp>
      <tp t="s">
        <v>#N/A Requesting Data...</v>
        <stp/>
        <stp>##V3_BQLV12</stp>
        <stp>[MODL_NOW_US1.xlsx]Single Period!R52C9</stp>
        <stp>NOW US Equity</stp>
        <stp>CONTRIBUTOR_STATS(ACCT_RCV_DAYS, MEDIAN)</stp>
        <stp>FPR=2021Y</stp>
        <stp>FPT=A</stp>
        <stp>FA_ACT_EST_DATA=E</stp>
        <stp>ACT_EST_MAPPING=PRECISE</stp>
        <stp>FS=MRC</stp>
        <stp>CURRENCY=USD</stp>
        <stp>XLFILL=b</stp>
        <tr r="I52" s="2"/>
      </tp>
      <tp t="s">
        <v>#N/A Requesting Data...</v>
        <stp/>
        <stp>##V3_BQLV12</stp>
        <stp>[MODL_NOW_US1.xlsx]Single Period!R90C23</stp>
        <stp>NOW US Equity</stp>
        <stp>IS_ADJ_R_AND_D_AS_REPORTED/1M</stp>
        <stp>FPR=2021Y</stp>
        <stp>FPT=A</stp>
        <stp>FA_ACT_EST_DATA=E, EST_SOURCE=ZXS</stp>
        <stp>ACT_EST_MAPPING=PRECISE</stp>
        <stp>FS=MRC</stp>
        <stp>CURRENCY=USD</stp>
        <stp>XLFILL=b</stp>
        <tr r="W90" s="2"/>
      </tp>
      <tp t="s">
        <v>#N/A Requesting Data...</v>
        <stp/>
        <stp>##V3_BQLV12</stp>
        <stp>[MODL_NOW_US1.xlsx]Single Period!R108C47</stp>
        <stp>NOW US Equity</stp>
        <stp>IS_COMP_EPS_EXCL_STOCK_COMP</stp>
        <stp>FPR=2021Y</stp>
        <stp>FPT=A</stp>
        <stp>FA_ACT_EST_DATA=E, EST_SOURCE=SUM</stp>
        <stp>ACT_EST_MAPPING=PRECISE</stp>
        <stp>FS=MRC</stp>
        <stp>CURRENCY=USD</stp>
        <stp>XLFILL=b</stp>
        <tr r="AU108" s="2"/>
      </tp>
      <tp t="s">
        <v>#N/A Requesting Data...</v>
        <stp/>
        <stp>##V3_BQLV12</stp>
        <stp>[MODL_NOW_US1.xlsx]Single Period!R11C16</stp>
        <stp>NOW US Equity</stp>
        <stp>NUM_CSTMR_CNTRCT_OVER_1_MILLN</stp>
        <stp>FPR=2021Y</stp>
        <stp>FPT=A</stp>
        <stp>FA_ACT_EST_DATA=E, EST_SOURCE=BCA</stp>
        <stp>ACT_EST_MAPPING=PRECISE</stp>
        <stp>FS=MRC</stp>
        <stp>CURRENCY=USD</stp>
        <stp>XLFILL=b</stp>
        <tr r="P11" s="2"/>
      </tp>
      <tp t="s">
        <v>#N/A Requesting Data...</v>
        <stp/>
        <stp>##V3_BQLV12</stp>
        <stp>[MODL_NOW_US1.xlsx]Single Period!R217C48</stp>
        <stp>NOW US Equity</stp>
        <stp>CAP_EXPEND_TO_SALES</stp>
        <stp>FPR=2021Y</stp>
        <stp>FPT=A</stp>
        <stp>FA_ACT_EST_DATA=E, EST_SOURCE=CRC</stp>
        <stp>ACT_EST_MAPPING=PRECISE</stp>
        <stp>FS=MRC</stp>
        <stp>CURRENCY=USD</stp>
        <stp>XLFILL=b</stp>
        <tr r="AV217" s="2"/>
      </tp>
      <tp t="s">
        <v>#N/A Requesting Data...</v>
        <stp/>
        <stp>##V3_BQLV12</stp>
        <stp>[MODL_NOW_US1.xlsx]Single Period!R50C32</stp>
        <stp>NOW US Equity</stp>
        <stp>NUM_CSTMR_CNTRCT_OVER_1_MILLN</stp>
        <stp>FPR=2021Y</stp>
        <stp>FPT=A</stp>
        <stp>FA_ACT_EST_DATA=E, EST_SOURCE=FBC</stp>
        <stp>ACT_EST_MAPPING=PRECISE</stp>
        <stp>FS=MRC</stp>
        <stp>CURRENCY=USD</stp>
        <stp>XLFILL=b</stp>
        <tr r="AF50" s="2"/>
      </tp>
      <tp t="s">
        <v>#N/A Requesting Data...</v>
        <stp/>
        <stp>##V3_BQLV12</stp>
        <stp>[MODL_NOW_US1.xlsx]Single Period!R50C27</stp>
        <stp>NOW US Equity</stp>
        <stp>NUM_CSTMR_CNTRCT_OVER_1_MILLN</stp>
        <stp>FPR=2021Y</stp>
        <stp>FPT=A</stp>
        <stp>FA_ACT_EST_DATA=E, EST_SOURCE=RBC</stp>
        <stp>ACT_EST_MAPPING=PRECISE</stp>
        <stp>FS=MRC</stp>
        <stp>CURRENCY=USD</stp>
        <stp>XLFILL=b</stp>
        <tr r="AA50" s="2"/>
      </tp>
      <tp t="s">
        <v>#N/A Requesting Data...</v>
        <stp/>
        <stp>##V3_BQLV12</stp>
        <stp>[MODL_NOW_US1.xlsx]Single Period!R11C49</stp>
        <stp>NOW US Equity</stp>
        <stp>NUM_CSTMR_CNTRCT_OVER_1_MILLN</stp>
        <stp>FPR=2021Y</stp>
        <stp>FPT=A</stp>
        <stp>FA_ACT_EST_DATA=E, EST_SOURCE=SCB</stp>
        <stp>ACT_EST_MAPPING=PRECISE</stp>
        <stp>FS=MRC</stp>
        <stp>CURRENCY=USD</stp>
        <stp>XLFILL=b</stp>
        <tr r="AW11" s="2"/>
      </tp>
      <tp t="s">
        <v>#N/A Requesting Data...</v>
        <stp/>
        <stp>##V3_BQLV12</stp>
        <stp>[MODL_NOW_US1.xlsx]Single Period!R50C25</stp>
        <stp>NOW US Equity</stp>
        <stp>NUM_CSTMR_CNTRCT_OVER_1_MILLN</stp>
        <stp>FPR=2021Y</stp>
        <stp>FPT=A</stp>
        <stp>FA_ACT_EST_DATA=E, EST_SOURCE=DBG</stp>
        <stp>ACT_EST_MAPPING=PRECISE</stp>
        <stp>FS=MRC</stp>
        <stp>CURRENCY=USD</stp>
        <stp>XLFILL=b</stp>
        <tr r="Y50" s="2"/>
      </tp>
      <tp t="s">
        <v>#N/A Requesting Data...</v>
        <stp/>
        <stp>##V3_BQLV12</stp>
        <stp>[MODL_NOW_US1.xlsx]Single Period!R108C15</stp>
        <stp>NOW US Equity</stp>
        <stp>IS_COMP_EPS_EXCL_STOCK_COMP</stp>
        <stp>FPR=2021Y</stp>
        <stp>FPT=A</stp>
        <stp>FA_ACT_EST_DATA=E, EST_SOURCE=OPY</stp>
        <stp>ACT_EST_MAPPING=PRECISE</stp>
        <stp>FS=MRC</stp>
        <stp>CURRENCY=USD</stp>
        <stp>XLFILL=b</stp>
        <tr r="O108" s="2"/>
      </tp>
      <tp t="s">
        <v>#N/A Requesting Data...</v>
        <stp/>
        <stp>##V3_BQLV12</stp>
        <stp>[MODL_NOW_US1.xlsx]Single Period!R217C44</stp>
        <stp>NOW US Equity</stp>
        <stp>CAP_EXPEND_TO_SALES</stp>
        <stp>FPR=2021Y</stp>
        <stp>FPT=A</stp>
        <stp>FA_ACT_EST_DATA=E, EST_SOURCE=ARE</stp>
        <stp>ACT_EST_MAPPING=PRECISE</stp>
        <stp>FS=MRC</stp>
        <stp>CURRENCY=USD</stp>
        <stp>XLFILL=b</stp>
        <tr r="AR217" s="2"/>
      </tp>
      <tp t="s">
        <v>#N/A Requesting Data...</v>
        <stp/>
        <stp>##V3_BQLV12</stp>
        <stp>[MODL_NOW_US1.xlsx]Single Period!R217C41</stp>
        <stp>NOW US Equity</stp>
        <stp>CAP_EXPEND_TO_SALES</stp>
        <stp>FPR=2021Y</stp>
        <stp>FPT=A</stp>
        <stp>FA_ACT_EST_DATA=E, EST_SOURCE=ARG</stp>
        <stp>ACT_EST_MAPPING=PRECISE</stp>
        <stp>FS=MRC</stp>
        <stp>CURRENCY=USD</stp>
        <stp>XLFILL=b</stp>
        <tr r="AO217" s="2"/>
      </tp>
      <tp t="s">
        <v>#N/A Requesting Data...</v>
        <stp/>
        <stp>##V3_BQLV12</stp>
        <stp>[MODL_NOW_US1.xlsx]Single Period!R50C12</stp>
        <stp>NOW US Equity</stp>
        <stp>NUM_CSTMR_CNTRCT_OVER_1_MILLN</stp>
        <stp>FPR=2021Y</stp>
        <stp>FPT=A</stp>
        <stp>FA_ACT_EST_DATA=E, EST_SOURCE=WBL</stp>
        <stp>ACT_EST_MAPPING=PRECISE</stp>
        <stp>FS=MRC</stp>
        <stp>CURRENCY=USD</stp>
        <stp>XLFILL=b</stp>
        <tr r="L50" s="2"/>
      </tp>
      <tp t="s">
        <v>#N/A Requesting Data...</v>
        <stp/>
        <stp>##V3_BQLV12</stp>
        <stp>[MODL_NOW_US1.xlsx]Single Period!R155C9</stp>
        <stp>NOW US Equity</stp>
        <stp>CONTRIBUTOR_STATS(BS_CASH_CASH_EQUIVALENTS_AND_STI, MEDIAN)/1M</stp>
        <stp>FPR=2021Y</stp>
        <stp>FPT=A</stp>
        <stp>FA_ACT_EST_DATA=E</stp>
        <stp>ACT_EST_MAPPING=PRECISE</stp>
        <stp>FS=MRC</stp>
        <stp>CURRENCY=USD</stp>
        <stp>XLFILL=b</stp>
        <tr r="I155" s="2"/>
      </tp>
      <tp t="s">
        <v>#N/A Requesting Data...</v>
        <stp/>
        <stp>##V3_BQLV12</stp>
        <stp>[MODL_NOW_US1.xlsx]Single Period!R225C6</stp>
        <stp>NOW US Equity</stp>
        <stp>CONTRIBUTOR_STATS(CF_INCR_CAP_STOCK, MIN)/1M</stp>
        <stp>FPR=2021Y</stp>
        <stp>FPT=A</stp>
        <stp>FA_ACT_EST_DATA=E</stp>
        <stp>ACT_EST_MAPPING=PRECISE</stp>
        <stp>FS=MRC</stp>
        <stp>CURRENCY=USD</stp>
        <stp>XLFILL=b</stp>
        <tr r="F225" s="2"/>
      </tp>
      <tp t="s">
        <v>#N/A Requesting Data...</v>
        <stp/>
        <stp>##V3_BQLV12</stp>
        <stp>[MODL_NOW_US1.xlsx]Single Period!R6C18</stp>
        <stp>NOW US Equity</stp>
        <stp>IS_COMP_EPS_EXCL_STOCK_COMP</stp>
        <stp>FPR=2021Y</stp>
        <stp>FPT=A</stp>
        <stp>FA_ACT_EST_DATA=E, EST_SOURCE=SNR</stp>
        <stp>ACT_EST_MAPPING=PRECISE</stp>
        <stp>FS=MRC</stp>
        <stp>CURRENCY=USD</stp>
        <stp>XLFILL=b</stp>
        <tr r="R6" s="2"/>
      </tp>
      <tp t="s">
        <v>#N/A Requesting Data...</v>
        <stp/>
        <stp>##V3_BQLV12</stp>
        <stp>[MODL_NOW_US1.xlsx]Single Period!R6C21</stp>
        <stp>NOW US Equity</stp>
        <stp>IS_COMP_EPS_EXCL_STOCK_COMP</stp>
        <stp>FPR=2021Y</stp>
        <stp>FPT=A</stp>
        <stp>FA_ACT_EST_DATA=E, EST_SOURCE=JMP</stp>
        <stp>ACT_EST_MAPPING=PRECISE</stp>
        <stp>FS=MRC</stp>
        <stp>CURRENCY=USD</stp>
        <stp>XLFILL=b</stp>
        <tr r="U6" s="2"/>
      </tp>
      <tp t="s">
        <v>#N/A Requesting Data...</v>
        <stp/>
        <stp>##V3_BQLV12</stp>
        <stp>[MODL_NOW_US1.xlsx]Single Period!R59C33</stp>
        <stp>SEG0000230975 Segment</stp>
        <stp>IS_PERCENTAGE_OF_REVENUE</stp>
        <stp>FPR=2021Y</stp>
        <stp>FPT=A</stp>
        <stp>FA_ACT_EST_DATA=E, EST_SOURCE=MAC</stp>
        <stp>ACT_EST_MAPPING=PRECISE</stp>
        <stp>FS=MRC</stp>
        <stp>CURRENCY=USD</stp>
        <stp>XLFILL=b</stp>
        <tr r="AG59" s="2"/>
      </tp>
      <tp t="s">
        <v>#N/A Requesting Data...</v>
        <stp/>
        <stp>##V3_BQLV12</stp>
        <stp>[MODL_NOW_US1.xlsx]Single Period!R67C30</stp>
        <stp>SEG0000230986 Segment</stp>
        <stp>IS_PERCENTAGE_OF_REVENUE</stp>
        <stp>FPR=2021Y</stp>
        <stp>FPT=A</stp>
        <stp>FA_ACT_EST_DATA=E, EST_SOURCE=BAM</stp>
        <stp>ACT_EST_MAPPING=PRECISE</stp>
        <stp>FS=MRC</stp>
        <stp>CURRENCY=USD</stp>
        <stp>XLFILL=b</stp>
        <tr r="AD67" s="2"/>
      </tp>
      <tp t="s">
        <v>#N/A Requesting Data...</v>
        <stp/>
        <stp>##V3_BQLV12</stp>
        <stp>[MODL_NOW_US1.xlsx]Single Period!R68C32</stp>
        <stp>SEG0000230986 Segment</stp>
        <stp>IS_ADJUSTED_COGS_AS_REPORTED/1M</stp>
        <stp>FPR=2021Y</stp>
        <stp>FPT=A</stp>
        <stp>FA_ACT_EST_DATA=E, EST_SOURCE=FBC</stp>
        <stp>ACT_EST_MAPPING=PRECISE</stp>
        <stp>FS=MRC</stp>
        <stp>CURRENCY=USD</stp>
        <stp>XLFILL=b</stp>
        <tr r="AF68" s="2"/>
      </tp>
      <tp t="s">
        <v>#N/A Requesting Data...</v>
        <stp/>
        <stp>##V3_BQLV12</stp>
        <stp>[MODL_NOW_US1.xlsx]Single Period!R60C32</stp>
        <stp>SEG0000230975 Segment</stp>
        <stp>IS_ADJUSTED_COGS_AS_REPORTED/1M</stp>
        <stp>FPR=2021Y</stp>
        <stp>FPT=A</stp>
        <stp>FA_ACT_EST_DATA=E, EST_SOURCE=FBC</stp>
        <stp>ACT_EST_MAPPING=PRECISE</stp>
        <stp>FS=MRC</stp>
        <stp>CURRENCY=USD</stp>
        <stp>XLFILL=b</stp>
        <tr r="AF60" s="2"/>
      </tp>
      <tp t="s">
        <v>#N/A Requesting Data...</v>
        <stp/>
        <stp>##V3_BQLV12</stp>
        <stp>[MODL_NOW_US1.xlsx]Single Period!R67C20</stp>
        <stp>SEG0000230986 Segment</stp>
        <stp>IS_PERCENTAGE_OF_REVENUE</stp>
        <stp>FPR=2021Y</stp>
        <stp>FPT=A</stp>
        <stp>FA_ACT_EST_DATA=E, EST_SOURCE=CAN</stp>
        <stp>ACT_EST_MAPPING=PRECISE</stp>
        <stp>FS=MRC</stp>
        <stp>CURRENCY=USD</stp>
        <stp>XLFILL=b</stp>
        <tr r="T67" s="2"/>
      </tp>
      <tp t="s">
        <v>#N/A Requesting Data...</v>
        <stp/>
        <stp>##V3_BQLV12</stp>
        <stp>[MODL_NOW_US1.xlsx]Single Period!R139C9</stp>
        <stp>NOW US Equity</stp>
        <stp>CONTRIBUTOR_STATS(IS_SBC_ATTRIB_TO_COGS_PRETX, MEDIAN)/1M</stp>
        <stp>FPR=2021Y</stp>
        <stp>FPT=A</stp>
        <stp>FA_ACT_EST_DATA=E</stp>
        <stp>ACT_EST_MAPPING=PRECISE</stp>
        <stp>FS=MRC</stp>
        <stp>CURRENCY=USD</stp>
        <stp>XLFILL=b</stp>
        <tr r="I139" s="2"/>
      </tp>
      <tp t="s">
        <v>#N/A Requesting Data...</v>
        <stp/>
        <stp>##V3_BQLV12</stp>
        <stp>[MODL_NOW_US1.xlsx]Single Period!R44C32</stp>
        <stp>SEG0000230986 Segment</stp>
        <stp>IS_FOREIGN_CURRENCY_TURNOVER/1M</stp>
        <stp>FPR=2021Y</stp>
        <stp>FPT=A</stp>
        <stp>FA_ACT_EST_DATA=E, EST_SOURCE=FBC</stp>
        <stp>ACT_EST_MAPPING=PRECISE</stp>
        <stp>FS=MRC</stp>
        <stp>CURRENCY=USD</stp>
        <stp>XLFILL=b</stp>
        <tr r="AF44" s="2"/>
      </tp>
      <tp t="s">
        <v>#N/A Requesting Data...</v>
        <stp/>
        <stp>##V3_BQLV12</stp>
        <stp>[MODL_NOW_US1.xlsx]Single Period!R161C5</stp>
        <stp>NOW US Equity</stp>
        <stp>BS_TOTAL_NON_CURRENT_ASSETS/1M</stp>
        <stp>FPR=2021Y</stp>
        <stp>FPT=A</stp>
        <stp>FA_ACT_EST_DATA=E</stp>
        <stp>ACT_EST_MAPPING=PRECISE</stp>
        <stp>FS=MRC</stp>
        <stp>CURRENCY=USD</stp>
        <stp>XLFILL=b</stp>
        <tr r="E161" s="2"/>
      </tp>
      <tp t="s">
        <v>#N/A Requesting Data...</v>
        <stp/>
        <stp>##V3_BQLV12</stp>
        <stp>[MODL_NOW_US1.xlsx]Single Period!R239C6</stp>
        <stp>NOW US Equity</stp>
        <stp>CONTRIBUTOR_STATS(CFO_TO_SALES, MIN)</stp>
        <stp>FPR=2021Y</stp>
        <stp>FPT=A</stp>
        <stp>FA_ACT_EST_DATA=E</stp>
        <stp>ACT_EST_MAPPING=PRECISE</stp>
        <stp>FS=MRC</stp>
        <stp>CURRENCY=USD</stp>
        <stp>XLFILL=b</stp>
        <tr r="F239" s="2"/>
      </tp>
      <tp t="s">
        <v>#N/A Requesting Data...</v>
        <stp/>
        <stp>##V3_BQLV12</stp>
        <stp>[MODL_NOW_US1.xlsx]Single Period!R176C5</stp>
        <stp>NOW US Equity</stp>
        <stp>ST_DEFERRED_REVENUE/1M</stp>
        <stp>FPR=2021Y</stp>
        <stp>FPT=A</stp>
        <stp>FA_ACT_EST_DATA=E</stp>
        <stp>ACT_EST_MAPPING=PRECISE</stp>
        <stp>FS=MRC</stp>
        <stp>CURRENCY=USD</stp>
        <stp>XLFILL=b</stp>
        <tr r="E176" s="2"/>
      </tp>
      <tp t="s">
        <v>#N/A Requesting Data...</v>
        <stp/>
        <stp>##V3_BQLV12</stp>
        <stp>[MODL_NOW_US1.xlsx]Single Period!R220C23</stp>
        <stp>NOW US Equity</stp>
        <stp>CF_PROCDS_FROM_INVSTMNTS/1M</stp>
        <stp>FPR=2021Y</stp>
        <stp>FPT=A</stp>
        <stp>FA_ACT_EST_DATA=E, EST_SOURCE=ZXS</stp>
        <stp>ACT_EST_MAPPING=PRECISE</stp>
        <stp>FS=MRC</stp>
        <stp>CURRENCY=USD</stp>
        <stp>XLFILL=b</stp>
        <tr r="W220" s="2"/>
      </tp>
      <tp t="s">
        <v>#N/A Requesting Data...</v>
        <stp/>
        <stp>##V3_BQLV12</stp>
        <stp>[MODL_NOW_US1.xlsx]Single Period!R231C26</stp>
        <stp>NOW US Equity</stp>
        <stp>CF_NET_CHNG_CASH/1M</stp>
        <stp>FPR=2021Y</stp>
        <stp>FPT=A</stp>
        <stp>FA_ACT_EST_DATA=E, EST_SOURCE=UBS</stp>
        <stp>ACT_EST_MAPPING=PRECISE</stp>
        <stp>FS=MRC</stp>
        <stp>CURRENCY=USD</stp>
        <stp>XLFILL=b</stp>
        <tr r="Z231" s="2"/>
      </tp>
      <tp t="s">
        <v>#N/A Requesting Data...</v>
        <stp/>
        <stp>##V3_BQLV12</stp>
        <stp>[MODL_NOW_US1.xlsx]Single Period!R89C10</stp>
        <stp>NOW US Equity</stp>
        <stp>IS_REV_INCLUDING_INTERSEG_REV/1M</stp>
        <stp>FPR=2021Y</stp>
        <stp>FPT=A</stp>
        <stp>FA_ACT_EST_DATA=E, EST_SOURCE=CMPY</stp>
        <stp>ACT_EST_MAPPING=PRECISE</stp>
        <stp>FS=MRC</stp>
        <stp>CURRENCY=USD</stp>
        <stp>XLFILL=b</stp>
        <tr r="J89" s="2"/>
      </tp>
      <tp t="s">
        <v>#N/A Requesting Data...</v>
        <stp/>
        <stp>##V3_BQLV12</stp>
        <stp>[MODL_NOW_US1.xlsx]Single Period!R52C22</stp>
        <stp>NOW US Equity</stp>
        <stp>ACCT_RCV_DAYS</stp>
        <stp>FPR=2021Y</stp>
        <stp>FPT=A</stp>
        <stp>FA_ACT_EST_DATA=E, EST_SOURCE=NDH</stp>
        <stp>ACT_EST_MAPPING=PRECISE</stp>
        <stp>FS=MRC</stp>
        <stp>CURRENCY=USD</stp>
        <stp>XLFILL=b</stp>
        <tr r="V52" s="2"/>
      </tp>
      <tp t="s">
        <v>#N/A Requesting Data...</v>
        <stp/>
        <stp>##V3_BQLV12</stp>
        <stp>[MODL_NOW_US1.xlsx]Single Period!R53C26</stp>
        <stp>NOW US Equity</stp>
        <stp>ANNUALIZED_DAYS_SALES_OUTSTDG</stp>
        <stp>FPR=2021Y</stp>
        <stp>FPT=A</stp>
        <stp>FA_ACT_EST_DATA=E, EST_SOURCE=UBS</stp>
        <stp>ACT_EST_MAPPING=PRECISE</stp>
        <stp>FS=MRC</stp>
        <stp>CURRENCY=USD</stp>
        <stp>XLFILL=b</stp>
        <tr r="Z53" s="2"/>
      </tp>
      <tp t="s">
        <v>#N/A Requesting Data...</v>
        <stp/>
        <stp>##V3_BQLV12</stp>
        <stp>[MODL_NOW_US1.xlsx]Single Period!R139C7</stp>
        <stp>NOW US Equity</stp>
        <stp>CONTRIBUTOR_STATS(IS_SBC_ATTRIB_TO_COGS_PRETX, MAX)/1M</stp>
        <stp>FPR=2021Y</stp>
        <stp>FPT=A</stp>
        <stp>FA_ACT_EST_DATA=E</stp>
        <stp>ACT_EST_MAPPING=PRECISE</stp>
        <stp>FS=MRC</stp>
        <stp>CURRENCY=USD</stp>
        <stp>XLFILL=b</stp>
        <tr r="G139" s="2"/>
      </tp>
      <tp t="s">
        <v>#N/A Requesting Data...</v>
        <stp/>
        <stp>##V3_BQLV12</stp>
        <stp>[MODL_NOW_US1.xlsx]Single Period!R139C6</stp>
        <stp>NOW US Equity</stp>
        <stp>CONTRIBUTOR_STATS(IS_SBC_ATTRIB_TO_COGS_PRETX, MIN)/1M</stp>
        <stp>FPR=2021Y</stp>
        <stp>FPT=A</stp>
        <stp>FA_ACT_EST_DATA=E</stp>
        <stp>ACT_EST_MAPPING=PRECISE</stp>
        <stp>FS=MRC</stp>
        <stp>CURRENCY=USD</stp>
        <stp>XLFILL=b</stp>
        <tr r="F139" s="2"/>
      </tp>
      <tp t="s">
        <v>#N/A Requesting Data...</v>
        <stp/>
        <stp>##V3_BQLV12</stp>
        <stp>[MODL_NOW_US1.xlsx]Single Period!R173C7</stp>
        <stp>NOW US Equity</stp>
        <stp>CONTRIBUTOR_STATS(BS_CUR_LIAB, MAX)/1M</stp>
        <stp>FPR=2021Y</stp>
        <stp>FPT=A</stp>
        <stp>FA_ACT_EST_DATA=E</stp>
        <stp>ACT_EST_MAPPING=PRECISE</stp>
        <stp>FS=MRC</stp>
        <stp>CURRENCY=USD</stp>
        <stp>XLFILL=b</stp>
        <tr r="G173" s="2"/>
      </tp>
      <tp t="s">
        <v>#N/A Requesting Data...</v>
        <stp/>
        <stp>##V3_BQLV12</stp>
        <stp>[MODL_NOW_US1.xlsx]Single Period!R173C6</stp>
        <stp>NOW US Equity</stp>
        <stp>CONTRIBUTOR_STATS(BS_CUR_LIAB, MIN)/1M</stp>
        <stp>FPR=2021Y</stp>
        <stp>FPT=A</stp>
        <stp>FA_ACT_EST_DATA=E</stp>
        <stp>ACT_EST_MAPPING=PRECISE</stp>
        <stp>FS=MRC</stp>
        <stp>CURRENCY=USD</stp>
        <stp>XLFILL=b</stp>
        <tr r="F173" s="2"/>
      </tp>
      <tp t="s">
        <v>#N/A Requesting Data...</v>
        <stp/>
        <stp>##V3_BQLV12</stp>
        <stp>[MODL_NOW_US1.xlsx]Single Period!R173C8</stp>
        <stp>NOW US Equity</stp>
        <stp>CONTRIBUTOR_STATS(BS_CUR_LIAB, STD)/1M</stp>
        <stp>FPR=2021Y</stp>
        <stp>FPT=A</stp>
        <stp>FA_ACT_EST_DATA=E</stp>
        <stp>ACT_EST_MAPPING=PRECISE</stp>
        <stp>FS=MRC</stp>
        <stp>CURRENCY=USD</stp>
        <stp>XLFILL=b</stp>
        <tr r="H173" s="2"/>
      </tp>
      <tp t="s">
        <v>#N/A Requesting Data...</v>
        <stp/>
        <stp>##V3_BQLV12</stp>
        <stp>[MODL_NOW_US1.xlsx]Single Period!R139C8</stp>
        <stp>NOW US Equity</stp>
        <stp>CONTRIBUTOR_STATS(IS_SBC_ATTRIB_TO_COGS_PRETX, STD)/1M</stp>
        <stp>FPR=2021Y</stp>
        <stp>FPT=A</stp>
        <stp>FA_ACT_EST_DATA=E</stp>
        <stp>ACT_EST_MAPPING=PRECISE</stp>
        <stp>FS=MRC</stp>
        <stp>CURRENCY=USD</stp>
        <stp>XLFILL=b</stp>
        <tr r="H139" s="2"/>
      </tp>
      <tp t="s">
        <v>#N/A Requesting Data...</v>
        <stp/>
        <stp>##V3_BQLV12</stp>
        <stp>[MODL_NOW_US1.xlsx]Single Period!R53C12</stp>
        <stp>NOW US Equity</stp>
        <stp>ANNUALIZED_DAYS_SALES_OUTSTDG</stp>
        <stp>FPR=2021Y</stp>
        <stp>FPT=A</stp>
        <stp>FA_ACT_EST_DATA=E, EST_SOURCE=WBL</stp>
        <stp>ACT_EST_MAPPING=PRECISE</stp>
        <stp>FS=MRC</stp>
        <stp>CURRENCY=USD</stp>
        <stp>XLFILL=b</stp>
        <tr r="L53" s="2"/>
      </tp>
      <tp t="s">
        <v>#N/A Requesting Data...</v>
        <stp/>
        <stp>##V3_BQLV12</stp>
        <stp>[MODL_NOW_US1.xlsx]Single Period!R231C25</stp>
        <stp>NOW US Equity</stp>
        <stp>CF_NET_CHNG_CASH/1M</stp>
        <stp>FPR=2021Y</stp>
        <stp>FPT=A</stp>
        <stp>FA_ACT_EST_DATA=E, EST_SOURCE=DBG</stp>
        <stp>ACT_EST_MAPPING=PRECISE</stp>
        <stp>FS=MRC</stp>
        <stp>CURRENCY=USD</stp>
        <stp>XLFILL=b</stp>
        <tr r="Y231" s="2"/>
      </tp>
      <tp t="s">
        <v>#N/A Requesting Data...</v>
        <stp/>
        <stp>##V3_BQLV12</stp>
        <stp>[MODL_NOW_US1.xlsx]Single Period!R140C23</stp>
        <stp>SEG0000230975 Segment</stp>
        <stp>IS_SBC_ATTRIB_TO_COGS_PRETX/1M</stp>
        <stp>FPR=2021Y</stp>
        <stp>FPT=A</stp>
        <stp>FA_ACT_EST_DATA=E, EST_SOURCE=ZXS</stp>
        <stp>ACT_EST_MAPPING=PRECISE</stp>
        <stp>FS=MRC</stp>
        <stp>CURRENCY=USD</stp>
        <stp>XLFILL=b</stp>
        <tr r="W140" s="2"/>
      </tp>
      <tp t="s">
        <v>#N/A Requesting Data...</v>
        <stp/>
        <stp>##V3_BQLV12</stp>
        <stp>[MODL_NOW_US1.xlsx]Single Period!R88C13</stp>
        <stp>NOW US Equity</stp>
        <stp>IS_ADJ_SELLING_AND_MRKTG_EXPN_AR/1M</stp>
        <stp>FPR=2021Y</stp>
        <stp>FPT=A</stp>
        <stp>FA_ACT_EST_DATA=E, EST_SOURCE=KEY</stp>
        <stp>ACT_EST_MAPPING=PRECISE</stp>
        <stp>FS=MRC</stp>
        <stp>CURRENCY=USD</stp>
        <stp>XLFILL=b</stp>
        <tr r="M88" s="2"/>
      </tp>
      <tp t="s">
        <v>#N/A Requesting Data...</v>
        <stp/>
        <stp>##V3_BQLV12</stp>
        <stp>[MODL_NOW_US1.xlsx]Single Period!R162C49</stp>
        <stp>NOW US Equity</stp>
        <stp>BS_LONG_TERM_INVESTMENTS/1M</stp>
        <stp>FPR=2021Y</stp>
        <stp>FPT=A</stp>
        <stp>FA_ACT_EST_DATA=E, EST_SOURCE=SCB</stp>
        <stp>ACT_EST_MAPPING=PRECISE</stp>
        <stp>FS=MRC</stp>
        <stp>CURRENCY=USD</stp>
        <stp>XLFILL=b</stp>
        <tr r="AW162" s="2"/>
      </tp>
      <tp t="s">
        <v>#N/A Requesting Data...</v>
        <stp/>
        <stp>##V3_BQLV12</stp>
        <stp>[MODL_NOW_US1.xlsx]Single Period!R231C27</stp>
        <stp>NOW US Equity</stp>
        <stp>CF_NET_CHNG_CASH/1M</stp>
        <stp>FPR=2021Y</stp>
        <stp>FPT=A</stp>
        <stp>FA_ACT_EST_DATA=E, EST_SOURCE=RBC</stp>
        <stp>ACT_EST_MAPPING=PRECISE</stp>
        <stp>FS=MRC</stp>
        <stp>CURRENCY=USD</stp>
        <stp>XLFILL=b</stp>
        <tr r="AA231" s="2"/>
      </tp>
      <tp t="s">
        <v>#N/A Requesting Data...</v>
        <stp/>
        <stp>##V3_BQLV12</stp>
        <stp>[MODL_NOW_US1.xlsx]Single Period!R53C25</stp>
        <stp>NOW US Equity</stp>
        <stp>ANNUALIZED_DAYS_SALES_OUTSTDG</stp>
        <stp>FPR=2021Y</stp>
        <stp>FPT=A</stp>
        <stp>FA_ACT_EST_DATA=E, EST_SOURCE=DBG</stp>
        <stp>ACT_EST_MAPPING=PRECISE</stp>
        <stp>FS=MRC</stp>
        <stp>CURRENCY=USD</stp>
        <stp>XLFILL=b</stp>
        <tr r="Y53" s="2"/>
      </tp>
      <tp t="s">
        <v>#N/A Requesting Data...</v>
        <stp/>
        <stp>##V3_BQLV12</stp>
        <stp>[MODL_NOW_US1.xlsx]Single Period!R53C32</stp>
        <stp>NOW US Equity</stp>
        <stp>ANNUALIZED_DAYS_SALES_OUTSTDG</stp>
        <stp>FPR=2021Y</stp>
        <stp>FPT=A</stp>
        <stp>FA_ACT_EST_DATA=E, EST_SOURCE=FBC</stp>
        <stp>ACT_EST_MAPPING=PRECISE</stp>
        <stp>FS=MRC</stp>
        <stp>CURRENCY=USD</stp>
        <stp>XLFILL=b</stp>
        <tr r="AF53" s="2"/>
      </tp>
      <tp t="s">
        <v>#N/A Requesting Data...</v>
        <stp/>
        <stp>##V3_BQLV12</stp>
        <stp>[MODL_NOW_US1.xlsx]Single Period!R53C27</stp>
        <stp>NOW US Equity</stp>
        <stp>ANNUALIZED_DAYS_SALES_OUTSTDG</stp>
        <stp>FPR=2021Y</stp>
        <stp>FPT=A</stp>
        <stp>FA_ACT_EST_DATA=E, EST_SOURCE=RBC</stp>
        <stp>ACT_EST_MAPPING=PRECISE</stp>
        <stp>FS=MRC</stp>
        <stp>CURRENCY=USD</stp>
        <stp>XLFILL=b</stp>
        <tr r="AA53" s="2"/>
      </tp>
      <tp t="s">
        <v>#N/A Requesting Data...</v>
        <stp/>
        <stp>##V3_BQLV12</stp>
        <stp>[MODL_NOW_US1.xlsx]Single Period!R26C13</stp>
        <stp>NOW US Equity</stp>
        <stp>IS_ADJ_SELLING_AND_MRKTG_EXPN_AR/1M</stp>
        <stp>FPR=2021Y</stp>
        <stp>FPT=A</stp>
        <stp>FA_ACT_EST_DATA=E, EST_SOURCE=KEY</stp>
        <stp>ACT_EST_MAPPING=PRECISE</stp>
        <stp>FS=MRC</stp>
        <stp>CURRENCY=USD</stp>
        <stp>XLFILL=b</stp>
        <tr r="M26" s="2"/>
      </tp>
      <tp t="s">
        <v>#N/A Requesting Data...</v>
        <stp/>
        <stp>##V3_BQLV12</stp>
        <stp>[MODL_NOW_US1.xlsx]Single Period!R95C25</stp>
        <stp>NOW US Equity</stp>
        <stp>IS_COMPARABLE_EBIT/1M</stp>
        <stp>FPR=2021Y</stp>
        <stp>FPT=A</stp>
        <stp>FA_ACT_EST_DATA=E, EST_SOURCE=DBG</stp>
        <stp>ACT_EST_MAPPING=PRECISE</stp>
        <stp>FS=MRC</stp>
        <stp>CURRENCY=USD</stp>
        <stp>XLFILL=b</stp>
        <tr r="Y95" s="2"/>
      </tp>
      <tp t="s">
        <v>#N/A Requesting Data...</v>
        <stp/>
        <stp>##V3_BQLV12</stp>
        <stp>[MODL_NOW_US1.xlsx]Single Period!R191C10</stp>
        <stp>NOW US Equity</stp>
        <stp>ST_DEFERRED_REVENUE/1M</stp>
        <stp>FPR=2021Y</stp>
        <stp>FPT=A</stp>
        <stp>FA_ACT_EST_DATA=E, EST_SOURCE=CMPY</stp>
        <stp>ACT_EST_MAPPING=PRECISE</stp>
        <stp>FS=MRC</stp>
        <stp>CURRENCY=USD</stp>
        <stp>XLFILL=b</stp>
        <tr r="J191" s="2"/>
      </tp>
      <tp t="s">
        <v>#N/A Requesting Data...</v>
        <stp/>
        <stp>##V3_BQLV12</stp>
        <stp>[MODL_NOW_US1.xlsx]Single Period!R95C27</stp>
        <stp>NOW US Equity</stp>
        <stp>IS_COMPARABLE_EBIT/1M</stp>
        <stp>FPR=2021Y</stp>
        <stp>FPT=A</stp>
        <stp>FA_ACT_EST_DATA=E, EST_SOURCE=RBC</stp>
        <stp>ACT_EST_MAPPING=PRECISE</stp>
        <stp>FS=MRC</stp>
        <stp>CURRENCY=USD</stp>
        <stp>XLFILL=b</stp>
        <tr r="AA95" s="2"/>
      </tp>
      <tp t="s">
        <v>#N/A Requesting Data...</v>
        <stp/>
        <stp>##V3_BQLV12</stp>
        <stp>[MODL_NOW_US1.xlsx]Single Period!R95C32</stp>
        <stp>NOW US Equity</stp>
        <stp>IS_COMPARABLE_EBIT/1M</stp>
        <stp>FPR=2021Y</stp>
        <stp>FPT=A</stp>
        <stp>FA_ACT_EST_DATA=E, EST_SOURCE=FBC</stp>
        <stp>ACT_EST_MAPPING=PRECISE</stp>
        <stp>FS=MRC</stp>
        <stp>CURRENCY=USD</stp>
        <stp>XLFILL=b</stp>
        <tr r="AF95" s="2"/>
      </tp>
      <tp t="s">
        <v>#N/A Requesting Data...</v>
        <stp/>
        <stp>##V3_BQLV12</stp>
        <stp>[MODL_NOW_US1.xlsx]Single Period!R176C10</stp>
        <stp>NOW US Equity</stp>
        <stp>ST_DEFERRED_REVENUE/1M</stp>
        <stp>FPR=2021Y</stp>
        <stp>FPT=A</stp>
        <stp>FA_ACT_EST_DATA=E, EST_SOURCE=CMPY</stp>
        <stp>ACT_EST_MAPPING=PRECISE</stp>
        <stp>FS=MRC</stp>
        <stp>CURRENCY=USD</stp>
        <stp>XLFILL=b</stp>
        <tr r="J176" s="2"/>
      </tp>
      <tp t="s">
        <v>#N/A Requesting Data...</v>
        <stp/>
        <stp>##V3_BQLV12</stp>
        <stp>[MODL_NOW_US1.xlsx]Single Period!R95C12</stp>
        <stp>NOW US Equity</stp>
        <stp>IS_COMPARABLE_EBIT/1M</stp>
        <stp>FPR=2021Y</stp>
        <stp>FPT=A</stp>
        <stp>FA_ACT_EST_DATA=E, EST_SOURCE=WBL</stp>
        <stp>ACT_EST_MAPPING=PRECISE</stp>
        <stp>FS=MRC</stp>
        <stp>CURRENCY=USD</stp>
        <stp>XLFILL=b</stp>
        <tr r="L95" s="2"/>
      </tp>
      <tp t="s">
        <v>#N/A Requesting Data...</v>
        <stp/>
        <stp>##V3_BQLV12</stp>
        <stp>[MODL_NOW_US1.xlsx]Single Period!R217C24</stp>
        <stp>NOW US Equity</stp>
        <stp>CAP_EXPEND_TO_SALES</stp>
        <stp>FPR=2021Y</stp>
        <stp>FPT=A</stp>
        <stp>FA_ACT_EST_DATA=E, EST_SOURCE=CWN</stp>
        <stp>ACT_EST_MAPPING=PRECISE</stp>
        <stp>FS=MRC</stp>
        <stp>CURRENCY=USD</stp>
        <stp>XLFILL=b</stp>
        <tr r="X217" s="2"/>
      </tp>
      <tp t="s">
        <v>#N/A Requesting Data...</v>
        <stp/>
        <stp>##V3_BQLV12</stp>
        <stp>[MODL_NOW_US1.xlsx]Single Period!R50C33</stp>
        <stp>NOW US Equity</stp>
        <stp>NUM_CSTMR_CNTRCT_OVER_1_MILLN</stp>
        <stp>FPR=2021Y</stp>
        <stp>FPT=A</stp>
        <stp>FA_ACT_EST_DATA=E, EST_SOURCE=MAC</stp>
        <stp>ACT_EST_MAPPING=PRECISE</stp>
        <stp>FS=MRC</stp>
        <stp>CURRENCY=USD</stp>
        <stp>XLFILL=b</stp>
        <tr r="AG50" s="2"/>
      </tp>
      <tp t="s">
        <v>#N/A Requesting Data...</v>
        <stp/>
        <stp>##V3_BQLV12</stp>
        <stp>[MODL_NOW_US1.xlsx]Single Period!R179C10</stp>
        <stp>NOW US Equity</stp>
        <stp>LT_DEFERRED_REVENUE/1M</stp>
        <stp>FPR=2021Y</stp>
        <stp>FPT=A</stp>
        <stp>FA_ACT_EST_DATA=E, EST_SOURCE=CMPY</stp>
        <stp>ACT_EST_MAPPING=PRECISE</stp>
        <stp>FS=MRC</stp>
        <stp>CURRENCY=USD</stp>
        <stp>XLFILL=b</stp>
        <tr r="J179" s="2"/>
      </tp>
      <tp t="s">
        <v>#N/A Requesting Data...</v>
        <stp/>
        <stp>##V3_BQLV12</stp>
        <stp>[MODL_NOW_US1.xlsx]Single Period!R95C26</stp>
        <stp>NOW US Equity</stp>
        <stp>IS_COMPARABLE_EBIT/1M</stp>
        <stp>FPR=2021Y</stp>
        <stp>FPT=A</stp>
        <stp>FA_ACT_EST_DATA=E, EST_SOURCE=UBS</stp>
        <stp>ACT_EST_MAPPING=PRECISE</stp>
        <stp>FS=MRC</stp>
        <stp>CURRENCY=USD</stp>
        <stp>XLFILL=b</stp>
        <tr r="Z95" s="2"/>
      </tp>
      <tp t="s">
        <v>#N/A Requesting Data...</v>
        <stp/>
        <stp>##V3_BQLV12</stp>
        <stp>[MODL_NOW_US1.xlsx]Single Period!R192C10</stp>
        <stp>NOW US Equity</stp>
        <stp>LT_DEFERRED_REVENUE/1M</stp>
        <stp>FPR=2021Y</stp>
        <stp>FPT=A</stp>
        <stp>FA_ACT_EST_DATA=E, EST_SOURCE=CMPY</stp>
        <stp>ACT_EST_MAPPING=PRECISE</stp>
        <stp>FS=MRC</stp>
        <stp>CURRENCY=USD</stp>
        <stp>XLFILL=b</stp>
        <tr r="J192" s="2"/>
      </tp>
      <tp t="s">
        <v>#N/A Requesting Data...</v>
        <stp/>
        <stp>##V3_BQLV12</stp>
        <stp>[MODL_NOW_US1.xlsx]Single Period!R108C19</stp>
        <stp>NOW US Equity</stp>
        <stp>IS_COMP_EPS_EXCL_STOCK_COMP</stp>
        <stp>FPR=2021Y</stp>
        <stp>FPT=A</stp>
        <stp>FA_ACT_EST_DATA=E, EST_SOURCE=MSV</stp>
        <stp>ACT_EST_MAPPING=PRECISE</stp>
        <stp>FS=MRC</stp>
        <stp>CURRENCY=USD</stp>
        <stp>XLFILL=b</stp>
        <tr r="S108" s="2"/>
      </tp>
      <tp t="s">
        <v>#N/A Requesting Data...</v>
        <stp/>
        <stp>##V3_BQLV12</stp>
        <stp>[MODL_NOW_US1.xlsx]Single Period!R50C30</stp>
        <stp>NOW US Equity</stp>
        <stp>NUM_CSTMR_CNTRCT_OVER_1_MILLN</stp>
        <stp>FPR=2021Y</stp>
        <stp>FPT=A</stp>
        <stp>FA_ACT_EST_DATA=E, EST_SOURCE=BAM</stp>
        <stp>ACT_EST_MAPPING=PRECISE</stp>
        <stp>FS=MRC</stp>
        <stp>CURRENCY=USD</stp>
        <stp>XLFILL=b</stp>
        <tr r="AD50" s="2"/>
      </tp>
      <tp t="s">
        <v>#N/A Requesting Data...</v>
        <stp/>
        <stp>##V3_BQLV12</stp>
        <stp>[MODL_NOW_US1.xlsx]Single Period!R50C20</stp>
        <stp>NOW US Equity</stp>
        <stp>NUM_CSTMR_CNTRCT_OVER_1_MILLN</stp>
        <stp>FPR=2021Y</stp>
        <stp>FPT=A</stp>
        <stp>FA_ACT_EST_DATA=E, EST_SOURCE=CAN</stp>
        <stp>ACT_EST_MAPPING=PRECISE</stp>
        <stp>FS=MRC</stp>
        <stp>CURRENCY=USD</stp>
        <stp>XLFILL=b</stp>
        <tr r="T50" s="2"/>
      </tp>
      <tp t="s">
        <v>#N/A Requesting Data...</v>
        <stp/>
        <stp>##V3_BQLV12</stp>
        <stp>[MODL_NOW_US1.xlsx]Single Period!R107C8</stp>
        <stp>NOW US Equity</stp>
        <stp>CONTRIBUTOR_STATS(CB_IS_ADJ_DILUTED_AVG_SHS, STD)/1M</stp>
        <stp>FPR=2021Y</stp>
        <stp>FPT=A</stp>
        <stp>FA_ACT_EST_DATA=E</stp>
        <stp>ACT_EST_MAPPING=PRECISE</stp>
        <stp>FS=MRC</stp>
        <stp>CURRENCY=USD</stp>
        <stp>XLFILL=b</stp>
        <tr r="H107" s="2"/>
      </tp>
      <tp t="s">
        <v>#N/A Requesting Data...</v>
        <stp/>
        <stp>##V3_BQLV12</stp>
        <stp>[MODL_NOW_US1.xlsx]Single Period!R6C14</stp>
        <stp>NOW US Equity</stp>
        <stp>IS_COMP_EPS_EXCL_STOCK_COMP</stp>
        <stp>FPR=2021Y</stp>
        <stp>FPT=A</stp>
        <stp>FA_ACT_EST_DATA=E, EST_SOURCE=BMO</stp>
        <stp>ACT_EST_MAPPING=PRECISE</stp>
        <stp>FS=MRC</stp>
        <stp>CURRENCY=USD</stp>
        <stp>XLFILL=b</stp>
        <tr r="N6" s="2"/>
      </tp>
      <tp t="s">
        <v>#N/A Requesting Data...</v>
        <stp/>
        <stp>##V3_BQLV12</stp>
        <stp>[MODL_NOW_US1.xlsx]Single Period!R222C7</stp>
        <stp>NOW US Equity</stp>
        <stp>CONTRIBUTOR_STATS(CF_CASH_FROM_INV_ACT, MAX)/1M</stp>
        <stp>FPR=2021Y</stp>
        <stp>FPT=A</stp>
        <stp>FA_ACT_EST_DATA=E</stp>
        <stp>ACT_EST_MAPPING=PRECISE</stp>
        <stp>FS=MRC</stp>
        <stp>CURRENCY=USD</stp>
        <stp>XLFILL=b</stp>
        <tr r="G222" s="2"/>
      </tp>
      <tp t="s">
        <v>#N/A Requesting Data...</v>
        <stp/>
        <stp>##V3_BQLV12</stp>
        <stp>[MODL_NOW_US1.xlsx]Single Period!R222C6</stp>
        <stp>NOW US Equity</stp>
        <stp>CONTRIBUTOR_STATS(CF_CASH_FROM_INV_ACT, MIN)/1M</stp>
        <stp>FPR=2021Y</stp>
        <stp>FPT=A</stp>
        <stp>FA_ACT_EST_DATA=E</stp>
        <stp>ACT_EST_MAPPING=PRECISE</stp>
        <stp>FS=MRC</stp>
        <stp>CURRENCY=USD</stp>
        <stp>XLFILL=b</stp>
        <tr r="F222" s="2"/>
      </tp>
      <tp t="s">
        <v>#N/A Requesting Data...</v>
        <stp/>
        <stp>##V3_BQLV12</stp>
        <stp>[MODL_NOW_US1.xlsx]Single Period!R148C7</stp>
        <stp>NOW US Equity</stp>
        <stp>CONTRIBUTOR_STATS(IS_AMORT_ACQD_INTANGIBLES_R_AND_D, MAX)/1M</stp>
        <stp>FPR=2021Y</stp>
        <stp>FPT=A</stp>
        <stp>FA_ACT_EST_DATA=E</stp>
        <stp>ACT_EST_MAPPING=PRECISE</stp>
        <stp>FS=MRC</stp>
        <stp>CURRENCY=USD</stp>
        <stp>XLFILL=b</stp>
        <tr r="G148" s="2"/>
      </tp>
      <tp t="s">
        <v>#N/A Requesting Data...</v>
        <stp/>
        <stp>##V3_BQLV12</stp>
        <stp>[MODL_NOW_US1.xlsx]Single Period!R64C5</stp>
        <stp>SEG0000230975 Segment</stp>
        <stp>CB_IS_GROSS_MARGIN</stp>
        <stp>FPR=2021Y</stp>
        <stp>FPT=A</stp>
        <stp>FA_ACT_EST_DATA=E</stp>
        <stp>ACT_EST_MAPPING=PRECISE</stp>
        <stp>FS=MRC</stp>
        <stp>CURRENCY=USD</stp>
        <stp>XLFILL=b</stp>
        <tr r="E64" s="2"/>
      </tp>
      <tp t="s">
        <v>#N/A Requesting Data...</v>
        <stp/>
        <stp>##V3_BQLV12</stp>
        <stp>[MODL_NOW_US1.xlsx]Single Period!R6C29</stp>
        <stp>NOW US Equity</stp>
        <stp>IS_COMP_EPS_EXCL_STOCK_COMP</stp>
        <stp>FPR=2021Y</stp>
        <stp>FPT=A</stp>
        <stp>FA_ACT_EST_DATA=E, EST_SOURCE=BNS</stp>
        <stp>ACT_EST_MAPPING=PRECISE</stp>
        <stp>FS=MRC</stp>
        <stp>CURRENCY=USD</stp>
        <stp>XLFILL=b</stp>
        <tr r="AC6" s="2"/>
      </tp>
      <tp t="s">
        <v>#N/A Requesting Data...</v>
        <stp/>
        <stp>##V3_BQLV12</stp>
        <stp>[MODL_NOW_US1.xlsx]Single Period!R222C8</stp>
        <stp>NOW US Equity</stp>
        <stp>CONTRIBUTOR_STATS(CF_CASH_FROM_INV_ACT, STD)/1M</stp>
        <stp>FPR=2021Y</stp>
        <stp>FPT=A</stp>
        <stp>FA_ACT_EST_DATA=E</stp>
        <stp>ACT_EST_MAPPING=PRECISE</stp>
        <stp>FS=MRC</stp>
        <stp>CURRENCY=USD</stp>
        <stp>XLFILL=b</stp>
        <tr r="H222" s="2"/>
      </tp>
      <tp t="s">
        <v>#N/A Requesting Data...</v>
        <stp/>
        <stp>##V3_BQLV12</stp>
        <stp>[MODL_NOW_US1.xlsx]Single Period!R154C9</stp>
        <stp>NOW US Equity</stp>
        <stp>CONTRIBUTOR_STATS(BS_CUR_ASSET_REPORT, MEDIAN)/1M</stp>
        <stp>FPR=2021Y</stp>
        <stp>FPT=A</stp>
        <stp>FA_ACT_EST_DATA=E</stp>
        <stp>ACT_EST_MAPPING=PRECISE</stp>
        <stp>FS=MRC</stp>
        <stp>CURRENCY=USD</stp>
        <stp>XLFILL=b</stp>
        <tr r="I154" s="2"/>
      </tp>
      <tp t="s">
        <v>#N/A Requesting Data...</v>
        <stp/>
        <stp>##V3_BQLV12</stp>
        <stp>[MODL_NOW_US1.xlsx]Single Period!R59C36</stp>
        <stp>SEG0000230975 Segment</stp>
        <stp>IS_PERCENTAGE_OF_REVENUE</stp>
        <stp>FPR=2021Y</stp>
        <stp>FPT=A</stp>
        <stp>FA_ACT_EST_DATA=E, EST_SOURCE=JEF</stp>
        <stp>ACT_EST_MAPPING=PRECISE</stp>
        <stp>FS=MRC</stp>
        <stp>CURRENCY=USD</stp>
        <stp>XLFILL=b</stp>
        <tr r="AJ59" s="2"/>
      </tp>
      <tp t="s">
        <v>#N/A Requesting Data...</v>
        <stp/>
        <stp>##V3_BQLV12</stp>
        <stp>[MODL_NOW_US1.xlsx]Single Period!R67C32</stp>
        <stp>SEG0000230986 Segment</stp>
        <stp>IS_PERCENTAGE_OF_REVENUE</stp>
        <stp>FPR=2021Y</stp>
        <stp>FPT=A</stp>
        <stp>FA_ACT_EST_DATA=E, EST_SOURCE=FBC</stp>
        <stp>ACT_EST_MAPPING=PRECISE</stp>
        <stp>FS=MRC</stp>
        <stp>CURRENCY=USD</stp>
        <stp>XLFILL=b</stp>
        <tr r="AF67" s="2"/>
      </tp>
      <tp t="s">
        <v>#N/A Requesting Data...</v>
        <stp/>
        <stp>##V3_BQLV12</stp>
        <stp>[MODL_NOW_US1.xlsx]Single Period!R67C12</stp>
        <stp>SEG0000230986 Segment</stp>
        <stp>IS_PERCENTAGE_OF_REVENUE</stp>
        <stp>FPR=2021Y</stp>
        <stp>FPT=A</stp>
        <stp>FA_ACT_EST_DATA=E, EST_SOURCE=WBL</stp>
        <stp>ACT_EST_MAPPING=PRECISE</stp>
        <stp>FS=MRC</stp>
        <stp>CURRENCY=USD</stp>
        <stp>XLFILL=b</stp>
        <tr r="L67" s="2"/>
      </tp>
      <tp t="s">
        <v>#N/A Requesting Data...</v>
        <stp/>
        <stp>##V3_BQLV12</stp>
        <stp>[MODL_NOW_US1.xlsx]Single Period!R44C27</stp>
        <stp>SEG0000230986 Segment</stp>
        <stp>IS_FOREIGN_CURRENCY_TURNOVER/1M</stp>
        <stp>FPR=2021Y</stp>
        <stp>FPT=A</stp>
        <stp>FA_ACT_EST_DATA=E, EST_SOURCE=RBC</stp>
        <stp>ACT_EST_MAPPING=PRECISE</stp>
        <stp>FS=MRC</stp>
        <stp>CURRENCY=USD</stp>
        <stp>XLFILL=b</stp>
        <tr r="AA44" s="2"/>
      </tp>
      <tp t="s">
        <v>#N/A Requesting Data...</v>
        <stp/>
        <stp>##V3_BQLV12</stp>
        <stp>[MODL_NOW_US1.xlsx]Single Period!R68C25</stp>
        <stp>SEG0000230986 Segment</stp>
        <stp>IS_ADJUSTED_COGS_AS_REPORTED/1M</stp>
        <stp>FPR=2021Y</stp>
        <stp>FPT=A</stp>
        <stp>FA_ACT_EST_DATA=E, EST_SOURCE=DBG</stp>
        <stp>ACT_EST_MAPPING=PRECISE</stp>
        <stp>FS=MRC</stp>
        <stp>CURRENCY=USD</stp>
        <stp>XLFILL=b</stp>
        <tr r="Y68" s="2"/>
      </tp>
      <tp t="s">
        <v>#N/A Requesting Data...</v>
        <stp/>
        <stp>##V3_BQLV12</stp>
        <stp>[MODL_NOW_US1.xlsx]Single Period!R60C25</stp>
        <stp>SEG0000230975 Segment</stp>
        <stp>IS_ADJUSTED_COGS_AS_REPORTED/1M</stp>
        <stp>FPR=2021Y</stp>
        <stp>FPT=A</stp>
        <stp>FA_ACT_EST_DATA=E, EST_SOURCE=DBG</stp>
        <stp>ACT_EST_MAPPING=PRECISE</stp>
        <stp>FS=MRC</stp>
        <stp>CURRENCY=USD</stp>
        <stp>XLFILL=b</stp>
        <tr r="Y60" s="2"/>
      </tp>
      <tp t="s">
        <v>#N/A Requesting Data...</v>
        <stp/>
        <stp>##V3_BQLV12</stp>
        <stp>[MODL_NOW_US1.xlsx]Single Period!R44C25</stp>
        <stp>SEG0000230986 Segment</stp>
        <stp>IS_FOREIGN_CURRENCY_TURNOVER/1M</stp>
        <stp>FPR=2021Y</stp>
        <stp>FPT=A</stp>
        <stp>FA_ACT_EST_DATA=E, EST_SOURCE=DBG</stp>
        <stp>ACT_EST_MAPPING=PRECISE</stp>
        <stp>FS=MRC</stp>
        <stp>CURRENCY=USD</stp>
        <stp>XLFILL=b</stp>
        <tr r="Y44" s="2"/>
      </tp>
      <tp t="s">
        <v>#N/A Requesting Data...</v>
        <stp/>
        <stp>##V3_BQLV12</stp>
        <stp>[MODL_NOW_US1.xlsx]Single Period!R68C27</stp>
        <stp>SEG0000230986 Segment</stp>
        <stp>IS_ADJUSTED_COGS_AS_REPORTED/1M</stp>
        <stp>FPR=2021Y</stp>
        <stp>FPT=A</stp>
        <stp>FA_ACT_EST_DATA=E, EST_SOURCE=RBC</stp>
        <stp>ACT_EST_MAPPING=PRECISE</stp>
        <stp>FS=MRC</stp>
        <stp>CURRENCY=USD</stp>
        <stp>XLFILL=b</stp>
        <tr r="AA68" s="2"/>
      </tp>
      <tp t="s">
        <v>#N/A Requesting Data...</v>
        <stp/>
        <stp>##V3_BQLV12</stp>
        <stp>[MODL_NOW_US1.xlsx]Single Period!R60C27</stp>
        <stp>SEG0000230975 Segment</stp>
        <stp>IS_ADJUSTED_COGS_AS_REPORTED/1M</stp>
        <stp>FPR=2021Y</stp>
        <stp>FPT=A</stp>
        <stp>FA_ACT_EST_DATA=E, EST_SOURCE=RBC</stp>
        <stp>ACT_EST_MAPPING=PRECISE</stp>
        <stp>FS=MRC</stp>
        <stp>CURRENCY=USD</stp>
        <stp>XLFILL=b</stp>
        <tr r="AA60" s="2"/>
      </tp>
      <tp t="s">
        <v>#N/A Requesting Data...</v>
        <stp/>
        <stp>##V3_BQLV12</stp>
        <stp>[MODL_NOW_US1.xlsx]Single Period!R113C43</stp>
        <stp>SEG0000230986 Segment</stp>
        <stp>IS_COGS_TO_FE_AND_PP_AND_G/1M</stp>
        <stp>FPR=2021Y</stp>
        <stp>FPT=A</stp>
        <stp>FA_ACT_EST_DATA=E, EST_SOURCE=WFT</stp>
        <stp>ACT_EST_MAPPING=PRECISE</stp>
        <stp>FS=MRC</stp>
        <stp>CURRENCY=USD</stp>
        <stp>XLFILL=b</stp>
        <tr r="AQ113" s="2"/>
      </tp>
      <tp t="s">
        <v>#N/A Requesting Data...</v>
        <stp/>
        <stp>##V3_BQLV12</stp>
        <stp>[MODL_NOW_US1.xlsx]Single Period!R112C17</stp>
        <stp>SEG0000230975 Segment</stp>
        <stp>IS_COGS_TO_FE_AND_PP_AND_G/1M</stp>
        <stp>FPR=2021Y</stp>
        <stp>FPT=A</stp>
        <stp>FA_ACT_EST_DATA=E, EST_SOURCE=RHR</stp>
        <stp>ACT_EST_MAPPING=PRECISE</stp>
        <stp>FS=MRC</stp>
        <stp>CURRENCY=USD</stp>
        <stp>XLFILL=b</stp>
        <tr r="Q112" s="2"/>
      </tp>
      <tp t="s">
        <v>#N/A Requesting Data...</v>
        <stp/>
        <stp>##V3_BQLV12</stp>
        <stp>[MODL_NOW_US1.xlsx]Single Period!R62C9</stp>
        <stp>SEG0000230975 Segment</stp>
        <stp>CONTRIBUTOR_STATS(IS_ADJ_GROSS_MARGIN_PCT_AR, MEDIAN)</stp>
        <stp>FPR=2021Y</stp>
        <stp>FPT=A</stp>
        <stp>FA_ACT_EST_DATA=E</stp>
        <stp>ACT_EST_MAPPING=PRECISE</stp>
        <stp>FS=MRC</stp>
        <stp>CURRENCY=USD</stp>
        <stp>XLFILL=b</stp>
        <tr r="I62" s="2"/>
      </tp>
      <tp t="s">
        <v>#N/A Requesting Data...</v>
        <stp/>
        <stp>##V3_BQLV12</stp>
        <stp>[MODL_NOW_US1.xlsx]Single Period!R44C26</stp>
        <stp>SEG0000230986 Segment</stp>
        <stp>IS_FOREIGN_CURRENCY_TURNOVER/1M</stp>
        <stp>FPR=2021Y</stp>
        <stp>FPT=A</stp>
        <stp>FA_ACT_EST_DATA=E, EST_SOURCE=UBS</stp>
        <stp>ACT_EST_MAPPING=PRECISE</stp>
        <stp>FS=MRC</stp>
        <stp>CURRENCY=USD</stp>
        <stp>XLFILL=b</stp>
        <tr r="Z44" s="2"/>
      </tp>
      <tp t="s">
        <v>#N/A Requesting Data...</v>
        <stp/>
        <stp>##V3_BQLV12</stp>
        <stp>[MODL_NOW_US1.xlsx]Single Period!R239C7</stp>
        <stp>NOW US Equity</stp>
        <stp>CONTRIBUTOR_STATS(CFO_TO_SALES, MAX)</stp>
        <stp>FPR=2021Y</stp>
        <stp>FPT=A</stp>
        <stp>FA_ACT_EST_DATA=E</stp>
        <stp>ACT_EST_MAPPING=PRECISE</stp>
        <stp>FS=MRC</stp>
        <stp>CURRENCY=USD</stp>
        <stp>XLFILL=b</stp>
        <tr r="G239" s="2"/>
      </tp>
      <tp t="s">
        <v>#N/A Requesting Data...</v>
        <stp/>
        <stp>##V3_BQLV12</stp>
        <stp>[MODL_NOW_US1.xlsx]Single Period!R68C26</stp>
        <stp>SEG0000230986 Segment</stp>
        <stp>IS_ADJUSTED_COGS_AS_REPORTED/1M</stp>
        <stp>FPR=2021Y</stp>
        <stp>FPT=A</stp>
        <stp>FA_ACT_EST_DATA=E, EST_SOURCE=UBS</stp>
        <stp>ACT_EST_MAPPING=PRECISE</stp>
        <stp>FS=MRC</stp>
        <stp>CURRENCY=USD</stp>
        <stp>XLFILL=b</stp>
        <tr r="Z68" s="2"/>
      </tp>
      <tp t="s">
        <v>#N/A Requesting Data...</v>
        <stp/>
        <stp>##V3_BQLV12</stp>
        <stp>[MODL_NOW_US1.xlsx]Single Period!R60C26</stp>
        <stp>SEG0000230975 Segment</stp>
        <stp>IS_ADJUSTED_COGS_AS_REPORTED/1M</stp>
        <stp>FPR=2021Y</stp>
        <stp>FPT=A</stp>
        <stp>FA_ACT_EST_DATA=E, EST_SOURCE=UBS</stp>
        <stp>ACT_EST_MAPPING=PRECISE</stp>
        <stp>FS=MRC</stp>
        <stp>CURRENCY=USD</stp>
        <stp>XLFILL=b</stp>
        <tr r="Z60" s="2"/>
      </tp>
      <tp t="s">
        <v>#N/A Requesting Data...</v>
        <stp/>
        <stp>##V3_BQLV12</stp>
        <stp>[MODL_NOW_US1.xlsx]Single Period!R141C39</stp>
        <stp>SEG0000230986 Segment</stp>
        <stp>IS_SBC_ATTRIB_TO_COGS_PRETX/1M</stp>
        <stp>FPR=2021Y</stp>
        <stp>FPT=A</stp>
        <stp>FA_ACT_EST_DATA=E, EST_SOURCE=DZB</stp>
        <stp>ACT_EST_MAPPING=PRECISE</stp>
        <stp>FS=MRC</stp>
        <stp>CURRENCY=USD</stp>
        <stp>XLFILL=b</stp>
        <tr r="AM141" s="2"/>
      </tp>
      <tp t="s">
        <v>#N/A Requesting Data...</v>
        <stp/>
        <stp>##V3_BQLV12</stp>
        <stp>[MODL_NOW_US1.xlsx]Single Period!R52C36</stp>
        <stp>NOW US Equity</stp>
        <stp>ACCT_RCV_DAYS</stp>
        <stp>FPR=2021Y</stp>
        <stp>FPT=A</stp>
        <stp>FA_ACT_EST_DATA=E, EST_SOURCE=JEF</stp>
        <stp>ACT_EST_MAPPING=PRECISE</stp>
        <stp>FS=MRC</stp>
        <stp>CURRENCY=USD</stp>
        <stp>XLFILL=b</stp>
        <tr r="AJ52" s="2"/>
      </tp>
      <tp t="s">
        <v>#N/A Requesting Data...</v>
        <stp/>
        <stp>##V3_BQLV12</stp>
        <stp>[MODL_NOW_US1.xlsx]Single Period!R87C9</stp>
        <stp>NOW US Equity</stp>
        <stp>CONTRIBUTOR_STATS(CB_IS_ADJUSTED_OPEX, MEDIAN)/1M</stp>
        <stp>FPR=2021Y</stp>
        <stp>FPT=A</stp>
        <stp>FA_ACT_EST_DATA=E</stp>
        <stp>ACT_EST_MAPPING=PRECISE</stp>
        <stp>FS=MRC</stp>
        <stp>CURRENCY=USD</stp>
        <stp>XLFILL=b</stp>
        <tr r="I87" s="2"/>
      </tp>
      <tp t="s">
        <v>#N/A Requesting Data...</v>
        <stp/>
        <stp>##V3_BQLV12</stp>
        <stp>[MODL_NOW_US1.xlsx]Single Period!R231C32</stp>
        <stp>NOW US Equity</stp>
        <stp>CF_NET_CHNG_CASH/1M</stp>
        <stp>FPR=2021Y</stp>
        <stp>FPT=A</stp>
        <stp>FA_ACT_EST_DATA=E, EST_SOURCE=FBC</stp>
        <stp>ACT_EST_MAPPING=PRECISE</stp>
        <stp>FS=MRC</stp>
        <stp>CURRENCY=USD</stp>
        <stp>XLFILL=b</stp>
        <tr r="AF231" s="2"/>
      </tp>
      <tp t="s">
        <v>#N/A Requesting Data...</v>
        <stp/>
        <stp>##V3_BQLV12</stp>
        <stp>[MODL_NOW_US1.xlsx]Single Period!R141C46</stp>
        <stp>SEG0000230986 Segment</stp>
        <stp>IS_SBC_ATTRIB_TO_COGS_PRETX/1M</stp>
        <stp>FPR=2021Y</stp>
        <stp>FPT=A</stp>
        <stp>FA_ACT_EST_DATA=E, EST_SOURCE=MZS</stp>
        <stp>ACT_EST_MAPPING=PRECISE</stp>
        <stp>FS=MRC</stp>
        <stp>CURRENCY=USD</stp>
        <stp>XLFILL=b</stp>
        <tr r="AT141" s="2"/>
      </tp>
      <tp t="s">
        <v>#N/A Requesting Data...</v>
        <stp/>
        <stp>##V3_BQLV12</stp>
        <stp>[MODL_NOW_US1.xlsx]Single Period!R162C22</stp>
        <stp>NOW US Equity</stp>
        <stp>BS_LONG_TERM_INVESTMENTS/1M</stp>
        <stp>FPR=2021Y</stp>
        <stp>FPT=A</stp>
        <stp>FA_ACT_EST_DATA=E, EST_SOURCE=NDH</stp>
        <stp>ACT_EST_MAPPING=PRECISE</stp>
        <stp>FS=MRC</stp>
        <stp>CURRENCY=USD</stp>
        <stp>XLFILL=b</stp>
        <tr r="V162" s="2"/>
      </tp>
      <tp t="s">
        <v>#N/A Requesting Data...</v>
        <stp/>
        <stp>##V3_BQLV12</stp>
        <stp>[MODL_NOW_US1.xlsx]Single Period!R52C13</stp>
        <stp>NOW US Equity</stp>
        <stp>ACCT_RCV_DAYS</stp>
        <stp>FPR=2021Y</stp>
        <stp>FPT=A</stp>
        <stp>FA_ACT_EST_DATA=E, EST_SOURCE=KEY</stp>
        <stp>ACT_EST_MAPPING=PRECISE</stp>
        <stp>FS=MRC</stp>
        <stp>CURRENCY=USD</stp>
        <stp>XLFILL=b</stp>
        <tr r="M52" s="2"/>
      </tp>
      <tp t="s">
        <v>#N/A Requesting Data...</v>
        <stp/>
        <stp>##V3_BQLV12</stp>
        <stp>[MODL_NOW_US1.xlsx]Single Period!R53C49</stp>
        <stp>NOW US Equity</stp>
        <stp>ANNUALIZED_DAYS_SALES_OUTSTDG</stp>
        <stp>FPR=2021Y</stp>
        <stp>FPT=A</stp>
        <stp>FA_ACT_EST_DATA=E, EST_SOURCE=SCB</stp>
        <stp>ACT_EST_MAPPING=PRECISE</stp>
        <stp>FS=MRC</stp>
        <stp>CURRENCY=USD</stp>
        <stp>XLFILL=b</stp>
        <tr r="AW53" s="2"/>
      </tp>
      <tp t="s">
        <v>#N/A Requesting Data...</v>
        <stp/>
        <stp>##V3_BQLV12</stp>
        <stp>[MODL_NOW_US1.xlsx]Single Period!R53C16</stp>
        <stp>NOW US Equity</stp>
        <stp>ANNUALIZED_DAYS_SALES_OUTSTDG</stp>
        <stp>FPR=2021Y</stp>
        <stp>FPT=A</stp>
        <stp>FA_ACT_EST_DATA=E, EST_SOURCE=BCA</stp>
        <stp>ACT_EST_MAPPING=PRECISE</stp>
        <stp>FS=MRC</stp>
        <stp>CURRENCY=USD</stp>
        <stp>XLFILL=b</stp>
        <tr r="P53" s="2"/>
      </tp>
      <tp t="s">
        <v>#N/A Requesting Data...</v>
        <stp/>
        <stp>##V3_BQLV12</stp>
        <stp>[MODL_NOW_US1.xlsx]Single Period!R162C36</stp>
        <stp>NOW US Equity</stp>
        <stp>BS_LONG_TERM_INVESTMENTS/1M</stp>
        <stp>FPR=2021Y</stp>
        <stp>FPT=A</stp>
        <stp>FA_ACT_EST_DATA=E, EST_SOURCE=JEF</stp>
        <stp>ACT_EST_MAPPING=PRECISE</stp>
        <stp>FS=MRC</stp>
        <stp>CURRENCY=USD</stp>
        <stp>XLFILL=b</stp>
        <tr r="AJ162" s="2"/>
      </tp>
      <tp t="s">
        <v>#N/A Requesting Data...</v>
        <stp/>
        <stp>##V3_BQLV12</stp>
        <stp>[MODL_NOW_US1.xlsx]Single Period!R217C28</stp>
        <stp>NOW US Equity</stp>
        <stp>CAP_EXPEND_TO_SALES</stp>
        <stp>FPR=2021Y</stp>
        <stp>FPT=A</stp>
        <stp>FA_ACT_EST_DATA=E, EST_SOURCE=EVR</stp>
        <stp>ACT_EST_MAPPING=PRECISE</stp>
        <stp>FS=MRC</stp>
        <stp>CURRENCY=USD</stp>
        <stp>XLFILL=b</stp>
        <tr r="AB217" s="2"/>
      </tp>
      <tp t="s">
        <v>#N/A Requesting Data...</v>
        <stp/>
        <stp>##V3_BQLV12</stp>
        <stp>[MODL_NOW_US1.xlsx]Single Period!R95C16</stp>
        <stp>NOW US Equity</stp>
        <stp>IS_COMPARABLE_EBIT/1M</stp>
        <stp>FPR=2021Y</stp>
        <stp>FPT=A</stp>
        <stp>FA_ACT_EST_DATA=E, EST_SOURCE=BCA</stp>
        <stp>ACT_EST_MAPPING=PRECISE</stp>
        <stp>FS=MRC</stp>
        <stp>CURRENCY=USD</stp>
        <stp>XLFILL=b</stp>
        <tr r="P95" s="2"/>
      </tp>
      <tp t="s">
        <v>#N/A Requesting Data...</v>
        <stp/>
        <stp>##V3_BQLV12</stp>
        <stp>[MODL_NOW_US1.xlsx]Single Period!R95C49</stp>
        <stp>NOW US Equity</stp>
        <stp>IS_COMPARABLE_EBIT/1M</stp>
        <stp>FPR=2021Y</stp>
        <stp>FPT=A</stp>
        <stp>FA_ACT_EST_DATA=E, EST_SOURCE=SCB</stp>
        <stp>ACT_EST_MAPPING=PRECISE</stp>
        <stp>FS=MRC</stp>
        <stp>CURRENCY=USD</stp>
        <stp>XLFILL=b</stp>
        <tr r="AW95" s="2"/>
      </tp>
      <tp t="s">
        <v>#N/A Requesting Data...</v>
        <stp/>
        <stp>##V3_BQLV12</stp>
        <stp>[MODL_NOW_US1.xlsx]Single Period!R108C40</stp>
        <stp>NOW US Equity</stp>
        <stp>IS_COMP_EPS_EXCL_STOCK_COMP</stp>
        <stp>FPR=2021Y</stp>
        <stp>FPT=A</stp>
        <stp>FA_ACT_EST_DATA=E, EST_SOURCE=DWI</stp>
        <stp>ACT_EST_MAPPING=PRECISE</stp>
        <stp>FS=MRC</stp>
        <stp>CURRENCY=USD</stp>
        <stp>XLFILL=b</stp>
        <tr r="AN108" s="2"/>
      </tp>
      <tp t="s">
        <v>#N/A Requesting Data...</v>
        <stp/>
        <stp>##V3_BQLV12</stp>
        <stp>[MODL_NOW_US1.xlsx]Single Period!R90C46</stp>
        <stp>NOW US Equity</stp>
        <stp>IS_ADJ_R_AND_D_AS_REPORTED/1M</stp>
        <stp>FPR=2021Y</stp>
        <stp>FPT=A</stp>
        <stp>FA_ACT_EST_DATA=E, EST_SOURCE=MZS</stp>
        <stp>ACT_EST_MAPPING=PRECISE</stp>
        <stp>FS=MRC</stp>
        <stp>CURRENCY=USD</stp>
        <stp>XLFILL=b</stp>
        <tr r="AT90" s="2"/>
      </tp>
      <tp t="s">
        <v>#N/A Requesting Data...</v>
        <stp/>
        <stp>##V3_BQLV12</stp>
        <stp>[MODL_NOW_US1.xlsx]Single Period!R217C38</stp>
        <stp>NOW US Equity</stp>
        <stp>CAP_EXPEND_TO_SALES</stp>
        <stp>FPR=2021Y</stp>
        <stp>FPT=A</stp>
        <stp>FA_ACT_EST_DATA=E, EST_SOURCE=RWB</stp>
        <stp>ACT_EST_MAPPING=PRECISE</stp>
        <stp>FS=MRC</stp>
        <stp>CURRENCY=USD</stp>
        <stp>XLFILL=b</stp>
        <tr r="AL217" s="2"/>
      </tp>
      <tp t="s">
        <v>#N/A Requesting Data...</v>
        <stp/>
        <stp>##V3_BQLV12</stp>
        <stp>[MODL_NOW_US1.xlsx]Single Period!R11C33</stp>
        <stp>NOW US Equity</stp>
        <stp>NUM_CSTMR_CNTRCT_OVER_1_MILLN</stp>
        <stp>FPR=2021Y</stp>
        <stp>FPT=A</stp>
        <stp>FA_ACT_EST_DATA=E, EST_SOURCE=MAC</stp>
        <stp>ACT_EST_MAPPING=PRECISE</stp>
        <stp>FS=MRC</stp>
        <stp>CURRENCY=USD</stp>
        <stp>XLFILL=b</stp>
        <tr r="AG11" s="2"/>
      </tp>
      <tp t="s">
        <v>#N/A Requesting Data...</v>
        <stp/>
        <stp>##V3_BQLV12</stp>
        <stp>[MODL_NOW_US1.xlsx]Single Period!R11C30</stp>
        <stp>NOW US Equity</stp>
        <stp>NUM_CSTMR_CNTRCT_OVER_1_MILLN</stp>
        <stp>FPR=2021Y</stp>
        <stp>FPT=A</stp>
        <stp>FA_ACT_EST_DATA=E, EST_SOURCE=BAM</stp>
        <stp>ACT_EST_MAPPING=PRECISE</stp>
        <stp>FS=MRC</stp>
        <stp>CURRENCY=USD</stp>
        <stp>XLFILL=b</stp>
        <tr r="AD11" s="2"/>
      </tp>
      <tp t="s">
        <v>#N/A Requesting Data...</v>
        <stp/>
        <stp>##V3_BQLV12</stp>
        <stp>[MODL_NOW_US1.xlsx]Single Period!R11C20</stp>
        <stp>NOW US Equity</stp>
        <stp>NUM_CSTMR_CNTRCT_OVER_1_MILLN</stp>
        <stp>FPR=2021Y</stp>
        <stp>FPT=A</stp>
        <stp>FA_ACT_EST_DATA=E, EST_SOURCE=CAN</stp>
        <stp>ACT_EST_MAPPING=PRECISE</stp>
        <stp>FS=MRC</stp>
        <stp>CURRENCY=USD</stp>
        <stp>XLFILL=b</stp>
        <tr r="T11" s="2"/>
      </tp>
      <tp t="s">
        <v>#N/A Requesting Data...</v>
        <stp/>
        <stp>##V3_BQLV12</stp>
        <stp>[MODL_NOW_US1.xlsx]Single Period!R90C39</stp>
        <stp>NOW US Equity</stp>
        <stp>IS_ADJ_R_AND_D_AS_REPORTED/1M</stp>
        <stp>FPR=2021Y</stp>
        <stp>FPT=A</stp>
        <stp>FA_ACT_EST_DATA=E, EST_SOURCE=DZB</stp>
        <stp>ACT_EST_MAPPING=PRECISE</stp>
        <stp>FS=MRC</stp>
        <stp>CURRENCY=USD</stp>
        <stp>XLFILL=b</stp>
        <tr r="AM90" s="2"/>
      </tp>
      <tp t="s">
        <v>#N/A Requesting Data...</v>
        <stp/>
        <stp>##V3_BQLV12</stp>
        <stp>[MODL_NOW_US1.xlsx]Single Period!R148C6</stp>
        <stp>NOW US Equity</stp>
        <stp>CONTRIBUTOR_STATS(IS_AMORT_ACQD_INTANGIBLES_R_AND_D, MIN)/1M</stp>
        <stp>FPR=2021Y</stp>
        <stp>FPT=A</stp>
        <stp>FA_ACT_EST_DATA=E</stp>
        <stp>ACT_EST_MAPPING=PRECISE</stp>
        <stp>FS=MRC</stp>
        <stp>CURRENCY=USD</stp>
        <stp>XLFILL=b</stp>
        <tr r="F148" s="2"/>
      </tp>
      <tp t="s">
        <v>#N/A Requesting Data...</v>
        <stp/>
        <stp>##V3_BQLV12</stp>
        <stp>[MODL_NOW_US1.xlsx]Single Period!R9C10</stp>
        <stp>NOW US Equity</stp>
        <stp>IS_BILLINGS/1M</stp>
        <stp>FPR=2021Y</stp>
        <stp>FPT=A</stp>
        <stp>FA_ACT_EST_DATA=E, EST_SOURCE=CMPY</stp>
        <stp>ACT_EST_MAPPING=PRECISE</stp>
        <stp>FS=MRC</stp>
        <stp>CURRENCY=USD</stp>
        <stp>XLFILL=b</stp>
        <tr r="J9" s="2"/>
      </tp>
      <tp t="s">
        <v>#N/A Requesting Data...</v>
        <stp/>
        <stp>##V3_BQLV12</stp>
        <stp>[MODL_NOW_US1.xlsx]Single Period!R24C27</stp>
        <stp>NOW US Equity</stp>
        <stp>IS_ADJ_GROSS_PROFIT_AS_REPORTED/1M</stp>
        <stp>FPR=2021Y</stp>
        <stp>FPT=A</stp>
        <stp>FA_ACT_EST_DATA=E, EST_SOURCE=RBC</stp>
        <stp>ACT_EST_MAPPING=PRECISE</stp>
        <stp>FS=MRC</stp>
        <stp>CURRENCY=USD</stp>
        <stp>XLFILL=b</stp>
        <tr r="AA24" s="2"/>
      </tp>
      <tp t="s">
        <v>#N/A Requesting Data...</v>
        <stp/>
        <stp>##V3_BQLV12</stp>
        <stp>[MODL_NOW_US1.xlsx]Single Period!R84C27</stp>
        <stp>NOW US Equity</stp>
        <stp>IS_ADJ_GROSS_PROFIT_AS_REPORTED/1M</stp>
        <stp>FPR=2021Y</stp>
        <stp>FPT=A</stp>
        <stp>FA_ACT_EST_DATA=E, EST_SOURCE=RBC</stp>
        <stp>ACT_EST_MAPPING=PRECISE</stp>
        <stp>FS=MRC</stp>
        <stp>CURRENCY=USD</stp>
        <stp>XLFILL=b</stp>
        <tr r="AA84" s="2"/>
      </tp>
      <tp t="s">
        <v>#N/A Requesting Data...</v>
        <stp/>
        <stp>##V3_BQLV12</stp>
        <stp>[MODL_NOW_US1.xlsx]Single Period!R24C32</stp>
        <stp>NOW US Equity</stp>
        <stp>IS_ADJ_GROSS_PROFIT_AS_REPORTED/1M</stp>
        <stp>FPR=2021Y</stp>
        <stp>FPT=A</stp>
        <stp>FA_ACT_EST_DATA=E, EST_SOURCE=FBC</stp>
        <stp>ACT_EST_MAPPING=PRECISE</stp>
        <stp>FS=MRC</stp>
        <stp>CURRENCY=USD</stp>
        <stp>XLFILL=b</stp>
        <tr r="AF24" s="2"/>
      </tp>
      <tp t="s">
        <v>#N/A Requesting Data...</v>
        <stp/>
        <stp>##V3_BQLV12</stp>
        <stp>[MODL_NOW_US1.xlsx]Single Period!R84C32</stp>
        <stp>NOW US Equity</stp>
        <stp>IS_ADJ_GROSS_PROFIT_AS_REPORTED/1M</stp>
        <stp>FPR=2021Y</stp>
        <stp>FPT=A</stp>
        <stp>FA_ACT_EST_DATA=E, EST_SOURCE=FBC</stp>
        <stp>ACT_EST_MAPPING=PRECISE</stp>
        <stp>FS=MRC</stp>
        <stp>CURRENCY=USD</stp>
        <stp>XLFILL=b</stp>
        <tr r="AF84" s="2"/>
      </tp>
      <tp t="s">
        <v>#N/A Requesting Data...</v>
        <stp/>
        <stp>##V3_BQLV12</stp>
        <stp>[MODL_NOW_US1.xlsx]Single Period!R67C38</stp>
        <stp>SEG0000230986 Segment</stp>
        <stp>IS_PERCENTAGE_OF_REVENUE</stp>
        <stp>FPR=2021Y</stp>
        <stp>FPT=A</stp>
        <stp>FA_ACT_EST_DATA=E, EST_SOURCE=RWB</stp>
        <stp>ACT_EST_MAPPING=PRECISE</stp>
        <stp>FS=MRC</stp>
        <stp>CURRENCY=USD</stp>
        <stp>XLFILL=b</stp>
        <tr r="AL67" s="2"/>
      </tp>
      <tp t="s">
        <v>#N/A Requesting Data...</v>
        <stp/>
        <stp>##V3_BQLV12</stp>
        <stp>[MODL_NOW_US1.xlsx]Single Period!R112C38</stp>
        <stp>SEG0000230975 Segment</stp>
        <stp>IS_COGS_TO_FE_AND_PP_AND_G/1M</stp>
        <stp>FPR=2021Y</stp>
        <stp>FPT=A</stp>
        <stp>FA_ACT_EST_DATA=E, EST_SOURCE=RWB</stp>
        <stp>ACT_EST_MAPPING=PRECISE</stp>
        <stp>FS=MRC</stp>
        <stp>CURRENCY=USD</stp>
        <stp>XLFILL=b</stp>
        <tr r="AL112" s="2"/>
      </tp>
      <tp t="s">
        <v>#N/A Requesting Data...</v>
        <stp/>
        <stp>##V3_BQLV12</stp>
        <stp>[MODL_NOW_US1.xlsx]Single Period!R24C25</stp>
        <stp>NOW US Equity</stp>
        <stp>IS_ADJ_GROSS_PROFIT_AS_REPORTED/1M</stp>
        <stp>FPR=2021Y</stp>
        <stp>FPT=A</stp>
        <stp>FA_ACT_EST_DATA=E, EST_SOURCE=DBG</stp>
        <stp>ACT_EST_MAPPING=PRECISE</stp>
        <stp>FS=MRC</stp>
        <stp>CURRENCY=USD</stp>
        <stp>XLFILL=b</stp>
        <tr r="Y24" s="2"/>
      </tp>
      <tp t="s">
        <v>#N/A Requesting Data...</v>
        <stp/>
        <stp>##V3_BQLV12</stp>
        <stp>[MODL_NOW_US1.xlsx]Single Period!R84C25</stp>
        <stp>NOW US Equity</stp>
        <stp>IS_ADJ_GROSS_PROFIT_AS_REPORTED/1M</stp>
        <stp>FPR=2021Y</stp>
        <stp>FPT=A</stp>
        <stp>FA_ACT_EST_DATA=E, EST_SOURCE=DBG</stp>
        <stp>ACT_EST_MAPPING=PRECISE</stp>
        <stp>FS=MRC</stp>
        <stp>CURRENCY=USD</stp>
        <stp>XLFILL=b</stp>
        <tr r="Y84" s="2"/>
      </tp>
      <tp t="s">
        <v>#N/A Requesting Data...</v>
        <stp/>
        <stp>##V3_BQLV12</stp>
        <stp>[MODL_NOW_US1.xlsx]Single Period!R112C24</stp>
        <stp>SEG0000230975 Segment</stp>
        <stp>IS_COGS_TO_FE_AND_PP_AND_G/1M</stp>
        <stp>FPR=2021Y</stp>
        <stp>FPT=A</stp>
        <stp>FA_ACT_EST_DATA=E, EST_SOURCE=CWN</stp>
        <stp>ACT_EST_MAPPING=PRECISE</stp>
        <stp>FS=MRC</stp>
        <stp>CURRENCY=USD</stp>
        <stp>XLFILL=b</stp>
        <tr r="X112" s="2"/>
      </tp>
      <tp t="s">
        <v>#N/A Requesting Data...</v>
        <stp/>
        <stp>##V3_BQLV12</stp>
        <stp>[MODL_NOW_US1.xlsx]Single Period!R112C40</stp>
        <stp>SEG0000230975 Segment</stp>
        <stp>IS_COGS_TO_FE_AND_PP_AND_G/1M</stp>
        <stp>FPR=2021Y</stp>
        <stp>FPT=A</stp>
        <stp>FA_ACT_EST_DATA=E, EST_SOURCE=DWI</stp>
        <stp>ACT_EST_MAPPING=PRECISE</stp>
        <stp>FS=MRC</stp>
        <stp>CURRENCY=USD</stp>
        <stp>XLFILL=b</stp>
        <tr r="AN112" s="2"/>
      </tp>
      <tp t="s">
        <v>#N/A Requesting Data...</v>
        <stp/>
        <stp>##V3_BQLV12</stp>
        <stp>[MODL_NOW_US1.xlsx]Single Period!R24C12</stp>
        <stp>NOW US Equity</stp>
        <stp>IS_ADJ_GROSS_PROFIT_AS_REPORTED/1M</stp>
        <stp>FPR=2021Y</stp>
        <stp>FPT=A</stp>
        <stp>FA_ACT_EST_DATA=E, EST_SOURCE=WBL</stp>
        <stp>ACT_EST_MAPPING=PRECISE</stp>
        <stp>FS=MRC</stp>
        <stp>CURRENCY=USD</stp>
        <stp>XLFILL=b</stp>
        <tr r="L24" s="2"/>
      </tp>
      <tp t="s">
        <v>#N/A Requesting Data...</v>
        <stp/>
        <stp>##V3_BQLV12</stp>
        <stp>[MODL_NOW_US1.xlsx]Single Period!R84C12</stp>
        <stp>NOW US Equity</stp>
        <stp>IS_ADJ_GROSS_PROFIT_AS_REPORTED/1M</stp>
        <stp>FPR=2021Y</stp>
        <stp>FPT=A</stp>
        <stp>FA_ACT_EST_DATA=E, EST_SOURCE=WBL</stp>
        <stp>ACT_EST_MAPPING=PRECISE</stp>
        <stp>FS=MRC</stp>
        <stp>CURRENCY=USD</stp>
        <stp>XLFILL=b</stp>
        <tr r="L84" s="2"/>
      </tp>
      <tp t="s">
        <v>#N/A Requesting Data...</v>
        <stp/>
        <stp>##V3_BQLV12</stp>
        <stp>[MODL_NOW_US1.xlsx]Single Period!R24C26</stp>
        <stp>NOW US Equity</stp>
        <stp>IS_ADJ_GROSS_PROFIT_AS_REPORTED/1M</stp>
        <stp>FPR=2021Y</stp>
        <stp>FPT=A</stp>
        <stp>FA_ACT_EST_DATA=E, EST_SOURCE=UBS</stp>
        <stp>ACT_EST_MAPPING=PRECISE</stp>
        <stp>FS=MRC</stp>
        <stp>CURRENCY=USD</stp>
        <stp>XLFILL=b</stp>
        <tr r="Z24" s="2"/>
      </tp>
      <tp t="s">
        <v>#N/A Requesting Data...</v>
        <stp/>
        <stp>##V3_BQLV12</stp>
        <stp>[MODL_NOW_US1.xlsx]Single Period!R84C26</stp>
        <stp>NOW US Equity</stp>
        <stp>IS_ADJ_GROSS_PROFIT_AS_REPORTED/1M</stp>
        <stp>FPR=2021Y</stp>
        <stp>FPT=A</stp>
        <stp>FA_ACT_EST_DATA=E, EST_SOURCE=UBS</stp>
        <stp>ACT_EST_MAPPING=PRECISE</stp>
        <stp>FS=MRC</stp>
        <stp>CURRENCY=USD</stp>
        <stp>XLFILL=b</stp>
        <tr r="Z84" s="2"/>
      </tp>
      <tp t="s">
        <v>#N/A Requesting Data...</v>
        <stp/>
        <stp>##V3_BQLV12</stp>
        <stp>[MODL_NOW_US1.xlsx]Single Period!R59C46</stp>
        <stp>SEG0000230975 Segment</stp>
        <stp>IS_PERCENTAGE_OF_REVENUE</stp>
        <stp>FPR=2021Y</stp>
        <stp>FPT=A</stp>
        <stp>FA_ACT_EST_DATA=E, EST_SOURCE=MZS</stp>
        <stp>ACT_EST_MAPPING=PRECISE</stp>
        <stp>FS=MRC</stp>
        <stp>CURRENCY=USD</stp>
        <stp>XLFILL=b</stp>
        <tr r="AT59" s="2"/>
      </tp>
      <tp t="s">
        <v>#N/A Requesting Data...</v>
        <stp/>
        <stp>##V3_BQLV12</stp>
        <stp>[MODL_NOW_US1.xlsx]Single Period!R141C36</stp>
        <stp>SEG0000230986 Segment</stp>
        <stp>IS_SBC_ATTRIB_TO_COGS_PRETX/1M</stp>
        <stp>FPR=2021Y</stp>
        <stp>FPT=A</stp>
        <stp>FA_ACT_EST_DATA=E, EST_SOURCE=JEF</stp>
        <stp>ACT_EST_MAPPING=PRECISE</stp>
        <stp>FS=MRC</stp>
        <stp>CURRENCY=USD</stp>
        <stp>XLFILL=b</stp>
        <tr r="AJ141" s="2"/>
      </tp>
      <tp t="s">
        <v>#N/A Requesting Data...</v>
        <stp/>
        <stp>##V3_BQLV12</stp>
        <stp>[MODL_NOW_US1.xlsx]Single Period!R52C39</stp>
        <stp>NOW US Equity</stp>
        <stp>ACCT_RCV_DAYS</stp>
        <stp>FPR=2021Y</stp>
        <stp>FPT=A</stp>
        <stp>FA_ACT_EST_DATA=E, EST_SOURCE=DZB</stp>
        <stp>ACT_EST_MAPPING=PRECISE</stp>
        <stp>FS=MRC</stp>
        <stp>CURRENCY=USD</stp>
        <stp>XLFILL=b</stp>
        <tr r="AM52" s="2"/>
      </tp>
      <tp t="s">
        <v>#N/A Requesting Data...</v>
        <stp/>
        <stp>##V3_BQLV12</stp>
        <stp>[MODL_NOW_US1.xlsx]Single Period!R167C8</stp>
        <stp>NOW US Equity</stp>
        <stp>CONTRIBUTOR_STATS(BS_GOODWILL, STD)/1M</stp>
        <stp>FPR=2021Y</stp>
        <stp>FPT=A</stp>
        <stp>FA_ACT_EST_DATA=E</stp>
        <stp>ACT_EST_MAPPING=PRECISE</stp>
        <stp>FS=MRC</stp>
        <stp>CURRENCY=USD</stp>
        <stp>XLFILL=b</stp>
        <tr r="H167" s="2"/>
      </tp>
      <tp t="s">
        <v>#N/A Requesting Data...</v>
        <stp/>
        <stp>##V3_BQLV12</stp>
        <stp>[MODL_NOW_US1.xlsx]Single Period!R231C46</stp>
        <stp>NOW US Equity</stp>
        <stp>CF_NET_CHNG_CASH/1M</stp>
        <stp>FPR=2021Y</stp>
        <stp>FPT=A</stp>
        <stp>FA_ACT_EST_DATA=E, EST_SOURCE=MZS</stp>
        <stp>ACT_EST_MAPPING=PRECISE</stp>
        <stp>FS=MRC</stp>
        <stp>CURRENCY=USD</stp>
        <stp>XLFILL=b</stp>
        <tr r="AT231" s="2"/>
      </tp>
      <tp t="s">
        <v>#N/A Requesting Data...</v>
        <stp/>
        <stp>##V3_BQLV12</stp>
        <stp>[MODL_NOW_US1.xlsx]Single Period!R158C6</stp>
        <stp>NOW US Equity</stp>
        <stp>CONTRIBUTOR_STATS(BS_ACCTS_REC_EXCL_NOTES_REC, MIN)/1M</stp>
        <stp>FPR=2021Y</stp>
        <stp>FPT=A</stp>
        <stp>FA_ACT_EST_DATA=E</stp>
        <stp>ACT_EST_MAPPING=PRECISE</stp>
        <stp>FS=MRC</stp>
        <stp>CURRENCY=USD</stp>
        <stp>XLFILL=b</stp>
        <tr r="F158" s="2"/>
      </tp>
      <tp t="s">
        <v>#N/A Requesting Data...</v>
        <stp/>
        <stp>##V3_BQLV12</stp>
        <stp>[MODL_NOW_US1.xlsx]Single Period!R158C7</stp>
        <stp>NOW US Equity</stp>
        <stp>CONTRIBUTOR_STATS(BS_ACCTS_REC_EXCL_NOTES_REC, MAX)/1M</stp>
        <stp>FPR=2021Y</stp>
        <stp>FPT=A</stp>
        <stp>FA_ACT_EST_DATA=E</stp>
        <stp>ACT_EST_MAPPING=PRECISE</stp>
        <stp>FS=MRC</stp>
        <stp>CURRENCY=USD</stp>
        <stp>XLFILL=b</stp>
        <tr r="G158" s="2"/>
      </tp>
      <tp t="s">
        <v>#N/A Requesting Data...</v>
        <stp/>
        <stp>##V3_BQLV12</stp>
        <stp>[MODL_NOW_US1.xlsx]Single Period!R220C13</stp>
        <stp>NOW US Equity</stp>
        <stp>CF_PROCDS_FROM_INVSTMNTS/1M</stp>
        <stp>FPR=2021Y</stp>
        <stp>FPT=A</stp>
        <stp>FA_ACT_EST_DATA=E, EST_SOURCE=KEY</stp>
        <stp>ACT_EST_MAPPING=PRECISE</stp>
        <stp>FS=MRC</stp>
        <stp>CURRENCY=USD</stp>
        <stp>XLFILL=b</stp>
        <tr r="M220" s="2"/>
      </tp>
      <tp t="s">
        <v>#N/A Requesting Data...</v>
        <stp/>
        <stp>##V3_BQLV12</stp>
        <stp>[MODL_NOW_US1.xlsx]Single Period!R52C46</stp>
        <stp>NOW US Equity</stp>
        <stp>ACCT_RCV_DAYS</stp>
        <stp>FPR=2021Y</stp>
        <stp>FPT=A</stp>
        <stp>FA_ACT_EST_DATA=E, EST_SOURCE=MZS</stp>
        <stp>ACT_EST_MAPPING=PRECISE</stp>
        <stp>FS=MRC</stp>
        <stp>CURRENCY=USD</stp>
        <stp>XLFILL=b</stp>
        <tr r="AT52" s="2"/>
      </tp>
      <tp t="s">
        <v>#N/A Requesting Data...</v>
        <stp/>
        <stp>##V3_BQLV12</stp>
        <stp>[MODL_NOW_US1.xlsx]Single Period!R26C23</stp>
        <stp>NOW US Equity</stp>
        <stp>IS_ADJ_SELLING_AND_MRKTG_EXPN_AR/1M</stp>
        <stp>FPR=2021Y</stp>
        <stp>FPT=A</stp>
        <stp>FA_ACT_EST_DATA=E, EST_SOURCE=ZXS</stp>
        <stp>ACT_EST_MAPPING=PRECISE</stp>
        <stp>FS=MRC</stp>
        <stp>CURRENCY=USD</stp>
        <stp>XLFILL=b</stp>
        <tr r="W26" s="2"/>
      </tp>
      <tp t="s">
        <v>#N/A Requesting Data...</v>
        <stp/>
        <stp>##V3_BQLV12</stp>
        <stp>[MODL_NOW_US1.xlsx]Single Period!R162C39</stp>
        <stp>NOW US Equity</stp>
        <stp>BS_LONG_TERM_INVESTMENTS/1M</stp>
        <stp>FPR=2021Y</stp>
        <stp>FPT=A</stp>
        <stp>FA_ACT_EST_DATA=E, EST_SOURCE=DZB</stp>
        <stp>ACT_EST_MAPPING=PRECISE</stp>
        <stp>FS=MRC</stp>
        <stp>CURRENCY=USD</stp>
        <stp>XLFILL=b</stp>
        <tr r="AM162" s="2"/>
      </tp>
      <tp t="s">
        <v>#N/A Requesting Data...</v>
        <stp/>
        <stp>##V3_BQLV12</stp>
        <stp>[MODL_NOW_US1.xlsx]Single Period!R140C43</stp>
        <stp>SEG0000230975 Segment</stp>
        <stp>IS_SBC_ATTRIB_TO_COGS_PRETX/1M</stp>
        <stp>FPR=2021Y</stp>
        <stp>FPT=A</stp>
        <stp>FA_ACT_EST_DATA=E, EST_SOURCE=WFT</stp>
        <stp>ACT_EST_MAPPING=PRECISE</stp>
        <stp>FS=MRC</stp>
        <stp>CURRENCY=USD</stp>
        <stp>XLFILL=b</stp>
        <tr r="AQ140" s="2"/>
      </tp>
      <tp t="s">
        <v>#N/A Requesting Data...</v>
        <stp/>
        <stp>##V3_BQLV12</stp>
        <stp>[MODL_NOW_US1.xlsx]Single Period!R158C8</stp>
        <stp>NOW US Equity</stp>
        <stp>CONTRIBUTOR_STATS(BS_ACCTS_REC_EXCL_NOTES_REC, STD)/1M</stp>
        <stp>FPR=2021Y</stp>
        <stp>FPT=A</stp>
        <stp>FA_ACT_EST_DATA=E</stp>
        <stp>ACT_EST_MAPPING=PRECISE</stp>
        <stp>FS=MRC</stp>
        <stp>CURRENCY=USD</stp>
        <stp>XLFILL=b</stp>
        <tr r="H158" s="2"/>
      </tp>
      <tp t="s">
        <v>#N/A Requesting Data...</v>
        <stp/>
        <stp>##V3_BQLV12</stp>
        <stp>[MODL_NOW_US1.xlsx]Single Period!R141C13</stp>
        <stp>SEG0000230986 Segment</stp>
        <stp>IS_SBC_ATTRIB_TO_COGS_PRETX/1M</stp>
        <stp>FPR=2021Y</stp>
        <stp>FPT=A</stp>
        <stp>FA_ACT_EST_DATA=E, EST_SOURCE=KEY</stp>
        <stp>ACT_EST_MAPPING=PRECISE</stp>
        <stp>FS=MRC</stp>
        <stp>CURRENCY=USD</stp>
        <stp>XLFILL=b</stp>
        <tr r="M141" s="2"/>
      </tp>
      <tp t="s">
        <v>#N/A Requesting Data...</v>
        <stp/>
        <stp>##V3_BQLV12</stp>
        <stp>[MODL_NOW_US1.xlsx]Single Period!R88C23</stp>
        <stp>NOW US Equity</stp>
        <stp>IS_ADJ_SELLING_AND_MRKTG_EXPN_AR/1M</stp>
        <stp>FPR=2021Y</stp>
        <stp>FPT=A</stp>
        <stp>FA_ACT_EST_DATA=E, EST_SOURCE=ZXS</stp>
        <stp>ACT_EST_MAPPING=PRECISE</stp>
        <stp>FS=MRC</stp>
        <stp>CURRENCY=USD</stp>
        <stp>XLFILL=b</stp>
        <tr r="W88" s="2"/>
      </tp>
      <tp t="s">
        <v>#N/A Requesting Data...</v>
        <stp/>
        <stp>##V3_BQLV12</stp>
        <stp>[MODL_NOW_US1.xlsx]Single Period!R167C7</stp>
        <stp>NOW US Equity</stp>
        <stp>CONTRIBUTOR_STATS(BS_GOODWILL, MAX)/1M</stp>
        <stp>FPR=2021Y</stp>
        <stp>FPT=A</stp>
        <stp>FA_ACT_EST_DATA=E</stp>
        <stp>ACT_EST_MAPPING=PRECISE</stp>
        <stp>FS=MRC</stp>
        <stp>CURRENCY=USD</stp>
        <stp>XLFILL=b</stp>
        <tr r="G167" s="2"/>
      </tp>
      <tp t="s">
        <v>#N/A Requesting Data...</v>
        <stp/>
        <stp>##V3_BQLV12</stp>
        <stp>[MODL_NOW_US1.xlsx]Single Period!R167C6</stp>
        <stp>NOW US Equity</stp>
        <stp>CONTRIBUTOR_STATS(BS_GOODWILL, MIN)/1M</stp>
        <stp>FPR=2021Y</stp>
        <stp>FPT=A</stp>
        <stp>FA_ACT_EST_DATA=E</stp>
        <stp>ACT_EST_MAPPING=PRECISE</stp>
        <stp>FS=MRC</stp>
        <stp>CURRENCY=USD</stp>
        <stp>XLFILL=b</stp>
        <tr r="F167" s="2"/>
      </tp>
      <tp t="s">
        <v>#N/A Requesting Data...</v>
        <stp/>
        <stp>##V3_BQLV12</stp>
        <stp>[MODL_NOW_US1.xlsx]Single Period!R32C7</stp>
        <stp>NOW US Equity</stp>
        <stp>CONTRIBUTOR_STATS(BS_REMAINING_PERFORMANCE_OBLIG, MAX)/1M</stp>
        <stp>FPR=2021Y</stp>
        <stp>FPT=A</stp>
        <stp>FA_ACT_EST_DATA=E</stp>
        <stp>ACT_EST_MAPPING=PRECISE</stp>
        <stp>FS=MRC</stp>
        <stp>CURRENCY=USD</stp>
        <stp>XLFILL=b</stp>
        <tr r="G32" s="2"/>
      </tp>
      <tp t="s">
        <v>#N/A Requesting Data...</v>
        <stp/>
        <stp>##V3_BQLV12</stp>
        <stp>[MODL_NOW_US1.xlsx]Single Period!R32C6</stp>
        <stp>NOW US Equity</stp>
        <stp>CONTRIBUTOR_STATS(BS_REMAINING_PERFORMANCE_OBLIG, MIN)/1M</stp>
        <stp>FPR=2021Y</stp>
        <stp>FPT=A</stp>
        <stp>FA_ACT_EST_DATA=E</stp>
        <stp>ACT_EST_MAPPING=PRECISE</stp>
        <stp>FS=MRC</stp>
        <stp>CURRENCY=USD</stp>
        <stp>XLFILL=b</stp>
        <tr r="F32" s="2"/>
      </tp>
      <tp t="s">
        <v>#N/A Requesting Data...</v>
        <stp/>
        <stp>##V3_BQLV12</stp>
        <stp>[MODL_NOW_US1.xlsx]Single Period!R90C13</stp>
        <stp>NOW US Equity</stp>
        <stp>IS_ADJ_R_AND_D_AS_REPORTED/1M</stp>
        <stp>FPR=2021Y</stp>
        <stp>FPT=A</stp>
        <stp>FA_ACT_EST_DATA=E, EST_SOURCE=KEY</stp>
        <stp>ACT_EST_MAPPING=PRECISE</stp>
        <stp>FS=MRC</stp>
        <stp>CURRENCY=USD</stp>
        <stp>XLFILL=b</stp>
        <tr r="M90" s="2"/>
      </tp>
      <tp t="s">
        <v>#N/A Requesting Data...</v>
        <stp/>
        <stp>##V3_BQLV12</stp>
        <stp>[MODL_NOW_US1.xlsx]Single Period!R37C7</stp>
        <stp>NOW US Equity</stp>
        <stp>CONTRIBUTOR_STATS(BS_REMAINING_PERFORMANCE_OBLIG, MAX)/1M</stp>
        <stp>FPR=2021Y</stp>
        <stp>FPT=A</stp>
        <stp>FA_ACT_EST_DATA=E</stp>
        <stp>ACT_EST_MAPPING=PRECISE</stp>
        <stp>FS=MRC</stp>
        <stp>CURRENCY=USD</stp>
        <stp>XLFILL=b</stp>
        <tr r="G37" s="2"/>
      </tp>
      <tp t="s">
        <v>#N/A Requesting Data...</v>
        <stp/>
        <stp>##V3_BQLV12</stp>
        <stp>[MODL_NOW_US1.xlsx]Single Period!R37C6</stp>
        <stp>NOW US Equity</stp>
        <stp>CONTRIBUTOR_STATS(BS_REMAINING_PERFORMANCE_OBLIG, MIN)/1M</stp>
        <stp>FPR=2021Y</stp>
        <stp>FPT=A</stp>
        <stp>FA_ACT_EST_DATA=E</stp>
        <stp>ACT_EST_MAPPING=PRECISE</stp>
        <stp>FS=MRC</stp>
        <stp>CURRENCY=USD</stp>
        <stp>XLFILL=b</stp>
        <tr r="F37" s="2"/>
      </tp>
      <tp t="s">
        <v>#N/A Requesting Data...</v>
        <stp/>
        <stp>##V3_BQLV12</stp>
        <stp>[MODL_NOW_US1.xlsx]Single Period!R108C14</stp>
        <stp>NOW US Equity</stp>
        <stp>IS_COMP_EPS_EXCL_STOCK_COMP</stp>
        <stp>FPR=2021Y</stp>
        <stp>FPT=A</stp>
        <stp>FA_ACT_EST_DATA=E, EST_SOURCE=BMO</stp>
        <stp>ACT_EST_MAPPING=PRECISE</stp>
        <stp>FS=MRC</stp>
        <stp>CURRENCY=USD</stp>
        <stp>XLFILL=b</stp>
        <tr r="N108" s="2"/>
      </tp>
      <tp t="s">
        <v>#N/A Requesting Data...</v>
        <stp/>
        <stp>##V3_BQLV12</stp>
        <stp>[MODL_NOW_US1.xlsx]Single Period!R53C9</stp>
        <stp>NOW US Equity</stp>
        <stp>CONTRIBUTOR_STATS(ANNUALIZED_DAYS_SALES_OUTSTDG, MEDIAN)</stp>
        <stp>FPR=2021Y</stp>
        <stp>FPT=A</stp>
        <stp>FA_ACT_EST_DATA=E</stp>
        <stp>ACT_EST_MAPPING=PRECISE</stp>
        <stp>FS=MRC</stp>
        <stp>CURRENCY=USD</stp>
        <stp>XLFILL=b</stp>
        <tr r="I53" s="2"/>
      </tp>
      <tp t="s">
        <v>#N/A Requesting Data...</v>
        <stp/>
        <stp>##V3_BQLV12</stp>
        <stp>[MODL_NOW_US1.xlsx]Single Period!R202C9</stp>
        <stp>NOW US Equity</stp>
        <stp>CONTRIBUTOR_STATS(CF_AMORTIZATN_OF_DEFRRD_COMPNSTN, MEDIAN)/1M</stp>
        <stp>FPR=2021Y</stp>
        <stp>FPT=A</stp>
        <stp>FA_ACT_EST_DATA=E</stp>
        <stp>ACT_EST_MAPPING=PRECISE</stp>
        <stp>FS=MRC</stp>
        <stp>CURRENCY=USD</stp>
        <stp>XLFILL=b</stp>
        <tr r="I202" s="2"/>
      </tp>
      <tp t="s">
        <v>#N/A Requesting Data...</v>
        <stp/>
        <stp>##V3_BQLV12</stp>
        <stp>[MODL_NOW_US1.xlsx]Single Period!R37C8</stp>
        <stp>NOW US Equity</stp>
        <stp>CONTRIBUTOR_STATS(BS_REMAINING_PERFORMANCE_OBLIG, STD)/1M</stp>
        <stp>FPR=2021Y</stp>
        <stp>FPT=A</stp>
        <stp>FA_ACT_EST_DATA=E</stp>
        <stp>ACT_EST_MAPPING=PRECISE</stp>
        <stp>FS=MRC</stp>
        <stp>CURRENCY=USD</stp>
        <stp>XLFILL=b</stp>
        <tr r="H37" s="2"/>
      </tp>
      <tp t="s">
        <v>#N/A Requesting Data...</v>
        <stp/>
        <stp>##V3_BQLV12</stp>
        <stp>[MODL_NOW_US1.xlsx]Single Period!R90C36</stp>
        <stp>NOW US Equity</stp>
        <stp>IS_ADJ_R_AND_D_AS_REPORTED/1M</stp>
        <stp>FPR=2021Y</stp>
        <stp>FPT=A</stp>
        <stp>FA_ACT_EST_DATA=E, EST_SOURCE=JEF</stp>
        <stp>ACT_EST_MAPPING=PRECISE</stp>
        <stp>FS=MRC</stp>
        <stp>CURRENCY=USD</stp>
        <stp>XLFILL=b</stp>
        <tr r="AJ90" s="2"/>
      </tp>
      <tp t="s">
        <v>#N/A Requesting Data...</v>
        <stp/>
        <stp>##V3_BQLV12</stp>
        <stp>[MODL_NOW_US1.xlsx]Single Period!R32C8</stp>
        <stp>NOW US Equity</stp>
        <stp>CONTRIBUTOR_STATS(BS_REMAINING_PERFORMANCE_OBLIG, STD)/1M</stp>
        <stp>FPR=2021Y</stp>
        <stp>FPT=A</stp>
        <stp>FA_ACT_EST_DATA=E</stp>
        <stp>ACT_EST_MAPPING=PRECISE</stp>
        <stp>FS=MRC</stp>
        <stp>CURRENCY=USD</stp>
        <stp>XLFILL=b</stp>
        <tr r="H32" s="2"/>
      </tp>
      <tp t="s">
        <v>#N/A Requesting Data...</v>
        <stp/>
        <stp>##V3_BQLV12</stp>
        <stp>[MODL_NOW_US1.xlsx]Single Period!R108C29</stp>
        <stp>NOW US Equity</stp>
        <stp>IS_COMP_EPS_EXCL_STOCK_COMP</stp>
        <stp>FPR=2021Y</stp>
        <stp>FPT=A</stp>
        <stp>FA_ACT_EST_DATA=E, EST_SOURCE=BNS</stp>
        <stp>ACT_EST_MAPPING=PRECISE</stp>
        <stp>FS=MRC</stp>
        <stp>CURRENCY=USD</stp>
        <stp>XLFILL=b</stp>
        <tr r="AC108" s="2"/>
      </tp>
      <tp t="s">
        <v>#N/A Requesting Data...</v>
        <stp/>
        <stp>##V3_BQLV12</stp>
        <stp>[MODL_NOW_US1.xlsx]Single Period!R126C7</stp>
        <stp>NOW US Equity</stp>
        <stp>CONTRIBUTOR_STATS(IS_NON_OPERATING_INC_LOSS_GAAP, MAX)/1M</stp>
        <stp>FPR=2021Y</stp>
        <stp>FPT=A</stp>
        <stp>FA_ACT_EST_DATA=E</stp>
        <stp>ACT_EST_MAPPING=PRECISE</stp>
        <stp>FS=MRC</stp>
        <stp>CURRENCY=USD</stp>
        <stp>XLFILL=b</stp>
        <tr r="G126" s="2"/>
      </tp>
      <tp t="s">
        <v>#N/A Requesting Data...</v>
        <stp/>
        <stp>##V3_BQLV12</stp>
        <stp>[MODL_NOW_US1.xlsx]Single Period!R126C6</stp>
        <stp>NOW US Equity</stp>
        <stp>CONTRIBUTOR_STATS(IS_NON_OPERATING_INC_LOSS_GAAP, MIN)/1M</stp>
        <stp>FPR=2021Y</stp>
        <stp>FPT=A</stp>
        <stp>FA_ACT_EST_DATA=E</stp>
        <stp>ACT_EST_MAPPING=PRECISE</stp>
        <stp>FS=MRC</stp>
        <stp>CURRENCY=USD</stp>
        <stp>XLFILL=b</stp>
        <tr r="F126" s="2"/>
      </tp>
      <tp t="s">
        <v>#N/A Requesting Data...</v>
        <stp/>
        <stp>##V3_BQLV12</stp>
        <stp>[MODL_NOW_US1.xlsx]Single Period!R129C5</stp>
        <stp>NOW US Equity</stp>
        <stp>EFF_TAX_RATE</stp>
        <stp>FPR=2021Y</stp>
        <stp>FPT=A</stp>
        <stp>FA_ACT_EST_DATA=E</stp>
        <stp>ACT_EST_MAPPING=PRECISE</stp>
        <stp>FS=MRC</stp>
        <stp>CURRENCY=USD</stp>
        <stp>XLFILL=b</stp>
        <tr r="E129" s="2"/>
      </tp>
      <tp t="s">
        <v>#N/A Requesting Data...</v>
        <stp/>
        <stp>##V3_BQLV12</stp>
        <stp>[MODL_NOW_US1.xlsx]Single Period!R6C19</stp>
        <stp>NOW US Equity</stp>
        <stp>IS_COMP_EPS_EXCL_STOCK_COMP</stp>
        <stp>FPR=2021Y</stp>
        <stp>FPT=A</stp>
        <stp>FA_ACT_EST_DATA=E, EST_SOURCE=MSV</stp>
        <stp>ACT_EST_MAPPING=PRECISE</stp>
        <stp>FS=MRC</stp>
        <stp>CURRENCY=USD</stp>
        <stp>XLFILL=b</stp>
        <tr r="S6" s="2"/>
      </tp>
      <tp t="s">
        <v>#N/A Requesting Data...</v>
        <stp/>
        <stp>##V3_BQLV12</stp>
        <stp>[MODL_NOW_US1.xlsx]Single Period!R126C8</stp>
        <stp>NOW US Equity</stp>
        <stp>CONTRIBUTOR_STATS(IS_NON_OPERATING_INC_LOSS_GAAP, STD)/1M</stp>
        <stp>FPR=2021Y</stp>
        <stp>FPT=A</stp>
        <stp>FA_ACT_EST_DATA=E</stp>
        <stp>ACT_EST_MAPPING=PRECISE</stp>
        <stp>FS=MRC</stp>
        <stp>CURRENCY=USD</stp>
        <stp>XLFILL=b</stp>
        <tr r="H126" s="2"/>
      </tp>
      <tp t="s">
        <v>#N/A Requesting Data...</v>
        <stp/>
        <stp>##V3_BQLV12</stp>
        <stp>[MODL_NOW_US1.xlsx]Single Period!R24C16</stp>
        <stp>NOW US Equity</stp>
        <stp>IS_ADJ_GROSS_PROFIT_AS_REPORTED/1M</stp>
        <stp>FPR=2021Y</stp>
        <stp>FPT=A</stp>
        <stp>FA_ACT_EST_DATA=E, EST_SOURCE=BCA</stp>
        <stp>ACT_EST_MAPPING=PRECISE</stp>
        <stp>FS=MRC</stp>
        <stp>CURRENCY=USD</stp>
        <stp>XLFILL=b</stp>
        <tr r="P24" s="2"/>
      </tp>
      <tp t="s">
        <v>#N/A Requesting Data...</v>
        <stp/>
        <stp>##V3_BQLV12</stp>
        <stp>[MODL_NOW_US1.xlsx]Single Period!R84C16</stp>
        <stp>NOW US Equity</stp>
        <stp>IS_ADJ_GROSS_PROFIT_AS_REPORTED/1M</stp>
        <stp>FPR=2021Y</stp>
        <stp>FPT=A</stp>
        <stp>FA_ACT_EST_DATA=E, EST_SOURCE=BCA</stp>
        <stp>ACT_EST_MAPPING=PRECISE</stp>
        <stp>FS=MRC</stp>
        <stp>CURRENCY=USD</stp>
        <stp>XLFILL=b</stp>
        <tr r="P84" s="2"/>
      </tp>
      <tp t="s">
        <v>#N/A Requesting Data...</v>
        <stp/>
        <stp>##V3_BQLV12</stp>
        <stp>[MODL_NOW_US1.xlsx]Single Period!R84C49</stp>
        <stp>NOW US Equity</stp>
        <stp>IS_ADJ_GROSS_PROFIT_AS_REPORTED/1M</stp>
        <stp>FPR=2021Y</stp>
        <stp>FPT=A</stp>
        <stp>FA_ACT_EST_DATA=E, EST_SOURCE=SCB</stp>
        <stp>ACT_EST_MAPPING=PRECISE</stp>
        <stp>FS=MRC</stp>
        <stp>CURRENCY=USD</stp>
        <stp>XLFILL=b</stp>
        <tr r="AW84" s="2"/>
      </tp>
      <tp t="s">
        <v>#N/A Requesting Data...</v>
        <stp/>
        <stp>##V3_BQLV12</stp>
        <stp>[MODL_NOW_US1.xlsx]Single Period!R24C49</stp>
        <stp>NOW US Equity</stp>
        <stp>IS_ADJ_GROSS_PROFIT_AS_REPORTED/1M</stp>
        <stp>FPR=2021Y</stp>
        <stp>FPT=A</stp>
        <stp>FA_ACT_EST_DATA=E, EST_SOURCE=SCB</stp>
        <stp>ACT_EST_MAPPING=PRECISE</stp>
        <stp>FS=MRC</stp>
        <stp>CURRENCY=USD</stp>
        <stp>XLFILL=b</stp>
        <tr r="AW24" s="2"/>
      </tp>
      <tp t="s">
        <v>#N/A Requesting Data...</v>
        <stp/>
        <stp>##V3_BQLV12</stp>
        <stp>[MODL_NOW_US1.xlsx]Single Period!R113C23</stp>
        <stp>SEG0000230986 Segment</stp>
        <stp>IS_COGS_TO_FE_AND_PP_AND_G/1M</stp>
        <stp>FPR=2021Y</stp>
        <stp>FPT=A</stp>
        <stp>FA_ACT_EST_DATA=E, EST_SOURCE=ZXS</stp>
        <stp>ACT_EST_MAPPING=PRECISE</stp>
        <stp>FS=MRC</stp>
        <stp>CURRENCY=USD</stp>
        <stp>XLFILL=b</stp>
        <tr r="W113" s="2"/>
      </tp>
      <tp t="s">
        <v>#N/A Requesting Data...</v>
        <stp/>
        <stp>##V3_BQLV12</stp>
        <stp>[MODL_NOW_US1.xlsx]Single Period!R67C28</stp>
        <stp>SEG0000230986 Segment</stp>
        <stp>IS_PERCENTAGE_OF_REVENUE</stp>
        <stp>FPR=2021Y</stp>
        <stp>FPT=A</stp>
        <stp>FA_ACT_EST_DATA=E, EST_SOURCE=EVR</stp>
        <stp>ACT_EST_MAPPING=PRECISE</stp>
        <stp>FS=MRC</stp>
        <stp>CURRENCY=USD</stp>
        <stp>XLFILL=b</stp>
        <tr r="AB67" s="2"/>
      </tp>
      <tp t="s">
        <v>#N/A Requesting Data...</v>
        <stp/>
        <stp>##V3_BQLV12</stp>
        <stp>[MODL_NOW_US1.xlsx]Single Period!R112C28</stp>
        <stp>SEG0000230975 Segment</stp>
        <stp>IS_COGS_TO_FE_AND_PP_AND_G/1M</stp>
        <stp>FPR=2021Y</stp>
        <stp>FPT=A</stp>
        <stp>FA_ACT_EST_DATA=E, EST_SOURCE=EVR</stp>
        <stp>ACT_EST_MAPPING=PRECISE</stp>
        <stp>FS=MRC</stp>
        <stp>CURRENCY=USD</stp>
        <stp>XLFILL=b</stp>
        <tr r="AB112" s="2"/>
      </tp>
      <tp t="s">
        <v>#N/A Requesting Data...</v>
        <stp/>
        <stp>##V3_BQLV12</stp>
        <stp>[MODL_NOW_US1.xlsx]Single Period!R44C46</stp>
        <stp>SEG0000230986 Segment</stp>
        <stp>IS_FOREIGN_CURRENCY_TURNOVER/1M</stp>
        <stp>FPR=2021Y</stp>
        <stp>FPT=A</stp>
        <stp>FA_ACT_EST_DATA=E, EST_SOURCE=MZS</stp>
        <stp>ACT_EST_MAPPING=PRECISE</stp>
        <stp>FS=MRC</stp>
        <stp>CURRENCY=USD</stp>
        <stp>XLFILL=b</stp>
        <tr r="AT44" s="2"/>
      </tp>
      <tp t="s">
        <v>#N/A Requesting Data...</v>
        <stp/>
        <stp>##V3_BQLV12</stp>
        <stp>[MODL_NOW_US1.xlsx]Single Period!R68C46</stp>
        <stp>SEG0000230986 Segment</stp>
        <stp>IS_ADJUSTED_COGS_AS_REPORTED/1M</stp>
        <stp>FPR=2021Y</stp>
        <stp>FPT=A</stp>
        <stp>FA_ACT_EST_DATA=E, EST_SOURCE=MZS</stp>
        <stp>ACT_EST_MAPPING=PRECISE</stp>
        <stp>FS=MRC</stp>
        <stp>CURRENCY=USD</stp>
        <stp>XLFILL=b</stp>
        <tr r="AT68" s="2"/>
      </tp>
      <tp t="s">
        <v>#N/A Requesting Data...</v>
        <stp/>
        <stp>##V3_BQLV12</stp>
        <stp>[MODL_NOW_US1.xlsx]Single Period!R60C46</stp>
        <stp>SEG0000230975 Segment</stp>
        <stp>IS_ADJUSTED_COGS_AS_REPORTED/1M</stp>
        <stp>FPR=2021Y</stp>
        <stp>FPT=A</stp>
        <stp>FA_ACT_EST_DATA=E, EST_SOURCE=MZS</stp>
        <stp>ACT_EST_MAPPING=PRECISE</stp>
        <stp>FS=MRC</stp>
        <stp>CURRENCY=USD</stp>
        <stp>XLFILL=b</stp>
        <tr r="AT60" s="2"/>
      </tp>
      <tp t="s">
        <v>#N/A Requesting Data...</v>
        <stp/>
        <stp>##V3_BQLV12</stp>
        <stp>[MODL_NOW_US1.xlsx]Single Period!R184C9</stp>
        <stp>NOW US Equity</stp>
        <stp>CONTRIBUTOR_STATS(BS_EQTY_BEFORE_MINORITY_INT, MEDIAN)/1M</stp>
        <stp>FPR=2021Y</stp>
        <stp>FPT=A</stp>
        <stp>FA_ACT_EST_DATA=E</stp>
        <stp>ACT_EST_MAPPING=PRECISE</stp>
        <stp>FS=MRC</stp>
        <stp>CURRENCY=USD</stp>
        <stp>XLFILL=b</stp>
        <tr r="I184" s="2"/>
      </tp>
      <tp t="s">
        <v>#N/A Requesting Data...</v>
        <stp/>
        <stp>##V3_BQLV12</stp>
        <stp>[MODL_NOW_US1.xlsx]Single Period!R137C6</stp>
        <stp>NOW US Equity</stp>
        <stp>CONTRIBUTOR_STATS(CF_STOCK_BASED_COMPENSATION, MIN)/1M</stp>
        <stp>FPR=2021Y</stp>
        <stp>FPT=A</stp>
        <stp>FA_ACT_EST_DATA=E</stp>
        <stp>ACT_EST_MAPPING=PRECISE</stp>
        <stp>FS=MRC</stp>
        <stp>CURRENCY=USD</stp>
        <stp>XLFILL=b</stp>
        <tr r="F137" s="2"/>
      </tp>
      <tp t="s">
        <v>#N/A Requesting Data...</v>
        <stp/>
        <stp>##V3_BQLV12</stp>
        <stp>[MODL_NOW_US1.xlsx]Single Period!R137C7</stp>
        <stp>NOW US Equity</stp>
        <stp>CONTRIBUTOR_STATS(CF_STOCK_BASED_COMPENSATION, MAX)/1M</stp>
        <stp>FPR=2021Y</stp>
        <stp>FPT=A</stp>
        <stp>FA_ACT_EST_DATA=E</stp>
        <stp>ACT_EST_MAPPING=PRECISE</stp>
        <stp>FS=MRC</stp>
        <stp>CURRENCY=USD</stp>
        <stp>XLFILL=b</stp>
        <tr r="G137" s="2"/>
      </tp>
      <tp t="s">
        <v>#N/A Requesting Data...</v>
        <stp/>
        <stp>##V3_BQLV12</stp>
        <stp>[MODL_NOW_US1.xlsx]Single Period!R141C22</stp>
        <stp>SEG0000230986 Segment</stp>
        <stp>IS_SBC_ATTRIB_TO_COGS_PRETX/1M</stp>
        <stp>FPR=2021Y</stp>
        <stp>FPT=A</stp>
        <stp>FA_ACT_EST_DATA=E, EST_SOURCE=NDH</stp>
        <stp>ACT_EST_MAPPING=PRECISE</stp>
        <stp>FS=MRC</stp>
        <stp>CURRENCY=USD</stp>
        <stp>XLFILL=b</stp>
        <tr r="V141" s="2"/>
      </tp>
      <tp t="s">
        <v>#N/A Requesting Data...</v>
        <stp/>
        <stp>##V3_BQLV12</stp>
        <stp>[MODL_NOW_US1.xlsx]Single Period!R137C8</stp>
        <stp>NOW US Equity</stp>
        <stp>CONTRIBUTOR_STATS(CF_STOCK_BASED_COMPENSATION, STD)/1M</stp>
        <stp>FPR=2021Y</stp>
        <stp>FPT=A</stp>
        <stp>FA_ACT_EST_DATA=E</stp>
        <stp>ACT_EST_MAPPING=PRECISE</stp>
        <stp>FS=MRC</stp>
        <stp>CURRENCY=USD</stp>
        <stp>XLFILL=b</stp>
        <tr r="H137" s="2"/>
      </tp>
      <tp t="s">
        <v>#N/A Requesting Data...</v>
        <stp/>
        <stp>##V3_BQLV12</stp>
        <stp>[MODL_NOW_US1.xlsx]Single Period!R105C10</stp>
        <stp>NOW US Equity</stp>
        <stp>ADJ_PROFIT_MARGIN</stp>
        <stp>FPR=2021Y</stp>
        <stp>FPT=A</stp>
        <stp>FA_ACT_EST_DATA=E, EST_SOURCE=CMPY</stp>
        <stp>ACT_EST_MAPPING=PRECISE</stp>
        <stp>FS=MRC</stp>
        <stp>CURRENCY=USD</stp>
        <stp>XLFILL=b</stp>
        <tr r="J105" s="2"/>
      </tp>
      <tp t="s">
        <v>#N/A Requesting Data...</v>
        <stp/>
        <stp>##V3_BQLV12</stp>
        <stp>[MODL_NOW_US1.xlsx]Single Period!R90C22</stp>
        <stp>NOW US Equity</stp>
        <stp>IS_ADJ_R_AND_D_AS_REPORTED/1M</stp>
        <stp>FPR=2021Y</stp>
        <stp>FPT=A</stp>
        <stp>FA_ACT_EST_DATA=E, EST_SOURCE=NDH</stp>
        <stp>ACT_EST_MAPPING=PRECISE</stp>
        <stp>FS=MRC</stp>
        <stp>CURRENCY=USD</stp>
        <stp>XLFILL=b</stp>
        <tr r="V90" s="2"/>
      </tp>
      <tp t="s">
        <v>#N/A Requesting Data...</v>
        <stp/>
        <stp>##V3_BQLV12</stp>
        <stp>[MODL_NOW_US1.xlsx]Single Period!R230C10</stp>
        <stp>NOW US Equity</stp>
        <stp>CF_EFFECT_FOREIGN_EXCHANGES/1M</stp>
        <stp>FPR=2021Y</stp>
        <stp>FPT=A</stp>
        <stp>FA_ACT_EST_DATA=E, EST_SOURCE=CMPY</stp>
        <stp>ACT_EST_MAPPING=PRECISE</stp>
        <stp>FS=MRC</stp>
        <stp>CURRENCY=USD</stp>
        <stp>XLFILL=b</stp>
        <tr r="J230" s="2"/>
      </tp>
      <tp t="s">
        <v>#N/A Requesting Data...</v>
        <stp/>
        <stp>##V3_BQLV12</stp>
        <stp>[MODL_NOW_US1.xlsx]Single Period!R6C40</stp>
        <stp>NOW US Equity</stp>
        <stp>IS_COMP_EPS_EXCL_STOCK_COMP</stp>
        <stp>FPR=2021Y</stp>
        <stp>FPT=A</stp>
        <stp>FA_ACT_EST_DATA=E, EST_SOURCE=DWI</stp>
        <stp>ACT_EST_MAPPING=PRECISE</stp>
        <stp>FS=MRC</stp>
        <stp>CURRENCY=USD</stp>
        <stp>XLFILL=b</stp>
        <tr r="AN6" s="2"/>
      </tp>
      <tp t="s">
        <v>#N/A Requesting Data...</v>
        <stp/>
        <stp>##V3_BQLV12</stp>
        <stp>[MODL_NOW_US1.xlsx]Single Period!R143C5</stp>
        <stp>NOW US Equity</stp>
        <stp>IS_SBC_ATTRIBUTABLE_TO_R_AND_D_PRETX/1M</stp>
        <stp>FPR=2021Y</stp>
        <stp>FPT=A</stp>
        <stp>FA_ACT_EST_DATA=E</stp>
        <stp>ACT_EST_MAPPING=PRECISE</stp>
        <stp>FS=MRC</stp>
        <stp>CURRENCY=USD</stp>
        <stp>XLFILL=b</stp>
        <tr r="E143" s="2"/>
      </tp>
      <tp t="s">
        <v>#N/A Requesting Data...</v>
        <stp/>
        <stp>##V3_BQLV12</stp>
        <stp>[MODL_NOW_US1.xlsx]Single Period!R112C47</stp>
        <stp>SEG0000230975 Segment</stp>
        <stp>IS_COGS_TO_FE_AND_PP_AND_G/1M</stp>
        <stp>FPR=2021Y</stp>
        <stp>FPT=A</stp>
        <stp>FA_ACT_EST_DATA=E, EST_SOURCE=SUM</stp>
        <stp>ACT_EST_MAPPING=PRECISE</stp>
        <stp>FS=MRC</stp>
        <stp>CURRENCY=USD</stp>
        <stp>XLFILL=b</stp>
        <tr r="AU112" s="2"/>
      </tp>
      <tp t="s">
        <v>#N/A Requesting Data...</v>
        <stp/>
        <stp>##V3_BQLV12</stp>
        <stp>[MODL_NOW_US1.xlsx]Single Period!R129C6</stp>
        <stp>NOW US Equity</stp>
        <stp>CONTRIBUTOR_STATS(EFF_TAX_RATE, MIN)</stp>
        <stp>FPR=2021Y</stp>
        <stp>FPT=A</stp>
        <stp>FA_ACT_EST_DATA=E</stp>
        <stp>ACT_EST_MAPPING=PRECISE</stp>
        <stp>FS=MRC</stp>
        <stp>CURRENCY=USD</stp>
        <stp>XLFILL=b</stp>
        <tr r="F129" s="2"/>
      </tp>
      <tp t="s">
        <v>#N/A Requesting Data...</v>
        <stp/>
        <stp>##V3_BQLV12</stp>
        <stp>[MODL_NOW_US1.xlsx]Single Period!R59C28</stp>
        <stp>SEG0000230975 Segment</stp>
        <stp>IS_PERCENTAGE_OF_REVENUE</stp>
        <stp>FPR=2021Y</stp>
        <stp>FPT=A</stp>
        <stp>FA_ACT_EST_DATA=E, EST_SOURCE=EVR</stp>
        <stp>ACT_EST_MAPPING=PRECISE</stp>
        <stp>FS=MRC</stp>
        <stp>CURRENCY=USD</stp>
        <stp>XLFILL=b</stp>
        <tr r="AB59" s="2"/>
      </tp>
      <tp t="s">
        <v>#N/A Requesting Data...</v>
        <stp/>
        <stp>##V3_BQLV12</stp>
        <stp>[MODL_NOW_US1.xlsx]Single Period!R116C7</stp>
        <stp>NOW US Equity</stp>
        <stp>CONTRIBUTOR_STATS(GROSS_MARGIN, MAX)</stp>
        <stp>FPR=2021Y</stp>
        <stp>FPT=A</stp>
        <stp>FA_ACT_EST_DATA=E</stp>
        <stp>ACT_EST_MAPPING=PRECISE</stp>
        <stp>FS=MRC</stp>
        <stp>CURRENCY=USD</stp>
        <stp>XLFILL=b</stp>
        <tr r="G116" s="2"/>
      </tp>
      <tp t="s">
        <v>#N/A Requesting Data...</v>
        <stp/>
        <stp>##V3_BQLV12</stp>
        <stp>[MODL_NOW_US1.xlsx]Single Period!R123C9</stp>
        <stp>NOW US Equity</stp>
        <stp>CONTRIBUTOR_STATS(TOTAL_OPERATING_EXPENSES_RATIO, MEDIAN)/1M</stp>
        <stp>FPR=2021Y</stp>
        <stp>FPT=A</stp>
        <stp>FA_ACT_EST_DATA=E</stp>
        <stp>ACT_EST_MAPPING=PRECISE</stp>
        <stp>FS=MRC</stp>
        <stp>CURRENCY=USD</stp>
        <stp>XLFILL=b</stp>
        <tr r="I123" s="2"/>
      </tp>
      <tp t="s">
        <v>#N/A Requesting Data...</v>
        <stp/>
        <stp>##V3_BQLV12</stp>
        <stp>[MODL_NOW_US1.xlsx]Single Period!R61C8</stp>
        <stp>SEG0000230975 Segment</stp>
        <stp>CONTRIBUTOR_STATS(IS_ADJ_GROSS_PROFIT_AS_REPORTED, STD)/1M</stp>
        <stp>FPR=2021Y</stp>
        <stp>FPT=A</stp>
        <stp>FA_ACT_EST_DATA=E</stp>
        <stp>ACT_EST_MAPPING=PRECISE</stp>
        <stp>FS=MRC</stp>
        <stp>CURRENCY=USD</stp>
        <stp>XLFILL=b</stp>
        <tr r="H61" s="2"/>
      </tp>
      <tp t="s">
        <v>#N/A Requesting Data...</v>
        <stp/>
        <stp>##V3_BQLV12</stp>
        <stp>[MODL_NOW_US1.xlsx]Single Period!R140C22</stp>
        <stp>SEG0000230975 Segment</stp>
        <stp>IS_SBC_ATTRIB_TO_COGS_PRETX/1M</stp>
        <stp>FPR=2021Y</stp>
        <stp>FPT=A</stp>
        <stp>FA_ACT_EST_DATA=E, EST_SOURCE=NDH</stp>
        <stp>ACT_EST_MAPPING=PRECISE</stp>
        <stp>FS=MRC</stp>
        <stp>CURRENCY=USD</stp>
        <stp>XLFILL=b</stp>
        <tr r="V140" s="2"/>
      </tp>
      <tp t="s">
        <v>#N/A Requesting Data...</v>
        <stp/>
        <stp>##V3_BQLV12</stp>
        <stp>[MODL_NOW_US1.xlsx]Single Period!R52C23</stp>
        <stp>NOW US Equity</stp>
        <stp>ACCT_RCV_DAYS</stp>
        <stp>FPR=2021Y</stp>
        <stp>FPT=A</stp>
        <stp>FA_ACT_EST_DATA=E, EST_SOURCE=ZXS</stp>
        <stp>ACT_EST_MAPPING=PRECISE</stp>
        <stp>FS=MRC</stp>
        <stp>CURRENCY=USD</stp>
        <stp>XLFILL=b</stp>
        <tr r="W52" s="2"/>
      </tp>
      <tp t="s">
        <v>#N/A Requesting Data...</v>
        <stp/>
        <stp>##V3_BQLV12</stp>
        <stp>[MODL_NOW_US1.xlsx]Single Period!R220C36</stp>
        <stp>NOW US Equity</stp>
        <stp>CF_PROCDS_FROM_INVSTMNTS/1M</stp>
        <stp>FPR=2021Y</stp>
        <stp>FPT=A</stp>
        <stp>FA_ACT_EST_DATA=E, EST_SOURCE=JEF</stp>
        <stp>ACT_EST_MAPPING=PRECISE</stp>
        <stp>FS=MRC</stp>
        <stp>CURRENCY=USD</stp>
        <stp>XLFILL=b</stp>
        <tr r="AJ220" s="2"/>
      </tp>
      <tp t="s">
        <v>#N/A Requesting Data...</v>
        <stp/>
        <stp>##V3_BQLV12</stp>
        <stp>[MODL_NOW_US1.xlsx]Single Period!R220C22</stp>
        <stp>NOW US Equity</stp>
        <stp>CF_PROCDS_FROM_INVSTMNTS/1M</stp>
        <stp>FPR=2021Y</stp>
        <stp>FPT=A</stp>
        <stp>FA_ACT_EST_DATA=E, EST_SOURCE=NDH</stp>
        <stp>ACT_EST_MAPPING=PRECISE</stp>
        <stp>FS=MRC</stp>
        <stp>CURRENCY=USD</stp>
        <stp>XLFILL=b</stp>
        <tr r="V220" s="2"/>
      </tp>
      <tp t="s">
        <v>#N/A Requesting Data...</v>
        <stp/>
        <stp>##V3_BQLV12</stp>
        <stp>[MODL_NOW_US1.xlsx]Single Period!R61C6</stp>
        <stp>SEG0000230975 Segment</stp>
        <stp>CONTRIBUTOR_STATS(IS_ADJ_GROSS_PROFIT_AS_REPORTED, MIN)/1M</stp>
        <stp>FPR=2021Y</stp>
        <stp>FPT=A</stp>
        <stp>FA_ACT_EST_DATA=E</stp>
        <stp>ACT_EST_MAPPING=PRECISE</stp>
        <stp>FS=MRC</stp>
        <stp>CURRENCY=USD</stp>
        <stp>XLFILL=b</stp>
        <tr r="F61" s="2"/>
      </tp>
      <tp t="s">
        <v>#N/A Requesting Data...</v>
        <stp/>
        <stp>##V3_BQLV12</stp>
        <stp>[MODL_NOW_US1.xlsx]Single Period!R61C7</stp>
        <stp>SEG0000230975 Segment</stp>
        <stp>CONTRIBUTOR_STATS(IS_ADJ_GROSS_PROFIT_AS_REPORTED, MAX)/1M</stp>
        <stp>FPR=2021Y</stp>
        <stp>FPT=A</stp>
        <stp>FA_ACT_EST_DATA=E</stp>
        <stp>ACT_EST_MAPPING=PRECISE</stp>
        <stp>FS=MRC</stp>
        <stp>CURRENCY=USD</stp>
        <stp>XLFILL=b</stp>
        <tr r="G61" s="2"/>
      </tp>
      <tp t="s">
        <v>#N/A Requesting Data...</v>
        <stp/>
        <stp>##V3_BQLV12</stp>
        <stp>[MODL_NOW_US1.xlsx]Single Period!R108C45</stp>
        <stp>NOW US Equity</stp>
        <stp>IS_COMP_EPS_EXCL_STOCK_COMP</stp>
        <stp>FPR=2021Y</stp>
        <stp>FPT=A</stp>
        <stp>FA_ACT_EST_DATA=E, EST_SOURCE=PJE</stp>
        <stp>ACT_EST_MAPPING=PRECISE</stp>
        <stp>FS=MRC</stp>
        <stp>CURRENCY=USD</stp>
        <stp>XLFILL=b</stp>
        <tr r="AS108" s="2"/>
      </tp>
      <tp t="s">
        <v>#N/A Requesting Data...</v>
        <stp/>
        <stp>##V3_BQLV12</stp>
        <stp>[MODL_NOW_US1.xlsx]Single Period!R210C10</stp>
        <stp>NOW US Equity</stp>
        <stp>CF_CHANGE_IN_PREPAID_EXPNSS/1M</stp>
        <stp>FPR=2021Y</stp>
        <stp>FPT=A</stp>
        <stp>FA_ACT_EST_DATA=E, EST_SOURCE=CMPY</stp>
        <stp>ACT_EST_MAPPING=PRECISE</stp>
        <stp>FS=MRC</stp>
        <stp>CURRENCY=USD</stp>
        <stp>XLFILL=b</stp>
        <tr r="J210" s="2"/>
      </tp>
      <tp t="s">
        <v>#N/A Requesting Data...</v>
        <stp/>
        <stp>##V3_BQLV12</stp>
        <stp>[MODL_NOW_US1.xlsx]Single Period!R217C17</stp>
        <stp>NOW US Equity</stp>
        <stp>CAP_EXPEND_TO_SALES</stp>
        <stp>FPR=2021Y</stp>
        <stp>FPT=A</stp>
        <stp>FA_ACT_EST_DATA=E, EST_SOURCE=RHR</stp>
        <stp>ACT_EST_MAPPING=PRECISE</stp>
        <stp>FS=MRC</stp>
        <stp>CURRENCY=USD</stp>
        <stp>XLFILL=b</stp>
        <tr r="Q217" s="2"/>
      </tp>
      <tp t="s">
        <v>#N/A Requesting Data...</v>
        <stp/>
        <stp>##V3_BQLV12</stp>
        <stp>[MODL_NOW_US1.xlsx]Single Period!R6C42</stp>
        <stp>NOW US Equity</stp>
        <stp>IS_COMP_EPS_EXCL_STOCK_COMP</stp>
        <stp>FPR=2021Y</stp>
        <stp>FPT=A</stp>
        <stp>FA_ACT_EST_DATA=E, EST_SOURCE=CTI</stp>
        <stp>ACT_EST_MAPPING=PRECISE</stp>
        <stp>FS=MRC</stp>
        <stp>CURRENCY=USD</stp>
        <stp>XLFILL=b</stp>
        <tr r="AP6" s="2"/>
      </tp>
      <tp t="s">
        <v>#N/A Requesting Data...</v>
        <stp/>
        <stp>##V3_BQLV12</stp>
        <stp>[MODL_NOW_US1.xlsx]Single Period!R6C34</stp>
        <stp>NOW US Equity</stp>
        <stp>IS_COMP_EPS_EXCL_STOCK_COMP</stp>
        <stp>FPR=2021Y</stp>
        <stp>FPT=A</stp>
        <stp>FA_ACT_EST_DATA=E, EST_SOURCE=PSG</stp>
        <stp>ACT_EST_MAPPING=PRECISE</stp>
        <stp>FS=MRC</stp>
        <stp>CURRENCY=USD</stp>
        <stp>XLFILL=b</stp>
        <tr r="AH6" s="2"/>
      </tp>
      <tp t="s">
        <v>#N/A Requesting Data...</v>
        <stp/>
        <stp>##V3_BQLV12</stp>
        <stp>[MODL_NOW_US1.xlsx]Single Period!R71C5</stp>
        <stp>SEG0000230986 Segment</stp>
        <stp>CB_IS_GROSS_PROFIT/1M</stp>
        <stp>FPR=2021Y</stp>
        <stp>FPT=A</stp>
        <stp>FA_ACT_EST_DATA=E</stp>
        <stp>ACT_EST_MAPPING=PRECISE</stp>
        <stp>FS=MRC</stp>
        <stp>CURRENCY=USD</stp>
        <stp>XLFILL=b</stp>
        <tr r="E71" s="2"/>
      </tp>
      <tp t="s">
        <v>#N/A Requesting Data...</v>
        <stp/>
        <stp>##V3_BQLV12</stp>
        <stp>[MODL_NOW_US1.xlsx]Single Period!R6C31</stp>
        <stp>NOW US Equity</stp>
        <stp>IS_COMP_EPS_EXCL_STOCK_COMP</stp>
        <stp>FPR=2021Y</stp>
        <stp>FPT=A</stp>
        <stp>FA_ACT_EST_DATA=E, EST_SOURCE=GSR</stp>
        <stp>ACT_EST_MAPPING=PRECISE</stp>
        <stp>FS=MRC</stp>
        <stp>CURRENCY=USD</stp>
        <stp>XLFILL=b</stp>
        <tr r="AE6" s="2"/>
      </tp>
      <tp t="s">
        <v>#N/A Requesting Data...</v>
        <stp/>
        <stp>##V3_BQLV12</stp>
        <stp>[MODL_NOW_US1.xlsx]Single Period!R6C35</stp>
        <stp>NOW US Equity</stp>
        <stp>IS_COMP_EPS_EXCL_STOCK_COMP</stp>
        <stp>FPR=2021Y</stp>
        <stp>FPT=A</stp>
        <stp>FA_ACT_EST_DATA=E, EST_SOURCE=MSR</stp>
        <stp>ACT_EST_MAPPING=PRECISE</stp>
        <stp>FS=MRC</stp>
        <stp>CURRENCY=USD</stp>
        <stp>XLFILL=b</stp>
        <tr r="AI6" s="2"/>
      </tp>
      <tp t="s">
        <v>#N/A Requesting Data...</v>
        <stp/>
        <stp>##V3_BQLV12</stp>
        <stp>[MODL_NOW_US1.xlsx]Single Period!R24C33</stp>
        <stp>NOW US Equity</stp>
        <stp>IS_ADJ_GROSS_PROFIT_AS_REPORTED/1M</stp>
        <stp>FPR=2021Y</stp>
        <stp>FPT=A</stp>
        <stp>FA_ACT_EST_DATA=E, EST_SOURCE=MAC</stp>
        <stp>ACT_EST_MAPPING=PRECISE</stp>
        <stp>FS=MRC</stp>
        <stp>CURRENCY=USD</stp>
        <stp>XLFILL=b</stp>
        <tr r="AG24" s="2"/>
      </tp>
      <tp t="s">
        <v>#N/A Requesting Data...</v>
        <stp/>
        <stp>##V3_BQLV12</stp>
        <stp>[MODL_NOW_US1.xlsx]Single Period!R84C33</stp>
        <stp>NOW US Equity</stp>
        <stp>IS_ADJ_GROSS_PROFIT_AS_REPORTED/1M</stp>
        <stp>FPR=2021Y</stp>
        <stp>FPT=A</stp>
        <stp>FA_ACT_EST_DATA=E, EST_SOURCE=MAC</stp>
        <stp>ACT_EST_MAPPING=PRECISE</stp>
        <stp>FS=MRC</stp>
        <stp>CURRENCY=USD</stp>
        <stp>XLFILL=b</stp>
        <tr r="AG84" s="2"/>
      </tp>
      <tp t="s">
        <v>#N/A Requesting Data...</v>
        <stp/>
        <stp>##V3_BQLV12</stp>
        <stp>[MODL_NOW_US1.xlsx]Single Period!R113C39</stp>
        <stp>SEG0000230986 Segment</stp>
        <stp>IS_COGS_TO_FE_AND_PP_AND_G/1M</stp>
        <stp>FPR=2021Y</stp>
        <stp>FPT=A</stp>
        <stp>FA_ACT_EST_DATA=E, EST_SOURCE=DZB</stp>
        <stp>ACT_EST_MAPPING=PRECISE</stp>
        <stp>FS=MRC</stp>
        <stp>CURRENCY=USD</stp>
        <stp>XLFILL=b</stp>
        <tr r="AM113" s="2"/>
      </tp>
      <tp t="s">
        <v>#N/A Requesting Data...</v>
        <stp/>
        <stp>##V3_BQLV12</stp>
        <stp>[MODL_NOW_US1.xlsx]Single Period!R59C38</stp>
        <stp>SEG0000230975 Segment</stp>
        <stp>IS_PERCENTAGE_OF_REVENUE</stp>
        <stp>FPR=2021Y</stp>
        <stp>FPT=A</stp>
        <stp>FA_ACT_EST_DATA=E, EST_SOURCE=RWB</stp>
        <stp>ACT_EST_MAPPING=PRECISE</stp>
        <stp>FS=MRC</stp>
        <stp>CURRENCY=USD</stp>
        <stp>XLFILL=b</stp>
        <tr r="AL59" s="2"/>
      </tp>
      <tp t="s">
        <v>#N/A Requesting Data...</v>
        <stp/>
        <stp>##V3_BQLV12</stp>
        <stp>[MODL_NOW_US1.xlsx]Single Period!R112C37</stp>
        <stp>SEG0000230975 Segment</stp>
        <stp>IS_COGS_TO_FE_AND_PP_AND_G/1M</stp>
        <stp>FPR=2021Y</stp>
        <stp>FPT=A</stp>
        <stp>FA_ACT_EST_DATA=E, EST_SOURCE=TTC</stp>
        <stp>ACT_EST_MAPPING=PRECISE</stp>
        <stp>FS=MRC</stp>
        <stp>CURRENCY=USD</stp>
        <stp>XLFILL=b</stp>
        <tr r="AK112" s="2"/>
      </tp>
      <tp t="s">
        <v>#N/A Requesting Data...</v>
        <stp/>
        <stp>##V3_BQLV12</stp>
        <stp>[MODL_NOW_US1.xlsx]Single Period!R129C7</stp>
        <stp>NOW US Equity</stp>
        <stp>CONTRIBUTOR_STATS(EFF_TAX_RATE, MAX)</stp>
        <stp>FPR=2021Y</stp>
        <stp>FPT=A</stp>
        <stp>FA_ACT_EST_DATA=E</stp>
        <stp>ACT_EST_MAPPING=PRECISE</stp>
        <stp>FS=MRC</stp>
        <stp>CURRENCY=USD</stp>
        <stp>XLFILL=b</stp>
        <tr r="G129" s="2"/>
      </tp>
      <tp t="s">
        <v>#N/A Requesting Data...</v>
        <stp/>
        <stp>##V3_BQLV12</stp>
        <stp>[MODL_NOW_US1.xlsx]Single Period!R112C42</stp>
        <stp>SEG0000230975 Segment</stp>
        <stp>IS_COGS_TO_FE_AND_PP_AND_G/1M</stp>
        <stp>FPR=2021Y</stp>
        <stp>FPT=A</stp>
        <stp>FA_ACT_EST_DATA=E, EST_SOURCE=CTI</stp>
        <stp>ACT_EST_MAPPING=PRECISE</stp>
        <stp>FS=MRC</stp>
        <stp>CURRENCY=USD</stp>
        <stp>XLFILL=b</stp>
        <tr r="AP112" s="2"/>
      </tp>
      <tp t="s">
        <v>#N/A Requesting Data...</v>
        <stp/>
        <stp>##V3_BQLV12</stp>
        <stp>[MODL_NOW_US1.xlsx]Single Period!R24C30</stp>
        <stp>NOW US Equity</stp>
        <stp>IS_ADJ_GROSS_PROFIT_AS_REPORTED/1M</stp>
        <stp>FPR=2021Y</stp>
        <stp>FPT=A</stp>
        <stp>FA_ACT_EST_DATA=E, EST_SOURCE=BAM</stp>
        <stp>ACT_EST_MAPPING=PRECISE</stp>
        <stp>FS=MRC</stp>
        <stp>CURRENCY=USD</stp>
        <stp>XLFILL=b</stp>
        <tr r="AD24" s="2"/>
      </tp>
      <tp t="s">
        <v>#N/A Requesting Data...</v>
        <stp/>
        <stp>##V3_BQLV12</stp>
        <stp>[MODL_NOW_US1.xlsx]Single Period!R84C30</stp>
        <stp>NOW US Equity</stp>
        <stp>IS_ADJ_GROSS_PROFIT_AS_REPORTED/1M</stp>
        <stp>FPR=2021Y</stp>
        <stp>FPT=A</stp>
        <stp>FA_ACT_EST_DATA=E, EST_SOURCE=BAM</stp>
        <stp>ACT_EST_MAPPING=PRECISE</stp>
        <stp>FS=MRC</stp>
        <stp>CURRENCY=USD</stp>
        <stp>XLFILL=b</stp>
        <tr r="AD84" s="2"/>
      </tp>
      <tp t="s">
        <v>#N/A Requesting Data...</v>
        <stp/>
        <stp>##V3_BQLV12</stp>
        <stp>[MODL_NOW_US1.xlsx]Single Period!R24C20</stp>
        <stp>NOW US Equity</stp>
        <stp>IS_ADJ_GROSS_PROFIT_AS_REPORTED/1M</stp>
        <stp>FPR=2021Y</stp>
        <stp>FPT=A</stp>
        <stp>FA_ACT_EST_DATA=E, EST_SOURCE=CAN</stp>
        <stp>ACT_EST_MAPPING=PRECISE</stp>
        <stp>FS=MRC</stp>
        <stp>CURRENCY=USD</stp>
        <stp>XLFILL=b</stp>
        <tr r="T24" s="2"/>
      </tp>
      <tp t="s">
        <v>#N/A Requesting Data...</v>
        <stp/>
        <stp>##V3_BQLV12</stp>
        <stp>[MODL_NOW_US1.xlsx]Single Period!R84C20</stp>
        <stp>NOW US Equity</stp>
        <stp>IS_ADJ_GROSS_PROFIT_AS_REPORTED/1M</stp>
        <stp>FPR=2021Y</stp>
        <stp>FPT=A</stp>
        <stp>FA_ACT_EST_DATA=E, EST_SOURCE=CAN</stp>
        <stp>ACT_EST_MAPPING=PRECISE</stp>
        <stp>FS=MRC</stp>
        <stp>CURRENCY=USD</stp>
        <stp>XLFILL=b</stp>
        <tr r="T84" s="2"/>
      </tp>
      <tp t="s">
        <v>#N/A Requesting Data...</v>
        <stp/>
        <stp>##V3_BQLV12</stp>
        <stp>[MODL_NOW_US1.xlsx]Single Period!R113C46</stp>
        <stp>SEG0000230986 Segment</stp>
        <stp>IS_COGS_TO_FE_AND_PP_AND_G/1M</stp>
        <stp>FPR=2021Y</stp>
        <stp>FPT=A</stp>
        <stp>FA_ACT_EST_DATA=E, EST_SOURCE=MZS</stp>
        <stp>ACT_EST_MAPPING=PRECISE</stp>
        <stp>FS=MRC</stp>
        <stp>CURRENCY=USD</stp>
        <stp>XLFILL=b</stp>
        <tr r="AT113" s="2"/>
      </tp>
      <tp t="s">
        <v>#N/A Requesting Data...</v>
        <stp/>
        <stp>##V3_BQLV12</stp>
        <stp>[MODL_NOW_US1.xlsx]Single Period!R116C6</stp>
        <stp>NOW US Equity</stp>
        <stp>CONTRIBUTOR_STATS(GROSS_MARGIN, MIN)</stp>
        <stp>FPR=2021Y</stp>
        <stp>FPT=A</stp>
        <stp>FA_ACT_EST_DATA=E</stp>
        <stp>ACT_EST_MAPPING=PRECISE</stp>
        <stp>FS=MRC</stp>
        <stp>CURRENCY=USD</stp>
        <stp>XLFILL=b</stp>
        <tr r="F116" s="2"/>
      </tp>
      <tp t="s">
        <v>#N/A Requesting Data...</v>
        <stp/>
        <stp>##V3_BQLV12</stp>
        <stp>[MODL_NOW_US1.xlsx]Single Period!R67C46</stp>
        <stp>SEG0000230986 Segment</stp>
        <stp>IS_PERCENTAGE_OF_REVENUE</stp>
        <stp>FPR=2021Y</stp>
        <stp>FPT=A</stp>
        <stp>FA_ACT_EST_DATA=E, EST_SOURCE=MZS</stp>
        <stp>ACT_EST_MAPPING=PRECISE</stp>
        <stp>FS=MRC</stp>
        <stp>CURRENCY=USD</stp>
        <stp>XLFILL=b</stp>
        <tr r="AT67" s="2"/>
      </tp>
      <tp t="s">
        <v>#N/A Requesting Data...</v>
        <stp/>
        <stp>##V3_BQLV12</stp>
        <stp>[MODL_NOW_US1.xlsx]Single Period!R140C36</stp>
        <stp>SEG0000230975 Segment</stp>
        <stp>IS_SBC_ATTRIB_TO_COGS_PRETX/1M</stp>
        <stp>FPR=2021Y</stp>
        <stp>FPT=A</stp>
        <stp>FA_ACT_EST_DATA=E, EST_SOURCE=JEF</stp>
        <stp>ACT_EST_MAPPING=PRECISE</stp>
        <stp>FS=MRC</stp>
        <stp>CURRENCY=USD</stp>
        <stp>XLFILL=b</stp>
        <tr r="AJ140" s="2"/>
      </tp>
      <tp t="s">
        <v>#N/A Requesting Data...</v>
        <stp/>
        <stp>##V3_BQLV12</stp>
        <stp>[MODL_NOW_US1.xlsx]Single Period!R88C39</stp>
        <stp>NOW US Equity</stp>
        <stp>IS_ADJ_SELLING_AND_MRKTG_EXPN_AR/1M</stp>
        <stp>FPR=2021Y</stp>
        <stp>FPT=A</stp>
        <stp>FA_ACT_EST_DATA=E, EST_SOURCE=DZB</stp>
        <stp>ACT_EST_MAPPING=PRECISE</stp>
        <stp>FS=MRC</stp>
        <stp>CURRENCY=USD</stp>
        <stp>XLFILL=b</stp>
        <tr r="AM88" s="2"/>
      </tp>
      <tp t="s">
        <v>#N/A Requesting Data...</v>
        <stp/>
        <stp>##V3_BQLV12</stp>
        <stp>[MODL_NOW_US1.xlsx]Single Period!R80C10</stp>
        <stp>NOW US Equity</stp>
        <stp>IS_COMP_SALES/1M</stp>
        <stp>FPR=2021Y</stp>
        <stp>FPT=A</stp>
        <stp>FA_ACT_EST_DATA=E, EST_SOURCE=CMPY</stp>
        <stp>ACT_EST_MAPPING=PRECISE</stp>
        <stp>FS=MRC</stp>
        <stp>CURRENCY=USD</stp>
        <stp>XLFILL=b</stp>
        <tr r="J80" s="2"/>
      </tp>
      <tp t="s">
        <v>#N/A Requesting Data...</v>
        <stp/>
        <stp>##V3_BQLV12</stp>
        <stp>[MODL_NOW_US1.xlsx]Single Period!R61C5</stp>
        <stp>SEG0000230975 Segment</stp>
        <stp>IS_ADJ_GROSS_PROFIT_AS_REPORTED/1M</stp>
        <stp>FPR=2021Y</stp>
        <stp>FPT=A</stp>
        <stp>FA_ACT_EST_DATA=E</stp>
        <stp>ACT_EST_MAPPING=PRECISE</stp>
        <stp>FS=MRC</stp>
        <stp>CURRENCY=USD</stp>
        <stp>XLFILL=b</stp>
        <tr r="E61" s="2"/>
      </tp>
      <tp t="s">
        <v>#N/A Requesting Data...</v>
        <stp/>
        <stp>##V3_BQLV12</stp>
        <stp>[MODL_NOW_US1.xlsx]Single Period!R26C39</stp>
        <stp>NOW US Equity</stp>
        <stp>IS_ADJ_SELLING_AND_MRKTG_EXPN_AR/1M</stp>
        <stp>FPR=2021Y</stp>
        <stp>FPT=A</stp>
        <stp>FA_ACT_EST_DATA=E, EST_SOURCE=DZB</stp>
        <stp>ACT_EST_MAPPING=PRECISE</stp>
        <stp>FS=MRC</stp>
        <stp>CURRENCY=USD</stp>
        <stp>XLFILL=b</stp>
        <tr r="AM26" s="2"/>
      </tp>
      <tp t="s">
        <v>#N/A Requesting Data...</v>
        <stp/>
        <stp>##V3_BQLV12</stp>
        <stp>[MODL_NOW_US1.xlsx]Single Period!R162C23</stp>
        <stp>NOW US Equity</stp>
        <stp>BS_LONG_TERM_INVESTMENTS/1M</stp>
        <stp>FPR=2021Y</stp>
        <stp>FPT=A</stp>
        <stp>FA_ACT_EST_DATA=E, EST_SOURCE=ZXS</stp>
        <stp>ACT_EST_MAPPING=PRECISE</stp>
        <stp>FS=MRC</stp>
        <stp>CURRENCY=USD</stp>
        <stp>XLFILL=b</stp>
        <tr r="W162" s="2"/>
      </tp>
      <tp t="s">
        <v>#N/A Requesting Data...</v>
        <stp/>
        <stp>##V3_BQLV12</stp>
        <stp>[MODL_NOW_US1.xlsx]Single Period!R141C43</stp>
        <stp>SEG0000230986 Segment</stp>
        <stp>IS_SBC_ATTRIB_TO_COGS_PRETX/1M</stp>
        <stp>FPR=2021Y</stp>
        <stp>FPT=A</stp>
        <stp>FA_ACT_EST_DATA=E, EST_SOURCE=WFT</stp>
        <stp>ACT_EST_MAPPING=PRECISE</stp>
        <stp>FS=MRC</stp>
        <stp>CURRENCY=USD</stp>
        <stp>XLFILL=b</stp>
        <tr r="AQ141" s="2"/>
      </tp>
      <tp t="s">
        <v>#N/A Requesting Data...</v>
        <stp/>
        <stp>##V3_BQLV12</stp>
        <stp>[MODL_NOW_US1.xlsx]Single Period!R220C49</stp>
        <stp>NOW US Equity</stp>
        <stp>CF_PROCDS_FROM_INVSTMNTS/1M</stp>
        <stp>FPR=2021Y</stp>
        <stp>FPT=A</stp>
        <stp>FA_ACT_EST_DATA=E, EST_SOURCE=SCB</stp>
        <stp>ACT_EST_MAPPING=PRECISE</stp>
        <stp>FS=MRC</stp>
        <stp>CURRENCY=USD</stp>
        <stp>XLFILL=b</stp>
        <tr r="AW220" s="2"/>
      </tp>
      <tp t="s">
        <v>#N/A Requesting Data...</v>
        <stp/>
        <stp>##V3_BQLV12</stp>
        <stp>[MODL_NOW_US1.xlsx]Single Period!R140C13</stp>
        <stp>SEG0000230975 Segment</stp>
        <stp>IS_SBC_ATTRIB_TO_COGS_PRETX/1M</stp>
        <stp>FPR=2021Y</stp>
        <stp>FPT=A</stp>
        <stp>FA_ACT_EST_DATA=E, EST_SOURCE=KEY</stp>
        <stp>ACT_EST_MAPPING=PRECISE</stp>
        <stp>FS=MRC</stp>
        <stp>CURRENCY=USD</stp>
        <stp>XLFILL=b</stp>
        <tr r="M140" s="2"/>
      </tp>
      <tp t="s">
        <v>#N/A Requesting Data...</v>
        <stp/>
        <stp>##V3_BQLV12</stp>
        <stp>[MODL_NOW_US1.xlsx]Single Period!R90C43</stp>
        <stp>NOW US Equity</stp>
        <stp>IS_ADJ_R_AND_D_AS_REPORTED/1M</stp>
        <stp>FPR=2021Y</stp>
        <stp>FPT=A</stp>
        <stp>FA_ACT_EST_DATA=E, EST_SOURCE=WFT</stp>
        <stp>ACT_EST_MAPPING=PRECISE</stp>
        <stp>FS=MRC</stp>
        <stp>CURRENCY=USD</stp>
        <stp>XLFILL=b</stp>
        <tr r="AQ90" s="2"/>
      </tp>
      <tp t="s">
        <v>#N/A Requesting Data...</v>
        <stp/>
        <stp>##V3_BQLV12</stp>
        <stp>[MODL_NOW_US1.xlsx]Single Period!R112C5</stp>
        <stp>SEG0000230975 Segment</stp>
        <stp>IS_COGS_TO_FE_AND_PP_AND_G/1M</stp>
        <stp>FPR=2021Y</stp>
        <stp>FPT=A</stp>
        <stp>FA_ACT_EST_DATA=E</stp>
        <stp>ACT_EST_MAPPING=PRECISE</stp>
        <stp>FS=MRC</stp>
        <stp>CURRENCY=USD</stp>
        <stp>XLFILL=b</stp>
        <tr r="E112" s="2"/>
      </tp>
      <tp t="s">
        <v>#N/A Requesting Data...</v>
        <stp/>
        <stp>##V3_BQLV12</stp>
        <stp>[MODL_NOW_US1.xlsx]Single Period!R137C10</stp>
        <stp>NOW US Equity</stp>
        <stp>CF_STOCK_BASED_COMPENSATION/1M</stp>
        <stp>FPR=2021Y</stp>
        <stp>FPT=A</stp>
        <stp>FA_ACT_EST_DATA=E, EST_SOURCE=CMPY</stp>
        <stp>ACT_EST_MAPPING=PRECISE</stp>
        <stp>FS=MRC</stp>
        <stp>CURRENCY=USD</stp>
        <stp>XLFILL=b</stp>
        <tr r="J137" s="2"/>
      </tp>
      <tp t="s">
        <v>#N/A Requesting Data...</v>
        <stp/>
        <stp>##V3_BQLV12</stp>
        <stp>[MODL_NOW_US1.xlsx]Single Period!R108C21</stp>
        <stp>NOW US Equity</stp>
        <stp>IS_COMP_EPS_EXCL_STOCK_COMP</stp>
        <stp>FPR=2021Y</stp>
        <stp>FPT=A</stp>
        <stp>FA_ACT_EST_DATA=E, EST_SOURCE=JMP</stp>
        <stp>ACT_EST_MAPPING=PRECISE</stp>
        <stp>FS=MRC</stp>
        <stp>CURRENCY=USD</stp>
        <stp>XLFILL=b</stp>
        <tr r="U108" s="2"/>
      </tp>
      <tp t="s">
        <v>#N/A Requesting Data...</v>
        <stp/>
        <stp>##V3_BQLV12</stp>
        <stp>[MODL_NOW_US1.xlsx]Single Period!R90C10</stp>
        <stp>NOW US Equity</stp>
        <stp>IS_ADJ_R_AND_D_AS_REPORTED/1M</stp>
        <stp>FPR=2021Y</stp>
        <stp>FPT=A</stp>
        <stp>FA_ACT_EST_DATA=E, EST_SOURCE=CMPY</stp>
        <stp>ACT_EST_MAPPING=PRECISE</stp>
        <stp>FS=MRC</stp>
        <stp>CURRENCY=USD</stp>
        <stp>XLFILL=b</stp>
        <tr r="J90" s="2"/>
      </tp>
      <tp t="s">
        <v>#N/A Requesting Data...</v>
        <stp/>
        <stp>##V3_BQLV12</stp>
        <stp>[MODL_NOW_US1.xlsx]Single Period!R108C18</stp>
        <stp>NOW US Equity</stp>
        <stp>IS_COMP_EPS_EXCL_STOCK_COMP</stp>
        <stp>FPR=2021Y</stp>
        <stp>FPT=A</stp>
        <stp>FA_ACT_EST_DATA=E, EST_SOURCE=SNR</stp>
        <stp>ACT_EST_MAPPING=PRECISE</stp>
        <stp>FS=MRC</stp>
        <stp>CURRENCY=USD</stp>
        <stp>XLFILL=b</stp>
        <tr r="R108" s="2"/>
      </tp>
      <tp t="s">
        <v>#N/A Requesting Data...</v>
        <stp/>
        <stp>##V3_BQLV12</stp>
        <stp>[MODL_NOW_US1.xlsx]Single Period!R6C47</stp>
        <stp>NOW US Equity</stp>
        <stp>IS_COMP_EPS_EXCL_STOCK_COMP</stp>
        <stp>FPR=2021Y</stp>
        <stp>FPT=A</stp>
        <stp>FA_ACT_EST_DATA=E, EST_SOURCE=SUM</stp>
        <stp>ACT_EST_MAPPING=PRECISE</stp>
        <stp>FS=MRC</stp>
        <stp>CURRENCY=USD</stp>
        <stp>XLFILL=b</stp>
        <tr r="AU6" s="2"/>
      </tp>
      <tp t="s">
        <v>#N/A Requesting Data...</v>
        <stp/>
        <stp>##V3_BQLV12</stp>
        <stp>[MODL_NOW_US1.xlsx]Single Period!R6C11</stp>
        <stp>NOW US Equity</stp>
        <stp>IS_COMP_EPS_EXCL_STOCK_COMP</stp>
        <stp>FPR=2021Y</stp>
        <stp>FPT=A</stp>
        <stp>FA_ACT_EST_DATA=E, EST_SOURCE=JPM</stp>
        <stp>ACT_EST_MAPPING=PRECISE</stp>
        <stp>FS=MRC</stp>
        <stp>CURRENCY=USD</stp>
        <stp>XLFILL=b</stp>
        <tr r="K6" s="2"/>
      </tp>
      <tp t="s">
        <v>#N/A Requesting Data...</v>
        <stp/>
        <stp>##V3_BQLV12</stp>
        <stp>[MODL_NOW_US1.xlsx]Single Period!R175C8</stp>
        <stp>NOW US Equity</stp>
        <stp>CONTRIBUTOR_STATS(BS_ACCRUD_EXPNSS_AND_OTHR, STD)/1M</stp>
        <stp>FPR=2021Y</stp>
        <stp>FPT=A</stp>
        <stp>FA_ACT_EST_DATA=E</stp>
        <stp>ACT_EST_MAPPING=PRECISE</stp>
        <stp>FS=MRC</stp>
        <stp>CURRENCY=USD</stp>
        <stp>XLFILL=b</stp>
        <tr r="H175" s="2"/>
      </tp>
      <tp t="s">
        <v>#N/A Requesting Data...</v>
        <stp/>
        <stp>##V3_BQLV12</stp>
        <stp>[MODL_NOW_US1.xlsx]Single Period!R67C8</stp>
        <stp>SEG0000230986 Segment</stp>
        <stp>CONTRIBUTOR_STATS(IS_PERCENTAGE_OF_REVENUE, STD)</stp>
        <stp>FPR=2021Y</stp>
        <stp>FPT=A</stp>
        <stp>FA_ACT_EST_DATA=E</stp>
        <stp>ACT_EST_MAPPING=PRECISE</stp>
        <stp>FS=MRC</stp>
        <stp>CURRENCY=USD</stp>
        <stp>XLFILL=b</stp>
        <tr r="H67" s="2"/>
      </tp>
      <tp t="s">
        <v>#N/A Requesting Data...</v>
        <stp/>
        <stp>##V3_BQLV12</stp>
        <stp>[MODL_NOW_US1.xlsx]Single Period!R6C15</stp>
        <stp>NOW US Equity</stp>
        <stp>IS_COMP_EPS_EXCL_STOCK_COMP</stp>
        <stp>FPR=2021Y</stp>
        <stp>FPT=A</stp>
        <stp>FA_ACT_EST_DATA=E, EST_SOURCE=OPY</stp>
        <stp>ACT_EST_MAPPING=PRECISE</stp>
        <stp>FS=MRC</stp>
        <stp>CURRENCY=USD</stp>
        <stp>XLFILL=b</stp>
        <tr r="O6" s="2"/>
      </tp>
      <tp t="s">
        <v>#N/A Requesting Data...</v>
        <stp/>
        <stp>##V3_BQLV12</stp>
        <stp>[MODL_NOW_US1.xlsx]Single Period!R18C5</stp>
        <stp>SEG0000230975 Segment</stp>
        <stp>IS_ADJ_GROSS_MARGIN_PCT_AR</stp>
        <stp>FPR=2021Y</stp>
        <stp>FPT=A</stp>
        <stp>FA_ACT_EST_DATA=E</stp>
        <stp>ACT_EST_MAPPING=PRECISE</stp>
        <stp>FS=MRC</stp>
        <stp>CURRENCY=USD</stp>
        <stp>XLFILL=b</stp>
        <tr r="E18" s="2"/>
      </tp>
      <tp t="s">
        <v>#N/A Requesting Data...</v>
        <stp/>
        <stp>##V3_BQLV12</stp>
        <stp>[MODL_NOW_US1.xlsx]Single Period!R59C8</stp>
        <stp>SEG0000230975 Segment</stp>
        <stp>CONTRIBUTOR_STATS(IS_PERCENTAGE_OF_REVENUE, STD)</stp>
        <stp>FPR=2021Y</stp>
        <stp>FPT=A</stp>
        <stp>FA_ACT_EST_DATA=E</stp>
        <stp>ACT_EST_MAPPING=PRECISE</stp>
        <stp>FS=MRC</stp>
        <stp>CURRENCY=USD</stp>
        <stp>XLFILL=b</stp>
        <tr r="H59" s="2"/>
      </tp>
      <tp t="s">
        <v>#N/A Requesting Data...</v>
        <stp/>
        <stp>##V3_BQLV12</stp>
        <stp>[MODL_NOW_US1.xlsx]Single Period!R112C34</stp>
        <stp>SEG0000230975 Segment</stp>
        <stp>IS_COGS_TO_FE_AND_PP_AND_G/1M</stp>
        <stp>FPR=2021Y</stp>
        <stp>FPT=A</stp>
        <stp>FA_ACT_EST_DATA=E, EST_SOURCE=PSG</stp>
        <stp>ACT_EST_MAPPING=PRECISE</stp>
        <stp>FS=MRC</stp>
        <stp>CURRENCY=USD</stp>
        <stp>XLFILL=b</stp>
        <tr r="AH112" s="2"/>
      </tp>
      <tp t="s">
        <v>#N/A Requesting Data...</v>
        <stp/>
        <stp>##V3_BQLV12</stp>
        <stp>[MODL_NOW_US1.xlsx]Single Period!R237C8</stp>
        <stp>NOW US Equity</stp>
        <stp>CONTRIBUTOR_STATS(FCF_PER_DIL_SHR, STD)</stp>
        <stp>FPR=2021Y</stp>
        <stp>FPT=A</stp>
        <stp>FA_ACT_EST_DATA=E</stp>
        <stp>ACT_EST_MAPPING=PRECISE</stp>
        <stp>FS=MRC</stp>
        <stp>CURRENCY=USD</stp>
        <stp>XLFILL=b</stp>
        <tr r="H237" s="2"/>
      </tp>
      <tp t="s">
        <v>#N/A Requesting Data...</v>
        <stp/>
        <stp>##V3_BQLV12</stp>
        <stp>[MODL_NOW_US1.xlsx]Single Period!R124C9</stp>
        <stp>NOW US Equity</stp>
        <stp>CONTRIBUTOR_STATS(IS_EBIT_AS_REPORTED, MEDIAN)/1M</stp>
        <stp>FPR=2021Y</stp>
        <stp>FPT=A</stp>
        <stp>FA_ACT_EST_DATA=E</stp>
        <stp>ACT_EST_MAPPING=PRECISE</stp>
        <stp>FS=MRC</stp>
        <stp>CURRENCY=USD</stp>
        <stp>XLFILL=b</stp>
        <tr r="I124" s="2"/>
      </tp>
      <tp t="s">
        <v>#N/A Requesting Data...</v>
        <stp/>
        <stp>##V3_BQLV12</stp>
        <stp>[MODL_NOW_US1.xlsx]Single Period!R112C19</stp>
        <stp>SEG0000230975 Segment</stp>
        <stp>IS_COGS_TO_FE_AND_PP_AND_G/1M</stp>
        <stp>FPR=2021Y</stp>
        <stp>FPT=A</stp>
        <stp>FA_ACT_EST_DATA=E, EST_SOURCE=MSV</stp>
        <stp>ACT_EST_MAPPING=PRECISE</stp>
        <stp>FS=MRC</stp>
        <stp>CURRENCY=USD</stp>
        <stp>XLFILL=b</stp>
        <tr r="S112" s="2"/>
      </tp>
      <tp t="s">
        <v>#N/A Requesting Data...</v>
        <stp/>
        <stp>##V3_BQLV12</stp>
        <stp>[MODL_NOW_US1.xlsx]Single Period!R175C5</stp>
        <stp>NOW US Equity</stp>
        <stp>BS_ACCRUD_EXPNSS_AND_OTHR/1M</stp>
        <stp>FPR=2021Y</stp>
        <stp>FPT=A</stp>
        <stp>FA_ACT_EST_DATA=E</stp>
        <stp>ACT_EST_MAPPING=PRECISE</stp>
        <stp>FS=MRC</stp>
        <stp>CURRENCY=USD</stp>
        <stp>XLFILL=b</stp>
        <tr r="E175" s="2"/>
      </tp>
      <tp t="s">
        <v>#N/A Requesting Data...</v>
        <stp/>
        <stp>##V3_BQLV12</stp>
        <stp>[MODL_NOW_US1.xlsx]Single Period!R24C43</stp>
        <stp>NOW US Equity</stp>
        <stp>IS_ADJ_GROSS_PROFIT_AS_REPORTED/1M</stp>
        <stp>FPR=2021Y</stp>
        <stp>FPT=A</stp>
        <stp>FA_ACT_EST_DATA=E, EST_SOURCE=WFT</stp>
        <stp>ACT_EST_MAPPING=PRECISE</stp>
        <stp>FS=MRC</stp>
        <stp>CURRENCY=USD</stp>
        <stp>XLFILL=b</stp>
        <tr r="AQ24" s="2"/>
      </tp>
      <tp t="s">
        <v>#N/A Requesting Data...</v>
        <stp/>
        <stp>##V3_BQLV12</stp>
        <stp>[MODL_NOW_US1.xlsx]Single Period!R84C43</stp>
        <stp>NOW US Equity</stp>
        <stp>IS_ADJ_GROSS_PROFIT_AS_REPORTED/1M</stp>
        <stp>FPR=2021Y</stp>
        <stp>FPT=A</stp>
        <stp>FA_ACT_EST_DATA=E, EST_SOURCE=WFT</stp>
        <stp>ACT_EST_MAPPING=PRECISE</stp>
        <stp>FS=MRC</stp>
        <stp>CURRENCY=USD</stp>
        <stp>XLFILL=b</stp>
        <tr r="AQ84" s="2"/>
      </tp>
      <tp t="s">
        <v>#N/A Requesting Data...</v>
        <stp/>
        <stp>##V3_BQLV12</stp>
        <stp>[MODL_NOW_US1.xlsx]Single Period!R112C35</stp>
        <stp>SEG0000230975 Segment</stp>
        <stp>IS_COGS_TO_FE_AND_PP_AND_G/1M</stp>
        <stp>FPR=2021Y</stp>
        <stp>FPT=A</stp>
        <stp>FA_ACT_EST_DATA=E, EST_SOURCE=MSR</stp>
        <stp>ACT_EST_MAPPING=PRECISE</stp>
        <stp>FS=MRC</stp>
        <stp>CURRENCY=USD</stp>
        <stp>XLFILL=b</stp>
        <tr r="AI112" s="2"/>
      </tp>
      <tp t="s">
        <v>#N/A Requesting Data...</v>
        <stp/>
        <stp>##V3_BQLV12</stp>
        <stp>[MODL_NOW_US1.xlsx]Single Period!R112C31</stp>
        <stp>SEG0000230975 Segment</stp>
        <stp>IS_COGS_TO_FE_AND_PP_AND_G/1M</stp>
        <stp>FPR=2021Y</stp>
        <stp>FPT=A</stp>
        <stp>FA_ACT_EST_DATA=E, EST_SOURCE=GSR</stp>
        <stp>ACT_EST_MAPPING=PRECISE</stp>
        <stp>FS=MRC</stp>
        <stp>CURRENCY=USD</stp>
        <stp>XLFILL=b</stp>
        <tr r="AE112" s="2"/>
      </tp>
      <tp t="s">
        <v>#N/A Requesting Data...</v>
        <stp/>
        <stp>##V3_BQLV12</stp>
        <stp>[MODL_NOW_US1.xlsx]Single Period!R67C23</stp>
        <stp>SEG0000230986 Segment</stp>
        <stp>IS_PERCENTAGE_OF_REVENUE</stp>
        <stp>FPR=2021Y</stp>
        <stp>FPT=A</stp>
        <stp>FA_ACT_EST_DATA=E, EST_SOURCE=ZXS</stp>
        <stp>ACT_EST_MAPPING=PRECISE</stp>
        <stp>FS=MRC</stp>
        <stp>CURRENCY=USD</stp>
        <stp>XLFILL=b</stp>
        <tr r="W67" s="2"/>
      </tp>
      <tp t="s">
        <v>#N/A Requesting Data...</v>
        <stp/>
        <stp>##V3_BQLV12</stp>
        <stp>[MODL_NOW_US1.xlsx]Single Period!R140C25</stp>
        <stp>SEG0000230975 Segment</stp>
        <stp>IS_SBC_ATTRIB_TO_COGS_PRETX/1M</stp>
        <stp>FPR=2021Y</stp>
        <stp>FPT=A</stp>
        <stp>FA_ACT_EST_DATA=E, EST_SOURCE=DBG</stp>
        <stp>ACT_EST_MAPPING=PRECISE</stp>
        <stp>FS=MRC</stp>
        <stp>CURRENCY=USD</stp>
        <stp>XLFILL=b</stp>
        <tr r="Y140" s="2"/>
      </tp>
      <tp t="s">
        <v>#N/A Requesting Data...</v>
        <stp/>
        <stp>##V3_BQLV12</stp>
        <stp>[MODL_NOW_US1.xlsx]Single Period!R231C23</stp>
        <stp>NOW US Equity</stp>
        <stp>CF_NET_CHNG_CASH/1M</stp>
        <stp>FPR=2021Y</stp>
        <stp>FPT=A</stp>
        <stp>FA_ACT_EST_DATA=E, EST_SOURCE=ZXS</stp>
        <stp>ACT_EST_MAPPING=PRECISE</stp>
        <stp>FS=MRC</stp>
        <stp>CURRENCY=USD</stp>
        <stp>XLFILL=b</stp>
        <tr r="W231" s="2"/>
      </tp>
      <tp t="s">
        <v>#N/A Requesting Data...</v>
        <stp/>
        <stp>##V3_BQLV12</stp>
        <stp>[MODL_NOW_US1.xlsx]Single Period!R140C27</stp>
        <stp>SEG0000230975 Segment</stp>
        <stp>IS_SBC_ATTRIB_TO_COGS_PRETX/1M</stp>
        <stp>FPR=2021Y</stp>
        <stp>FPT=A</stp>
        <stp>FA_ACT_EST_DATA=E, EST_SOURCE=RBC</stp>
        <stp>ACT_EST_MAPPING=PRECISE</stp>
        <stp>FS=MRC</stp>
        <stp>CURRENCY=USD</stp>
        <stp>XLFILL=b</stp>
        <tr r="AA140" s="2"/>
      </tp>
      <tp t="s">
        <v>#N/A Requesting Data...</v>
        <stp/>
        <stp>##V3_BQLV12</stp>
        <stp>[MODL_NOW_US1.xlsx]Single Period!R140C32</stp>
        <stp>SEG0000230975 Segment</stp>
        <stp>IS_SBC_ATTRIB_TO_COGS_PRETX/1M</stp>
        <stp>FPR=2021Y</stp>
        <stp>FPT=A</stp>
        <stp>FA_ACT_EST_DATA=E, EST_SOURCE=FBC</stp>
        <stp>ACT_EST_MAPPING=PRECISE</stp>
        <stp>FS=MRC</stp>
        <stp>CURRENCY=USD</stp>
        <stp>XLFILL=b</stp>
        <tr r="AF140" s="2"/>
      </tp>
      <tp t="s">
        <v>#N/A Requesting Data...</v>
        <stp/>
        <stp>##V3_BQLV12</stp>
        <stp>[MODL_NOW_US1.xlsx]Single Period!R141C33</stp>
        <stp>SEG0000230986 Segment</stp>
        <stp>IS_SBC_ATTRIB_TO_COGS_PRETX/1M</stp>
        <stp>FPR=2021Y</stp>
        <stp>FPT=A</stp>
        <stp>FA_ACT_EST_DATA=E, EST_SOURCE=MAC</stp>
        <stp>ACT_EST_MAPPING=PRECISE</stp>
        <stp>FS=MRC</stp>
        <stp>CURRENCY=USD</stp>
        <stp>XLFILL=b</stp>
        <tr r="AG141" s="2"/>
      </tp>
      <tp t="s">
        <v>#N/A Requesting Data...</v>
        <stp/>
        <stp>##V3_BQLV12</stp>
        <stp>[MODL_NOW_US1.xlsx]Single Period!R220C26</stp>
        <stp>NOW US Equity</stp>
        <stp>CF_PROCDS_FROM_INVSTMNTS/1M</stp>
        <stp>FPR=2021Y</stp>
        <stp>FPT=A</stp>
        <stp>FA_ACT_EST_DATA=E, EST_SOURCE=UBS</stp>
        <stp>ACT_EST_MAPPING=PRECISE</stp>
        <stp>FS=MRC</stp>
        <stp>CURRENCY=USD</stp>
        <stp>XLFILL=b</stp>
        <tr r="Z220" s="2"/>
      </tp>
      <tp t="s">
        <v>#N/A Requesting Data...</v>
        <stp/>
        <stp>##V3_BQLV12</stp>
        <stp>[MODL_NOW_US1.xlsx]Single Period!R140C12</stp>
        <stp>SEG0000230975 Segment</stp>
        <stp>IS_SBC_ATTRIB_TO_COGS_PRETX/1M</stp>
        <stp>FPR=2021Y</stp>
        <stp>FPT=A</stp>
        <stp>FA_ACT_EST_DATA=E, EST_SOURCE=WBL</stp>
        <stp>ACT_EST_MAPPING=PRECISE</stp>
        <stp>FS=MRC</stp>
        <stp>CURRENCY=USD</stp>
        <stp>XLFILL=b</stp>
        <tr r="L140" s="2"/>
      </tp>
      <tp t="s">
        <v>#N/A Requesting Data...</v>
        <stp/>
        <stp>##V3_BQLV12</stp>
        <stp>[MODL_NOW_US1.xlsx]Single Period!R141C20</stp>
        <stp>SEG0000230986 Segment</stp>
        <stp>IS_SBC_ATTRIB_TO_COGS_PRETX/1M</stp>
        <stp>FPR=2021Y</stp>
        <stp>FPT=A</stp>
        <stp>FA_ACT_EST_DATA=E, EST_SOURCE=CAN</stp>
        <stp>ACT_EST_MAPPING=PRECISE</stp>
        <stp>FS=MRC</stp>
        <stp>CURRENCY=USD</stp>
        <stp>XLFILL=b</stp>
        <tr r="T141" s="2"/>
      </tp>
      <tp t="s">
        <v>#N/A Requesting Data...</v>
        <stp/>
        <stp>##V3_BQLV12</stp>
        <stp>[MODL_NOW_US1.xlsx]Single Period!R141C30</stp>
        <stp>SEG0000230986 Segment</stp>
        <stp>IS_SBC_ATTRIB_TO_COGS_PRETX/1M</stp>
        <stp>FPR=2021Y</stp>
        <stp>FPT=A</stp>
        <stp>FA_ACT_EST_DATA=E, EST_SOURCE=BAM</stp>
        <stp>ACT_EST_MAPPING=PRECISE</stp>
        <stp>FS=MRC</stp>
        <stp>CURRENCY=USD</stp>
        <stp>XLFILL=b</stp>
        <tr r="AD141" s="2"/>
      </tp>
      <tp t="s">
        <v>#N/A Requesting Data...</v>
        <stp/>
        <stp>##V3_BQLV12</stp>
        <stp>[MODL_NOW_US1.xlsx]Single Period!R53C23</stp>
        <stp>NOW US Equity</stp>
        <stp>ANNUALIZED_DAYS_SALES_OUTSTDG</stp>
        <stp>FPR=2021Y</stp>
        <stp>FPT=A</stp>
        <stp>FA_ACT_EST_DATA=E, EST_SOURCE=ZXS</stp>
        <stp>ACT_EST_MAPPING=PRECISE</stp>
        <stp>FS=MRC</stp>
        <stp>CURRENCY=USD</stp>
        <stp>XLFILL=b</stp>
        <tr r="W53" s="2"/>
      </tp>
      <tp t="s">
        <v>#N/A Requesting Data...</v>
        <stp/>
        <stp>##V3_BQLV12</stp>
        <stp>[MODL_NOW_US1.xlsx]Single Period!R26C46</stp>
        <stp>NOW US Equity</stp>
        <stp>IS_ADJ_SELLING_AND_MRKTG_EXPN_AR/1M</stp>
        <stp>FPR=2021Y</stp>
        <stp>FPT=A</stp>
        <stp>FA_ACT_EST_DATA=E, EST_SOURCE=MZS</stp>
        <stp>ACT_EST_MAPPING=PRECISE</stp>
        <stp>FS=MRC</stp>
        <stp>CURRENCY=USD</stp>
        <stp>XLFILL=b</stp>
        <tr r="AT26" s="2"/>
      </tp>
      <tp t="s">
        <v>#N/A Requesting Data...</v>
        <stp/>
        <stp>##V3_BQLV12</stp>
        <stp>[MODL_NOW_US1.xlsx]Single Period!R220C25</stp>
        <stp>NOW US Equity</stp>
        <stp>CF_PROCDS_FROM_INVSTMNTS/1M</stp>
        <stp>FPR=2021Y</stp>
        <stp>FPT=A</stp>
        <stp>FA_ACT_EST_DATA=E, EST_SOURCE=DBG</stp>
        <stp>ACT_EST_MAPPING=PRECISE</stp>
        <stp>FS=MRC</stp>
        <stp>CURRENCY=USD</stp>
        <stp>XLFILL=b</stp>
        <tr r="Y220" s="2"/>
      </tp>
      <tp t="s">
        <v>#N/A Requesting Data...</v>
        <stp/>
        <stp>##V3_BQLV12</stp>
        <stp>[MODL_NOW_US1.xlsx]Single Period!R140C26</stp>
        <stp>SEG0000230975 Segment</stp>
        <stp>IS_SBC_ATTRIB_TO_COGS_PRETX/1M</stp>
        <stp>FPR=2021Y</stp>
        <stp>FPT=A</stp>
        <stp>FA_ACT_EST_DATA=E, EST_SOURCE=UBS</stp>
        <stp>ACT_EST_MAPPING=PRECISE</stp>
        <stp>FS=MRC</stp>
        <stp>CURRENCY=USD</stp>
        <stp>XLFILL=b</stp>
        <tr r="Z140" s="2"/>
      </tp>
      <tp t="s">
        <v>#N/A Requesting Data...</v>
        <stp/>
        <stp>##V3_BQLV12</stp>
        <stp>[MODL_NOW_US1.xlsx]Single Period!R220C27</stp>
        <stp>NOW US Equity</stp>
        <stp>CF_PROCDS_FROM_INVSTMNTS/1M</stp>
        <stp>FPR=2021Y</stp>
        <stp>FPT=A</stp>
        <stp>FA_ACT_EST_DATA=E, EST_SOURCE=RBC</stp>
        <stp>ACT_EST_MAPPING=PRECISE</stp>
        <stp>FS=MRC</stp>
        <stp>CURRENCY=USD</stp>
        <stp>XLFILL=b</stp>
        <tr r="AA220" s="2"/>
      </tp>
      <tp t="s">
        <v>#N/A Requesting Data...</v>
        <stp/>
        <stp>##V3_BQLV12</stp>
        <stp>[MODL_NOW_US1.xlsx]Single Period!R88C46</stp>
        <stp>NOW US Equity</stp>
        <stp>IS_ADJ_SELLING_AND_MRKTG_EXPN_AR/1M</stp>
        <stp>FPR=2021Y</stp>
        <stp>FPT=A</stp>
        <stp>FA_ACT_EST_DATA=E, EST_SOURCE=MZS</stp>
        <stp>ACT_EST_MAPPING=PRECISE</stp>
        <stp>FS=MRC</stp>
        <stp>CURRENCY=USD</stp>
        <stp>XLFILL=b</stp>
        <tr r="AT88" s="2"/>
      </tp>
      <tp t="s">
        <v>#N/A Requesting Data...</v>
        <stp/>
        <stp>##V3_BQLV12</stp>
        <stp>[MODL_NOW_US1.xlsx]Single Period!R217C18</stp>
        <stp>NOW US Equity</stp>
        <stp>CAP_EXPEND_TO_SALES</stp>
        <stp>FPR=2021Y</stp>
        <stp>FPT=A</stp>
        <stp>FA_ACT_EST_DATA=E, EST_SOURCE=SNR</stp>
        <stp>ACT_EST_MAPPING=PRECISE</stp>
        <stp>FS=MRC</stp>
        <stp>CURRENCY=USD</stp>
        <stp>XLFILL=b</stp>
        <tr r="R217" s="2"/>
      </tp>
      <tp t="s">
        <v>#N/A Requesting Data...</v>
        <stp/>
        <stp>##V3_BQLV12</stp>
        <stp>[MODL_NOW_US1.xlsx]Single Period!R11C46</stp>
        <stp>NOW US Equity</stp>
        <stp>NUM_CSTMR_CNTRCT_OVER_1_MILLN</stp>
        <stp>FPR=2021Y</stp>
        <stp>FPT=A</stp>
        <stp>FA_ACT_EST_DATA=E, EST_SOURCE=MZS</stp>
        <stp>ACT_EST_MAPPING=PRECISE</stp>
        <stp>FS=MRC</stp>
        <stp>CURRENCY=USD</stp>
        <stp>XLFILL=b</stp>
        <tr r="AT11" s="2"/>
      </tp>
      <tp t="s">
        <v>#N/A Requesting Data...</v>
        <stp/>
        <stp>##V3_BQLV12</stp>
        <stp>[MODL_NOW_US1.xlsx]Single Period!R217C21</stp>
        <stp>NOW US Equity</stp>
        <stp>CAP_EXPEND_TO_SALES</stp>
        <stp>FPR=2021Y</stp>
        <stp>FPT=A</stp>
        <stp>FA_ACT_EST_DATA=E, EST_SOURCE=JMP</stp>
        <stp>ACT_EST_MAPPING=PRECISE</stp>
        <stp>FS=MRC</stp>
        <stp>CURRENCY=USD</stp>
        <stp>XLFILL=b</stp>
        <tr r="U217" s="2"/>
      </tp>
      <tp t="s">
        <v>#N/A Requesting Data...</v>
        <stp/>
        <stp>##V3_BQLV12</stp>
        <stp>[MODL_NOW_US1.xlsx]Single Period!R90C30</stp>
        <stp>NOW US Equity</stp>
        <stp>IS_ADJ_R_AND_D_AS_REPORTED/1M</stp>
        <stp>FPR=2021Y</stp>
        <stp>FPT=A</stp>
        <stp>FA_ACT_EST_DATA=E, EST_SOURCE=BAM</stp>
        <stp>ACT_EST_MAPPING=PRECISE</stp>
        <stp>FS=MRC</stp>
        <stp>CURRENCY=USD</stp>
        <stp>XLFILL=b</stp>
        <tr r="AD90" s="2"/>
      </tp>
      <tp t="s">
        <v>#N/A Requesting Data...</v>
        <stp/>
        <stp>##V3_BQLV12</stp>
        <stp>[MODL_NOW_US1.xlsx]Single Period!R11C39</stp>
        <stp>NOW US Equity</stp>
        <stp>NUM_CSTMR_CNTRCT_OVER_1_MILLN</stp>
        <stp>FPR=2021Y</stp>
        <stp>FPT=A</stp>
        <stp>FA_ACT_EST_DATA=E, EST_SOURCE=DZB</stp>
        <stp>ACT_EST_MAPPING=PRECISE</stp>
        <stp>FS=MRC</stp>
        <stp>CURRENCY=USD</stp>
        <stp>XLFILL=b</stp>
        <tr r="AM11" s="2"/>
      </tp>
      <tp t="s">
        <v>#N/A Requesting Data...</v>
        <stp/>
        <stp>##V3_BQLV12</stp>
        <stp>[MODL_NOW_US1.xlsx]Single Period!R70C6</stp>
        <stp>SEG0000230986 Segment</stp>
        <stp>CONTRIBUTOR_STATS(IS_ADJ_GROSS_MARGIN_PCT_AR, MIN)</stp>
        <stp>FPR=2021Y</stp>
        <stp>FPT=A</stp>
        <stp>FA_ACT_EST_DATA=E</stp>
        <stp>ACT_EST_MAPPING=PRECISE</stp>
        <stp>FS=MRC</stp>
        <stp>CURRENCY=USD</stp>
        <stp>XLFILL=b</stp>
        <tr r="F70" s="2"/>
      </tp>
      <tp t="s">
        <v>#N/A Requesting Data...</v>
        <stp/>
        <stp>##V3_BQLV12</stp>
        <stp>[MODL_NOW_US1.xlsx]Single Period!R90C20</stp>
        <stp>NOW US Equity</stp>
        <stp>IS_ADJ_R_AND_D_AS_REPORTED/1M</stp>
        <stp>FPR=2021Y</stp>
        <stp>FPT=A</stp>
        <stp>FA_ACT_EST_DATA=E, EST_SOURCE=CAN</stp>
        <stp>ACT_EST_MAPPING=PRECISE</stp>
        <stp>FS=MRC</stp>
        <stp>CURRENCY=USD</stp>
        <stp>XLFILL=b</stp>
        <tr r="T90" s="2"/>
      </tp>
      <tp t="s">
        <v>#N/A Requesting Data...</v>
        <stp/>
        <stp>##V3_BQLV12</stp>
        <stp>[MODL_NOW_US1.xlsx]Single Period!R95C23</stp>
        <stp>NOW US Equity</stp>
        <stp>IS_COMPARABLE_EBIT/1M</stp>
        <stp>FPR=2021Y</stp>
        <stp>FPT=A</stp>
        <stp>FA_ACT_EST_DATA=E, EST_SOURCE=ZXS</stp>
        <stp>ACT_EST_MAPPING=PRECISE</stp>
        <stp>FS=MRC</stp>
        <stp>CURRENCY=USD</stp>
        <stp>XLFILL=b</stp>
        <tr r="W95" s="2"/>
      </tp>
      <tp t="s">
        <v>#N/A Requesting Data...</v>
        <stp/>
        <stp>##V3_BQLV12</stp>
        <stp>[MODL_NOW_US1.xlsx]Single Period!R70C7</stp>
        <stp>SEG0000230986 Segment</stp>
        <stp>CONTRIBUTOR_STATS(IS_ADJ_GROSS_MARGIN_PCT_AR, MAX)</stp>
        <stp>FPR=2021Y</stp>
        <stp>FPT=A</stp>
        <stp>FA_ACT_EST_DATA=E</stp>
        <stp>ACT_EST_MAPPING=PRECISE</stp>
        <stp>FS=MRC</stp>
        <stp>CURRENCY=USD</stp>
        <stp>XLFILL=b</stp>
        <tr r="G70" s="2"/>
      </tp>
      <tp t="s">
        <v>#N/A Requesting Data...</v>
        <stp/>
        <stp>##V3_BQLV12</stp>
        <stp>[MODL_NOW_US1.xlsx]Single Period!R90C33</stp>
        <stp>NOW US Equity</stp>
        <stp>IS_ADJ_R_AND_D_AS_REPORTED/1M</stp>
        <stp>FPR=2021Y</stp>
        <stp>FPT=A</stp>
        <stp>FA_ACT_EST_DATA=E, EST_SOURCE=MAC</stp>
        <stp>ACT_EST_MAPPING=PRECISE</stp>
        <stp>FS=MRC</stp>
        <stp>CURRENCY=USD</stp>
        <stp>XLFILL=b</stp>
        <tr r="AG90" s="2"/>
      </tp>
      <tp t="s">
        <v>#N/A Requesting Data...</v>
        <stp/>
        <stp>##V3_BQLV12</stp>
        <stp>[MODL_NOW_US1.xlsx]Single Period!R6C48</stp>
        <stp>NOW US Equity</stp>
        <stp>IS_COMP_EPS_EXCL_STOCK_COMP</stp>
        <stp>FPR=2021Y</stp>
        <stp>FPT=A</stp>
        <stp>FA_ACT_EST_DATA=E, EST_SOURCE=CRC</stp>
        <stp>ACT_EST_MAPPING=PRECISE</stp>
        <stp>FS=MRC</stp>
        <stp>CURRENCY=USD</stp>
        <stp>XLFILL=b</stp>
        <tr r="AV6" s="2"/>
      </tp>
      <tp t="s">
        <v>#N/A Requesting Data...</v>
        <stp/>
        <stp>##V3_BQLV12</stp>
        <stp>[MODL_NOW_US1.xlsx]Single Period!R6C44</stp>
        <stp>NOW US Equity</stp>
        <stp>IS_COMP_EPS_EXCL_STOCK_COMP</stp>
        <stp>FPR=2021Y</stp>
        <stp>FPT=A</stp>
        <stp>FA_ACT_EST_DATA=E, EST_SOURCE=ARE</stp>
        <stp>ACT_EST_MAPPING=PRECISE</stp>
        <stp>FS=MRC</stp>
        <stp>CURRENCY=USD</stp>
        <stp>XLFILL=b</stp>
        <tr r="AR6" s="2"/>
      </tp>
      <tp t="s">
        <v>#N/A Requesting Data...</v>
        <stp/>
        <stp>##V3_BQLV12</stp>
        <stp>[MODL_NOW_US1.xlsx]Single Period!R217C10</stp>
        <stp>NOW US Equity</stp>
        <stp>CAP_EXPEND_TO_SALES</stp>
        <stp>FPR=2021Y</stp>
        <stp>FPT=A</stp>
        <stp>FA_ACT_EST_DATA=E, EST_SOURCE=CMPY</stp>
        <stp>ACT_EST_MAPPING=PRECISE</stp>
        <stp>FS=MRC</stp>
        <stp>CURRENCY=USD</stp>
        <stp>XLFILL=b</stp>
        <tr r="J217" s="2"/>
      </tp>
      <tp t="s">
        <v>#N/A Requesting Data...</v>
        <stp/>
        <stp>##V3_BQLV12</stp>
        <stp>[MODL_NOW_US1.xlsx]Single Period!R211C8</stp>
        <stp>NOW US Equity</stp>
        <stp>CONTRIBUTOR_STATS(CF_CHG_IN_DEFER_UNEARND_REV_ST, STD)/1M</stp>
        <stp>FPR=2021Y</stp>
        <stp>FPT=A</stp>
        <stp>FA_ACT_EST_DATA=E</stp>
        <stp>ACT_EST_MAPPING=PRECISE</stp>
        <stp>FS=MRC</stp>
        <stp>CURRENCY=USD</stp>
        <stp>XLFILL=b</stp>
        <tr r="H211" s="2"/>
      </tp>
      <tp t="s">
        <v>#N/A Requesting Data...</v>
        <stp/>
        <stp>##V3_BQLV12</stp>
        <stp>[MODL_NOW_US1.xlsx]Single Period!R6C41</stp>
        <stp>NOW US Equity</stp>
        <stp>IS_COMP_EPS_EXCL_STOCK_COMP</stp>
        <stp>FPR=2021Y</stp>
        <stp>FPT=A</stp>
        <stp>FA_ACT_EST_DATA=E, EST_SOURCE=ARG</stp>
        <stp>ACT_EST_MAPPING=PRECISE</stp>
        <stp>FS=MRC</stp>
        <stp>CURRENCY=USD</stp>
        <stp>XLFILL=b</stp>
        <tr r="AO6" s="2"/>
      </tp>
      <tp t="s">
        <v>#N/A Requesting Data...</v>
        <stp/>
        <stp>##V3_BQLV12</stp>
        <stp>[MODL_NOW_US1.xlsx]Single Period!R211C7</stp>
        <stp>NOW US Equity</stp>
        <stp>CONTRIBUTOR_STATS(CF_CHG_IN_DEFER_UNEARND_REV_ST, MAX)/1M</stp>
        <stp>FPR=2021Y</stp>
        <stp>FPT=A</stp>
        <stp>FA_ACT_EST_DATA=E</stp>
        <stp>ACT_EST_MAPPING=PRECISE</stp>
        <stp>FS=MRC</stp>
        <stp>CURRENCY=USD</stp>
        <stp>XLFILL=b</stp>
        <tr r="G211" s="2"/>
      </tp>
      <tp t="s">
        <v>#N/A Requesting Data...</v>
        <stp/>
        <stp>##V3_BQLV12</stp>
        <stp>[MODL_NOW_US1.xlsx]Single Period!R211C6</stp>
        <stp>NOW US Equity</stp>
        <stp>CONTRIBUTOR_STATS(CF_CHG_IN_DEFER_UNEARND_REV_ST, MIN)/1M</stp>
        <stp>FPR=2021Y</stp>
        <stp>FPT=A</stp>
        <stp>FA_ACT_EST_DATA=E</stp>
        <stp>ACT_EST_MAPPING=PRECISE</stp>
        <stp>FS=MRC</stp>
        <stp>CURRENCY=USD</stp>
        <stp>XLFILL=b</stp>
        <tr r="F211" s="2"/>
      </tp>
      <tp t="s">
        <v>#N/A Requesting Data...</v>
        <stp/>
        <stp>##V3_BQLV12</stp>
        <stp>[MODL_NOW_US1.xlsx]Single Period!R121C7</stp>
        <stp>NOW US Equity</stp>
        <stp>CONTRIBUTOR_STATS(CB_IS_GENL_AND_ADMIN_EXPN, MAX)/1M</stp>
        <stp>FPR=2021Y</stp>
        <stp>FPT=A</stp>
        <stp>FA_ACT_EST_DATA=E</stp>
        <stp>ACT_EST_MAPPING=PRECISE</stp>
        <stp>FS=MRC</stp>
        <stp>CURRENCY=USD</stp>
        <stp>XLFILL=b</stp>
        <tr r="G121" s="2"/>
      </tp>
      <tp t="s">
        <v>#N/A Requesting Data...</v>
        <stp/>
        <stp>##V3_BQLV12</stp>
        <stp>[MODL_NOW_US1.xlsx]Single Period!R112C44</stp>
        <stp>SEG0000230975 Segment</stp>
        <stp>IS_COGS_TO_FE_AND_PP_AND_G/1M</stp>
        <stp>FPR=2021Y</stp>
        <stp>FPT=A</stp>
        <stp>FA_ACT_EST_DATA=E, EST_SOURCE=ARE</stp>
        <stp>ACT_EST_MAPPING=PRECISE</stp>
        <stp>FS=MRC</stp>
        <stp>CURRENCY=USD</stp>
        <stp>XLFILL=b</stp>
        <tr r="AR112" s="2"/>
      </tp>
      <tp t="s">
        <v>#N/A Requesting Data...</v>
        <stp/>
        <stp>##V3_BQLV12</stp>
        <stp>[MODL_NOW_US1.xlsx]Single Period!R112C41</stp>
        <stp>SEG0000230975 Segment</stp>
        <stp>IS_COGS_TO_FE_AND_PP_AND_G/1M</stp>
        <stp>FPR=2021Y</stp>
        <stp>FPT=A</stp>
        <stp>FA_ACT_EST_DATA=E, EST_SOURCE=ARG</stp>
        <stp>ACT_EST_MAPPING=PRECISE</stp>
        <stp>FS=MRC</stp>
        <stp>CURRENCY=USD</stp>
        <stp>XLFILL=b</stp>
        <tr r="AO112" s="2"/>
      </tp>
      <tp t="s">
        <v>#N/A Requesting Data...</v>
        <stp/>
        <stp>##V3_BQLV12</stp>
        <stp>[MODL_NOW_US1.xlsx]Single Period!R118C6</stp>
        <stp>NOW US Equity</stp>
        <stp>CONTRIBUTOR_STATS(OPERATING_EXPENSES_TO_NET_SALES, MIN)</stp>
        <stp>FPR=2021Y</stp>
        <stp>FPT=A</stp>
        <stp>FA_ACT_EST_DATA=E</stp>
        <stp>ACT_EST_MAPPING=PRECISE</stp>
        <stp>FS=MRC</stp>
        <stp>CURRENCY=USD</stp>
        <stp>XLFILL=b</stp>
        <tr r="F118" s="2"/>
      </tp>
      <tp t="s">
        <v>#N/A Requesting Data...</v>
        <stp/>
        <stp>##V3_BQLV12</stp>
        <stp>[MODL_NOW_US1.xlsx]Single Period!R67C48</stp>
        <stp>SEG0000230986 Segment</stp>
        <stp>IS_PERCENTAGE_OF_REVENUE</stp>
        <stp>FPR=2021Y</stp>
        <stp>FPT=A</stp>
        <stp>FA_ACT_EST_DATA=E, EST_SOURCE=CRC</stp>
        <stp>ACT_EST_MAPPING=PRECISE</stp>
        <stp>FS=MRC</stp>
        <stp>CURRENCY=USD</stp>
        <stp>XLFILL=b</stp>
        <tr r="AV67" s="2"/>
      </tp>
      <tp t="s">
        <v>#N/A Requesting Data...</v>
        <stp/>
        <stp>##V3_BQLV12</stp>
        <stp>[MODL_NOW_US1.xlsx]Single Period!R112C48</stp>
        <stp>SEG0000230975 Segment</stp>
        <stp>IS_COGS_TO_FE_AND_PP_AND_G/1M</stp>
        <stp>FPR=2021Y</stp>
        <stp>FPT=A</stp>
        <stp>FA_ACT_EST_DATA=E, EST_SOURCE=CRC</stp>
        <stp>ACT_EST_MAPPING=PRECISE</stp>
        <stp>FS=MRC</stp>
        <stp>CURRENCY=USD</stp>
        <stp>XLFILL=b</stp>
        <tr r="AV112" s="2"/>
      </tp>
      <tp t="s">
        <v>#N/A Requesting Data...</v>
        <stp/>
        <stp>##V3_BQLV12</stp>
        <stp>[MODL_NOW_US1.xlsx]Single Period!R107C5</stp>
        <stp>NOW US Equity</stp>
        <stp>CB_IS_ADJ_DILUTED_AVG_SHS/1M</stp>
        <stp>FPR=2021Y</stp>
        <stp>FPT=A</stp>
        <stp>FA_ACT_EST_DATA=E</stp>
        <stp>ACT_EST_MAPPING=PRECISE</stp>
        <stp>FS=MRC</stp>
        <stp>CURRENCY=USD</stp>
        <stp>XLFILL=b</stp>
        <tr r="E107" s="2"/>
      </tp>
      <tp t="s">
        <v>#N/A Requesting Data...</v>
        <stp/>
        <stp>##V3_BQLV12</stp>
        <stp>[MODL_NOW_US1.xlsx]Single Period!R118C7</stp>
        <stp>NOW US Equity</stp>
        <stp>CONTRIBUTOR_STATS(OPERATING_EXPENSES_TO_NET_SALES, MAX)</stp>
        <stp>FPR=2021Y</stp>
        <stp>FPT=A</stp>
        <stp>FA_ACT_EST_DATA=E</stp>
        <stp>ACT_EST_MAPPING=PRECISE</stp>
        <stp>FS=MRC</stp>
        <stp>CURRENCY=USD</stp>
        <stp>XLFILL=b</stp>
        <tr r="G118" s="2"/>
      </tp>
      <tp t="s">
        <v>#N/A Requesting Data...</v>
        <stp/>
        <stp>##V3_BQLV12</stp>
        <stp>[MODL_NOW_US1.xlsx]Single Period!R167C5</stp>
        <stp>NOW US Equity</stp>
        <stp>BS_GOODWILL/1M</stp>
        <stp>FPR=2021Y</stp>
        <stp>FPT=A</stp>
        <stp>FA_ACT_EST_DATA=E</stp>
        <stp>ACT_EST_MAPPING=PRECISE</stp>
        <stp>FS=MRC</stp>
        <stp>CURRENCY=USD</stp>
        <stp>XLFILL=b</stp>
        <tr r="E167" s="2"/>
      </tp>
      <tp t="s">
        <v>#N/A Requesting Data...</v>
        <stp/>
        <stp>##V3_BQLV12</stp>
        <stp>[MODL_NOW_US1.xlsx]Single Period!R67C19</stp>
        <stp>SEG0000230986 Segment</stp>
        <stp>IS_PERCENTAGE_OF_REVENUE</stp>
        <stp>FPR=2021Y</stp>
        <stp>FPT=A</stp>
        <stp>FA_ACT_EST_DATA=E, EST_SOURCE=MSV</stp>
        <stp>ACT_EST_MAPPING=PRECISE</stp>
        <stp>FS=MRC</stp>
        <stp>CURRENCY=USD</stp>
        <stp>XLFILL=b</stp>
        <tr r="S67" s="2"/>
      </tp>
      <tp t="s">
        <v>#N/A Requesting Data...</v>
        <stp/>
        <stp>##V3_BQLV12</stp>
        <stp>[MODL_NOW_US1.xlsx]Single Period!R68C23</stp>
        <stp>SEG0000230986 Segment</stp>
        <stp>IS_ADJUSTED_COGS_AS_REPORTED/1M</stp>
        <stp>FPR=2021Y</stp>
        <stp>FPT=A</stp>
        <stp>FA_ACT_EST_DATA=E, EST_SOURCE=ZXS</stp>
        <stp>ACT_EST_MAPPING=PRECISE</stp>
        <stp>FS=MRC</stp>
        <stp>CURRENCY=USD</stp>
        <stp>XLFILL=b</stp>
        <tr r="W68" s="2"/>
      </tp>
      <tp t="s">
        <v>#N/A Requesting Data...</v>
        <stp/>
        <stp>##V3_BQLV12</stp>
        <stp>[MODL_NOW_US1.xlsx]Single Period!R60C23</stp>
        <stp>SEG0000230975 Segment</stp>
        <stp>IS_ADJUSTED_COGS_AS_REPORTED/1M</stp>
        <stp>FPR=2021Y</stp>
        <stp>FPT=A</stp>
        <stp>FA_ACT_EST_DATA=E, EST_SOURCE=ZXS</stp>
        <stp>ACT_EST_MAPPING=PRECISE</stp>
        <stp>FS=MRC</stp>
        <stp>CURRENCY=USD</stp>
        <stp>XLFILL=b</stp>
        <tr r="W60" s="2"/>
      </tp>
      <tp t="s">
        <v>#N/A Requesting Data...</v>
        <stp/>
        <stp>##V3_BQLV12</stp>
        <stp>[MODL_NOW_US1.xlsx]Single Period!R154C5</stp>
        <stp>NOW US Equity</stp>
        <stp>BS_CUR_ASSET_REPORT/1M</stp>
        <stp>FPR=2021Y</stp>
        <stp>FPT=A</stp>
        <stp>FA_ACT_EST_DATA=E</stp>
        <stp>ACT_EST_MAPPING=PRECISE</stp>
        <stp>FS=MRC</stp>
        <stp>CURRENCY=USD</stp>
        <stp>XLFILL=b</stp>
        <tr r="E154" s="2"/>
      </tp>
      <tp t="s">
        <v>#N/A Requesting Data...</v>
        <stp/>
        <stp>##V3_BQLV12</stp>
        <stp>[MODL_NOW_US1.xlsx]Single Period!R44C23</stp>
        <stp>SEG0000230986 Segment</stp>
        <stp>IS_FOREIGN_CURRENCY_TURNOVER/1M</stp>
        <stp>FPR=2021Y</stp>
        <stp>FPT=A</stp>
        <stp>FA_ACT_EST_DATA=E, EST_SOURCE=ZXS</stp>
        <stp>ACT_EST_MAPPING=PRECISE</stp>
        <stp>FS=MRC</stp>
        <stp>CURRENCY=USD</stp>
        <stp>XLFILL=b</stp>
        <tr r="W44" s="2"/>
      </tp>
      <tp t="s">
        <v>#N/A Requesting Data...</v>
        <stp/>
        <stp>##V3_BQLV12</stp>
        <stp>[MODL_NOW_US1.xlsx]Single Period!R140C49</stp>
        <stp>SEG0000230975 Segment</stp>
        <stp>IS_SBC_ATTRIB_TO_COGS_PRETX/1M</stp>
        <stp>FPR=2021Y</stp>
        <stp>FPT=A</stp>
        <stp>FA_ACT_EST_DATA=E, EST_SOURCE=SCB</stp>
        <stp>ACT_EST_MAPPING=PRECISE</stp>
        <stp>FS=MRC</stp>
        <stp>CURRENCY=USD</stp>
        <stp>XLFILL=b</stp>
        <tr r="AW140" s="2"/>
      </tp>
      <tp t="s">
        <v>#N/A Requesting Data...</v>
        <stp/>
        <stp>##V3_BQLV12</stp>
        <stp>[MODL_NOW_US1.xlsx]Single Period!R140C16</stp>
        <stp>SEG0000230975 Segment</stp>
        <stp>IS_SBC_ATTRIB_TO_COGS_PRETX/1M</stp>
        <stp>FPR=2021Y</stp>
        <stp>FPT=A</stp>
        <stp>FA_ACT_EST_DATA=E, EST_SOURCE=BCA</stp>
        <stp>ACT_EST_MAPPING=PRECISE</stp>
        <stp>FS=MRC</stp>
        <stp>CURRENCY=USD</stp>
        <stp>XLFILL=b</stp>
        <tr r="P140" s="2"/>
      </tp>
      <tp t="s">
        <v>#N/A Requesting Data...</v>
        <stp/>
        <stp>##V3_BQLV12</stp>
        <stp>[MODL_NOW_US1.xlsx]Single Period!R220C32</stp>
        <stp>NOW US Equity</stp>
        <stp>CF_PROCDS_FROM_INVSTMNTS/1M</stp>
        <stp>FPR=2021Y</stp>
        <stp>FPT=A</stp>
        <stp>FA_ACT_EST_DATA=E, EST_SOURCE=FBC</stp>
        <stp>ACT_EST_MAPPING=PRECISE</stp>
        <stp>FS=MRC</stp>
        <stp>CURRENCY=USD</stp>
        <stp>XLFILL=b</stp>
        <tr r="AF220" s="2"/>
      </tp>
      <tp t="s">
        <v>#N/A Requesting Data...</v>
        <stp/>
        <stp>##V3_BQLV12</stp>
        <stp>[MODL_NOW_US1.xlsx]Single Period!R25C5</stp>
        <stp>NOW US Equity</stp>
        <stp>IS_COMP_GROSS_MARGIN_PERCENTAGE</stp>
        <stp>FPR=2021Y</stp>
        <stp>FPT=A</stp>
        <stp>FA_ACT_EST_DATA=E</stp>
        <stp>ACT_EST_MAPPING=PRECISE</stp>
        <stp>FS=MRC</stp>
        <stp>CURRENCY=USD</stp>
        <stp>XLFILL=b</stp>
        <tr r="E25" s="2"/>
      </tp>
      <tp t="s">
        <v>#N/A Requesting Data...</v>
        <stp/>
        <stp>##V3_BQLV12</stp>
        <stp>[MODL_NOW_US1.xlsx]Single Period!R85C5</stp>
        <stp>NOW US Equity</stp>
        <stp>IS_COMP_GROSS_MARGIN_PERCENTAGE</stp>
        <stp>FPR=2021Y</stp>
        <stp>FPT=A</stp>
        <stp>FA_ACT_EST_DATA=E</stp>
        <stp>ACT_EST_MAPPING=PRECISE</stp>
        <stp>FS=MRC</stp>
        <stp>CURRENCY=USD</stp>
        <stp>XLFILL=b</stp>
        <tr r="E85" s="2"/>
      </tp>
      <tp t="s">
        <v>#N/A Requesting Data...</v>
        <stp/>
        <stp>##V3_BQLV12</stp>
        <stp>[MODL_NOW_US1.xlsx]Single Period!R50C46</stp>
        <stp>NOW US Equity</stp>
        <stp>NUM_CSTMR_CNTRCT_OVER_1_MILLN</stp>
        <stp>FPR=2021Y</stp>
        <stp>FPT=A</stp>
        <stp>FA_ACT_EST_DATA=E, EST_SOURCE=MZS</stp>
        <stp>ACT_EST_MAPPING=PRECISE</stp>
        <stp>FS=MRC</stp>
        <stp>CURRENCY=USD</stp>
        <stp>XLFILL=b</stp>
        <tr r="AT50" s="2"/>
      </tp>
      <tp t="s">
        <v>#N/A Requesting Data...</v>
        <stp/>
        <stp>##V3_BQLV12</stp>
        <stp>[MODL_NOW_US1.xlsx]Single Period!R173C10</stp>
        <stp>NOW US Equity</stp>
        <stp>BS_CUR_LIAB/1M</stp>
        <stp>FPR=2021Y</stp>
        <stp>FPT=A</stp>
        <stp>FA_ACT_EST_DATA=E, EST_SOURCE=CMPY</stp>
        <stp>ACT_EST_MAPPING=PRECISE</stp>
        <stp>FS=MRC</stp>
        <stp>CURRENCY=USD</stp>
        <stp>XLFILL=b</stp>
        <tr r="J173" s="2"/>
      </tp>
      <tp t="s">
        <v>#N/A Requesting Data...</v>
        <stp/>
        <stp>##V3_BQLV12</stp>
        <stp>[MODL_NOW_US1.xlsx]Single Period!R108C17</stp>
        <stp>NOW US Equity</stp>
        <stp>IS_COMP_EPS_EXCL_STOCK_COMP</stp>
        <stp>FPR=2021Y</stp>
        <stp>FPT=A</stp>
        <stp>FA_ACT_EST_DATA=E, EST_SOURCE=RHR</stp>
        <stp>ACT_EST_MAPPING=PRECISE</stp>
        <stp>FS=MRC</stp>
        <stp>CURRENCY=USD</stp>
        <stp>XLFILL=b</stp>
        <tr r="Q108" s="2"/>
      </tp>
      <tp t="s">
        <v>#N/A Requesting Data...</v>
        <stp/>
        <stp>##V3_BQLV12</stp>
        <stp>[MODL_NOW_US1.xlsx]Single Period!R50C39</stp>
        <stp>NOW US Equity</stp>
        <stp>NUM_CSTMR_CNTRCT_OVER_1_MILLN</stp>
        <stp>FPR=2021Y</stp>
        <stp>FPT=A</stp>
        <stp>FA_ACT_EST_DATA=E, EST_SOURCE=DZB</stp>
        <stp>ACT_EST_MAPPING=PRECISE</stp>
        <stp>FS=MRC</stp>
        <stp>CURRENCY=USD</stp>
        <stp>XLFILL=b</stp>
        <tr r="AM50" s="2"/>
      </tp>
      <tp t="s">
        <v>#N/A Requesting Data...</v>
        <stp/>
        <stp>##V3_BQLV12</stp>
        <stp>[MODL_NOW_US1.xlsx]Single Period!R62C6</stp>
        <stp>SEG0000230975 Segment</stp>
        <stp>CONTRIBUTOR_STATS(IS_ADJ_GROSS_MARGIN_PCT_AR, MIN)</stp>
        <stp>FPR=2021Y</stp>
        <stp>FPT=A</stp>
        <stp>FA_ACT_EST_DATA=E</stp>
        <stp>ACT_EST_MAPPING=PRECISE</stp>
        <stp>FS=MRC</stp>
        <stp>CURRENCY=USD</stp>
        <stp>XLFILL=b</stp>
        <tr r="F62" s="2"/>
      </tp>
      <tp t="s">
        <v>#N/A Requesting Data...</v>
        <stp/>
        <stp>##V3_BQLV12</stp>
        <stp>[MODL_NOW_US1.xlsx]Single Period!R220C9</stp>
        <stp>NOW US Equity</stp>
        <stp>CONTRIBUTOR_STATS(CF_PROCDS_FROM_INVSTMNTS, MEDIAN)/1M</stp>
        <stp>FPR=2021Y</stp>
        <stp>FPT=A</stp>
        <stp>FA_ACT_EST_DATA=E</stp>
        <stp>ACT_EST_MAPPING=PRECISE</stp>
        <stp>FS=MRC</stp>
        <stp>CURRENCY=USD</stp>
        <stp>XLFILL=b</stp>
        <tr r="I220" s="2"/>
      </tp>
      <tp t="s">
        <v>#N/A Requesting Data...</v>
        <stp/>
        <stp>##V3_BQLV12</stp>
        <stp>[MODL_NOW_US1.xlsx]Single Period!R217C45</stp>
        <stp>NOW US Equity</stp>
        <stp>CAP_EXPEND_TO_SALES</stp>
        <stp>FPR=2021Y</stp>
        <stp>FPT=A</stp>
        <stp>FA_ACT_EST_DATA=E, EST_SOURCE=PJE</stp>
        <stp>ACT_EST_MAPPING=PRECISE</stp>
        <stp>FS=MRC</stp>
        <stp>CURRENCY=USD</stp>
        <stp>XLFILL=b</stp>
        <tr r="AS217" s="2"/>
      </tp>
      <tp t="s">
        <v>#N/A Requesting Data...</v>
        <stp/>
        <stp>##V3_BQLV12</stp>
        <stp>[MODL_NOW_US1.xlsx]Single Period!R62C7</stp>
        <stp>SEG0000230975 Segment</stp>
        <stp>CONTRIBUTOR_STATS(IS_ADJ_GROSS_MARGIN_PCT_AR, MAX)</stp>
        <stp>FPR=2021Y</stp>
        <stp>FPT=A</stp>
        <stp>FA_ACT_EST_DATA=E</stp>
        <stp>ACT_EST_MAPPING=PRECISE</stp>
        <stp>FS=MRC</stp>
        <stp>CURRENCY=USD</stp>
        <stp>XLFILL=b</stp>
        <tr r="G62" s="2"/>
      </tp>
      <tp t="s">
        <v>#N/A Requesting Data...</v>
        <stp/>
        <stp>##V3_BQLV12</stp>
        <stp>[MODL_NOW_US1.xlsx]Single Period!R6C37</stp>
        <stp>NOW US Equity</stp>
        <stp>IS_COMP_EPS_EXCL_STOCK_COMP</stp>
        <stp>FPR=2021Y</stp>
        <stp>FPT=A</stp>
        <stp>FA_ACT_EST_DATA=E, EST_SOURCE=TTC</stp>
        <stp>ACT_EST_MAPPING=PRECISE</stp>
        <stp>FS=MRC</stp>
        <stp>CURRENCY=USD</stp>
        <stp>XLFILL=b</stp>
        <tr r="AK6" s="2"/>
      </tp>
      <tp t="s">
        <v>#N/A Requesting Data...</v>
        <stp/>
        <stp>##V3_BQLV12</stp>
        <stp>[MODL_NOW_US1.xlsx]Single Period!R121C6</stp>
        <stp>NOW US Equity</stp>
        <stp>CONTRIBUTOR_STATS(CB_IS_GENL_AND_ADMIN_EXPN, MIN)/1M</stp>
        <stp>FPR=2021Y</stp>
        <stp>FPT=A</stp>
        <stp>FA_ACT_EST_DATA=E</stp>
        <stp>ACT_EST_MAPPING=PRECISE</stp>
        <stp>FS=MRC</stp>
        <stp>CURRENCY=USD</stp>
        <stp>XLFILL=b</stp>
        <tr r="F121" s="2"/>
      </tp>
      <tp t="s">
        <v>#N/A Requesting Data...</v>
        <stp/>
        <stp>##V3_BQLV12</stp>
        <stp>[MODL_NOW_US1.xlsx]Single Period!R116C5</stp>
        <stp>NOW US Equity</stp>
        <stp>GROSS_MARGIN</stp>
        <stp>FPR=2021Y</stp>
        <stp>FPT=A</stp>
        <stp>FA_ACT_EST_DATA=E</stp>
        <stp>ACT_EST_MAPPING=PRECISE</stp>
        <stp>FS=MRC</stp>
        <stp>CURRENCY=USD</stp>
        <stp>XLFILL=b</stp>
        <tr r="E116" s="2"/>
      </tp>
      <tp t="s">
        <v>#N/A Requesting Data...</v>
        <stp/>
        <stp>##V3_BQLV12</stp>
        <stp>[MODL_NOW_US1.xlsx]Single Period!R210C9</stp>
        <stp>NOW US Equity</stp>
        <stp>CONTRIBUTOR_STATS(CF_CHANGE_IN_PREPAID_EXPNSS, MEDIAN)/1M</stp>
        <stp>FPR=2021Y</stp>
        <stp>FPT=A</stp>
        <stp>FA_ACT_EST_DATA=E</stp>
        <stp>ACT_EST_MAPPING=PRECISE</stp>
        <stp>FS=MRC</stp>
        <stp>CURRENCY=USD</stp>
        <stp>XLFILL=b</stp>
        <tr r="I210" s="2"/>
      </tp>
      <tp t="s">
        <v>#N/A Requesting Data...</v>
        <stp/>
        <stp>##V3_BQLV12</stp>
        <stp>[MODL_NOW_US1.xlsx]Single Period!R68C39</stp>
        <stp>SEG0000230986 Segment</stp>
        <stp>IS_ADJUSTED_COGS_AS_REPORTED/1M</stp>
        <stp>FPR=2021Y</stp>
        <stp>FPT=A</stp>
        <stp>FA_ACT_EST_DATA=E, EST_SOURCE=DZB</stp>
        <stp>ACT_EST_MAPPING=PRECISE</stp>
        <stp>FS=MRC</stp>
        <stp>CURRENCY=USD</stp>
        <stp>XLFILL=b</stp>
        <tr r="AM68" s="2"/>
      </tp>
      <tp t="s">
        <v>#N/A Requesting Data...</v>
        <stp/>
        <stp>##V3_BQLV12</stp>
        <stp>[MODL_NOW_US1.xlsx]Single Period!R60C39</stp>
        <stp>SEG0000230975 Segment</stp>
        <stp>IS_ADJUSTED_COGS_AS_REPORTED/1M</stp>
        <stp>FPR=2021Y</stp>
        <stp>FPT=A</stp>
        <stp>FA_ACT_EST_DATA=E, EST_SOURCE=DZB</stp>
        <stp>ACT_EST_MAPPING=PRECISE</stp>
        <stp>FS=MRC</stp>
        <stp>CURRENCY=USD</stp>
        <stp>XLFILL=b</stp>
        <tr r="AM60" s="2"/>
      </tp>
      <tp t="s">
        <v>#N/A Requesting Data...</v>
        <stp/>
        <stp>##V3_BQLV12</stp>
        <stp>[MODL_NOW_US1.xlsx]Single Period!R121C5</stp>
        <stp>NOW US Equity</stp>
        <stp>CB_IS_GENL_AND_ADMIN_EXPN/1M</stp>
        <stp>FPR=2021Y</stp>
        <stp>FPT=A</stp>
        <stp>FA_ACT_EST_DATA=E</stp>
        <stp>ACT_EST_MAPPING=PRECISE</stp>
        <stp>FS=MRC</stp>
        <stp>CURRENCY=USD</stp>
        <stp>XLFILL=b</stp>
        <tr r="E121" s="2"/>
      </tp>
      <tp t="s">
        <v>#N/A Requesting Data...</v>
        <stp/>
        <stp>##V3_BQLV12</stp>
        <stp>[MODL_NOW_US1.xlsx]Single Period!R44C39</stp>
        <stp>SEG0000230986 Segment</stp>
        <stp>IS_FOREIGN_CURRENCY_TURNOVER/1M</stp>
        <stp>FPR=2021Y</stp>
        <stp>FPT=A</stp>
        <stp>FA_ACT_EST_DATA=E, EST_SOURCE=DZB</stp>
        <stp>ACT_EST_MAPPING=PRECISE</stp>
        <stp>FS=MRC</stp>
        <stp>CURRENCY=USD</stp>
        <stp>XLFILL=b</stp>
        <tr r="AM44" s="2"/>
      </tp>
      <tp t="s">
        <v>#N/A Requesting Data...</v>
        <stp/>
        <stp>##V3_BQLV12</stp>
        <stp>[MODL_NOW_US1.xlsx]Single Period!R59C48</stp>
        <stp>SEG0000230975 Segment</stp>
        <stp>IS_PERCENTAGE_OF_REVENUE</stp>
        <stp>FPR=2021Y</stp>
        <stp>FPT=A</stp>
        <stp>FA_ACT_EST_DATA=E, EST_SOURCE=CRC</stp>
        <stp>ACT_EST_MAPPING=PRECISE</stp>
        <stp>FS=MRC</stp>
        <stp>CURRENCY=USD</stp>
        <stp>XLFILL=b</stp>
        <tr r="AV59" s="2"/>
      </tp>
      <tp t="s">
        <v>#N/A Requesting Data...</v>
        <stp/>
        <stp>##V3_BQLV12</stp>
        <stp>[MODL_NOW_US1.xlsx]Single Period!R24C22</stp>
        <stp>NOW US Equity</stp>
        <stp>IS_ADJ_GROSS_PROFIT_AS_REPORTED/1M</stp>
        <stp>FPR=2021Y</stp>
        <stp>FPT=A</stp>
        <stp>FA_ACT_EST_DATA=E, EST_SOURCE=NDH</stp>
        <stp>ACT_EST_MAPPING=PRECISE</stp>
        <stp>FS=MRC</stp>
        <stp>CURRENCY=USD</stp>
        <stp>XLFILL=b</stp>
        <tr r="V24" s="2"/>
      </tp>
      <tp t="s">
        <v>#N/A Requesting Data...</v>
        <stp/>
        <stp>##V3_BQLV12</stp>
        <stp>[MODL_NOW_US1.xlsx]Single Period!R84C22</stp>
        <stp>NOW US Equity</stp>
        <stp>IS_ADJ_GROSS_PROFIT_AS_REPORTED/1M</stp>
        <stp>FPR=2021Y</stp>
        <stp>FPT=A</stp>
        <stp>FA_ACT_EST_DATA=E, EST_SOURCE=NDH</stp>
        <stp>ACT_EST_MAPPING=PRECISE</stp>
        <stp>FS=MRC</stp>
        <stp>CURRENCY=USD</stp>
        <stp>XLFILL=b</stp>
        <tr r="V84" s="2"/>
      </tp>
      <tp t="s">
        <v>#N/A Requesting Data...</v>
        <stp/>
        <stp>##V3_BQLV12</stp>
        <stp>[MODL_NOW_US1.xlsx]Single Period!R132C8</stp>
        <stp>NOW US Equity</stp>
        <stp>CONTRIBUTOR_STATS(CONT_INC_PER_SH, STD)</stp>
        <stp>FPR=2021Y</stp>
        <stp>FPT=A</stp>
        <stp>FA_ACT_EST_DATA=E</stp>
        <stp>ACT_EST_MAPPING=PRECISE</stp>
        <stp>FS=MRC</stp>
        <stp>CURRENCY=USD</stp>
        <stp>XLFILL=b</stp>
        <tr r="H132" s="2"/>
      </tp>
      <tp t="s">
        <v>#N/A Requesting Data...</v>
        <stp/>
        <stp>##V3_BQLV12</stp>
        <stp>[MODL_NOW_US1.xlsx]Single Period!R137C9</stp>
        <stp>NOW US Equity</stp>
        <stp>CONTRIBUTOR_STATS(CF_STOCK_BASED_COMPENSATION, MEDIAN)/1M</stp>
        <stp>FPR=2021Y</stp>
        <stp>FPT=A</stp>
        <stp>FA_ACT_EST_DATA=E</stp>
        <stp>ACT_EST_MAPPING=PRECISE</stp>
        <stp>FS=MRC</stp>
        <stp>CURRENCY=USD</stp>
        <stp>XLFILL=b</stp>
        <tr r="I137" s="2"/>
      </tp>
      <tp t="s">
        <v>#N/A Requesting Data...</v>
        <stp/>
        <stp>##V3_BQLV12</stp>
        <stp>[MODL_NOW_US1.xlsx]Single Period!R59C19</stp>
        <stp>SEG0000230975 Segment</stp>
        <stp>IS_PERCENTAGE_OF_REVENUE</stp>
        <stp>FPR=2021Y</stp>
        <stp>FPT=A</stp>
        <stp>FA_ACT_EST_DATA=E, EST_SOURCE=MSV</stp>
        <stp>ACT_EST_MAPPING=PRECISE</stp>
        <stp>FS=MRC</stp>
        <stp>CURRENCY=USD</stp>
        <stp>XLFILL=b</stp>
        <tr r="S59" s="2"/>
      </tp>
      <tp t="s">
        <v>#N/A Requesting Data...</v>
        <stp/>
        <stp>##V3_BQLV12</stp>
        <stp>[MODL_NOW_US1.xlsx]Single Period!R192C6</stp>
        <stp>NOW US Equity</stp>
        <stp>CONTRIBUTOR_STATS(LT_DEFERRED_REVENUE, MIN)/1M</stp>
        <stp>FPR=2021Y</stp>
        <stp>FPT=A</stp>
        <stp>FA_ACT_EST_DATA=E</stp>
        <stp>ACT_EST_MAPPING=PRECISE</stp>
        <stp>FS=MRC</stp>
        <stp>CURRENCY=USD</stp>
        <stp>XLFILL=b</stp>
        <tr r="F192" s="2"/>
      </tp>
      <tp t="s">
        <v>#N/A Requesting Data...</v>
        <stp/>
        <stp>##V3_BQLV12</stp>
        <stp>[MODL_NOW_US1.xlsx]Single Period!R192C7</stp>
        <stp>NOW US Equity</stp>
        <stp>CONTRIBUTOR_STATS(LT_DEFERRED_REVENUE, MAX)/1M</stp>
        <stp>FPR=2021Y</stp>
        <stp>FPT=A</stp>
        <stp>FA_ACT_EST_DATA=E</stp>
        <stp>ACT_EST_MAPPING=PRECISE</stp>
        <stp>FS=MRC</stp>
        <stp>CURRENCY=USD</stp>
        <stp>XLFILL=b</stp>
        <tr r="G192" s="2"/>
      </tp>
      <tp t="s">
        <v>#N/A Requesting Data...</v>
        <stp/>
        <stp>##V3_BQLV12</stp>
        <stp>[MODL_NOW_US1.xlsx]Single Period!R141C49</stp>
        <stp>SEG0000230986 Segment</stp>
        <stp>IS_SBC_ATTRIB_TO_COGS_PRETX/1M</stp>
        <stp>FPR=2021Y</stp>
        <stp>FPT=A</stp>
        <stp>FA_ACT_EST_DATA=E, EST_SOURCE=SCB</stp>
        <stp>ACT_EST_MAPPING=PRECISE</stp>
        <stp>FS=MRC</stp>
        <stp>CURRENCY=USD</stp>
        <stp>XLFILL=b</stp>
        <tr r="AW141" s="2"/>
      </tp>
      <tp t="s">
        <v>#N/A Requesting Data...</v>
        <stp/>
        <stp>##V3_BQLV12</stp>
        <stp>[MODL_NOW_US1.xlsx]Single Period!R220C43</stp>
        <stp>NOW US Equity</stp>
        <stp>CF_PROCDS_FROM_INVSTMNTS/1M</stp>
        <stp>FPR=2021Y</stp>
        <stp>FPT=A</stp>
        <stp>FA_ACT_EST_DATA=E, EST_SOURCE=WFT</stp>
        <stp>ACT_EST_MAPPING=PRECISE</stp>
        <stp>FS=MRC</stp>
        <stp>CURRENCY=USD</stp>
        <stp>XLFILL=b</stp>
        <tr r="AQ220" s="2"/>
      </tp>
      <tp t="s">
        <v>#N/A Requesting Data...</v>
        <stp/>
        <stp>##V3_BQLV12</stp>
        <stp>[MODL_NOW_US1.xlsx]Single Period!R141C16</stp>
        <stp>SEG0000230986 Segment</stp>
        <stp>IS_SBC_ATTRIB_TO_COGS_PRETX/1M</stp>
        <stp>FPR=2021Y</stp>
        <stp>FPT=A</stp>
        <stp>FA_ACT_EST_DATA=E, EST_SOURCE=BCA</stp>
        <stp>ACT_EST_MAPPING=PRECISE</stp>
        <stp>FS=MRC</stp>
        <stp>CURRENCY=USD</stp>
        <stp>XLFILL=b</stp>
        <tr r="P141" s="2"/>
      </tp>
      <tp t="s">
        <v>#N/A Requesting Data...</v>
        <stp/>
        <stp>##V3_BQLV12</stp>
        <stp>[MODL_NOW_US1.xlsx]Single Period!R207C5</stp>
        <stp>NOW US Equity</stp>
        <stp>CB_CF_CHANGE_IN_ACCOUNTS_RECEIVABLE/1M</stp>
        <stp>FPR=2021Y</stp>
        <stp>FPT=A</stp>
        <stp>FA_ACT_EST_DATA=E</stp>
        <stp>ACT_EST_MAPPING=PRECISE</stp>
        <stp>FS=MRC</stp>
        <stp>CURRENCY=USD</stp>
        <stp>XLFILL=b</stp>
        <tr r="E207" s="2"/>
      </tp>
      <tp t="s">
        <v>#N/A Requesting Data...</v>
        <stp/>
        <stp>##V3_BQLV12</stp>
        <stp>[MODL_NOW_US1.xlsx]Single Period!R53C46</stp>
        <stp>NOW US Equity</stp>
        <stp>ANNUALIZED_DAYS_SALES_OUTSTDG</stp>
        <stp>FPR=2021Y</stp>
        <stp>FPT=A</stp>
        <stp>FA_ACT_EST_DATA=E, EST_SOURCE=MZS</stp>
        <stp>ACT_EST_MAPPING=PRECISE</stp>
        <stp>FS=MRC</stp>
        <stp>CURRENCY=USD</stp>
        <stp>XLFILL=b</stp>
        <tr r="AT53" s="2"/>
      </tp>
      <tp t="s">
        <v>#N/A Requesting Data...</v>
        <stp/>
        <stp>##V3_BQLV12</stp>
        <stp>[MODL_NOW_US1.xlsx]Single Period!R93C7</stp>
        <stp>NOW US Equity</stp>
        <stp>CONTRIBUTOR_STATS(G_AND_A_COST_PCT_REVENUES, MAX)</stp>
        <stp>FPR=2021Y</stp>
        <stp>FPT=A</stp>
        <stp>FA_ACT_EST_DATA=E</stp>
        <stp>ACT_EST_MAPPING=PRECISE</stp>
        <stp>FS=MRC</stp>
        <stp>CURRENCY=USD</stp>
        <stp>XLFILL=b</stp>
        <tr r="G93" s="2"/>
      </tp>
      <tp t="s">
        <v>#N/A Requesting Data...</v>
        <stp/>
        <stp>##V3_BQLV12</stp>
        <stp>[MODL_NOW_US1.xlsx]Single Period!R220C33</stp>
        <stp>NOW US Equity</stp>
        <stp>CF_PROCDS_FROM_INVSTMNTS/1M</stp>
        <stp>FPR=2021Y</stp>
        <stp>FPT=A</stp>
        <stp>FA_ACT_EST_DATA=E, EST_SOURCE=MAC</stp>
        <stp>ACT_EST_MAPPING=PRECISE</stp>
        <stp>FS=MRC</stp>
        <stp>CURRENCY=USD</stp>
        <stp>XLFILL=b</stp>
        <tr r="AG220" s="2"/>
      </tp>
      <tp t="s">
        <v>#N/A Requesting Data...</v>
        <stp/>
        <stp>##V3_BQLV12</stp>
        <stp>[MODL_NOW_US1.xlsx]Single Period!R220C16</stp>
        <stp>NOW US Equity</stp>
        <stp>CF_PROCDS_FROM_INVSTMNTS/1M</stp>
        <stp>FPR=2021Y</stp>
        <stp>FPT=A</stp>
        <stp>FA_ACT_EST_DATA=E, EST_SOURCE=BCA</stp>
        <stp>ACT_EST_MAPPING=PRECISE</stp>
        <stp>FS=MRC</stp>
        <stp>CURRENCY=USD</stp>
        <stp>XLFILL=b</stp>
        <tr r="P220" s="2"/>
      </tp>
      <tp t="s">
        <v>#N/A Requesting Data...</v>
        <stp/>
        <stp>##V3_BQLV12</stp>
        <stp>[MODL_NOW_US1.xlsx]Single Period!R93C6</stp>
        <stp>NOW US Equity</stp>
        <stp>CONTRIBUTOR_STATS(G_AND_A_COST_PCT_REVENUES, MIN)</stp>
        <stp>FPR=2021Y</stp>
        <stp>FPT=A</stp>
        <stp>FA_ACT_EST_DATA=E</stp>
        <stp>ACT_EST_MAPPING=PRECISE</stp>
        <stp>FS=MRC</stp>
        <stp>CURRENCY=USD</stp>
        <stp>XLFILL=b</stp>
        <tr r="F93" s="2"/>
      </tp>
      <tp t="s">
        <v>#N/A Requesting Data...</v>
        <stp/>
        <stp>##V3_BQLV12</stp>
        <stp>[MODL_NOW_US1.xlsx]Single Period!R53C39</stp>
        <stp>NOW US Equity</stp>
        <stp>ANNUALIZED_DAYS_SALES_OUTSTDG</stp>
        <stp>FPR=2021Y</stp>
        <stp>FPT=A</stp>
        <stp>FA_ACT_EST_DATA=E, EST_SOURCE=DZB</stp>
        <stp>ACT_EST_MAPPING=PRECISE</stp>
        <stp>FS=MRC</stp>
        <stp>CURRENCY=USD</stp>
        <stp>XLFILL=b</stp>
        <tr r="AM53" s="2"/>
      </tp>
      <tp t="s">
        <v>#N/A Requesting Data...</v>
        <stp/>
        <stp>##V3_BQLV12</stp>
        <stp>[MODL_NOW_US1.xlsx]Single Period!R220C30</stp>
        <stp>NOW US Equity</stp>
        <stp>CF_PROCDS_FROM_INVSTMNTS/1M</stp>
        <stp>FPR=2021Y</stp>
        <stp>FPT=A</stp>
        <stp>FA_ACT_EST_DATA=E, EST_SOURCE=BAM</stp>
        <stp>ACT_EST_MAPPING=PRECISE</stp>
        <stp>FS=MRC</stp>
        <stp>CURRENCY=USD</stp>
        <stp>XLFILL=b</stp>
        <tr r="AD220" s="2"/>
      </tp>
      <tp t="s">
        <v>#N/A Requesting Data...</v>
        <stp/>
        <stp>##V3_BQLV12</stp>
        <stp>[MODL_NOW_US1.xlsx]Single Period!R192C8</stp>
        <stp>NOW US Equity</stp>
        <stp>CONTRIBUTOR_STATS(LT_DEFERRED_REVENUE, STD)/1M</stp>
        <stp>FPR=2021Y</stp>
        <stp>FPT=A</stp>
        <stp>FA_ACT_EST_DATA=E</stp>
        <stp>ACT_EST_MAPPING=PRECISE</stp>
        <stp>FS=MRC</stp>
        <stp>CURRENCY=USD</stp>
        <stp>XLFILL=b</stp>
        <tr r="H192" s="2"/>
      </tp>
      <tp t="s">
        <v>#N/A Requesting Data...</v>
        <stp/>
        <stp>##V3_BQLV12</stp>
        <stp>[MODL_NOW_US1.xlsx]Single Period!R11C23</stp>
        <stp>NOW US Equity</stp>
        <stp>NUM_CSTMR_CNTRCT_OVER_1_MILLN</stp>
        <stp>FPR=2021Y</stp>
        <stp>FPT=A</stp>
        <stp>FA_ACT_EST_DATA=E, EST_SOURCE=ZXS</stp>
        <stp>ACT_EST_MAPPING=PRECISE</stp>
        <stp>FS=MRC</stp>
        <stp>CURRENCY=USD</stp>
        <stp>XLFILL=b</stp>
        <tr r="W11" s="2"/>
      </tp>
      <tp t="s">
        <v>#N/A Requesting Data...</v>
        <stp/>
        <stp>##V3_BQLV12</stp>
        <stp>[MODL_NOW_US1.xlsx]Single Period!R95C39</stp>
        <stp>NOW US Equity</stp>
        <stp>IS_COMPARABLE_EBIT/1M</stp>
        <stp>FPR=2021Y</stp>
        <stp>FPT=A</stp>
        <stp>FA_ACT_EST_DATA=E, EST_SOURCE=DZB</stp>
        <stp>ACT_EST_MAPPING=PRECISE</stp>
        <stp>FS=MRC</stp>
        <stp>CURRENCY=USD</stp>
        <stp>XLFILL=b</stp>
        <tr r="AM95" s="2"/>
      </tp>
      <tp t="s">
        <v>#N/A Requesting Data...</v>
        <stp/>
        <stp>##V3_BQLV12</stp>
        <stp>[MODL_NOW_US1.xlsx]Single Period!R22C6</stp>
        <stp>SEG0000230986 Segment</stp>
        <stp>CONTRIBUTOR_STATS(IS_ADJ_GROSS_MARGIN_PCT_AR, MIN)</stp>
        <stp>FPR=2021Y</stp>
        <stp>FPT=A</stp>
        <stp>FA_ACT_EST_DATA=E</stp>
        <stp>ACT_EST_MAPPING=PRECISE</stp>
        <stp>FS=MRC</stp>
        <stp>CURRENCY=USD</stp>
        <stp>XLFILL=b</stp>
        <tr r="F22" s="2"/>
      </tp>
      <tp t="s">
        <v>#N/A Requesting Data...</v>
        <stp/>
        <stp>##V3_BQLV12</stp>
        <stp>[MODL_NOW_US1.xlsx]Single Period!R99C5</stp>
        <stp>NOW US Equity</stp>
        <stp>IS_COMPARABLE_EBITDA/1M</stp>
        <stp>FPR=2021Y</stp>
        <stp>FPT=A</stp>
        <stp>FA_ACT_EST_DATA=E</stp>
        <stp>ACT_EST_MAPPING=PRECISE</stp>
        <stp>FS=MRC</stp>
        <stp>CURRENCY=USD</stp>
        <stp>XLFILL=b</stp>
        <tr r="E99" s="2"/>
      </tp>
      <tp t="s">
        <v>#N/A Requesting Data...</v>
        <stp/>
        <stp>##V3_BQLV12</stp>
        <stp>[MODL_NOW_US1.xlsx]Single Period!R95C46</stp>
        <stp>NOW US Equity</stp>
        <stp>IS_COMPARABLE_EBIT/1M</stp>
        <stp>FPR=2021Y</stp>
        <stp>FPT=A</stp>
        <stp>FA_ACT_EST_DATA=E, EST_SOURCE=MZS</stp>
        <stp>ACT_EST_MAPPING=PRECISE</stp>
        <stp>FS=MRC</stp>
        <stp>CURRENCY=USD</stp>
        <stp>XLFILL=b</stp>
        <tr r="AT95" s="2"/>
      </tp>
      <tp t="s">
        <v>#N/A Requesting Data...</v>
        <stp/>
        <stp>##V3_BQLV12</stp>
        <stp>[MODL_NOW_US1.xlsx]Single Period!R22C7</stp>
        <stp>SEG0000230986 Segment</stp>
        <stp>CONTRIBUTOR_STATS(IS_ADJ_GROSS_MARGIN_PCT_AR, MAX)</stp>
        <stp>FPR=2021Y</stp>
        <stp>FPT=A</stp>
        <stp>FA_ACT_EST_DATA=E</stp>
        <stp>ACT_EST_MAPPING=PRECISE</stp>
        <stp>FS=MRC</stp>
        <stp>CURRENCY=USD</stp>
        <stp>XLFILL=b</stp>
        <tr r="G22" s="2"/>
      </tp>
      <tp t="s">
        <v>#N/A Requesting Data...</v>
        <stp/>
        <stp>##V3_BQLV12</stp>
        <stp>[MODL_NOW_US1.xlsx]Single Period!R90C16</stp>
        <stp>NOW US Equity</stp>
        <stp>IS_ADJ_R_AND_D_AS_REPORTED/1M</stp>
        <stp>FPR=2021Y</stp>
        <stp>FPT=A</stp>
        <stp>FA_ACT_EST_DATA=E, EST_SOURCE=BCA</stp>
        <stp>ACT_EST_MAPPING=PRECISE</stp>
        <stp>FS=MRC</stp>
        <stp>CURRENCY=USD</stp>
        <stp>XLFILL=b</stp>
        <tr r="P90" s="2"/>
      </tp>
      <tp t="s">
        <v>#N/A Requesting Data...</v>
        <stp/>
        <stp>##V3_BQLV12</stp>
        <stp>[MODL_NOW_US1.xlsx]Single Period!R90C49</stp>
        <stp>NOW US Equity</stp>
        <stp>IS_ADJ_R_AND_D_AS_REPORTED/1M</stp>
        <stp>FPR=2021Y</stp>
        <stp>FPT=A</stp>
        <stp>FA_ACT_EST_DATA=E, EST_SOURCE=SCB</stp>
        <stp>ACT_EST_MAPPING=PRECISE</stp>
        <stp>FS=MRC</stp>
        <stp>CURRENCY=USD</stp>
        <stp>XLFILL=b</stp>
        <tr r="AW90" s="2"/>
      </tp>
      <tp t="s">
        <v>#N/A Requesting Data...</v>
        <stp/>
        <stp>##V3_BQLV12</stp>
        <stp>[MODL_NOW_US1.xlsx]Single Period!R6C38</stp>
        <stp>NOW US Equity</stp>
        <stp>IS_COMP_EPS_EXCL_STOCK_COMP</stp>
        <stp>FPR=2021Y</stp>
        <stp>FPT=A</stp>
        <stp>FA_ACT_EST_DATA=E, EST_SOURCE=RWB</stp>
        <stp>ACT_EST_MAPPING=PRECISE</stp>
        <stp>FS=MRC</stp>
        <stp>CURRENCY=USD</stp>
        <stp>XLFILL=b</stp>
        <tr r="AL6" s="2"/>
      </tp>
      <tp t="s">
        <v>#N/A Requesting Data...</v>
        <stp/>
        <stp>##V3_BQLV12</stp>
        <stp>[MODL_NOW_US1.xlsx]Single Period!R120C8</stp>
        <stp>NOW US Equity</stp>
        <stp>CONTRIBUTOR_STATS(IS_OPEX_R_AND_D_GAAP, STD)/1M</stp>
        <stp>FPR=2021Y</stp>
        <stp>FPT=A</stp>
        <stp>FA_ACT_EST_DATA=E</stp>
        <stp>ACT_EST_MAPPING=PRECISE</stp>
        <stp>FS=MRC</stp>
        <stp>CURRENCY=USD</stp>
        <stp>XLFILL=b</stp>
        <tr r="H120" s="2"/>
      </tp>
      <tp t="s">
        <v>#N/A Requesting Data...</v>
        <stp/>
        <stp>##V3_BQLV12</stp>
        <stp>[MODL_NOW_US1.xlsx]Single Period!R6C28</stp>
        <stp>NOW US Equity</stp>
        <stp>IS_COMP_EPS_EXCL_STOCK_COMP</stp>
        <stp>FPR=2021Y</stp>
        <stp>FPT=A</stp>
        <stp>FA_ACT_EST_DATA=E, EST_SOURCE=EVR</stp>
        <stp>ACT_EST_MAPPING=PRECISE</stp>
        <stp>FS=MRC</stp>
        <stp>CURRENCY=USD</stp>
        <stp>XLFILL=b</stp>
        <tr r="AB6" s="2"/>
      </tp>
      <tp t="s">
        <v>#N/A Requesting Data...</v>
        <stp/>
        <stp>##V3_BQLV12</stp>
        <stp>[MODL_NOW_US1.xlsx]Single Period!R213C7</stp>
        <stp>NOW US Equity</stp>
        <stp>CONTRIBUTOR_STATS(CF_CASH_FROM_OPER, MAX)/1M</stp>
        <stp>FPR=2021Y</stp>
        <stp>FPT=A</stp>
        <stp>FA_ACT_EST_DATA=E</stp>
        <stp>ACT_EST_MAPPING=PRECISE</stp>
        <stp>FS=MRC</stp>
        <stp>CURRENCY=USD</stp>
        <stp>XLFILL=b</stp>
        <tr r="G213" s="2"/>
      </tp>
      <tp t="s">
        <v>#N/A Requesting Data...</v>
        <stp/>
        <stp>##V3_BQLV12</stp>
        <stp>[MODL_NOW_US1.xlsx]Single Period!R120C6</stp>
        <stp>NOW US Equity</stp>
        <stp>CONTRIBUTOR_STATS(IS_OPEX_R_AND_D_GAAP, MIN)/1M</stp>
        <stp>FPR=2021Y</stp>
        <stp>FPT=A</stp>
        <stp>FA_ACT_EST_DATA=E</stp>
        <stp>ACT_EST_MAPPING=PRECISE</stp>
        <stp>FS=MRC</stp>
        <stp>CURRENCY=USD</stp>
        <stp>XLFILL=b</stp>
        <tr r="F120" s="2"/>
      </tp>
      <tp t="s">
        <v>#N/A Requesting Data...</v>
        <stp/>
        <stp>##V3_BQLV12</stp>
        <stp>[MODL_NOW_US1.xlsx]Single Period!R120C7</stp>
        <stp>NOW US Equity</stp>
        <stp>CONTRIBUTOR_STATS(IS_OPEX_R_AND_D_GAAP, MAX)/1M</stp>
        <stp>FPR=2021Y</stp>
        <stp>FPT=A</stp>
        <stp>FA_ACT_EST_DATA=E</stp>
        <stp>ACT_EST_MAPPING=PRECISE</stp>
        <stp>FS=MRC</stp>
        <stp>CURRENCY=USD</stp>
        <stp>XLFILL=b</stp>
        <tr r="G120" s="2"/>
      </tp>
      <tp t="s">
        <v>#N/A Requesting Data...</v>
        <stp/>
        <stp>##V3_BQLV12</stp>
        <stp>[MODL_NOW_US1.xlsx]Single Period!R67C5</stp>
        <stp>SEG0000230986 Segment</stp>
        <stp>IS_PERCENTAGE_OF_REVENUE</stp>
        <stp>FPR=2021Y</stp>
        <stp>FPT=A</stp>
        <stp>FA_ACT_EST_DATA=E</stp>
        <stp>ACT_EST_MAPPING=PRECISE</stp>
        <stp>FS=MRC</stp>
        <stp>CURRENCY=USD</stp>
        <stp>XLFILL=b</stp>
        <tr r="E67" s="2"/>
      </tp>
      <tp t="s">
        <v>#N/A Requesting Data...</v>
        <stp/>
        <stp>##V3_BQLV12</stp>
        <stp>[MODL_NOW_US1.xlsx]Single Period!R24C36</stp>
        <stp>NOW US Equity</stp>
        <stp>IS_ADJ_GROSS_PROFIT_AS_REPORTED/1M</stp>
        <stp>FPR=2021Y</stp>
        <stp>FPT=A</stp>
        <stp>FA_ACT_EST_DATA=E, EST_SOURCE=JEF</stp>
        <stp>ACT_EST_MAPPING=PRECISE</stp>
        <stp>FS=MRC</stp>
        <stp>CURRENCY=USD</stp>
        <stp>XLFILL=b</stp>
        <tr r="AJ24" s="2"/>
      </tp>
      <tp t="s">
        <v>#N/A Requesting Data...</v>
        <stp/>
        <stp>##V3_BQLV12</stp>
        <stp>[MODL_NOW_US1.xlsx]Single Period!R84C36</stp>
        <stp>NOW US Equity</stp>
        <stp>IS_ADJ_GROSS_PROFIT_AS_REPORTED/1M</stp>
        <stp>FPR=2021Y</stp>
        <stp>FPT=A</stp>
        <stp>FA_ACT_EST_DATA=E, EST_SOURCE=JEF</stp>
        <stp>ACT_EST_MAPPING=PRECISE</stp>
        <stp>FS=MRC</stp>
        <stp>CURRENCY=USD</stp>
        <stp>XLFILL=b</stp>
        <tr r="AJ84" s="2"/>
      </tp>
      <tp t="s">
        <v>#N/A Requesting Data...</v>
        <stp/>
        <stp>##V3_BQLV12</stp>
        <stp>[MODL_NOW_US1.xlsx]Single Period!R112C11</stp>
        <stp>SEG0000230975 Segment</stp>
        <stp>IS_COGS_TO_FE_AND_PP_AND_G/1M</stp>
        <stp>FPR=2021Y</stp>
        <stp>FPT=A</stp>
        <stp>FA_ACT_EST_DATA=E, EST_SOURCE=JPM</stp>
        <stp>ACT_EST_MAPPING=PRECISE</stp>
        <stp>FS=MRC</stp>
        <stp>CURRENCY=USD</stp>
        <stp>XLFILL=b</stp>
        <tr r="K112" s="2"/>
      </tp>
      <tp t="s">
        <v>#N/A Requesting Data...</v>
        <stp/>
        <stp>##V3_BQLV12</stp>
        <stp>[MODL_NOW_US1.xlsx]Single Period!R59C5</stp>
        <stp>SEG0000230975 Segment</stp>
        <stp>IS_PERCENTAGE_OF_REVENUE</stp>
        <stp>FPR=2021Y</stp>
        <stp>FPT=A</stp>
        <stp>FA_ACT_EST_DATA=E</stp>
        <stp>ACT_EST_MAPPING=PRECISE</stp>
        <stp>FS=MRC</stp>
        <stp>CURRENCY=USD</stp>
        <stp>XLFILL=b</stp>
        <tr r="E59" s="2"/>
      </tp>
      <tp t="s">
        <v>#N/A Requesting Data...</v>
        <stp/>
        <stp>##V3_BQLV12</stp>
        <stp>[MODL_NOW_US1.xlsx]Single Period!R59C23</stp>
        <stp>SEG0000230975 Segment</stp>
        <stp>IS_PERCENTAGE_OF_REVENUE</stp>
        <stp>FPR=2021Y</stp>
        <stp>FPT=A</stp>
        <stp>FA_ACT_EST_DATA=E, EST_SOURCE=ZXS</stp>
        <stp>ACT_EST_MAPPING=PRECISE</stp>
        <stp>FS=MRC</stp>
        <stp>CURRENCY=USD</stp>
        <stp>XLFILL=b</stp>
        <tr r="W59" s="2"/>
      </tp>
      <tp t="s">
        <v>#N/A Requesting Data...</v>
        <stp/>
        <stp>##V3_BQLV12</stp>
        <stp>[MODL_NOW_US1.xlsx]Single Period!R230C9</stp>
        <stp>NOW US Equity</stp>
        <stp>CONTRIBUTOR_STATS(CF_EFFECT_FOREIGN_EXCHANGES, MEDIAN)/1M</stp>
        <stp>FPR=2021Y</stp>
        <stp>FPT=A</stp>
        <stp>FA_ACT_EST_DATA=E</stp>
        <stp>ACT_EST_MAPPING=PRECISE</stp>
        <stp>FS=MRC</stp>
        <stp>CURRENCY=USD</stp>
        <stp>XLFILL=b</stp>
        <tr r="I230" s="2"/>
      </tp>
      <tp t="s">
        <v>#N/A Requesting Data...</v>
        <stp/>
        <stp>##V3_BQLV12</stp>
        <stp>[MODL_NOW_US1.xlsx]Single Period!R24C13</stp>
        <stp>NOW US Equity</stp>
        <stp>IS_ADJ_GROSS_PROFIT_AS_REPORTED/1M</stp>
        <stp>FPR=2021Y</stp>
        <stp>FPT=A</stp>
        <stp>FA_ACT_EST_DATA=E, EST_SOURCE=KEY</stp>
        <stp>ACT_EST_MAPPING=PRECISE</stp>
        <stp>FS=MRC</stp>
        <stp>CURRENCY=USD</stp>
        <stp>XLFILL=b</stp>
        <tr r="M24" s="2"/>
      </tp>
      <tp t="s">
        <v>#N/A Requesting Data...</v>
        <stp/>
        <stp>##V3_BQLV12</stp>
        <stp>[MODL_NOW_US1.xlsx]Single Period!R84C13</stp>
        <stp>NOW US Equity</stp>
        <stp>IS_ADJ_GROSS_PROFIT_AS_REPORTED/1M</stp>
        <stp>FPR=2021Y</stp>
        <stp>FPT=A</stp>
        <stp>FA_ACT_EST_DATA=E, EST_SOURCE=KEY</stp>
        <stp>ACT_EST_MAPPING=PRECISE</stp>
        <stp>FS=MRC</stp>
        <stp>CURRENCY=USD</stp>
        <stp>XLFILL=b</stp>
        <tr r="M84" s="2"/>
      </tp>
      <tp t="s">
        <v>#N/A Requesting Data...</v>
        <stp/>
        <stp>##V3_BQLV12</stp>
        <stp>[MODL_NOW_US1.xlsx]Single Period!R112C15</stp>
        <stp>SEG0000230975 Segment</stp>
        <stp>IS_COGS_TO_FE_AND_PP_AND_G/1M</stp>
        <stp>FPR=2021Y</stp>
        <stp>FPT=A</stp>
        <stp>FA_ACT_EST_DATA=E, EST_SOURCE=OPY</stp>
        <stp>ACT_EST_MAPPING=PRECISE</stp>
        <stp>FS=MRC</stp>
        <stp>CURRENCY=USD</stp>
        <stp>XLFILL=b</stp>
        <tr r="O112" s="2"/>
      </tp>
      <tp t="s">
        <v>#N/A Requesting Data...</v>
        <stp/>
        <stp>##V3_BQLV12</stp>
        <stp>[MODL_NOW_US1.xlsx]Single Period!R141C25</stp>
        <stp>SEG0000230986 Segment</stp>
        <stp>IS_SBC_ATTRIB_TO_COGS_PRETX/1M</stp>
        <stp>FPR=2021Y</stp>
        <stp>FPT=A</stp>
        <stp>FA_ACT_EST_DATA=E, EST_SOURCE=DBG</stp>
        <stp>ACT_EST_MAPPING=PRECISE</stp>
        <stp>FS=MRC</stp>
        <stp>CURRENCY=USD</stp>
        <stp>XLFILL=b</stp>
        <tr r="Y141" s="2"/>
      </tp>
      <tp t="s">
        <v>#N/A Requesting Data...</v>
        <stp/>
        <stp>##V3_BQLV12</stp>
        <stp>[MODL_NOW_US1.xlsx]Single Period!R141C27</stp>
        <stp>SEG0000230986 Segment</stp>
        <stp>IS_SBC_ATTRIB_TO_COGS_PRETX/1M</stp>
        <stp>FPR=2021Y</stp>
        <stp>FPT=A</stp>
        <stp>FA_ACT_EST_DATA=E, EST_SOURCE=RBC</stp>
        <stp>ACT_EST_MAPPING=PRECISE</stp>
        <stp>FS=MRC</stp>
        <stp>CURRENCY=USD</stp>
        <stp>XLFILL=b</stp>
        <tr r="AA141" s="2"/>
      </tp>
      <tp t="s">
        <v>#N/A Requesting Data...</v>
        <stp/>
        <stp>##V3_BQLV12</stp>
        <stp>[MODL_NOW_US1.xlsx]Single Period!R141C32</stp>
        <stp>SEG0000230986 Segment</stp>
        <stp>IS_SBC_ATTRIB_TO_COGS_PRETX/1M</stp>
        <stp>FPR=2021Y</stp>
        <stp>FPT=A</stp>
        <stp>FA_ACT_EST_DATA=E, EST_SOURCE=FBC</stp>
        <stp>ACT_EST_MAPPING=PRECISE</stp>
        <stp>FS=MRC</stp>
        <stp>CURRENCY=USD</stp>
        <stp>XLFILL=b</stp>
        <tr r="AF141" s="2"/>
      </tp>
      <tp t="s">
        <v>#N/A Requesting Data...</v>
        <stp/>
        <stp>##V3_BQLV12</stp>
        <stp>[MODL_NOW_US1.xlsx]Single Period!R140C33</stp>
        <stp>SEG0000230975 Segment</stp>
        <stp>IS_SBC_ATTRIB_TO_COGS_PRETX/1M</stp>
        <stp>FPR=2021Y</stp>
        <stp>FPT=A</stp>
        <stp>FA_ACT_EST_DATA=E, EST_SOURCE=MAC</stp>
        <stp>ACT_EST_MAPPING=PRECISE</stp>
        <stp>FS=MRC</stp>
        <stp>CURRENCY=USD</stp>
        <stp>XLFILL=b</stp>
        <tr r="AG140" s="2"/>
      </tp>
      <tp t="s">
        <v>#N/A Requesting Data...</v>
        <stp/>
        <stp>##V3_BQLV12</stp>
        <stp>[MODL_NOW_US1.xlsx]Single Period!R161C6</stp>
        <stp>NOW US Equity</stp>
        <stp>CONTRIBUTOR_STATS(BS_TOTAL_NON_CURRENT_ASSETS, MIN)/1M</stp>
        <stp>FPR=2021Y</stp>
        <stp>FPT=A</stp>
        <stp>FA_ACT_EST_DATA=E</stp>
        <stp>ACT_EST_MAPPING=PRECISE</stp>
        <stp>FS=MRC</stp>
        <stp>CURRENCY=USD</stp>
        <stp>XLFILL=b</stp>
        <tr r="F161" s="2"/>
      </tp>
      <tp t="s">
        <v>#N/A Requesting Data...</v>
        <stp/>
        <stp>##V3_BQLV12</stp>
        <stp>[MODL_NOW_US1.xlsx]Single Period!R161C7</stp>
        <stp>NOW US Equity</stp>
        <stp>CONTRIBUTOR_STATS(BS_TOTAL_NON_CURRENT_ASSETS, MAX)/1M</stp>
        <stp>FPR=2021Y</stp>
        <stp>FPT=A</stp>
        <stp>FA_ACT_EST_DATA=E</stp>
        <stp>ACT_EST_MAPPING=PRECISE</stp>
        <stp>FS=MRC</stp>
        <stp>CURRENCY=USD</stp>
        <stp>XLFILL=b</stp>
        <tr r="G161" s="2"/>
      </tp>
      <tp t="s">
        <v>#N/A Requesting Data...</v>
        <stp/>
        <stp>##V3_BQLV12</stp>
        <stp>[MODL_NOW_US1.xlsx]Single Period!R141C12</stp>
        <stp>SEG0000230986 Segment</stp>
        <stp>IS_SBC_ATTRIB_TO_COGS_PRETX/1M</stp>
        <stp>FPR=2021Y</stp>
        <stp>FPT=A</stp>
        <stp>FA_ACT_EST_DATA=E, EST_SOURCE=WBL</stp>
        <stp>ACT_EST_MAPPING=PRECISE</stp>
        <stp>FS=MRC</stp>
        <stp>CURRENCY=USD</stp>
        <stp>XLFILL=b</stp>
        <tr r="L141" s="2"/>
      </tp>
      <tp t="s">
        <v>#N/A Requesting Data...</v>
        <stp/>
        <stp>##V3_BQLV12</stp>
        <stp>[MODL_NOW_US1.xlsx]Single Period!R140C20</stp>
        <stp>SEG0000230975 Segment</stp>
        <stp>IS_SBC_ATTRIB_TO_COGS_PRETX/1M</stp>
        <stp>FPR=2021Y</stp>
        <stp>FPT=A</stp>
        <stp>FA_ACT_EST_DATA=E, EST_SOURCE=CAN</stp>
        <stp>ACT_EST_MAPPING=PRECISE</stp>
        <stp>FS=MRC</stp>
        <stp>CURRENCY=USD</stp>
        <stp>XLFILL=b</stp>
        <tr r="T140" s="2"/>
      </tp>
      <tp t="s">
        <v>#N/A Requesting Data...</v>
        <stp/>
        <stp>##V3_BQLV12</stp>
        <stp>[MODL_NOW_US1.xlsx]Single Period!R162C46</stp>
        <stp>NOW US Equity</stp>
        <stp>BS_LONG_TERM_INVESTMENTS/1M</stp>
        <stp>FPR=2021Y</stp>
        <stp>FPT=A</stp>
        <stp>FA_ACT_EST_DATA=E, EST_SOURCE=MZS</stp>
        <stp>ACT_EST_MAPPING=PRECISE</stp>
        <stp>FS=MRC</stp>
        <stp>CURRENCY=USD</stp>
        <stp>XLFILL=b</stp>
        <tr r="AT162" s="2"/>
      </tp>
      <tp t="s">
        <v>#N/A Requesting Data...</v>
        <stp/>
        <stp>##V3_BQLV12</stp>
        <stp>[MODL_NOW_US1.xlsx]Single Period!R140C30</stp>
        <stp>SEG0000230975 Segment</stp>
        <stp>IS_SBC_ATTRIB_TO_COGS_PRETX/1M</stp>
        <stp>FPR=2021Y</stp>
        <stp>FPT=A</stp>
        <stp>FA_ACT_EST_DATA=E, EST_SOURCE=BAM</stp>
        <stp>ACT_EST_MAPPING=PRECISE</stp>
        <stp>FS=MRC</stp>
        <stp>CURRENCY=USD</stp>
        <stp>XLFILL=b</stp>
        <tr r="AD140" s="2"/>
      </tp>
      <tp t="s">
        <v>#N/A Requesting Data...</v>
        <stp/>
        <stp>##V3_BQLV12</stp>
        <stp>[MODL_NOW_US1.xlsx]Single Period!R30C10</stp>
        <stp>NOW US Equity</stp>
        <stp>CF_FREE_CASH_FLOW_AS_REPORTED/1M</stp>
        <stp>FPR=2021Y</stp>
        <stp>FPT=A</stp>
        <stp>FA_ACT_EST_DATA=E, EST_SOURCE=CMPY</stp>
        <stp>ACT_EST_MAPPING=PRECISE</stp>
        <stp>FS=MRC</stp>
        <stp>CURRENCY=USD</stp>
        <stp>XLFILL=b</stp>
        <tr r="J30" s="2"/>
      </tp>
      <tp t="s">
        <v>#N/A Requesting Data...</v>
        <stp/>
        <stp>##V3_BQLV12</stp>
        <stp>[MODL_NOW_US1.xlsx]Single Period!R141C26</stp>
        <stp>SEG0000230986 Segment</stp>
        <stp>IS_SBC_ATTRIB_TO_COGS_PRETX/1M</stp>
        <stp>FPR=2021Y</stp>
        <stp>FPT=A</stp>
        <stp>FA_ACT_EST_DATA=E, EST_SOURCE=UBS</stp>
        <stp>ACT_EST_MAPPING=PRECISE</stp>
        <stp>FS=MRC</stp>
        <stp>CURRENCY=USD</stp>
        <stp>XLFILL=b</stp>
        <tr r="Z141" s="2"/>
      </tp>
      <tp t="s">
        <v>#N/A Requesting Data...</v>
        <stp/>
        <stp>##V3_BQLV12</stp>
        <stp>[MODL_NOW_US1.xlsx]Single Period!R231C39</stp>
        <stp>NOW US Equity</stp>
        <stp>CF_NET_CHNG_CASH/1M</stp>
        <stp>FPR=2021Y</stp>
        <stp>FPT=A</stp>
        <stp>FA_ACT_EST_DATA=E, EST_SOURCE=DZB</stp>
        <stp>ACT_EST_MAPPING=PRECISE</stp>
        <stp>FS=MRC</stp>
        <stp>CURRENCY=USD</stp>
        <stp>XLFILL=b</stp>
        <tr r="AM231" s="2"/>
      </tp>
      <tp t="s">
        <v>#N/A Requesting Data...</v>
        <stp/>
        <stp>##V3_BQLV12</stp>
        <stp>[MODL_NOW_US1.xlsx]Single Period!R161C8</stp>
        <stp>NOW US Equity</stp>
        <stp>CONTRIBUTOR_STATS(BS_TOTAL_NON_CURRENT_ASSETS, STD)/1M</stp>
        <stp>FPR=2021Y</stp>
        <stp>FPT=A</stp>
        <stp>FA_ACT_EST_DATA=E</stp>
        <stp>ACT_EST_MAPPING=PRECISE</stp>
        <stp>FS=MRC</stp>
        <stp>CURRENCY=USD</stp>
        <stp>XLFILL=b</stp>
        <tr r="H161" s="2"/>
      </tp>
      <tp t="s">
        <v>#N/A Requesting Data...</v>
        <stp/>
        <stp>##V3_BQLV12</stp>
        <stp>[MODL_NOW_US1.xlsx]Single Period!R220C20</stp>
        <stp>NOW US Equity</stp>
        <stp>CF_PROCDS_FROM_INVSTMNTS/1M</stp>
        <stp>FPR=2021Y</stp>
        <stp>FPT=A</stp>
        <stp>FA_ACT_EST_DATA=E, EST_SOURCE=CAN</stp>
        <stp>ACT_EST_MAPPING=PRECISE</stp>
        <stp>FS=MRC</stp>
        <stp>CURRENCY=USD</stp>
        <stp>XLFILL=b</stp>
        <tr r="T220" s="2"/>
      </tp>
      <tp t="s">
        <v>#N/A Requesting Data...</v>
        <stp/>
        <stp>##V3_BQLV12</stp>
        <stp>[MODL_NOW_US1.xlsx]Single Period!R220C12</stp>
        <stp>NOW US Equity</stp>
        <stp>CF_PROCDS_FROM_INVSTMNTS/1M</stp>
        <stp>FPR=2021Y</stp>
        <stp>FPT=A</stp>
        <stp>FA_ACT_EST_DATA=E, EST_SOURCE=WBL</stp>
        <stp>ACT_EST_MAPPING=PRECISE</stp>
        <stp>FS=MRC</stp>
        <stp>CURRENCY=USD</stp>
        <stp>XLFILL=b</stp>
        <tr r="L220" s="2"/>
      </tp>
      <tp t="s">
        <v>#N/A Requesting Data...</v>
        <stp/>
        <stp>##V3_BQLV12</stp>
        <stp>[MODL_NOW_US1.xlsx]Single Period!R217C29</stp>
        <stp>NOW US Equity</stp>
        <stp>CAP_EXPEND_TO_SALES</stp>
        <stp>FPR=2021Y</stp>
        <stp>FPT=A</stp>
        <stp>FA_ACT_EST_DATA=E, EST_SOURCE=BNS</stp>
        <stp>ACT_EST_MAPPING=PRECISE</stp>
        <stp>FS=MRC</stp>
        <stp>CURRENCY=USD</stp>
        <stp>XLFILL=b</stp>
        <tr r="AC217" s="2"/>
      </tp>
      <tp t="s">
        <v>#N/A Requesting Data...</v>
        <stp/>
        <stp>##V3_BQLV12</stp>
        <stp>[MODL_NOW_US1.xlsx]Single Period!R50C23</stp>
        <stp>NOW US Equity</stp>
        <stp>NUM_CSTMR_CNTRCT_OVER_1_MILLN</stp>
        <stp>FPR=2021Y</stp>
        <stp>FPT=A</stp>
        <stp>FA_ACT_EST_DATA=E, EST_SOURCE=ZXS</stp>
        <stp>ACT_EST_MAPPING=PRECISE</stp>
        <stp>FS=MRC</stp>
        <stp>CURRENCY=USD</stp>
        <stp>XLFILL=b</stp>
        <tr r="W50" s="2"/>
      </tp>
      <tp t="s">
        <v>#N/A Requesting Data...</v>
        <stp/>
        <stp>##V3_BQLV12</stp>
        <stp>[MODL_NOW_US1.xlsx]Single Period!R90C26</stp>
        <stp>NOW US Equity</stp>
        <stp>IS_ADJ_R_AND_D_AS_REPORTED/1M</stp>
        <stp>FPR=2021Y</stp>
        <stp>FPT=A</stp>
        <stp>FA_ACT_EST_DATA=E, EST_SOURCE=UBS</stp>
        <stp>ACT_EST_MAPPING=PRECISE</stp>
        <stp>FS=MRC</stp>
        <stp>CURRENCY=USD</stp>
        <stp>XLFILL=b</stp>
        <tr r="Z90" s="2"/>
      </tp>
      <tp t="s">
        <v>#N/A Requesting Data...</v>
        <stp/>
        <stp>##V3_BQLV12</stp>
        <stp>[MODL_NOW_US1.xlsx]Single Period!R217C14</stp>
        <stp>NOW US Equity</stp>
        <stp>CAP_EXPEND_TO_SALES</stp>
        <stp>FPR=2021Y</stp>
        <stp>FPT=A</stp>
        <stp>FA_ACT_EST_DATA=E, EST_SOURCE=BMO</stp>
        <stp>ACT_EST_MAPPING=PRECISE</stp>
        <stp>FS=MRC</stp>
        <stp>CURRENCY=USD</stp>
        <stp>XLFILL=b</stp>
        <tr r="N217" s="2"/>
      </tp>
      <tp t="s">
        <v>#N/A Requesting Data...</v>
        <stp/>
        <stp>##V3_BQLV12</stp>
        <stp>[MODL_NOW_US1.xlsx]Single Period!R90C12</stp>
        <stp>NOW US Equity</stp>
        <stp>IS_ADJ_R_AND_D_AS_REPORTED/1M</stp>
        <stp>FPR=2021Y</stp>
        <stp>FPT=A</stp>
        <stp>FA_ACT_EST_DATA=E, EST_SOURCE=WBL</stp>
        <stp>ACT_EST_MAPPING=PRECISE</stp>
        <stp>FS=MRC</stp>
        <stp>CURRENCY=USD</stp>
        <stp>XLFILL=b</stp>
        <tr r="L90" s="2"/>
      </tp>
      <tp t="s">
        <v>#N/A Requesting Data...</v>
        <stp/>
        <stp>##V3_BQLV12</stp>
        <stp>[MODL_NOW_US1.xlsx]Single Period!R90C25</stp>
        <stp>NOW US Equity</stp>
        <stp>IS_ADJ_R_AND_D_AS_REPORTED/1M</stp>
        <stp>FPR=2021Y</stp>
        <stp>FPT=A</stp>
        <stp>FA_ACT_EST_DATA=E, EST_SOURCE=DBG</stp>
        <stp>ACT_EST_MAPPING=PRECISE</stp>
        <stp>FS=MRC</stp>
        <stp>CURRENCY=USD</stp>
        <stp>XLFILL=b</stp>
        <tr r="Y90" s="2"/>
      </tp>
      <tp t="s">
        <v>#N/A Requesting Data...</v>
        <stp/>
        <stp>##V3_BQLV12</stp>
        <stp>[MODL_NOW_US1.xlsx]Single Period!R231C9</stp>
        <stp>NOW US Equity</stp>
        <stp>CONTRIBUTOR_STATS(CF_NET_CHNG_CASH, MEDIAN)/1M</stp>
        <stp>FPR=2021Y</stp>
        <stp>FPT=A</stp>
        <stp>FA_ACT_EST_DATA=E</stp>
        <stp>ACT_EST_MAPPING=PRECISE</stp>
        <stp>FS=MRC</stp>
        <stp>CURRENCY=USD</stp>
        <stp>XLFILL=b</stp>
        <tr r="I231" s="2"/>
      </tp>
      <tp t="s">
        <v>#N/A Requesting Data...</v>
        <stp/>
        <stp>##V3_BQLV12</stp>
        <stp>[MODL_NOW_US1.xlsx]Single Period!R90C32</stp>
        <stp>NOW US Equity</stp>
        <stp>IS_ADJ_R_AND_D_AS_REPORTED/1M</stp>
        <stp>FPR=2021Y</stp>
        <stp>FPT=A</stp>
        <stp>FA_ACT_EST_DATA=E, EST_SOURCE=FBC</stp>
        <stp>ACT_EST_MAPPING=PRECISE</stp>
        <stp>FS=MRC</stp>
        <stp>CURRENCY=USD</stp>
        <stp>XLFILL=b</stp>
        <tr r="AF90" s="2"/>
      </tp>
      <tp t="s">
        <v>#N/A Requesting Data...</v>
        <stp/>
        <stp>##V3_BQLV12</stp>
        <stp>[MODL_NOW_US1.xlsx]Single Period!R90C27</stp>
        <stp>NOW US Equity</stp>
        <stp>IS_ADJ_R_AND_D_AS_REPORTED/1M</stp>
        <stp>FPR=2021Y</stp>
        <stp>FPT=A</stp>
        <stp>FA_ACT_EST_DATA=E, EST_SOURCE=RBC</stp>
        <stp>ACT_EST_MAPPING=PRECISE</stp>
        <stp>FS=MRC</stp>
        <stp>CURRENCY=USD</stp>
        <stp>XLFILL=b</stp>
        <tr r="AA90" s="2"/>
      </tp>
      <tp t="s">
        <v>#N/A Requesting Data...</v>
        <stp/>
        <stp>##V3_BQLV12</stp>
        <stp>[MODL_NOW_US1.xlsx]Single Period!R6C24</stp>
        <stp>NOW US Equity</stp>
        <stp>IS_COMP_EPS_EXCL_STOCK_COMP</stp>
        <stp>FPR=2021Y</stp>
        <stp>FPT=A</stp>
        <stp>FA_ACT_EST_DATA=E, EST_SOURCE=CWN</stp>
        <stp>ACT_EST_MAPPING=PRECISE</stp>
        <stp>FS=MRC</stp>
        <stp>CURRENCY=USD</stp>
        <stp>XLFILL=b</stp>
        <tr r="X6" s="2"/>
      </tp>
      <tp t="s">
        <v>#N/A Requesting Data...</v>
        <stp/>
        <stp>##V3_BQLV12</stp>
        <stp>[MODL_NOW_US1.xlsx]Single Period!R122C8</stp>
        <stp>NOW US Equity</stp>
        <stp>CONTRIBUTOR_STATS(IS_MERGER_AND_ACQUIS_EXPN_OP, STD)/1M</stp>
        <stp>FPR=2021Y</stp>
        <stp>FPT=A</stp>
        <stp>FA_ACT_EST_DATA=E</stp>
        <stp>ACT_EST_MAPPING=PRECISE</stp>
        <stp>FS=MRC</stp>
        <stp>CURRENCY=USD</stp>
        <stp>XLFILL=b</stp>
        <tr r="H122" s="2"/>
      </tp>
      <tp t="s">
        <v>#N/A Requesting Data...</v>
        <stp/>
        <stp>##V3_BQLV12</stp>
        <stp>[MODL_NOW_US1.xlsx]Single Period!R213C6</stp>
        <stp>NOW US Equity</stp>
        <stp>CONTRIBUTOR_STATS(CF_CASH_FROM_OPER, MIN)/1M</stp>
        <stp>FPR=2021Y</stp>
        <stp>FPT=A</stp>
        <stp>FA_ACT_EST_DATA=E</stp>
        <stp>ACT_EST_MAPPING=PRECISE</stp>
        <stp>FS=MRC</stp>
        <stp>CURRENCY=USD</stp>
        <stp>XLFILL=b</stp>
        <tr r="F213" s="2"/>
      </tp>
      <tp t="s">
        <v>#N/A Requesting Data...</v>
        <stp/>
        <stp>##V3_BQLV12</stp>
        <stp>[MODL_NOW_US1.xlsx]Single Period!R122C7</stp>
        <stp>NOW US Equity</stp>
        <stp>CONTRIBUTOR_STATS(IS_MERGER_AND_ACQUIS_EXPN_OP, MAX)/1M</stp>
        <stp>FPR=2021Y</stp>
        <stp>FPT=A</stp>
        <stp>FA_ACT_EST_DATA=E</stp>
        <stp>ACT_EST_MAPPING=PRECISE</stp>
        <stp>FS=MRC</stp>
        <stp>CURRENCY=USD</stp>
        <stp>XLFILL=b</stp>
        <tr r="G122" s="2"/>
      </tp>
      <tp t="s">
        <v>#N/A Requesting Data...</v>
        <stp/>
        <stp>##V3_BQLV12</stp>
        <stp>[MODL_NOW_US1.xlsx]Single Period!R122C6</stp>
        <stp>NOW US Equity</stp>
        <stp>CONTRIBUTOR_STATS(IS_MERGER_AND_ACQUIS_EXPN_OP, MIN)/1M</stp>
        <stp>FPR=2021Y</stp>
        <stp>FPT=A</stp>
        <stp>FA_ACT_EST_DATA=E</stp>
        <stp>ACT_EST_MAPPING=PRECISE</stp>
        <stp>FS=MRC</stp>
        <stp>CURRENCY=USD</stp>
        <stp>XLFILL=b</stp>
        <tr r="F122" s="2"/>
      </tp>
      <tp t="s">
        <v>#N/A Requesting Data...</v>
        <stp/>
        <stp>##V3_BQLV12</stp>
        <stp>[MODL_NOW_US1.xlsx]Single Period!R24C45</stp>
        <stp>NOW US Equity</stp>
        <stp>IS_ADJ_GROSS_PROFIT_AS_REPORTED/1M</stp>
        <stp>FPR=2021Y</stp>
        <stp>FPT=A</stp>
        <stp>FA_ACT_EST_DATA=E, EST_SOURCE=PJE</stp>
        <stp>ACT_EST_MAPPING=PRECISE</stp>
        <stp>FS=MRC</stp>
        <stp>CURRENCY=USD</stp>
        <stp>XLFILL=b</stp>
        <tr r="AS24" s="2"/>
      </tp>
      <tp t="s">
        <v>#N/A Requesting Data...</v>
        <stp/>
        <stp>##V3_BQLV12</stp>
        <stp>[MODL_NOW_US1.xlsx]Single Period!R84C45</stp>
        <stp>NOW US Equity</stp>
        <stp>IS_ADJ_GROSS_PROFIT_AS_REPORTED/1M</stp>
        <stp>FPR=2021Y</stp>
        <stp>FPT=A</stp>
        <stp>FA_ACT_EST_DATA=E, EST_SOURCE=PJE</stp>
        <stp>ACT_EST_MAPPING=PRECISE</stp>
        <stp>FS=MRC</stp>
        <stp>CURRENCY=USD</stp>
        <stp>XLFILL=b</stp>
        <tr r="AS84" s="2"/>
      </tp>
      <tp t="s">
        <v>#N/A Requesting Data...</v>
        <stp/>
        <stp>##V3_BQLV12</stp>
        <stp>[MODL_NOW_US1.xlsx]Single Period!R67C34</stp>
        <stp>SEG0000230986 Segment</stp>
        <stp>IS_PERCENTAGE_OF_REVENUE</stp>
        <stp>FPR=2021Y</stp>
        <stp>FPT=A</stp>
        <stp>FA_ACT_EST_DATA=E, EST_SOURCE=PSG</stp>
        <stp>ACT_EST_MAPPING=PRECISE</stp>
        <stp>FS=MRC</stp>
        <stp>CURRENCY=USD</stp>
        <stp>XLFILL=b</stp>
        <tr r="AH67" s="2"/>
      </tp>
      <tp t="s">
        <v>#N/A Requesting Data...</v>
        <stp/>
        <stp>##V3_BQLV12</stp>
        <stp>[MODL_NOW_US1.xlsx]Single Period!R44C37</stp>
        <stp>SEG0000230986 Segment</stp>
        <stp>IS_FOREIGN_CURRENCY_TURNOVER/1M</stp>
        <stp>FPR=2021Y</stp>
        <stp>FPT=A</stp>
        <stp>FA_ACT_EST_DATA=E, EST_SOURCE=TTC</stp>
        <stp>ACT_EST_MAPPING=PRECISE</stp>
        <stp>FS=MRC</stp>
        <stp>CURRENCY=USD</stp>
        <stp>XLFILL=b</stp>
        <tr r="AK44" s="2"/>
      </tp>
      <tp t="s">
        <v>#N/A Requesting Data...</v>
        <stp/>
        <stp>##V3_BQLV12</stp>
        <stp>[MODL_NOW_US1.xlsx]Single Period!R68C37</stp>
        <stp>SEG0000230986 Segment</stp>
        <stp>IS_ADJUSTED_COGS_AS_REPORTED/1M</stp>
        <stp>FPR=2021Y</stp>
        <stp>FPT=A</stp>
        <stp>FA_ACT_EST_DATA=E, EST_SOURCE=TTC</stp>
        <stp>ACT_EST_MAPPING=PRECISE</stp>
        <stp>FS=MRC</stp>
        <stp>CURRENCY=USD</stp>
        <stp>XLFILL=b</stp>
        <tr r="AK68" s="2"/>
      </tp>
      <tp t="s">
        <v>#N/A Requesting Data...</v>
        <stp/>
        <stp>##V3_BQLV12</stp>
        <stp>[MODL_NOW_US1.xlsx]Single Period!R60C37</stp>
        <stp>SEG0000230975 Segment</stp>
        <stp>IS_ADJUSTED_COGS_AS_REPORTED/1M</stp>
        <stp>FPR=2021Y</stp>
        <stp>FPT=A</stp>
        <stp>FA_ACT_EST_DATA=E, EST_SOURCE=TTC</stp>
        <stp>ACT_EST_MAPPING=PRECISE</stp>
        <stp>FS=MRC</stp>
        <stp>CURRENCY=USD</stp>
        <stp>XLFILL=b</stp>
        <tr r="AK60" s="2"/>
      </tp>
      <tp t="s">
        <v>#N/A Requesting Data...</v>
        <stp/>
        <stp>##V3_BQLV12</stp>
        <stp>[MODL_NOW_US1.xlsx]Single Period!R67C40</stp>
        <stp>SEG0000230986 Segment</stp>
        <stp>IS_PERCENTAGE_OF_REVENUE</stp>
        <stp>FPR=2021Y</stp>
        <stp>FPT=A</stp>
        <stp>FA_ACT_EST_DATA=E, EST_SOURCE=DWI</stp>
        <stp>ACT_EST_MAPPING=PRECISE</stp>
        <stp>FS=MRC</stp>
        <stp>CURRENCY=USD</stp>
        <stp>XLFILL=b</stp>
        <tr r="AN67" s="2"/>
      </tp>
      <tp t="s">
        <v>#N/A Requesting Data...</v>
        <stp/>
        <stp>##V3_BQLV12</stp>
        <stp>[MODL_NOW_US1.xlsx]Single Period!R203C9</stp>
        <stp>NOW US Equity</stp>
        <stp>CONTRIBUTOR_STATS(AMORTIZATN_OF_FINNCNG_COSTS, MEDIAN)/1M</stp>
        <stp>FPR=2021Y</stp>
        <stp>FPT=A</stp>
        <stp>FA_ACT_EST_DATA=E</stp>
        <stp>ACT_EST_MAPPING=PRECISE</stp>
        <stp>FS=MRC</stp>
        <stp>CURRENCY=USD</stp>
        <stp>XLFILL=b</stp>
        <tr r="I203" s="2"/>
      </tp>
      <tp t="s">
        <v>#N/A Requesting Data...</v>
        <stp/>
        <stp>##V3_BQLV12</stp>
        <stp>[MODL_NOW_US1.xlsx]Single Period!R52C48</stp>
        <stp>NOW US Equity</stp>
        <stp>ACCT_RCV_DAYS</stp>
        <stp>FPR=2021Y</stp>
        <stp>FPT=A</stp>
        <stp>FA_ACT_EST_DATA=E, EST_SOURCE=CRC</stp>
        <stp>ACT_EST_MAPPING=PRECISE</stp>
        <stp>FS=MRC</stp>
        <stp>CURRENCY=USD</stp>
        <stp>XLFILL=b</stp>
        <tr r="AV52" s="2"/>
      </tp>
      <tp t="s">
        <v>#N/A Requesting Data...</v>
        <stp/>
        <stp>##V3_BQLV12</stp>
        <stp>[MODL_NOW_US1.xlsx]Single Period!R162C15</stp>
        <stp>NOW US Equity</stp>
        <stp>BS_LONG_TERM_INVESTMENTS/1M</stp>
        <stp>FPR=2021Y</stp>
        <stp>FPT=A</stp>
        <stp>FA_ACT_EST_DATA=E, EST_SOURCE=OPY</stp>
        <stp>ACT_EST_MAPPING=PRECISE</stp>
        <stp>FS=MRC</stp>
        <stp>CURRENCY=USD</stp>
        <stp>XLFILL=b</stp>
        <tr r="O162" s="2"/>
      </tp>
      <tp t="s">
        <v>#N/A Requesting Data...</v>
        <stp/>
        <stp>##V3_BQLV12</stp>
        <stp>[MODL_NOW_US1.xlsx]Single Period!R52C41</stp>
        <stp>NOW US Equity</stp>
        <stp>ACCT_RCV_DAYS</stp>
        <stp>FPR=2021Y</stp>
        <stp>FPT=A</stp>
        <stp>FA_ACT_EST_DATA=E, EST_SOURCE=ARG</stp>
        <stp>ACT_EST_MAPPING=PRECISE</stp>
        <stp>FS=MRC</stp>
        <stp>CURRENCY=USD</stp>
        <stp>XLFILL=b</stp>
        <tr r="AO52" s="2"/>
      </tp>
      <tp t="s">
        <v>#N/A Requesting Data...</v>
        <stp/>
        <stp>##V3_BQLV12</stp>
        <stp>[MODL_NOW_US1.xlsx]Single Period!R52C44</stp>
        <stp>NOW US Equity</stp>
        <stp>ACCT_RCV_DAYS</stp>
        <stp>FPR=2021Y</stp>
        <stp>FPT=A</stp>
        <stp>FA_ACT_EST_DATA=E, EST_SOURCE=ARE</stp>
        <stp>ACT_EST_MAPPING=PRECISE</stp>
        <stp>FS=MRC</stp>
        <stp>CURRENCY=USD</stp>
        <stp>XLFILL=b</stp>
        <tr r="AR52" s="2"/>
      </tp>
      <tp t="s">
        <v>#N/A Requesting Data...</v>
        <stp/>
        <stp>##V3_BQLV12</stp>
        <stp>[MODL_NOW_US1.xlsx]Single Period!R220C29</stp>
        <stp>NOW US Equity</stp>
        <stp>CF_PROCDS_FROM_INVSTMNTS/1M</stp>
        <stp>FPR=2021Y</stp>
        <stp>FPT=A</stp>
        <stp>FA_ACT_EST_DATA=E, EST_SOURCE=BNS</stp>
        <stp>ACT_EST_MAPPING=PRECISE</stp>
        <stp>FS=MRC</stp>
        <stp>CURRENCY=USD</stp>
        <stp>XLFILL=b</stp>
        <tr r="AC220" s="2"/>
      </tp>
      <tp t="s">
        <v>#N/A Requesting Data...</v>
        <stp/>
        <stp>##V3_BQLV12</stp>
        <stp>[MODL_NOW_US1.xlsx]Single Period!R69C5</stp>
        <stp>SEG0000230986 Segment</stp>
        <stp>IS_ADJ_GROSS_PROFIT_AS_REPORTED/1M</stp>
        <stp>FPR=2021Y</stp>
        <stp>FPT=A</stp>
        <stp>FA_ACT_EST_DATA=E</stp>
        <stp>ACT_EST_MAPPING=PRECISE</stp>
        <stp>FS=MRC</stp>
        <stp>CURRENCY=USD</stp>
        <stp>XLFILL=b</stp>
        <tr r="E69" s="2"/>
      </tp>
      <tp t="s">
        <v>#N/A Requesting Data...</v>
        <stp/>
        <stp>##V3_BQLV12</stp>
        <stp>[MODL_NOW_US1.xlsx]Single Period!R141C14</stp>
        <stp>SEG0000230986 Segment</stp>
        <stp>IS_SBC_ATTRIB_TO_COGS_PRETX/1M</stp>
        <stp>FPR=2021Y</stp>
        <stp>FPT=A</stp>
        <stp>FA_ACT_EST_DATA=E, EST_SOURCE=BMO</stp>
        <stp>ACT_EST_MAPPING=PRECISE</stp>
        <stp>FS=MRC</stp>
        <stp>CURRENCY=USD</stp>
        <stp>XLFILL=b</stp>
        <tr r="N141" s="2"/>
      </tp>
      <tp t="s">
        <v>#N/A Requesting Data...</v>
        <stp/>
        <stp>##V3_BQLV12</stp>
        <stp>[MODL_NOW_US1.xlsx]Single Period!R231C44</stp>
        <stp>NOW US Equity</stp>
        <stp>CF_NET_CHNG_CASH/1M</stp>
        <stp>FPR=2021Y</stp>
        <stp>FPT=A</stp>
        <stp>FA_ACT_EST_DATA=E, EST_SOURCE=ARE</stp>
        <stp>ACT_EST_MAPPING=PRECISE</stp>
        <stp>FS=MRC</stp>
        <stp>CURRENCY=USD</stp>
        <stp>XLFILL=b</stp>
        <tr r="AR231" s="2"/>
      </tp>
      <tp t="s">
        <v>#N/A Requesting Data...</v>
        <stp/>
        <stp>##V3_BQLV12</stp>
        <stp>[MODL_NOW_US1.xlsx]Single Period!R88C19</stp>
        <stp>NOW US Equity</stp>
        <stp>IS_ADJ_SELLING_AND_MRKTG_EXPN_AR/1M</stp>
        <stp>FPR=2021Y</stp>
        <stp>FPT=A</stp>
        <stp>FA_ACT_EST_DATA=E, EST_SOURCE=MSV</stp>
        <stp>ACT_EST_MAPPING=PRECISE</stp>
        <stp>FS=MRC</stp>
        <stp>CURRENCY=USD</stp>
        <stp>XLFILL=b</stp>
        <tr r="S88" s="2"/>
      </tp>
      <tp t="s">
        <v>#N/A Requesting Data...</v>
        <stp/>
        <stp>##V3_BQLV12</stp>
        <stp>[MODL_NOW_US1.xlsx]Single Period!R162C11</stp>
        <stp>NOW US Equity</stp>
        <stp>BS_LONG_TERM_INVESTMENTS/1M</stp>
        <stp>FPR=2021Y</stp>
        <stp>FPT=A</stp>
        <stp>FA_ACT_EST_DATA=E, EST_SOURCE=JPM</stp>
        <stp>ACT_EST_MAPPING=PRECISE</stp>
        <stp>FS=MRC</stp>
        <stp>CURRENCY=USD</stp>
        <stp>XLFILL=b</stp>
        <tr r="K162" s="2"/>
      </tp>
      <tp t="s">
        <v>#N/A Requesting Data...</v>
        <stp/>
        <stp>##V3_BQLV12</stp>
        <stp>[MODL_NOW_US1.xlsx]Single Period!R140C29</stp>
        <stp>SEG0000230975 Segment</stp>
        <stp>IS_SBC_ATTRIB_TO_COGS_PRETX/1M</stp>
        <stp>FPR=2021Y</stp>
        <stp>FPT=A</stp>
        <stp>FA_ACT_EST_DATA=E, EST_SOURCE=BNS</stp>
        <stp>ACT_EST_MAPPING=PRECISE</stp>
        <stp>FS=MRC</stp>
        <stp>CURRENCY=USD</stp>
        <stp>XLFILL=b</stp>
        <tr r="AC140" s="2"/>
      </tp>
      <tp t="s">
        <v>#N/A Requesting Data...</v>
        <stp/>
        <stp>##V3_BQLV12</stp>
        <stp>[MODL_NOW_US1.xlsx]Single Period!R162C47</stp>
        <stp>NOW US Equity</stp>
        <stp>BS_LONG_TERM_INVESTMENTS/1M</stp>
        <stp>FPR=2021Y</stp>
        <stp>FPT=A</stp>
        <stp>FA_ACT_EST_DATA=E, EST_SOURCE=SUM</stp>
        <stp>ACT_EST_MAPPING=PRECISE</stp>
        <stp>FS=MRC</stp>
        <stp>CURRENCY=USD</stp>
        <stp>XLFILL=b</stp>
        <tr r="AU162" s="2"/>
      </tp>
      <tp t="s">
        <v>#N/A Requesting Data...</v>
        <stp/>
        <stp>##V3_BQLV12</stp>
        <stp>[MODL_NOW_US1.xlsx]Single Period!R53C42</stp>
        <stp>NOW US Equity</stp>
        <stp>ANNUALIZED_DAYS_SALES_OUTSTDG</stp>
        <stp>FPR=2021Y</stp>
        <stp>FPT=A</stp>
        <stp>FA_ACT_EST_DATA=E, EST_SOURCE=CTI</stp>
        <stp>ACT_EST_MAPPING=PRECISE</stp>
        <stp>FS=MRC</stp>
        <stp>CURRENCY=USD</stp>
        <stp>XLFILL=b</stp>
        <tr r="AP53" s="2"/>
      </tp>
      <tp t="s">
        <v>#N/A Requesting Data...</v>
        <stp/>
        <stp>##V3_BQLV12</stp>
        <stp>[MODL_NOW_US1.xlsx]Single Period!R140C18</stp>
        <stp>SEG0000230975 Segment</stp>
        <stp>IS_SBC_ATTRIB_TO_COGS_PRETX/1M</stp>
        <stp>FPR=2021Y</stp>
        <stp>FPT=A</stp>
        <stp>FA_ACT_EST_DATA=E, EST_SOURCE=SNR</stp>
        <stp>ACT_EST_MAPPING=PRECISE</stp>
        <stp>FS=MRC</stp>
        <stp>CURRENCY=USD</stp>
        <stp>XLFILL=b</stp>
        <tr r="R140" s="2"/>
      </tp>
      <tp t="s">
        <v>#N/A Requesting Data...</v>
        <stp/>
        <stp>##V3_BQLV12</stp>
        <stp>[MODL_NOW_US1.xlsx]Single Period!R141C21</stp>
        <stp>SEG0000230986 Segment</stp>
        <stp>IS_SBC_ATTRIB_TO_COGS_PRETX/1M</stp>
        <stp>FPR=2021Y</stp>
        <stp>FPT=A</stp>
        <stp>FA_ACT_EST_DATA=E, EST_SOURCE=JMP</stp>
        <stp>ACT_EST_MAPPING=PRECISE</stp>
        <stp>FS=MRC</stp>
        <stp>CURRENCY=USD</stp>
        <stp>XLFILL=b</stp>
        <tr r="U141" s="2"/>
      </tp>
      <tp t="s">
        <v>#N/A Requesting Data...</v>
        <stp/>
        <stp>##V3_BQLV12</stp>
        <stp>[MODL_NOW_US1.xlsx]Single Period!R231C41</stp>
        <stp>NOW US Equity</stp>
        <stp>CF_NET_CHNG_CASH/1M</stp>
        <stp>FPR=2021Y</stp>
        <stp>FPT=A</stp>
        <stp>FA_ACT_EST_DATA=E, EST_SOURCE=ARG</stp>
        <stp>ACT_EST_MAPPING=PRECISE</stp>
        <stp>FS=MRC</stp>
        <stp>CURRENCY=USD</stp>
        <stp>XLFILL=b</stp>
        <tr r="AO231" s="2"/>
      </tp>
      <tp t="s">
        <v>#N/A Requesting Data...</v>
        <stp/>
        <stp>##V3_BQLV12</stp>
        <stp>[MODL_NOW_US1.xlsx]Single Period!R220C14</stp>
        <stp>NOW US Equity</stp>
        <stp>CF_PROCDS_FROM_INVSTMNTS/1M</stp>
        <stp>FPR=2021Y</stp>
        <stp>FPT=A</stp>
        <stp>FA_ACT_EST_DATA=E, EST_SOURCE=BMO</stp>
        <stp>ACT_EST_MAPPING=PRECISE</stp>
        <stp>FS=MRC</stp>
        <stp>CURRENCY=USD</stp>
        <stp>XLFILL=b</stp>
        <tr r="N220" s="2"/>
      </tp>
      <tp t="s">
        <v>#N/A Requesting Data...</v>
        <stp/>
        <stp>##V3_BQLV12</stp>
        <stp>[MODL_NOW_US1.xlsx]Single Period!R231C48</stp>
        <stp>NOW US Equity</stp>
        <stp>CF_NET_CHNG_CASH/1M</stp>
        <stp>FPR=2021Y</stp>
        <stp>FPT=A</stp>
        <stp>FA_ACT_EST_DATA=E, EST_SOURCE=CRC</stp>
        <stp>ACT_EST_MAPPING=PRECISE</stp>
        <stp>FS=MRC</stp>
        <stp>CURRENCY=USD</stp>
        <stp>XLFILL=b</stp>
        <tr r="AV231" s="2"/>
      </tp>
      <tp t="s">
        <v>#N/A Requesting Data...</v>
        <stp/>
        <stp>##V3_BQLV12</stp>
        <stp>[MODL_NOW_US1.xlsx]Single Period!R85C9</stp>
        <stp>NOW US Equity</stp>
        <stp>CONTRIBUTOR_STATS(IS_COMP_GROSS_MARGIN_PERCENTAGE, MEDIAN)</stp>
        <stp>FPR=2021Y</stp>
        <stp>FPT=A</stp>
        <stp>FA_ACT_EST_DATA=E</stp>
        <stp>ACT_EST_MAPPING=PRECISE</stp>
        <stp>FS=MRC</stp>
        <stp>CURRENCY=USD</stp>
        <stp>XLFILL=b</stp>
        <tr r="I85" s="2"/>
      </tp>
      <tp t="s">
        <v>#N/A Requesting Data...</v>
        <stp/>
        <stp>##V3_BQLV12</stp>
        <stp>[MODL_NOW_US1.xlsx]Single Period!R25C9</stp>
        <stp>NOW US Equity</stp>
        <stp>CONTRIBUTOR_STATS(IS_COMP_GROSS_MARGIN_PERCENTAGE, MEDIAN)</stp>
        <stp>FPR=2021Y</stp>
        <stp>FPT=A</stp>
        <stp>FA_ACT_EST_DATA=E</stp>
        <stp>ACT_EST_MAPPING=PRECISE</stp>
        <stp>FS=MRC</stp>
        <stp>CURRENCY=USD</stp>
        <stp>XLFILL=b</stp>
        <tr r="I25" s="2"/>
      </tp>
      <tp t="s">
        <v>#N/A Requesting Data...</v>
        <stp/>
        <stp>##V3_BQLV12</stp>
        <stp>[MODL_NOW_US1.xlsx]Single Period!R26C19</stp>
        <stp>NOW US Equity</stp>
        <stp>IS_ADJ_SELLING_AND_MRKTG_EXPN_AR/1M</stp>
        <stp>FPR=2021Y</stp>
        <stp>FPT=A</stp>
        <stp>FA_ACT_EST_DATA=E, EST_SOURCE=MSV</stp>
        <stp>ACT_EST_MAPPING=PRECISE</stp>
        <stp>FS=MRC</stp>
        <stp>CURRENCY=USD</stp>
        <stp>XLFILL=b</stp>
        <tr r="S26" s="2"/>
      </tp>
      <tp t="s">
        <v>#N/A Requesting Data...</v>
        <stp/>
        <stp>##V3_BQLV12</stp>
        <stp>[MODL_NOW_US1.xlsx]Single Period!R53C37</stp>
        <stp>NOW US Equity</stp>
        <stp>ANNUALIZED_DAYS_SALES_OUTSTDG</stp>
        <stp>FPR=2021Y</stp>
        <stp>FPT=A</stp>
        <stp>FA_ACT_EST_DATA=E, EST_SOURCE=TTC</stp>
        <stp>ACT_EST_MAPPING=PRECISE</stp>
        <stp>FS=MRC</stp>
        <stp>CURRENCY=USD</stp>
        <stp>XLFILL=b</stp>
        <tr r="AK53" s="2"/>
      </tp>
      <tp t="s">
        <v>#N/A Requesting Data...</v>
        <stp/>
        <stp>##V3_BQLV12</stp>
        <stp>[MODL_NOW_US1.xlsx]Single Period!R11C28</stp>
        <stp>NOW US Equity</stp>
        <stp>NUM_CSTMR_CNTRCT_OVER_1_MILLN</stp>
        <stp>FPR=2021Y</stp>
        <stp>FPT=A</stp>
        <stp>FA_ACT_EST_DATA=E, EST_SOURCE=EVR</stp>
        <stp>ACT_EST_MAPPING=PRECISE</stp>
        <stp>FS=MRC</stp>
        <stp>CURRENCY=USD</stp>
        <stp>XLFILL=b</stp>
        <tr r="AB11" s="2"/>
      </tp>
      <tp t="s">
        <v>#N/A Requesting Data...</v>
        <stp/>
        <stp>##V3_BQLV12</stp>
        <stp>[MODL_NOW_US1.xlsx]Single Period!R95C37</stp>
        <stp>NOW US Equity</stp>
        <stp>IS_COMPARABLE_EBIT/1M</stp>
        <stp>FPR=2021Y</stp>
        <stp>FPT=A</stp>
        <stp>FA_ACT_EST_DATA=E, EST_SOURCE=TTC</stp>
        <stp>ACT_EST_MAPPING=PRECISE</stp>
        <stp>FS=MRC</stp>
        <stp>CURRENCY=USD</stp>
        <stp>XLFILL=b</stp>
        <tr r="AK95" s="2"/>
      </tp>
      <tp t="s">
        <v>#N/A Requesting Data...</v>
        <stp/>
        <stp>##V3_BQLV12</stp>
        <stp>[MODL_NOW_US1.xlsx]Single Period!R95C42</stp>
        <stp>NOW US Equity</stp>
        <stp>IS_COMPARABLE_EBIT/1M</stp>
        <stp>FPR=2021Y</stp>
        <stp>FPT=A</stp>
        <stp>FA_ACT_EST_DATA=E, EST_SOURCE=CTI</stp>
        <stp>ACT_EST_MAPPING=PRECISE</stp>
        <stp>FS=MRC</stp>
        <stp>CURRENCY=USD</stp>
        <stp>XLFILL=b</stp>
        <tr r="AP95" s="2"/>
      </tp>
      <tp t="s">
        <v>#N/A Requesting Data...</v>
        <stp/>
        <stp>##V3_BQLV12</stp>
        <stp>[MODL_NOW_US1.xlsx]Single Period!R90C21</stp>
        <stp>NOW US Equity</stp>
        <stp>IS_ADJ_R_AND_D_AS_REPORTED/1M</stp>
        <stp>FPR=2021Y</stp>
        <stp>FPT=A</stp>
        <stp>FA_ACT_EST_DATA=E, EST_SOURCE=JMP</stp>
        <stp>ACT_EST_MAPPING=PRECISE</stp>
        <stp>FS=MRC</stp>
        <stp>CURRENCY=USD</stp>
        <stp>XLFILL=b</stp>
        <tr r="U90" s="2"/>
      </tp>
      <tp t="s">
        <v>#N/A Requesting Data...</v>
        <stp/>
        <stp>##V3_BQLV12</stp>
        <stp>[MODL_NOW_US1.xlsx]Single Period!R124C10</stp>
        <stp>NOW US Equity</stp>
        <stp>IS_EBIT_AS_REPORTED/1M</stp>
        <stp>FPR=2021Y</stp>
        <stp>FPT=A</stp>
        <stp>FA_ACT_EST_DATA=E, EST_SOURCE=CMPY</stp>
        <stp>ACT_EST_MAPPING=PRECISE</stp>
        <stp>FS=MRC</stp>
        <stp>CURRENCY=USD</stp>
        <stp>XLFILL=b</stp>
        <tr r="J124" s="2"/>
      </tp>
      <tp t="s">
        <v>#N/A Requesting Data...</v>
        <stp/>
        <stp>##V3_BQLV12</stp>
        <stp>[MODL_NOW_US1.xlsx]Single Period!R90C14</stp>
        <stp>NOW US Equity</stp>
        <stp>IS_ADJ_R_AND_D_AS_REPORTED/1M</stp>
        <stp>FPR=2021Y</stp>
        <stp>FPT=A</stp>
        <stp>FA_ACT_EST_DATA=E, EST_SOURCE=BMO</stp>
        <stp>ACT_EST_MAPPING=PRECISE</stp>
        <stp>FS=MRC</stp>
        <stp>CURRENCY=USD</stp>
        <stp>XLFILL=b</stp>
        <tr r="N90" s="2"/>
      </tp>
      <tp t="s">
        <v>#N/A Requesting Data...</v>
        <stp/>
        <stp>##V3_BQLV12</stp>
        <stp>[MODL_NOW_US1.xlsx]Single Period!R50C38</stp>
        <stp>NOW US Equity</stp>
        <stp>NUM_CSTMR_CNTRCT_OVER_1_MILLN</stp>
        <stp>FPR=2021Y</stp>
        <stp>FPT=A</stp>
        <stp>FA_ACT_EST_DATA=E, EST_SOURCE=RWB</stp>
        <stp>ACT_EST_MAPPING=PRECISE</stp>
        <stp>FS=MRC</stp>
        <stp>CURRENCY=USD</stp>
        <stp>XLFILL=b</stp>
        <tr r="AL50" s="2"/>
      </tp>
      <tp t="s">
        <v>#N/A Requesting Data...</v>
        <stp/>
        <stp>##V3_BQLV12</stp>
        <stp>[MODL_NOW_US1.xlsx]Single Period!R217C12</stp>
        <stp>NOW US Equity</stp>
        <stp>CAP_EXPEND_TO_SALES</stp>
        <stp>FPR=2021Y</stp>
        <stp>FPT=A</stp>
        <stp>FA_ACT_EST_DATA=E, EST_SOURCE=WBL</stp>
        <stp>ACT_EST_MAPPING=PRECISE</stp>
        <stp>FS=MRC</stp>
        <stp>CURRENCY=USD</stp>
        <stp>XLFILL=b</stp>
        <tr r="L217" s="2"/>
      </tp>
      <tp t="s">
        <v>#N/A Requesting Data...</v>
        <stp/>
        <stp>##V3_BQLV12</stp>
        <stp>[MODL_NOW_US1.xlsx]Single Period!R217C20</stp>
        <stp>NOW US Equity</stp>
        <stp>CAP_EXPEND_TO_SALES</stp>
        <stp>FPR=2021Y</stp>
        <stp>FPT=A</stp>
        <stp>FA_ACT_EST_DATA=E, EST_SOURCE=CAN</stp>
        <stp>ACT_EST_MAPPING=PRECISE</stp>
        <stp>FS=MRC</stp>
        <stp>CURRENCY=USD</stp>
        <stp>XLFILL=b</stp>
        <tr r="T217" s="2"/>
      </tp>
      <tp t="s">
        <v>#N/A Requesting Data...</v>
        <stp/>
        <stp>##V3_BQLV12</stp>
        <stp>[MODL_NOW_US1.xlsx]Single Period!R50C40</stp>
        <stp>NOW US Equity</stp>
        <stp>NUM_CSTMR_CNTRCT_OVER_1_MILLN</stp>
        <stp>FPR=2021Y</stp>
        <stp>FPT=A</stp>
        <stp>FA_ACT_EST_DATA=E, EST_SOURCE=DWI</stp>
        <stp>ACT_EST_MAPPING=PRECISE</stp>
        <stp>FS=MRC</stp>
        <stp>CURRENCY=USD</stp>
        <stp>XLFILL=b</stp>
        <tr r="AN50" s="2"/>
      </tp>
      <tp t="s">
        <v>#N/A Requesting Data...</v>
        <stp/>
        <stp>##V3_BQLV12</stp>
        <stp>[MODL_NOW_US1.xlsx]Single Period!R50C24</stp>
        <stp>NOW US Equity</stp>
        <stp>NUM_CSTMR_CNTRCT_OVER_1_MILLN</stp>
        <stp>FPR=2021Y</stp>
        <stp>FPT=A</stp>
        <stp>FA_ACT_EST_DATA=E, EST_SOURCE=CWN</stp>
        <stp>ACT_EST_MAPPING=PRECISE</stp>
        <stp>FS=MRC</stp>
        <stp>CURRENCY=USD</stp>
        <stp>XLFILL=b</stp>
        <tr r="X50" s="2"/>
      </tp>
      <tp t="s">
        <v>#N/A Requesting Data...</v>
        <stp/>
        <stp>##V3_BQLV12</stp>
        <stp>[MODL_NOW_US1.xlsx]Single Period!R108C13</stp>
        <stp>NOW US Equity</stp>
        <stp>IS_COMP_EPS_EXCL_STOCK_COMP</stp>
        <stp>FPR=2021Y</stp>
        <stp>FPT=A</stp>
        <stp>FA_ACT_EST_DATA=E, EST_SOURCE=KEY</stp>
        <stp>ACT_EST_MAPPING=PRECISE</stp>
        <stp>FS=MRC</stp>
        <stp>CURRENCY=USD</stp>
        <stp>XLFILL=b</stp>
        <tr r="M108" s="2"/>
      </tp>
      <tp t="s">
        <v>#N/A Requesting Data...</v>
        <stp/>
        <stp>##V3_BQLV12</stp>
        <stp>[MODL_NOW_US1.xlsx]Single Period!R6C23</stp>
        <stp>NOW US Equity</stp>
        <stp>IS_COMP_EPS_EXCL_STOCK_COMP</stp>
        <stp>FPR=2021Y</stp>
        <stp>FPT=A</stp>
        <stp>FA_ACT_EST_DATA=E, EST_SOURCE=ZXS</stp>
        <stp>ACT_EST_MAPPING=PRECISE</stp>
        <stp>FS=MRC</stp>
        <stp>CURRENCY=USD</stp>
        <stp>XLFILL=b</stp>
        <tr r="W6" s="2"/>
      </tp>
      <tp t="s">
        <v>#N/A Requesting Data...</v>
        <stp/>
        <stp>##V3_BQLV12</stp>
        <stp>[MODL_NOW_US1.xlsx]Single Period!R70C5</stp>
        <stp>SEG0000230986 Segment</stp>
        <stp>IS_ADJ_GROSS_MARGIN_PCT_AR</stp>
        <stp>FPR=2021Y</stp>
        <stp>FPT=A</stp>
        <stp>FA_ACT_EST_DATA=E</stp>
        <stp>ACT_EST_MAPPING=PRECISE</stp>
        <stp>FS=MRC</stp>
        <stp>CURRENCY=USD</stp>
        <stp>XLFILL=b</stp>
        <tr r="E70" s="2"/>
      </tp>
      <tp t="s">
        <v>#N/A Requesting Data...</v>
        <stp/>
        <stp>##V3_BQLV12</stp>
        <stp>[MODL_NOW_US1.xlsx]Single Period!R67C44</stp>
        <stp>SEG0000230986 Segment</stp>
        <stp>IS_PERCENTAGE_OF_REVENUE</stp>
        <stp>FPR=2021Y</stp>
        <stp>FPT=A</stp>
        <stp>FA_ACT_EST_DATA=E, EST_SOURCE=ARE</stp>
        <stp>ACT_EST_MAPPING=PRECISE</stp>
        <stp>FS=MRC</stp>
        <stp>CURRENCY=USD</stp>
        <stp>XLFILL=b</stp>
        <tr r="AR67" s="2"/>
      </tp>
      <tp t="s">
        <v>#N/A Requesting Data...</v>
        <stp/>
        <stp>##V3_BQLV12</stp>
        <stp>[MODL_NOW_US1.xlsx]Single Period!R225C9</stp>
        <stp>NOW US Equity</stp>
        <stp>CONTRIBUTOR_STATS(CF_INCR_CAP_STOCK, MEDIAN)/1M</stp>
        <stp>FPR=2021Y</stp>
        <stp>FPT=A</stp>
        <stp>FA_ACT_EST_DATA=E</stp>
        <stp>ACT_EST_MAPPING=PRECISE</stp>
        <stp>FS=MRC</stp>
        <stp>CURRENCY=USD</stp>
        <stp>XLFILL=b</stp>
        <tr r="I225" s="2"/>
      </tp>
      <tp t="s">
        <v>#N/A Requesting Data...</v>
        <stp/>
        <stp>##V3_BQLV12</stp>
        <stp>[MODL_NOW_US1.xlsx]Single Period!R68C48</stp>
        <stp>SEG0000230986 Segment</stp>
        <stp>IS_ADJUSTED_COGS_AS_REPORTED/1M</stp>
        <stp>FPR=2021Y</stp>
        <stp>FPT=A</stp>
        <stp>FA_ACT_EST_DATA=E, EST_SOURCE=CRC</stp>
        <stp>ACT_EST_MAPPING=PRECISE</stp>
        <stp>FS=MRC</stp>
        <stp>CURRENCY=USD</stp>
        <stp>XLFILL=b</stp>
        <tr r="AV68" s="2"/>
      </tp>
      <tp t="s">
        <v>#N/A Requesting Data...</v>
        <stp/>
        <stp>##V3_BQLV12</stp>
        <stp>[MODL_NOW_US1.xlsx]Single Period!R60C48</stp>
        <stp>SEG0000230975 Segment</stp>
        <stp>IS_ADJUSTED_COGS_AS_REPORTED/1M</stp>
        <stp>FPR=2021Y</stp>
        <stp>FPT=A</stp>
        <stp>FA_ACT_EST_DATA=E, EST_SOURCE=CRC</stp>
        <stp>ACT_EST_MAPPING=PRECISE</stp>
        <stp>FS=MRC</stp>
        <stp>CURRENCY=USD</stp>
        <stp>XLFILL=b</stp>
        <tr r="AV60" s="2"/>
      </tp>
      <tp t="s">
        <v>#N/A Requesting Data...</v>
        <stp/>
        <stp>##V3_BQLV12</stp>
        <stp>[MODL_NOW_US1.xlsx]Single Period!R203C5</stp>
        <stp>NOW US Equity</stp>
        <stp>AMORTIZATN_OF_FINNCNG_COSTS/1M</stp>
        <stp>FPR=2021Y</stp>
        <stp>FPT=A</stp>
        <stp>FA_ACT_EST_DATA=E</stp>
        <stp>ACT_EST_MAPPING=PRECISE</stp>
        <stp>FS=MRC</stp>
        <stp>CURRENCY=USD</stp>
        <stp>XLFILL=b</stp>
        <tr r="E203" s="2"/>
      </tp>
      <tp t="s">
        <v>#N/A Requesting Data...</v>
        <stp/>
        <stp>##V3_BQLV12</stp>
        <stp>[MODL_NOW_US1.xlsx]Single Period!R44C48</stp>
        <stp>SEG0000230986 Segment</stp>
        <stp>IS_FOREIGN_CURRENCY_TURNOVER/1M</stp>
        <stp>FPR=2021Y</stp>
        <stp>FPT=A</stp>
        <stp>FA_ACT_EST_DATA=E, EST_SOURCE=CRC</stp>
        <stp>ACT_EST_MAPPING=PRECISE</stp>
        <stp>FS=MRC</stp>
        <stp>CURRENCY=USD</stp>
        <stp>XLFILL=b</stp>
        <tr r="AV44" s="2"/>
      </tp>
      <tp t="s">
        <v>#N/A Requesting Data...</v>
        <stp/>
        <stp>##V3_BQLV12</stp>
        <stp>[MODL_NOW_US1.xlsx]Single Period!R195C9</stp>
        <stp>NOW US Equity</stp>
        <stp>CONTRIBUTOR_STATS(CB_BS_DEFERRED_COST_LT, MEDIAN)/1M</stp>
        <stp>FPR=2021Y</stp>
        <stp>FPT=A</stp>
        <stp>FA_ACT_EST_DATA=E</stp>
        <stp>ACT_EST_MAPPING=PRECISE</stp>
        <stp>FS=MRC</stp>
        <stp>CURRENCY=USD</stp>
        <stp>XLFILL=b</stp>
        <tr r="I195" s="2"/>
      </tp>
      <tp t="s">
        <v>#N/A Requesting Data...</v>
        <stp/>
        <stp>##V3_BQLV12</stp>
        <stp>[MODL_NOW_US1.xlsx]Single Period!R168C9</stp>
        <stp>NOW US Equity</stp>
        <stp>CONTRIBUTOR_STATS(CB_BS_DEFERRED_COST_LT, MEDIAN)/1M</stp>
        <stp>FPR=2021Y</stp>
        <stp>FPT=A</stp>
        <stp>FA_ACT_EST_DATA=E</stp>
        <stp>ACT_EST_MAPPING=PRECISE</stp>
        <stp>FS=MRC</stp>
        <stp>CURRENCY=USD</stp>
        <stp>XLFILL=b</stp>
        <tr r="I168" s="2"/>
      </tp>
      <tp t="s">
        <v>#N/A Requesting Data...</v>
        <stp/>
        <stp>##V3_BQLV12</stp>
        <stp>[MODL_NOW_US1.xlsx]Single Period!R44C41</stp>
        <stp>SEG0000230986 Segment</stp>
        <stp>IS_FOREIGN_CURRENCY_TURNOVER/1M</stp>
        <stp>FPR=2021Y</stp>
        <stp>FPT=A</stp>
        <stp>FA_ACT_EST_DATA=E, EST_SOURCE=ARG</stp>
        <stp>ACT_EST_MAPPING=PRECISE</stp>
        <stp>FS=MRC</stp>
        <stp>CURRENCY=USD</stp>
        <stp>XLFILL=b</stp>
        <tr r="AO44" s="2"/>
      </tp>
      <tp t="s">
        <v>#N/A Requesting Data...</v>
        <stp/>
        <stp>##V3_BQLV12</stp>
        <stp>[MODL_NOW_US1.xlsx]Single Period!R68C44</stp>
        <stp>SEG0000230986 Segment</stp>
        <stp>IS_ADJUSTED_COGS_AS_REPORTED/1M</stp>
        <stp>FPR=2021Y</stp>
        <stp>FPT=A</stp>
        <stp>FA_ACT_EST_DATA=E, EST_SOURCE=ARE</stp>
        <stp>ACT_EST_MAPPING=PRECISE</stp>
        <stp>FS=MRC</stp>
        <stp>CURRENCY=USD</stp>
        <stp>XLFILL=b</stp>
        <tr r="AR68" s="2"/>
      </tp>
      <tp t="s">
        <v>#N/A Requesting Data...</v>
        <stp/>
        <stp>##V3_BQLV12</stp>
        <stp>[MODL_NOW_US1.xlsx]Single Period!R60C44</stp>
        <stp>SEG0000230975 Segment</stp>
        <stp>IS_ADJUSTED_COGS_AS_REPORTED/1M</stp>
        <stp>FPR=2021Y</stp>
        <stp>FPT=A</stp>
        <stp>FA_ACT_EST_DATA=E, EST_SOURCE=ARE</stp>
        <stp>ACT_EST_MAPPING=PRECISE</stp>
        <stp>FS=MRC</stp>
        <stp>CURRENCY=USD</stp>
        <stp>XLFILL=b</stp>
        <tr r="AR60" s="2"/>
      </tp>
      <tp t="s">
        <v>#N/A Requesting Data...</v>
        <stp/>
        <stp>##V3_BQLV12</stp>
        <stp>[MODL_NOW_US1.xlsx]Single Period!R113C11</stp>
        <stp>SEG0000230986 Segment</stp>
        <stp>IS_COGS_TO_FE_AND_PP_AND_G/1M</stp>
        <stp>FPR=2021Y</stp>
        <stp>FPT=A</stp>
        <stp>FA_ACT_EST_DATA=E, EST_SOURCE=JPM</stp>
        <stp>ACT_EST_MAPPING=PRECISE</stp>
        <stp>FS=MRC</stp>
        <stp>CURRENCY=USD</stp>
        <stp>XLFILL=b</stp>
        <tr r="K113" s="2"/>
      </tp>
      <tp t="s">
        <v>#N/A Requesting Data...</v>
        <stp/>
        <stp>##V3_BQLV12</stp>
        <stp>[MODL_NOW_US1.xlsx]Single Period!R67C42</stp>
        <stp>SEG0000230986 Segment</stp>
        <stp>IS_PERCENTAGE_OF_REVENUE</stp>
        <stp>FPR=2021Y</stp>
        <stp>FPT=A</stp>
        <stp>FA_ACT_EST_DATA=E, EST_SOURCE=CTI</stp>
        <stp>ACT_EST_MAPPING=PRECISE</stp>
        <stp>FS=MRC</stp>
        <stp>CURRENCY=USD</stp>
        <stp>XLFILL=b</stp>
        <tr r="AP67" s="2"/>
      </tp>
      <tp t="s">
        <v>#N/A Requesting Data...</v>
        <stp/>
        <stp>##V3_BQLV12</stp>
        <stp>[MODL_NOW_US1.xlsx]Single Period!R68C41</stp>
        <stp>SEG0000230986 Segment</stp>
        <stp>IS_ADJUSTED_COGS_AS_REPORTED/1M</stp>
        <stp>FPR=2021Y</stp>
        <stp>FPT=A</stp>
        <stp>FA_ACT_EST_DATA=E, EST_SOURCE=ARG</stp>
        <stp>ACT_EST_MAPPING=PRECISE</stp>
        <stp>FS=MRC</stp>
        <stp>CURRENCY=USD</stp>
        <stp>XLFILL=b</stp>
        <tr r="AO68" s="2"/>
      </tp>
      <tp t="s">
        <v>#N/A Requesting Data...</v>
        <stp/>
        <stp>##V3_BQLV12</stp>
        <stp>[MODL_NOW_US1.xlsx]Single Period!R60C41</stp>
        <stp>SEG0000230975 Segment</stp>
        <stp>IS_ADJUSTED_COGS_AS_REPORTED/1M</stp>
        <stp>FPR=2021Y</stp>
        <stp>FPT=A</stp>
        <stp>FA_ACT_EST_DATA=E, EST_SOURCE=ARG</stp>
        <stp>ACT_EST_MAPPING=PRECISE</stp>
        <stp>FS=MRC</stp>
        <stp>CURRENCY=USD</stp>
        <stp>XLFILL=b</stp>
        <tr r="AO60" s="2"/>
      </tp>
      <tp t="s">
        <v>#N/A Requesting Data...</v>
        <stp/>
        <stp>##V3_BQLV12</stp>
        <stp>[MODL_NOW_US1.xlsx]Single Period!R44C44</stp>
        <stp>SEG0000230986 Segment</stp>
        <stp>IS_FOREIGN_CURRENCY_TURNOVER/1M</stp>
        <stp>FPR=2021Y</stp>
        <stp>FPT=A</stp>
        <stp>FA_ACT_EST_DATA=E, EST_SOURCE=ARE</stp>
        <stp>ACT_EST_MAPPING=PRECISE</stp>
        <stp>FS=MRC</stp>
        <stp>CURRENCY=USD</stp>
        <stp>XLFILL=b</stp>
        <tr r="AR44" s="2"/>
      </tp>
      <tp t="s">
        <v>#N/A Requesting Data...</v>
        <stp/>
        <stp>##V3_BQLV12</stp>
        <stp>[MODL_NOW_US1.xlsx]Single Period!R213C5</stp>
        <stp>NOW US Equity</stp>
        <stp>CF_CASH_FROM_OPER/1M</stp>
        <stp>FPR=2021Y</stp>
        <stp>FPT=A</stp>
        <stp>FA_ACT_EST_DATA=E</stp>
        <stp>ACT_EST_MAPPING=PRECISE</stp>
        <stp>FS=MRC</stp>
        <stp>CURRENCY=USD</stp>
        <stp>XLFILL=b</stp>
        <tr r="E213" s="2"/>
      </tp>
      <tp t="s">
        <v>#N/A Requesting Data...</v>
        <stp/>
        <stp>##V3_BQLV12</stp>
        <stp>[MODL_NOW_US1.xlsx]Single Period!R67C35</stp>
        <stp>SEG0000230986 Segment</stp>
        <stp>IS_PERCENTAGE_OF_REVENUE</stp>
        <stp>FPR=2021Y</stp>
        <stp>FPT=A</stp>
        <stp>FA_ACT_EST_DATA=E, EST_SOURCE=MSR</stp>
        <stp>ACT_EST_MAPPING=PRECISE</stp>
        <stp>FS=MRC</stp>
        <stp>CURRENCY=USD</stp>
        <stp>XLFILL=b</stp>
        <tr r="AI67" s="2"/>
      </tp>
      <tp t="s">
        <v>#N/A Requesting Data...</v>
        <stp/>
        <stp>##V3_BQLV12</stp>
        <stp>[MODL_NOW_US1.xlsx]Single Period!R211C9</stp>
        <stp>NOW US Equity</stp>
        <stp>CONTRIBUTOR_STATS(CF_CHG_IN_DEFER_UNEARND_REV_ST, MEDIAN)/1M</stp>
        <stp>FPR=2021Y</stp>
        <stp>FPT=A</stp>
        <stp>FA_ACT_EST_DATA=E</stp>
        <stp>ACT_EST_MAPPING=PRECISE</stp>
        <stp>FS=MRC</stp>
        <stp>CURRENCY=USD</stp>
        <stp>XLFILL=b</stp>
        <tr r="I211" s="2"/>
      </tp>
      <tp t="s">
        <v>#N/A Requesting Data...</v>
        <stp/>
        <stp>##V3_BQLV12</stp>
        <stp>[MODL_NOW_US1.xlsx]Single Period!R59C15</stp>
        <stp>SEG0000230975 Segment</stp>
        <stp>IS_PERCENTAGE_OF_REVENUE</stp>
        <stp>FPR=2021Y</stp>
        <stp>FPT=A</stp>
        <stp>FA_ACT_EST_DATA=E, EST_SOURCE=OPY</stp>
        <stp>ACT_EST_MAPPING=PRECISE</stp>
        <stp>FS=MRC</stp>
        <stp>CURRENCY=USD</stp>
        <stp>XLFILL=b</stp>
        <tr r="O59" s="2"/>
      </tp>
      <tp t="s">
        <v>#N/A Requesting Data...</v>
        <stp/>
        <stp>##V3_BQLV12</stp>
        <stp>[MODL_NOW_US1.xlsx]Single Period!R113C15</stp>
        <stp>SEG0000230986 Segment</stp>
        <stp>IS_COGS_TO_FE_AND_PP_AND_G/1M</stp>
        <stp>FPR=2021Y</stp>
        <stp>FPT=A</stp>
        <stp>FA_ACT_EST_DATA=E, EST_SOURCE=OPY</stp>
        <stp>ACT_EST_MAPPING=PRECISE</stp>
        <stp>FS=MRC</stp>
        <stp>CURRENCY=USD</stp>
        <stp>XLFILL=b</stp>
        <tr r="O113" s="2"/>
      </tp>
      <tp t="s">
        <v>#N/A Requesting Data...</v>
        <stp/>
        <stp>##V3_BQLV12</stp>
        <stp>[MODL_NOW_US1.xlsx]Single Period!R39C9</stp>
        <stp>NOW US Equity</stp>
        <stp>CONTRIBUTOR_STATS(IS_BILLINGS, MEDIAN)/1M</stp>
        <stp>FPR=2021Y</stp>
        <stp>FPT=A</stp>
        <stp>FA_ACT_EST_DATA=E</stp>
        <stp>ACT_EST_MAPPING=PRECISE</stp>
        <stp>FS=MRC</stp>
        <stp>CURRENCY=USD</stp>
        <stp>XLFILL=b</stp>
        <tr r="I39" s="2"/>
      </tp>
      <tp t="s">
        <v>#N/A Requesting Data...</v>
        <stp/>
        <stp>##V3_BQLV12</stp>
        <stp>[MODL_NOW_US1.xlsx]Single Period!R69C8</stp>
        <stp>SEG0000230986 Segment</stp>
        <stp>CONTRIBUTOR_STATS(IS_ADJ_GROSS_PROFIT_AS_REPORTED, STD)/1M</stp>
        <stp>FPR=2021Y</stp>
        <stp>FPT=A</stp>
        <stp>FA_ACT_EST_DATA=E</stp>
        <stp>ACT_EST_MAPPING=PRECISE</stp>
        <stp>FS=MRC</stp>
        <stp>CURRENCY=USD</stp>
        <stp>XLFILL=b</stp>
        <tr r="H69" s="2"/>
      </tp>
      <tp t="s">
        <v>#N/A Requesting Data...</v>
        <stp/>
        <stp>##V3_BQLV12</stp>
        <stp>[MODL_NOW_US1.xlsx]Single Period!R52C34</stp>
        <stp>NOW US Equity</stp>
        <stp>ACCT_RCV_DAYS</stp>
        <stp>FPR=2021Y</stp>
        <stp>FPT=A</stp>
        <stp>FA_ACT_EST_DATA=E, EST_SOURCE=PSG</stp>
        <stp>ACT_EST_MAPPING=PRECISE</stp>
        <stp>FS=MRC</stp>
        <stp>CURRENCY=USD</stp>
        <stp>XLFILL=b</stp>
        <tr r="AH52" s="2"/>
      </tp>
      <tp t="s">
        <v>#N/A Requesting Data...</v>
        <stp/>
        <stp>##V3_BQLV12</stp>
        <stp>[MODL_NOW_US1.xlsx]Single Period!R88C40</stp>
        <stp>NOW US Equity</stp>
        <stp>IS_ADJ_SELLING_AND_MRKTG_EXPN_AR/1M</stp>
        <stp>FPR=2021Y</stp>
        <stp>FPT=A</stp>
        <stp>FA_ACT_EST_DATA=E, EST_SOURCE=DWI</stp>
        <stp>ACT_EST_MAPPING=PRECISE</stp>
        <stp>FS=MRC</stp>
        <stp>CURRENCY=USD</stp>
        <stp>XLFILL=b</stp>
        <tr r="AN88" s="2"/>
      </tp>
      <tp t="s">
        <v>#N/A Requesting Data...</v>
        <stp/>
        <stp>##V3_BQLV12</stp>
        <stp>[MODL_NOW_US1.xlsx]Single Period!R162C35</stp>
        <stp>NOW US Equity</stp>
        <stp>BS_LONG_TERM_INVESTMENTS/1M</stp>
        <stp>FPR=2021Y</stp>
        <stp>FPT=A</stp>
        <stp>FA_ACT_EST_DATA=E, EST_SOURCE=MSR</stp>
        <stp>ACT_EST_MAPPING=PRECISE</stp>
        <stp>FS=MRC</stp>
        <stp>CURRENCY=USD</stp>
        <stp>XLFILL=b</stp>
        <tr r="AI162" s="2"/>
      </tp>
      <tp t="s">
        <v>#N/A Requesting Data...</v>
        <stp/>
        <stp>##V3_BQLV12</stp>
        <stp>[MODL_NOW_US1.xlsx]Single Period!R162C31</stp>
        <stp>NOW US Equity</stp>
        <stp>BS_LONG_TERM_INVESTMENTS/1M</stp>
        <stp>FPR=2021Y</stp>
        <stp>FPT=A</stp>
        <stp>FA_ACT_EST_DATA=E, EST_SOURCE=GSR</stp>
        <stp>ACT_EST_MAPPING=PRECISE</stp>
        <stp>FS=MRC</stp>
        <stp>CURRENCY=USD</stp>
        <stp>XLFILL=b</stp>
        <tr r="AE162" s="2"/>
      </tp>
      <tp t="s">
        <v>#N/A Requesting Data...</v>
        <stp/>
        <stp>##V3_BQLV12</stp>
        <stp>[MODL_NOW_US1.xlsx]Single Period!R26C40</stp>
        <stp>NOW US Equity</stp>
        <stp>IS_ADJ_SELLING_AND_MRKTG_EXPN_AR/1M</stp>
        <stp>FPR=2021Y</stp>
        <stp>FPT=A</stp>
        <stp>FA_ACT_EST_DATA=E, EST_SOURCE=DWI</stp>
        <stp>ACT_EST_MAPPING=PRECISE</stp>
        <stp>FS=MRC</stp>
        <stp>CURRENCY=USD</stp>
        <stp>XLFILL=b</stp>
        <tr r="AN26" s="2"/>
      </tp>
      <tp t="s">
        <v>#N/A Requesting Data...</v>
        <stp/>
        <stp>##V3_BQLV12</stp>
        <stp>[MODL_NOW_US1.xlsx]Single Period!R52C31</stp>
        <stp>NOW US Equity</stp>
        <stp>ACCT_RCV_DAYS</stp>
        <stp>FPR=2021Y</stp>
        <stp>FPT=A</stp>
        <stp>FA_ACT_EST_DATA=E, EST_SOURCE=GSR</stp>
        <stp>ACT_EST_MAPPING=PRECISE</stp>
        <stp>FS=MRC</stp>
        <stp>CURRENCY=USD</stp>
        <stp>XLFILL=b</stp>
        <tr r="AE52" s="2"/>
      </tp>
      <tp t="s">
        <v>#N/A Requesting Data...</v>
        <stp/>
        <stp>##V3_BQLV12</stp>
        <stp>[MODL_NOW_US1.xlsx]Single Period!R52C35</stp>
        <stp>NOW US Equity</stp>
        <stp>ACCT_RCV_DAYS</stp>
        <stp>FPR=2021Y</stp>
        <stp>FPT=A</stp>
        <stp>FA_ACT_EST_DATA=E, EST_SOURCE=MSR</stp>
        <stp>ACT_EST_MAPPING=PRECISE</stp>
        <stp>FS=MRC</stp>
        <stp>CURRENCY=USD</stp>
        <stp>XLFILL=b</stp>
        <tr r="AI52" s="2"/>
      </tp>
      <tp t="s">
        <v>#N/A Requesting Data...</v>
        <stp/>
        <stp>##V3_BQLV12</stp>
        <stp>[MODL_NOW_US1.xlsx]Single Period!R53C47</stp>
        <stp>NOW US Equity</stp>
        <stp>ANNUALIZED_DAYS_SALES_OUTSTDG</stp>
        <stp>FPR=2021Y</stp>
        <stp>FPT=A</stp>
        <stp>FA_ACT_EST_DATA=E, EST_SOURCE=SUM</stp>
        <stp>ACT_EST_MAPPING=PRECISE</stp>
        <stp>FS=MRC</stp>
        <stp>CURRENCY=USD</stp>
        <stp>XLFILL=b</stp>
        <tr r="AU53" s="2"/>
      </tp>
      <tp t="s">
        <v>#N/A Requesting Data...</v>
        <stp/>
        <stp>##V3_BQLV12</stp>
        <stp>[MODL_NOW_US1.xlsx]Single Period!R52C19</stp>
        <stp>NOW US Equity</stp>
        <stp>ACCT_RCV_DAYS</stp>
        <stp>FPR=2021Y</stp>
        <stp>FPT=A</stp>
        <stp>FA_ACT_EST_DATA=E, EST_SOURCE=MSV</stp>
        <stp>ACT_EST_MAPPING=PRECISE</stp>
        <stp>FS=MRC</stp>
        <stp>CURRENCY=USD</stp>
        <stp>XLFILL=b</stp>
        <tr r="S52" s="2"/>
      </tp>
      <tp t="s">
        <v>#N/A Requesting Data...</v>
        <stp/>
        <stp>##V3_BQLV12</stp>
        <stp>[MODL_NOW_US1.xlsx]Single Period!R162C42</stp>
        <stp>NOW US Equity</stp>
        <stp>BS_LONG_TERM_INVESTMENTS/1M</stp>
        <stp>FPR=2021Y</stp>
        <stp>FPT=A</stp>
        <stp>FA_ACT_EST_DATA=E, EST_SOURCE=CTI</stp>
        <stp>ACT_EST_MAPPING=PRECISE</stp>
        <stp>FS=MRC</stp>
        <stp>CURRENCY=USD</stp>
        <stp>XLFILL=b</stp>
        <tr r="AP162" s="2"/>
      </tp>
      <tp t="s">
        <v>#N/A Requesting Data...</v>
        <stp/>
        <stp>##V3_BQLV12</stp>
        <stp>[MODL_NOW_US1.xlsx]Single Period!R231C37</stp>
        <stp>NOW US Equity</stp>
        <stp>CF_NET_CHNG_CASH/1M</stp>
        <stp>FPR=2021Y</stp>
        <stp>FPT=A</stp>
        <stp>FA_ACT_EST_DATA=E, EST_SOURCE=TTC</stp>
        <stp>ACT_EST_MAPPING=PRECISE</stp>
        <stp>FS=MRC</stp>
        <stp>CURRENCY=USD</stp>
        <stp>XLFILL=b</stp>
        <tr r="AK231" s="2"/>
      </tp>
      <tp t="s">
        <v>#N/A Requesting Data...</v>
        <stp/>
        <stp>##V3_BQLV12</stp>
        <stp>[MODL_NOW_US1.xlsx]Single Period!R69C6</stp>
        <stp>SEG0000230986 Segment</stp>
        <stp>CONTRIBUTOR_STATS(IS_ADJ_GROSS_PROFIT_AS_REPORTED, MIN)/1M</stp>
        <stp>FPR=2021Y</stp>
        <stp>FPT=A</stp>
        <stp>FA_ACT_EST_DATA=E</stp>
        <stp>ACT_EST_MAPPING=PRECISE</stp>
        <stp>FS=MRC</stp>
        <stp>CURRENCY=USD</stp>
        <stp>XLFILL=b</stp>
        <tr r="F69" s="2"/>
      </tp>
      <tp t="s">
        <v>#N/A Requesting Data...</v>
        <stp/>
        <stp>##V3_BQLV12</stp>
        <stp>[MODL_NOW_US1.xlsx]Single Period!R69C7</stp>
        <stp>SEG0000230986 Segment</stp>
        <stp>CONTRIBUTOR_STATS(IS_ADJ_GROSS_PROFIT_AS_REPORTED, MAX)/1M</stp>
        <stp>FPR=2021Y</stp>
        <stp>FPT=A</stp>
        <stp>FA_ACT_EST_DATA=E</stp>
        <stp>ACT_EST_MAPPING=PRECISE</stp>
        <stp>FS=MRC</stp>
        <stp>CURRENCY=USD</stp>
        <stp>XLFILL=b</stp>
        <tr r="G69" s="2"/>
      </tp>
      <tp t="s">
        <v>#N/A Requesting Data...</v>
        <stp/>
        <stp>##V3_BQLV12</stp>
        <stp>[MODL_NOW_US1.xlsx]Single Period!R162C34</stp>
        <stp>NOW US Equity</stp>
        <stp>BS_LONG_TERM_INVESTMENTS/1M</stp>
        <stp>FPR=2021Y</stp>
        <stp>FPT=A</stp>
        <stp>FA_ACT_EST_DATA=E, EST_SOURCE=PSG</stp>
        <stp>ACT_EST_MAPPING=PRECISE</stp>
        <stp>FS=MRC</stp>
        <stp>CURRENCY=USD</stp>
        <stp>XLFILL=b</stp>
        <tr r="AH162" s="2"/>
      </tp>
      <tp t="s">
        <v>#N/A Requesting Data...</v>
        <stp/>
        <stp>##V3_BQLV12</stp>
        <stp>[MODL_NOW_US1.xlsx]Single Period!R50C28</stp>
        <stp>NOW US Equity</stp>
        <stp>NUM_CSTMR_CNTRCT_OVER_1_MILLN</stp>
        <stp>FPR=2021Y</stp>
        <stp>FPT=A</stp>
        <stp>FA_ACT_EST_DATA=E, EST_SOURCE=EVR</stp>
        <stp>ACT_EST_MAPPING=PRECISE</stp>
        <stp>FS=MRC</stp>
        <stp>CURRENCY=USD</stp>
        <stp>XLFILL=b</stp>
        <tr r="AB50" s="2"/>
      </tp>
      <tp t="s">
        <v>#N/A Requesting Data...</v>
        <stp/>
        <stp>##V3_BQLV12</stp>
        <stp>[MODL_NOW_US1.xlsx]Single Period!R95C47</stp>
        <stp>NOW US Equity</stp>
        <stp>IS_COMPARABLE_EBIT/1M</stp>
        <stp>FPR=2021Y</stp>
        <stp>FPT=A</stp>
        <stp>FA_ACT_EST_DATA=E, EST_SOURCE=SUM</stp>
        <stp>ACT_EST_MAPPING=PRECISE</stp>
        <stp>FS=MRC</stp>
        <stp>CURRENCY=USD</stp>
        <stp>XLFILL=b</stp>
        <tr r="AU95" s="2"/>
      </tp>
      <tp t="s">
        <v>#N/A Requesting Data...</v>
        <stp/>
        <stp>##V3_BQLV12</stp>
        <stp>[MODL_NOW_US1.xlsx]Single Period!R83C5</stp>
        <stp>NOW US Equity</stp>
        <stp>IS_ADJUSTED_COGS_AS_REPORTED/1M</stp>
        <stp>FPR=2021Y</stp>
        <stp>FPT=A</stp>
        <stp>FA_ACT_EST_DATA=E</stp>
        <stp>ACT_EST_MAPPING=PRECISE</stp>
        <stp>FS=MRC</stp>
        <stp>CURRENCY=USD</stp>
        <stp>XLFILL=b</stp>
        <tr r="E83" s="2"/>
      </tp>
      <tp t="s">
        <v>#N/A Requesting Data...</v>
        <stp/>
        <stp>##V3_BQLV12</stp>
        <stp>[MODL_NOW_US1.xlsx]Single Period!R217C43</stp>
        <stp>NOW US Equity</stp>
        <stp>CAP_EXPEND_TO_SALES</stp>
        <stp>FPR=2021Y</stp>
        <stp>FPT=A</stp>
        <stp>FA_ACT_EST_DATA=E, EST_SOURCE=WFT</stp>
        <stp>ACT_EST_MAPPING=PRECISE</stp>
        <stp>FS=MRC</stp>
        <stp>CURRENCY=USD</stp>
        <stp>XLFILL=b</stp>
        <tr r="AQ217" s="2"/>
      </tp>
      <tp t="s">
        <v>#N/A Requesting Data...</v>
        <stp/>
        <stp>##V3_BQLV12</stp>
        <stp>[MODL_NOW_US1.xlsx]Single Period!R54C5</stp>
        <stp>NOW US Equity</stp>
        <stp>IS_FOREIGN_CURRENCY_TURNOVER/1M</stp>
        <stp>FPR=2021Y</stp>
        <stp>FPT=A</stp>
        <stp>FA_ACT_EST_DATA=E</stp>
        <stp>ACT_EST_MAPPING=PRECISE</stp>
        <stp>FS=MRC</stp>
        <stp>CURRENCY=USD</stp>
        <stp>XLFILL=b</stp>
        <tr r="E54" s="2"/>
      </tp>
      <tp t="s">
        <v>#N/A Requesting Data...</v>
        <stp/>
        <stp>##V3_BQLV12</stp>
        <stp>[MODL_NOW_US1.xlsx]Single Period!R11C38</stp>
        <stp>NOW US Equity</stp>
        <stp>NUM_CSTMR_CNTRCT_OVER_1_MILLN</stp>
        <stp>FPR=2021Y</stp>
        <stp>FPT=A</stp>
        <stp>FA_ACT_EST_DATA=E, EST_SOURCE=RWB</stp>
        <stp>ACT_EST_MAPPING=PRECISE</stp>
        <stp>FS=MRC</stp>
        <stp>CURRENCY=USD</stp>
        <stp>XLFILL=b</stp>
        <tr r="AL11" s="2"/>
      </tp>
      <tp t="s">
        <v>#N/A Requesting Data...</v>
        <stp/>
        <stp>##V3_BQLV12</stp>
        <stp>[MODL_NOW_US1.xlsx]Single Period!R217C30</stp>
        <stp>NOW US Equity</stp>
        <stp>CAP_EXPEND_TO_SALES</stp>
        <stp>FPR=2021Y</stp>
        <stp>FPT=A</stp>
        <stp>FA_ACT_EST_DATA=E, EST_SOURCE=BAM</stp>
        <stp>ACT_EST_MAPPING=PRECISE</stp>
        <stp>FS=MRC</stp>
        <stp>CURRENCY=USD</stp>
        <stp>XLFILL=b</stp>
        <tr r="AD217" s="2"/>
      </tp>
      <tp t="s">
        <v>#N/A Requesting Data...</v>
        <stp/>
        <stp>##V3_BQLV12</stp>
        <stp>[MODL_NOW_US1.xlsx]Single Period!R11C40</stp>
        <stp>NOW US Equity</stp>
        <stp>NUM_CSTMR_CNTRCT_OVER_1_MILLN</stp>
        <stp>FPR=2021Y</stp>
        <stp>FPT=A</stp>
        <stp>FA_ACT_EST_DATA=E, EST_SOURCE=DWI</stp>
        <stp>ACT_EST_MAPPING=PRECISE</stp>
        <stp>FS=MRC</stp>
        <stp>CURRENCY=USD</stp>
        <stp>XLFILL=b</stp>
        <tr r="AN11" s="2"/>
      </tp>
      <tp t="s">
        <v>#N/A Requesting Data...</v>
        <stp/>
        <stp>##V3_BQLV12</stp>
        <stp>[MODL_NOW_US1.xlsx]Single Period!R217C33</stp>
        <stp>NOW US Equity</stp>
        <stp>CAP_EXPEND_TO_SALES</stp>
        <stp>FPR=2021Y</stp>
        <stp>FPT=A</stp>
        <stp>FA_ACT_EST_DATA=E, EST_SOURCE=MAC</stp>
        <stp>ACT_EST_MAPPING=PRECISE</stp>
        <stp>FS=MRC</stp>
        <stp>CURRENCY=USD</stp>
        <stp>XLFILL=b</stp>
        <tr r="AG217" s="2"/>
      </tp>
      <tp t="s">
        <v>#N/A Requesting Data...</v>
        <stp/>
        <stp>##V3_BQLV12</stp>
        <stp>[MODL_NOW_US1.xlsx]Single Period!R217C16</stp>
        <stp>NOW US Equity</stp>
        <stp>CAP_EXPEND_TO_SALES</stp>
        <stp>FPR=2021Y</stp>
        <stp>FPT=A</stp>
        <stp>FA_ACT_EST_DATA=E, EST_SOURCE=BCA</stp>
        <stp>ACT_EST_MAPPING=PRECISE</stp>
        <stp>FS=MRC</stp>
        <stp>CURRENCY=USD</stp>
        <stp>XLFILL=b</stp>
        <tr r="P217" s="2"/>
      </tp>
      <tp t="s">
        <v>#N/A Requesting Data...</v>
        <stp/>
        <stp>##V3_BQLV12</stp>
        <stp>[MODL_NOW_US1.xlsx]Single Period!R11C24</stp>
        <stp>NOW US Equity</stp>
        <stp>NUM_CSTMR_CNTRCT_OVER_1_MILLN</stp>
        <stp>FPR=2021Y</stp>
        <stp>FPT=A</stp>
        <stp>FA_ACT_EST_DATA=E, EST_SOURCE=CWN</stp>
        <stp>ACT_EST_MAPPING=PRECISE</stp>
        <stp>FS=MRC</stp>
        <stp>CURRENCY=USD</stp>
        <stp>XLFILL=b</stp>
        <tr r="X11" s="2"/>
      </tp>
      <tp t="s">
        <v>#N/A Requesting Data...</v>
        <stp/>
        <stp>##V3_BQLV12</stp>
        <stp>[MODL_NOW_US1.xlsx]Single Period!R232C6</stp>
        <stp>NOW US Equity</stp>
        <stp>CONTRIBUTOR_STATS(CF_CASH_AND_CASH_EQUIV_BEG_BAL, MIN)/1M</stp>
        <stp>FPR=2021Y</stp>
        <stp>FPT=A</stp>
        <stp>FA_ACT_EST_DATA=E</stp>
        <stp>ACT_EST_MAPPING=PRECISE</stp>
        <stp>FS=MRC</stp>
        <stp>CURRENCY=USD</stp>
        <stp>XLFILL=b</stp>
        <tr r="F232" s="2"/>
      </tp>
      <tp t="s">
        <v>#N/A Requesting Data...</v>
        <stp/>
        <stp>##V3_BQLV12</stp>
        <stp>[MODL_NOW_US1.xlsx]Single Period!R232C7</stp>
        <stp>NOW US Equity</stp>
        <stp>CONTRIBUTOR_STATS(CF_CASH_AND_CASH_EQUIV_BEG_BAL, MAX)/1M</stp>
        <stp>FPR=2021Y</stp>
        <stp>FPT=A</stp>
        <stp>FA_ACT_EST_DATA=E</stp>
        <stp>ACT_EST_MAPPING=PRECISE</stp>
        <stp>FS=MRC</stp>
        <stp>CURRENCY=USD</stp>
        <stp>XLFILL=b</stp>
        <tr r="G232" s="2"/>
      </tp>
      <tp t="s">
        <v>#N/A Requesting Data...</v>
        <stp/>
        <stp>##V3_BQLV12</stp>
        <stp>[MODL_NOW_US1.xlsx]Single Period!R213C8</stp>
        <stp>NOW US Equity</stp>
        <stp>CONTRIBUTOR_STATS(CF_CASH_FROM_OPER, STD)/1M</stp>
        <stp>FPR=2021Y</stp>
        <stp>FPT=A</stp>
        <stp>FA_ACT_EST_DATA=E</stp>
        <stp>ACT_EST_MAPPING=PRECISE</stp>
        <stp>FS=MRC</stp>
        <stp>CURRENCY=USD</stp>
        <stp>XLFILL=b</stp>
        <tr r="H213" s="2"/>
      </tp>
      <tp t="s">
        <v>#N/A Requesting Data...</v>
        <stp/>
        <stp>##V3_BQLV12</stp>
        <stp>[MODL_NOW_US1.xlsx]Single Period!R232C8</stp>
        <stp>NOW US Equity</stp>
        <stp>CONTRIBUTOR_STATS(CF_CASH_AND_CASH_EQUIV_BEG_BAL, STD)/1M</stp>
        <stp>FPR=2021Y</stp>
        <stp>FPT=A</stp>
        <stp>FA_ACT_EST_DATA=E</stp>
        <stp>ACT_EST_MAPPING=PRECISE</stp>
        <stp>FS=MRC</stp>
        <stp>CURRENCY=USD</stp>
        <stp>XLFILL=b</stp>
        <tr r="H232" s="2"/>
      </tp>
      <tp t="s">
        <v>#N/A Requesting Data...</v>
        <stp/>
        <stp>##V3_BQLV12</stp>
        <stp>[MODL_NOW_US1.xlsx]Single Period!R62C5</stp>
        <stp>SEG0000230975 Segment</stp>
        <stp>IS_ADJ_GROSS_MARGIN_PCT_AR</stp>
        <stp>FPR=2021Y</stp>
        <stp>FPT=A</stp>
        <stp>FA_ACT_EST_DATA=E</stp>
        <stp>ACT_EST_MAPPING=PRECISE</stp>
        <stp>FS=MRC</stp>
        <stp>CURRENCY=USD</stp>
        <stp>XLFILL=b</stp>
        <tr r="E62" s="2"/>
      </tp>
      <tp t="s">
        <v>#N/A Requesting Data...</v>
        <stp/>
        <stp>##V3_BQLV12</stp>
        <stp>[MODL_NOW_US1.xlsx]Single Period!R59C44</stp>
        <stp>SEG0000230975 Segment</stp>
        <stp>IS_PERCENTAGE_OF_REVENUE</stp>
        <stp>FPR=2021Y</stp>
        <stp>FPT=A</stp>
        <stp>FA_ACT_EST_DATA=E, EST_SOURCE=ARE</stp>
        <stp>ACT_EST_MAPPING=PRECISE</stp>
        <stp>FS=MRC</stp>
        <stp>CURRENCY=USD</stp>
        <stp>XLFILL=b</stp>
        <tr r="AR59" s="2"/>
      </tp>
      <tp t="s">
        <v>#N/A Requesting Data...</v>
        <stp/>
        <stp>##V3_BQLV12</stp>
        <stp>[MODL_NOW_US1.xlsx]Single Period!R113C34</stp>
        <stp>SEG0000230986 Segment</stp>
        <stp>IS_COGS_TO_FE_AND_PP_AND_G/1M</stp>
        <stp>FPR=2021Y</stp>
        <stp>FPT=A</stp>
        <stp>FA_ACT_EST_DATA=E, EST_SOURCE=PSG</stp>
        <stp>ACT_EST_MAPPING=PRECISE</stp>
        <stp>FS=MRC</stp>
        <stp>CURRENCY=USD</stp>
        <stp>XLFILL=b</stp>
        <tr r="AH113" s="2"/>
      </tp>
      <tp t="s">
        <v>#N/A Requesting Data...</v>
        <stp/>
        <stp>##V3_BQLV12</stp>
        <stp>[MODL_NOW_US1.xlsx]Single Period!R68C24</stp>
        <stp>SEG0000230986 Segment</stp>
        <stp>IS_ADJUSTED_COGS_AS_REPORTED/1M</stp>
        <stp>FPR=2021Y</stp>
        <stp>FPT=A</stp>
        <stp>FA_ACT_EST_DATA=E, EST_SOURCE=CWN</stp>
        <stp>ACT_EST_MAPPING=PRECISE</stp>
        <stp>FS=MRC</stp>
        <stp>CURRENCY=USD</stp>
        <stp>XLFILL=b</stp>
        <tr r="X68" s="2"/>
      </tp>
      <tp t="s">
        <v>#N/A Requesting Data...</v>
        <stp/>
        <stp>##V3_BQLV12</stp>
        <stp>[MODL_NOW_US1.xlsx]Single Period!R60C24</stp>
        <stp>SEG0000230975 Segment</stp>
        <stp>IS_ADJUSTED_COGS_AS_REPORTED/1M</stp>
        <stp>FPR=2021Y</stp>
        <stp>FPT=A</stp>
        <stp>FA_ACT_EST_DATA=E, EST_SOURCE=CWN</stp>
        <stp>ACT_EST_MAPPING=PRECISE</stp>
        <stp>FS=MRC</stp>
        <stp>CURRENCY=USD</stp>
        <stp>XLFILL=b</stp>
        <tr r="X60" s="2"/>
      </tp>
      <tp t="s">
        <v>#N/A Requesting Data...</v>
        <stp/>
        <stp>##V3_BQLV12</stp>
        <stp>[MODL_NOW_US1.xlsx]Single Period!R44C24</stp>
        <stp>SEG0000230986 Segment</stp>
        <stp>IS_FOREIGN_CURRENCY_TURNOVER/1M</stp>
        <stp>FPR=2021Y</stp>
        <stp>FPT=A</stp>
        <stp>FA_ACT_EST_DATA=E, EST_SOURCE=CWN</stp>
        <stp>ACT_EST_MAPPING=PRECISE</stp>
        <stp>FS=MRC</stp>
        <stp>CURRENCY=USD</stp>
        <stp>XLFILL=b</stp>
        <tr r="X44" s="2"/>
      </tp>
      <tp t="s">
        <v>#N/A Requesting Data...</v>
        <stp/>
        <stp>##V3_BQLV12</stp>
        <stp>[MODL_NOW_US1.xlsx]Single Period!R59C42</stp>
        <stp>SEG0000230975 Segment</stp>
        <stp>IS_PERCENTAGE_OF_REVENUE</stp>
        <stp>FPR=2021Y</stp>
        <stp>FPT=A</stp>
        <stp>FA_ACT_EST_DATA=E, EST_SOURCE=CTI</stp>
        <stp>ACT_EST_MAPPING=PRECISE</stp>
        <stp>FS=MRC</stp>
        <stp>CURRENCY=USD</stp>
        <stp>XLFILL=b</stp>
        <tr r="AP59" s="2"/>
      </tp>
      <tp t="s">
        <v>#N/A Requesting Data...</v>
        <stp/>
        <stp>##V3_BQLV12</stp>
        <stp>[MODL_NOW_US1.xlsx]Single Period!R24C17</stp>
        <stp>NOW US Equity</stp>
        <stp>IS_ADJ_GROSS_PROFIT_AS_REPORTED/1M</stp>
        <stp>FPR=2021Y</stp>
        <stp>FPT=A</stp>
        <stp>FA_ACT_EST_DATA=E, EST_SOURCE=RHR</stp>
        <stp>ACT_EST_MAPPING=PRECISE</stp>
        <stp>FS=MRC</stp>
        <stp>CURRENCY=USD</stp>
        <stp>XLFILL=b</stp>
        <tr r="Q24" s="2"/>
      </tp>
      <tp t="s">
        <v>#N/A Requesting Data...</v>
        <stp/>
        <stp>##V3_BQLV12</stp>
        <stp>[MODL_NOW_US1.xlsx]Single Period!R84C17</stp>
        <stp>NOW US Equity</stp>
        <stp>IS_ADJ_GROSS_PROFIT_AS_REPORTED/1M</stp>
        <stp>FPR=2021Y</stp>
        <stp>FPT=A</stp>
        <stp>FA_ACT_EST_DATA=E, EST_SOURCE=RHR</stp>
        <stp>ACT_EST_MAPPING=PRECISE</stp>
        <stp>FS=MRC</stp>
        <stp>CURRENCY=USD</stp>
        <stp>XLFILL=b</stp>
        <tr r="Q84" s="2"/>
      </tp>
      <tp t="s">
        <v>#N/A Requesting Data...</v>
        <stp/>
        <stp>##V3_BQLV12</stp>
        <stp>[MODL_NOW_US1.xlsx]Single Period!R113C19</stp>
        <stp>SEG0000230986 Segment</stp>
        <stp>IS_COGS_TO_FE_AND_PP_AND_G/1M</stp>
        <stp>FPR=2021Y</stp>
        <stp>FPT=A</stp>
        <stp>FA_ACT_EST_DATA=E, EST_SOURCE=MSV</stp>
        <stp>ACT_EST_MAPPING=PRECISE</stp>
        <stp>FS=MRC</stp>
        <stp>CURRENCY=USD</stp>
        <stp>XLFILL=b</stp>
        <tr r="S113" s="2"/>
      </tp>
      <tp t="s">
        <v>#N/A Requesting Data...</v>
        <stp/>
        <stp>##V3_BQLV12</stp>
        <stp>[MODL_NOW_US1.xlsx]Single Period!R167C9</stp>
        <stp>NOW US Equity</stp>
        <stp>CONTRIBUTOR_STATS(BS_GOODWILL, MEDIAN)/1M</stp>
        <stp>FPR=2021Y</stp>
        <stp>FPT=A</stp>
        <stp>FA_ACT_EST_DATA=E</stp>
        <stp>ACT_EST_MAPPING=PRECISE</stp>
        <stp>FS=MRC</stp>
        <stp>CURRENCY=USD</stp>
        <stp>XLFILL=b</stp>
        <tr r="I167" s="2"/>
      </tp>
      <tp t="s">
        <v>#N/A Requesting Data...</v>
        <stp/>
        <stp>##V3_BQLV12</stp>
        <stp>[MODL_NOW_US1.xlsx]Single Period!R113C35</stp>
        <stp>SEG0000230986 Segment</stp>
        <stp>IS_COGS_TO_FE_AND_PP_AND_G/1M</stp>
        <stp>FPR=2021Y</stp>
        <stp>FPT=A</stp>
        <stp>FA_ACT_EST_DATA=E, EST_SOURCE=MSR</stp>
        <stp>ACT_EST_MAPPING=PRECISE</stp>
        <stp>FS=MRC</stp>
        <stp>CURRENCY=USD</stp>
        <stp>XLFILL=b</stp>
        <tr r="AI113" s="2"/>
      </tp>
      <tp t="s">
        <v>#N/A Requesting Data...</v>
        <stp/>
        <stp>##V3_BQLV12</stp>
        <stp>[MODL_NOW_US1.xlsx]Single Period!R113C31</stp>
        <stp>SEG0000230986 Segment</stp>
        <stp>IS_COGS_TO_FE_AND_PP_AND_G/1M</stp>
        <stp>FPR=2021Y</stp>
        <stp>FPT=A</stp>
        <stp>FA_ACT_EST_DATA=E, EST_SOURCE=GSR</stp>
        <stp>ACT_EST_MAPPING=PRECISE</stp>
        <stp>FS=MRC</stp>
        <stp>CURRENCY=USD</stp>
        <stp>XLFILL=b</stp>
        <tr r="AE113" s="2"/>
      </tp>
      <tp t="s">
        <v>#N/A Requesting Data...</v>
        <stp/>
        <stp>##V3_BQLV12</stp>
        <stp>[MODL_NOW_US1.xlsx]Single Period!R59C35</stp>
        <stp>SEG0000230975 Segment</stp>
        <stp>IS_PERCENTAGE_OF_REVENUE</stp>
        <stp>FPR=2021Y</stp>
        <stp>FPT=A</stp>
        <stp>FA_ACT_EST_DATA=E, EST_SOURCE=MSR</stp>
        <stp>ACT_EST_MAPPING=PRECISE</stp>
        <stp>FS=MRC</stp>
        <stp>CURRENCY=USD</stp>
        <stp>XLFILL=b</stp>
        <tr r="AI59" s="2"/>
      </tp>
      <tp t="s">
        <v>#N/A Requesting Data...</v>
        <stp/>
        <stp>##V3_BQLV12</stp>
        <stp>[MODL_NOW_US1.xlsx]Single Period!R67C15</stp>
        <stp>SEG0000230986 Segment</stp>
        <stp>IS_PERCENTAGE_OF_REVENUE</stp>
        <stp>FPR=2021Y</stp>
        <stp>FPT=A</stp>
        <stp>FA_ACT_EST_DATA=E, EST_SOURCE=OPY</stp>
        <stp>ACT_EST_MAPPING=PRECISE</stp>
        <stp>FS=MRC</stp>
        <stp>CURRENCY=USD</stp>
        <stp>XLFILL=b</stp>
        <tr r="O67" s="2"/>
      </tp>
      <tp t="s">
        <v>#N/A Requesting Data...</v>
        <stp/>
        <stp>##V3_BQLV12</stp>
        <stp>[MODL_NOW_US1.xlsx]Single Period!R88C42</stp>
        <stp>NOW US Equity</stp>
        <stp>IS_ADJ_SELLING_AND_MRKTG_EXPN_AR/1M</stp>
        <stp>FPR=2021Y</stp>
        <stp>FPT=A</stp>
        <stp>FA_ACT_EST_DATA=E, EST_SOURCE=CTI</stp>
        <stp>ACT_EST_MAPPING=PRECISE</stp>
        <stp>FS=MRC</stp>
        <stp>CURRENCY=USD</stp>
        <stp>XLFILL=b</stp>
        <tr r="AP88" s="2"/>
      </tp>
      <tp t="s">
        <v>#N/A Requesting Data...</v>
        <stp/>
        <stp>##V3_BQLV12</stp>
        <stp>[MODL_NOW_US1.xlsx]Single Period!R26C34</stp>
        <stp>NOW US Equity</stp>
        <stp>IS_ADJ_SELLING_AND_MRKTG_EXPN_AR/1M</stp>
        <stp>FPR=2021Y</stp>
        <stp>FPT=A</stp>
        <stp>FA_ACT_EST_DATA=E, EST_SOURCE=PSG</stp>
        <stp>ACT_EST_MAPPING=PRECISE</stp>
        <stp>FS=MRC</stp>
        <stp>CURRENCY=USD</stp>
        <stp>XLFILL=b</stp>
        <tr r="AH26" s="2"/>
      </tp>
      <tp t="s">
        <v>#N/A Requesting Data...</v>
        <stp/>
        <stp>##V3_BQLV12</stp>
        <stp>[MODL_NOW_US1.xlsx]Single Period!R230C8</stp>
        <stp>NOW US Equity</stp>
        <stp>CONTRIBUTOR_STATS(CF_EFFECT_FOREIGN_EXCHANGES, STD)/1M</stp>
        <stp>FPR=2021Y</stp>
        <stp>FPT=A</stp>
        <stp>FA_ACT_EST_DATA=E</stp>
        <stp>ACT_EST_MAPPING=PRECISE</stp>
        <stp>FS=MRC</stp>
        <stp>CURRENCY=USD</stp>
        <stp>XLFILL=b</stp>
        <tr r="H230" s="2"/>
      </tp>
      <tp t="s">
        <v>#N/A Requesting Data...</v>
        <stp/>
        <stp>##V3_BQLV12</stp>
        <stp>[MODL_NOW_US1.xlsx]Single Period!R231C28</stp>
        <stp>NOW US Equity</stp>
        <stp>CF_NET_CHNG_CASH/1M</stp>
        <stp>FPR=2021Y</stp>
        <stp>FPT=A</stp>
        <stp>FA_ACT_EST_DATA=E, EST_SOURCE=EVR</stp>
        <stp>ACT_EST_MAPPING=PRECISE</stp>
        <stp>FS=MRC</stp>
        <stp>CURRENCY=USD</stp>
        <stp>XLFILL=b</stp>
        <tr r="AB231" s="2"/>
      </tp>
      <tp t="s">
        <v>#N/A Requesting Data...</v>
        <stp/>
        <stp>##V3_BQLV12</stp>
        <stp>[MODL_NOW_US1.xlsx]Single Period!R53C28</stp>
        <stp>NOW US Equity</stp>
        <stp>ANNUALIZED_DAYS_SALES_OUTSTDG</stp>
        <stp>FPR=2021Y</stp>
        <stp>FPT=A</stp>
        <stp>FA_ACT_EST_DATA=E, EST_SOURCE=EVR</stp>
        <stp>ACT_EST_MAPPING=PRECISE</stp>
        <stp>FS=MRC</stp>
        <stp>CURRENCY=USD</stp>
        <stp>XLFILL=b</stp>
        <tr r="AB53" s="2"/>
      </tp>
      <tp t="s">
        <v>#N/A Requesting Data...</v>
        <stp/>
        <stp>##V3_BQLV12</stp>
        <stp>[MODL_NOW_US1.xlsx]Single Period!R88C34</stp>
        <stp>NOW US Equity</stp>
        <stp>IS_ADJ_SELLING_AND_MRKTG_EXPN_AR/1M</stp>
        <stp>FPR=2021Y</stp>
        <stp>FPT=A</stp>
        <stp>FA_ACT_EST_DATA=E, EST_SOURCE=PSG</stp>
        <stp>ACT_EST_MAPPING=PRECISE</stp>
        <stp>FS=MRC</stp>
        <stp>CURRENCY=USD</stp>
        <stp>XLFILL=b</stp>
        <tr r="AH88" s="2"/>
      </tp>
      <tp t="s">
        <v>#N/A Requesting Data...</v>
        <stp/>
        <stp>##V3_BQLV12</stp>
        <stp>[MODL_NOW_US1.xlsx]Single Period!R26C42</stp>
        <stp>NOW US Equity</stp>
        <stp>IS_ADJ_SELLING_AND_MRKTG_EXPN_AR/1M</stp>
        <stp>FPR=2021Y</stp>
        <stp>FPT=A</stp>
        <stp>FA_ACT_EST_DATA=E, EST_SOURCE=CTI</stp>
        <stp>ACT_EST_MAPPING=PRECISE</stp>
        <stp>FS=MRC</stp>
        <stp>CURRENCY=USD</stp>
        <stp>XLFILL=b</stp>
        <tr r="AP26" s="2"/>
      </tp>
      <tp t="s">
        <v>#N/A Requesting Data...</v>
        <stp/>
        <stp>##V3_BQLV12</stp>
        <stp>[MODL_NOW_US1.xlsx]Single Period!R52C11</stp>
        <stp>NOW US Equity</stp>
        <stp>ACCT_RCV_DAYS</stp>
        <stp>FPR=2021Y</stp>
        <stp>FPT=A</stp>
        <stp>FA_ACT_EST_DATA=E, EST_SOURCE=JPM</stp>
        <stp>ACT_EST_MAPPING=PRECISE</stp>
        <stp>FS=MRC</stp>
        <stp>CURRENCY=USD</stp>
        <stp>XLFILL=b</stp>
        <tr r="K52" s="2"/>
      </tp>
      <tp t="s">
        <v>#N/A Requesting Data...</v>
        <stp/>
        <stp>##V3_BQLV12</stp>
        <stp>[MODL_NOW_US1.xlsx]Single Period!R26C35</stp>
        <stp>NOW US Equity</stp>
        <stp>IS_ADJ_SELLING_AND_MRKTG_EXPN_AR/1M</stp>
        <stp>FPR=2021Y</stp>
        <stp>FPT=A</stp>
        <stp>FA_ACT_EST_DATA=E, EST_SOURCE=MSR</stp>
        <stp>ACT_EST_MAPPING=PRECISE</stp>
        <stp>FS=MRC</stp>
        <stp>CURRENCY=USD</stp>
        <stp>XLFILL=b</stp>
        <tr r="AI26" s="2"/>
      </tp>
      <tp t="s">
        <v>#N/A Requesting Data...</v>
        <stp/>
        <stp>##V3_BQLV12</stp>
        <stp>[MODL_NOW_US1.xlsx]Single Period!R220C45</stp>
        <stp>NOW US Equity</stp>
        <stp>CF_PROCDS_FROM_INVSTMNTS/1M</stp>
        <stp>FPR=2021Y</stp>
        <stp>FPT=A</stp>
        <stp>FA_ACT_EST_DATA=E, EST_SOURCE=PJE</stp>
        <stp>ACT_EST_MAPPING=PRECISE</stp>
        <stp>FS=MRC</stp>
        <stp>CURRENCY=USD</stp>
        <stp>XLFILL=b</stp>
        <tr r="AS220" s="2"/>
      </tp>
      <tp t="s">
        <v>#N/A Requesting Data...</v>
        <stp/>
        <stp>##V3_BQLV12</stp>
        <stp>[MODL_NOW_US1.xlsx]Single Period!R162C40</stp>
        <stp>NOW US Equity</stp>
        <stp>BS_LONG_TERM_INVESTMENTS/1M</stp>
        <stp>FPR=2021Y</stp>
        <stp>FPT=A</stp>
        <stp>FA_ACT_EST_DATA=E, EST_SOURCE=DWI</stp>
        <stp>ACT_EST_MAPPING=PRECISE</stp>
        <stp>FS=MRC</stp>
        <stp>CURRENCY=USD</stp>
        <stp>XLFILL=b</stp>
        <tr r="AN162" s="2"/>
      </tp>
      <tp t="s">
        <v>#N/A Requesting Data...</v>
        <stp/>
        <stp>##V3_BQLV12</stp>
        <stp>[MODL_NOW_US1.xlsx]Single Period!R26C31</stp>
        <stp>NOW US Equity</stp>
        <stp>IS_ADJ_SELLING_AND_MRKTG_EXPN_AR/1M</stp>
        <stp>FPR=2021Y</stp>
        <stp>FPT=A</stp>
        <stp>FA_ACT_EST_DATA=E, EST_SOURCE=GSR</stp>
        <stp>ACT_EST_MAPPING=PRECISE</stp>
        <stp>FS=MRC</stp>
        <stp>CURRENCY=USD</stp>
        <stp>XLFILL=b</stp>
        <tr r="AE26" s="2"/>
      </tp>
      <tp t="s">
        <v>#N/A Requesting Data...</v>
        <stp/>
        <stp>##V3_BQLV12</stp>
        <stp>[MODL_NOW_US1.xlsx]Single Period!R230C7</stp>
        <stp>NOW US Equity</stp>
        <stp>CONTRIBUTOR_STATS(CF_EFFECT_FOREIGN_EXCHANGES, MAX)/1M</stp>
        <stp>FPR=2021Y</stp>
        <stp>FPT=A</stp>
        <stp>FA_ACT_EST_DATA=E</stp>
        <stp>ACT_EST_MAPPING=PRECISE</stp>
        <stp>FS=MRC</stp>
        <stp>CURRENCY=USD</stp>
        <stp>XLFILL=b</stp>
        <tr r="G230" s="2"/>
      </tp>
      <tp t="s">
        <v>#N/A Requesting Data...</v>
        <stp/>
        <stp>##V3_BQLV12</stp>
        <stp>[MODL_NOW_US1.xlsx]Single Period!R230C6</stp>
        <stp>NOW US Equity</stp>
        <stp>CONTRIBUTOR_STATS(CF_EFFECT_FOREIGN_EXCHANGES, MIN)/1M</stp>
        <stp>FPR=2021Y</stp>
        <stp>FPT=A</stp>
        <stp>FA_ACT_EST_DATA=E</stp>
        <stp>ACT_EST_MAPPING=PRECISE</stp>
        <stp>FS=MRC</stp>
        <stp>CURRENCY=USD</stp>
        <stp>XLFILL=b</stp>
        <tr r="F230" s="2"/>
      </tp>
      <tp t="s">
        <v>#N/A Requesting Data...</v>
        <stp/>
        <stp>##V3_BQLV12</stp>
        <stp>[MODL_NOW_US1.xlsx]Single Period!R88C35</stp>
        <stp>NOW US Equity</stp>
        <stp>IS_ADJ_SELLING_AND_MRKTG_EXPN_AR/1M</stp>
        <stp>FPR=2021Y</stp>
        <stp>FPT=A</stp>
        <stp>FA_ACT_EST_DATA=E, EST_SOURCE=MSR</stp>
        <stp>ACT_EST_MAPPING=PRECISE</stp>
        <stp>FS=MRC</stp>
        <stp>CURRENCY=USD</stp>
        <stp>XLFILL=b</stp>
        <tr r="AI88" s="2"/>
      </tp>
      <tp t="s">
        <v>#N/A Requesting Data...</v>
        <stp/>
        <stp>##V3_BQLV12</stp>
        <stp>[MODL_NOW_US1.xlsx]Single Period!R52C15</stp>
        <stp>NOW US Equity</stp>
        <stp>ACCT_RCV_DAYS</stp>
        <stp>FPR=2021Y</stp>
        <stp>FPT=A</stp>
        <stp>FA_ACT_EST_DATA=E, EST_SOURCE=OPY</stp>
        <stp>ACT_EST_MAPPING=PRECISE</stp>
        <stp>FS=MRC</stp>
        <stp>CURRENCY=USD</stp>
        <stp>XLFILL=b</stp>
        <tr r="O52" s="2"/>
      </tp>
      <tp t="s">
        <v>#N/A Requesting Data...</v>
        <stp/>
        <stp>##V3_BQLV12</stp>
        <stp>[MODL_NOW_US1.xlsx]Single Period!R231C38</stp>
        <stp>NOW US Equity</stp>
        <stp>CF_NET_CHNG_CASH/1M</stp>
        <stp>FPR=2021Y</stp>
        <stp>FPT=A</stp>
        <stp>FA_ACT_EST_DATA=E, EST_SOURCE=RWB</stp>
        <stp>ACT_EST_MAPPING=PRECISE</stp>
        <stp>FS=MRC</stp>
        <stp>CURRENCY=USD</stp>
        <stp>XLFILL=b</stp>
        <tr r="AL231" s="2"/>
      </tp>
      <tp t="s">
        <v>#N/A Requesting Data...</v>
        <stp/>
        <stp>##V3_BQLV12</stp>
        <stp>[MODL_NOW_US1.xlsx]Single Period!R88C31</stp>
        <stp>NOW US Equity</stp>
        <stp>IS_ADJ_SELLING_AND_MRKTG_EXPN_AR/1M</stp>
        <stp>FPR=2021Y</stp>
        <stp>FPT=A</stp>
        <stp>FA_ACT_EST_DATA=E, EST_SOURCE=GSR</stp>
        <stp>ACT_EST_MAPPING=PRECISE</stp>
        <stp>FS=MRC</stp>
        <stp>CURRENCY=USD</stp>
        <stp>XLFILL=b</stp>
        <tr r="AE88" s="2"/>
      </tp>
      <tp t="s">
        <v>#N/A Requesting Data...</v>
        <stp/>
        <stp>##V3_BQLV12</stp>
        <stp>[MODL_NOW_US1.xlsx]Single Period!R108C36</stp>
        <stp>NOW US Equity</stp>
        <stp>IS_COMP_EPS_EXCL_STOCK_COMP</stp>
        <stp>FPR=2021Y</stp>
        <stp>FPT=A</stp>
        <stp>FA_ACT_EST_DATA=E, EST_SOURCE=JEF</stp>
        <stp>ACT_EST_MAPPING=PRECISE</stp>
        <stp>FS=MRC</stp>
        <stp>CURRENCY=USD</stp>
        <stp>XLFILL=b</stp>
        <tr r="AJ108" s="2"/>
      </tp>
      <tp t="s">
        <v>#N/A Requesting Data...</v>
        <stp/>
        <stp>##V3_BQLV12</stp>
        <stp>[MODL_NOW_US1.xlsx]Single Period!R178C10</stp>
        <stp>NOW US Equity</stp>
        <stp>BS_ADJ_TOTAL_LT_LIABILITIES/1M</stp>
        <stp>FPR=2021Y</stp>
        <stp>FPT=A</stp>
        <stp>FA_ACT_EST_DATA=E, EST_SOURCE=CMPY</stp>
        <stp>ACT_EST_MAPPING=PRECISE</stp>
        <stp>FS=MRC</stp>
        <stp>CURRENCY=USD</stp>
        <stp>XLFILL=b</stp>
        <tr r="J178" s="2"/>
      </tp>
      <tp t="s">
        <v>#N/A Requesting Data...</v>
        <stp/>
        <stp>##V3_BQLV12</stp>
        <stp>[MODL_NOW_US1.xlsx]Single Period!R108C22</stp>
        <stp>NOW US Equity</stp>
        <stp>IS_COMP_EPS_EXCL_STOCK_COMP</stp>
        <stp>FPR=2021Y</stp>
        <stp>FPT=A</stp>
        <stp>FA_ACT_EST_DATA=E, EST_SOURCE=NDH</stp>
        <stp>ACT_EST_MAPPING=PRECISE</stp>
        <stp>FS=MRC</stp>
        <stp>CURRENCY=USD</stp>
        <stp>XLFILL=b</stp>
        <tr r="V108" s="2"/>
      </tp>
      <tp t="s">
        <v>#N/A Requesting Data...</v>
        <stp/>
        <stp>##V3_BQLV12</stp>
        <stp>[MODL_NOW_US1.xlsx]Single Period!R11C37</stp>
        <stp>NOW US Equity</stp>
        <stp>NUM_CSTMR_CNTRCT_OVER_1_MILLN</stp>
        <stp>FPR=2021Y</stp>
        <stp>FPT=A</stp>
        <stp>FA_ACT_EST_DATA=E, EST_SOURCE=TTC</stp>
        <stp>ACT_EST_MAPPING=PRECISE</stp>
        <stp>FS=MRC</stp>
        <stp>CURRENCY=USD</stp>
        <stp>XLFILL=b</stp>
        <tr r="AK11" s="2"/>
      </tp>
      <tp t="s">
        <v>#N/A Requesting Data...</v>
        <stp/>
        <stp>##V3_BQLV12</stp>
        <stp>[MODL_NOW_US1.xlsx]Single Period!R95C28</stp>
        <stp>NOW US Equity</stp>
        <stp>IS_COMPARABLE_EBIT/1M</stp>
        <stp>FPR=2021Y</stp>
        <stp>FPT=A</stp>
        <stp>FA_ACT_EST_DATA=E, EST_SOURCE=EVR</stp>
        <stp>ACT_EST_MAPPING=PRECISE</stp>
        <stp>FS=MRC</stp>
        <stp>CURRENCY=USD</stp>
        <stp>XLFILL=b</stp>
        <tr r="AB95" s="2"/>
      </tp>
      <tp t="s">
        <v>#N/A Requesting Data...</v>
        <stp/>
        <stp>##V3_BQLV12</stp>
        <stp>[MODL_NOW_US1.xlsx]Single Period!R11C42</stp>
        <stp>NOW US Equity</stp>
        <stp>NUM_CSTMR_CNTRCT_OVER_1_MILLN</stp>
        <stp>FPR=2021Y</stp>
        <stp>FPT=A</stp>
        <stp>FA_ACT_EST_DATA=E, EST_SOURCE=CTI</stp>
        <stp>ACT_EST_MAPPING=PRECISE</stp>
        <stp>FS=MRC</stp>
        <stp>CURRENCY=USD</stp>
        <stp>XLFILL=b</stp>
        <tr r="AP11" s="2"/>
      </tp>
      <tp t="s">
        <v>#N/A Requesting Data...</v>
        <stp/>
        <stp>##V3_BQLV12</stp>
        <stp>[MODL_NOW_US1.xlsx]Single Period!R217C32</stp>
        <stp>NOW US Equity</stp>
        <stp>CAP_EXPEND_TO_SALES</stp>
        <stp>FPR=2021Y</stp>
        <stp>FPT=A</stp>
        <stp>FA_ACT_EST_DATA=E, EST_SOURCE=FBC</stp>
        <stp>ACT_EST_MAPPING=PRECISE</stp>
        <stp>FS=MRC</stp>
        <stp>CURRENCY=USD</stp>
        <stp>XLFILL=b</stp>
        <tr r="AF217" s="2"/>
      </tp>
      <tp t="s">
        <v>#N/A Requesting Data...</v>
        <stp/>
        <stp>##V3_BQLV12</stp>
        <stp>[MODL_NOW_US1.xlsx]Single Period!R50C47</stp>
        <stp>NOW US Equity</stp>
        <stp>NUM_CSTMR_CNTRCT_OVER_1_MILLN</stp>
        <stp>FPR=2021Y</stp>
        <stp>FPT=A</stp>
        <stp>FA_ACT_EST_DATA=E, EST_SOURCE=SUM</stp>
        <stp>ACT_EST_MAPPING=PRECISE</stp>
        <stp>FS=MRC</stp>
        <stp>CURRENCY=USD</stp>
        <stp>XLFILL=b</stp>
        <tr r="AU50" s="2"/>
      </tp>
      <tp t="s">
        <v>#N/A Requesting Data...</v>
        <stp/>
        <stp>##V3_BQLV12</stp>
        <stp>[MODL_NOW_US1.xlsx]Single Period!R22C5</stp>
        <stp>SEG0000230986 Segment</stp>
        <stp>IS_ADJ_GROSS_MARGIN_PCT_AR</stp>
        <stp>FPR=2021Y</stp>
        <stp>FPT=A</stp>
        <stp>FA_ACT_EST_DATA=E</stp>
        <stp>ACT_EST_MAPPING=PRECISE</stp>
        <stp>FS=MRC</stp>
        <stp>CURRENCY=USD</stp>
        <stp>XLFILL=b</stp>
        <tr r="E22" s="2"/>
      </tp>
      <tp t="s">
        <v>#N/A Requesting Data...</v>
        <stp/>
        <stp>##V3_BQLV12</stp>
        <stp>[MODL_NOW_US1.xlsx]Single Period!R113C41</stp>
        <stp>SEG0000230986 Segment</stp>
        <stp>IS_COGS_TO_FE_AND_PP_AND_G/1M</stp>
        <stp>FPR=2021Y</stp>
        <stp>FPT=A</stp>
        <stp>FA_ACT_EST_DATA=E, EST_SOURCE=ARG</stp>
        <stp>ACT_EST_MAPPING=PRECISE</stp>
        <stp>FS=MRC</stp>
        <stp>CURRENCY=USD</stp>
        <stp>XLFILL=b</stp>
        <tr r="AO113" s="2"/>
      </tp>
      <tp t="s">
        <v>#N/A Requesting Data...</v>
        <stp/>
        <stp>##V3_BQLV12</stp>
        <stp>[MODL_NOW_US1.xlsx]Single Period!R59C34</stp>
        <stp>SEG0000230975 Segment</stp>
        <stp>IS_PERCENTAGE_OF_REVENUE</stp>
        <stp>FPR=2021Y</stp>
        <stp>FPT=A</stp>
        <stp>FA_ACT_EST_DATA=E, EST_SOURCE=PSG</stp>
        <stp>ACT_EST_MAPPING=PRECISE</stp>
        <stp>FS=MRC</stp>
        <stp>CURRENCY=USD</stp>
        <stp>XLFILL=b</stp>
        <tr r="AH59" s="2"/>
      </tp>
      <tp t="s">
        <v>#N/A Requesting Data...</v>
        <stp/>
        <stp>##V3_BQLV12</stp>
        <stp>[MODL_NOW_US1.xlsx]Single Period!R113C44</stp>
        <stp>SEG0000230986 Segment</stp>
        <stp>IS_COGS_TO_FE_AND_PP_AND_G/1M</stp>
        <stp>FPR=2021Y</stp>
        <stp>FPT=A</stp>
        <stp>FA_ACT_EST_DATA=E, EST_SOURCE=ARE</stp>
        <stp>ACT_EST_MAPPING=PRECISE</stp>
        <stp>FS=MRC</stp>
        <stp>CURRENCY=USD</stp>
        <stp>XLFILL=b</stp>
        <tr r="AR113" s="2"/>
      </tp>
      <tp t="s">
        <v>#N/A Requesting Data...</v>
        <stp/>
        <stp>##V3_BQLV12</stp>
        <stp>[MODL_NOW_US1.xlsx]Single Period!R178C9</stp>
        <stp>NOW US Equity</stp>
        <stp>CONTRIBUTOR_STATS(BS_ADJ_TOTAL_LT_LIABILITIES, MEDIAN)/1M</stp>
        <stp>FPR=2021Y</stp>
        <stp>FPT=A</stp>
        <stp>FA_ACT_EST_DATA=E</stp>
        <stp>ACT_EST_MAPPING=PRECISE</stp>
        <stp>FS=MRC</stp>
        <stp>CURRENCY=USD</stp>
        <stp>XLFILL=b</stp>
        <tr r="I178" s="2"/>
      </tp>
      <tp t="s">
        <v>#N/A Requesting Data...</v>
        <stp/>
        <stp>##V3_BQLV12</stp>
        <stp>[MODL_NOW_US1.xlsx]Single Period!R68C38</stp>
        <stp>SEG0000230986 Segment</stp>
        <stp>IS_ADJUSTED_COGS_AS_REPORTED/1M</stp>
        <stp>FPR=2021Y</stp>
        <stp>FPT=A</stp>
        <stp>FA_ACT_EST_DATA=E, EST_SOURCE=RWB</stp>
        <stp>ACT_EST_MAPPING=PRECISE</stp>
        <stp>FS=MRC</stp>
        <stp>CURRENCY=USD</stp>
        <stp>XLFILL=b</stp>
        <tr r="AL68" s="2"/>
      </tp>
      <tp t="s">
        <v>#N/A Requesting Data...</v>
        <stp/>
        <stp>##V3_BQLV12</stp>
        <stp>[MODL_NOW_US1.xlsx]Single Period!R60C38</stp>
        <stp>SEG0000230975 Segment</stp>
        <stp>IS_ADJUSTED_COGS_AS_REPORTED/1M</stp>
        <stp>FPR=2021Y</stp>
        <stp>FPT=A</stp>
        <stp>FA_ACT_EST_DATA=E, EST_SOURCE=RWB</stp>
        <stp>ACT_EST_MAPPING=PRECISE</stp>
        <stp>FS=MRC</stp>
        <stp>CURRENCY=USD</stp>
        <stp>XLFILL=b</stp>
        <tr r="AL60" s="2"/>
      </tp>
      <tp t="s">
        <v>#N/A Requesting Data...</v>
        <stp/>
        <stp>##V3_BQLV12</stp>
        <stp>[MODL_NOW_US1.xlsx]Single Period!R113C48</stp>
        <stp>SEG0000230986 Segment</stp>
        <stp>IS_COGS_TO_FE_AND_PP_AND_G/1M</stp>
        <stp>FPR=2021Y</stp>
        <stp>FPT=A</stp>
        <stp>FA_ACT_EST_DATA=E, EST_SOURCE=CRC</stp>
        <stp>ACT_EST_MAPPING=PRECISE</stp>
        <stp>FS=MRC</stp>
        <stp>CURRENCY=USD</stp>
        <stp>XLFILL=b</stp>
        <tr r="AV113" s="2"/>
      </tp>
      <tp t="s">
        <v>#N/A Requesting Data...</v>
        <stp/>
        <stp>##V3_BQLV12</stp>
        <stp>[MODL_NOW_US1.xlsx]Single Period!R44C38</stp>
        <stp>SEG0000230986 Segment</stp>
        <stp>IS_FOREIGN_CURRENCY_TURNOVER/1M</stp>
        <stp>FPR=2021Y</stp>
        <stp>FPT=A</stp>
        <stp>FA_ACT_EST_DATA=E, EST_SOURCE=RWB</stp>
        <stp>ACT_EST_MAPPING=PRECISE</stp>
        <stp>FS=MRC</stp>
        <stp>CURRENCY=USD</stp>
        <stp>XLFILL=b</stp>
        <tr r="AL44" s="2"/>
      </tp>
      <tp t="s">
        <v>#N/A Requesting Data...</v>
        <stp/>
        <stp>##V3_BQLV12</stp>
        <stp>[MODL_NOW_US1.xlsx]Single Period!R59C40</stp>
        <stp>SEG0000230975 Segment</stp>
        <stp>IS_PERCENTAGE_OF_REVENUE</stp>
        <stp>FPR=2021Y</stp>
        <stp>FPT=A</stp>
        <stp>FA_ACT_EST_DATA=E, EST_SOURCE=DWI</stp>
        <stp>ACT_EST_MAPPING=PRECISE</stp>
        <stp>FS=MRC</stp>
        <stp>CURRENCY=USD</stp>
        <stp>XLFILL=b</stp>
        <tr r="AN59" s="2"/>
      </tp>
      <tp t="s">
        <v>#N/A Requesting Data...</v>
        <stp/>
        <stp>##V3_BQLV12</stp>
        <stp>[MODL_NOW_US1.xlsx]Single Period!R68C28</stp>
        <stp>SEG0000230986 Segment</stp>
        <stp>IS_ADJUSTED_COGS_AS_REPORTED/1M</stp>
        <stp>FPR=2021Y</stp>
        <stp>FPT=A</stp>
        <stp>FA_ACT_EST_DATA=E, EST_SOURCE=EVR</stp>
        <stp>ACT_EST_MAPPING=PRECISE</stp>
        <stp>FS=MRC</stp>
        <stp>CURRENCY=USD</stp>
        <stp>XLFILL=b</stp>
        <tr r="AB68" s="2"/>
      </tp>
      <tp t="s">
        <v>#N/A Requesting Data...</v>
        <stp/>
        <stp>##V3_BQLV12</stp>
        <stp>[MODL_NOW_US1.xlsx]Single Period!R60C28</stp>
        <stp>SEG0000230975 Segment</stp>
        <stp>IS_ADJUSTED_COGS_AS_REPORTED/1M</stp>
        <stp>FPR=2021Y</stp>
        <stp>FPT=A</stp>
        <stp>FA_ACT_EST_DATA=E, EST_SOURCE=EVR</stp>
        <stp>ACT_EST_MAPPING=PRECISE</stp>
        <stp>FS=MRC</stp>
        <stp>CURRENCY=USD</stp>
        <stp>XLFILL=b</stp>
        <tr r="AB60" s="2"/>
      </tp>
      <tp t="s">
        <v>#N/A Requesting Data...</v>
        <stp/>
        <stp>##V3_BQLV12</stp>
        <stp>[MODL_NOW_US1.xlsx]Single Period!R44C28</stp>
        <stp>SEG0000230986 Segment</stp>
        <stp>IS_FOREIGN_CURRENCY_TURNOVER/1M</stp>
        <stp>FPR=2021Y</stp>
        <stp>FPT=A</stp>
        <stp>FA_ACT_EST_DATA=E, EST_SOURCE=EVR</stp>
        <stp>ACT_EST_MAPPING=PRECISE</stp>
        <stp>FS=MRC</stp>
        <stp>CURRENCY=USD</stp>
        <stp>XLFILL=b</stp>
        <tr r="AB44" s="2"/>
      </tp>
      <tp t="s">
        <v>#N/A Requesting Data...</v>
        <stp/>
        <stp>##V3_BQLV12</stp>
        <stp>[MODL_NOW_US1.xlsx]Single Period!R162C19</stp>
        <stp>NOW US Equity</stp>
        <stp>BS_LONG_TERM_INVESTMENTS/1M</stp>
        <stp>FPR=2021Y</stp>
        <stp>FPT=A</stp>
        <stp>FA_ACT_EST_DATA=E, EST_SOURCE=MSV</stp>
        <stp>ACT_EST_MAPPING=PRECISE</stp>
        <stp>FS=MRC</stp>
        <stp>CURRENCY=USD</stp>
        <stp>XLFILL=b</stp>
        <tr r="S162" s="2"/>
      </tp>
      <tp t="s">
        <v>#N/A Requesting Data...</v>
        <stp/>
        <stp>##V3_BQLV12</stp>
        <stp>[MODL_NOW_US1.xlsx]Single Period!R88C11</stp>
        <stp>NOW US Equity</stp>
        <stp>IS_ADJ_SELLING_AND_MRKTG_EXPN_AR/1M</stp>
        <stp>FPR=2021Y</stp>
        <stp>FPT=A</stp>
        <stp>FA_ACT_EST_DATA=E, EST_SOURCE=JPM</stp>
        <stp>ACT_EST_MAPPING=PRECISE</stp>
        <stp>FS=MRC</stp>
        <stp>CURRENCY=USD</stp>
        <stp>XLFILL=b</stp>
        <tr r="K88" s="2"/>
      </tp>
      <tp t="s">
        <v>#N/A Requesting Data...</v>
        <stp/>
        <stp>##V3_BQLV12</stp>
        <stp>[MODL_NOW_US1.xlsx]Single Period!R220C21</stp>
        <stp>NOW US Equity</stp>
        <stp>CF_PROCDS_FROM_INVSTMNTS/1M</stp>
        <stp>FPR=2021Y</stp>
        <stp>FPT=A</stp>
        <stp>FA_ACT_EST_DATA=E, EST_SOURCE=JMP</stp>
        <stp>ACT_EST_MAPPING=PRECISE</stp>
        <stp>FS=MRC</stp>
        <stp>CURRENCY=USD</stp>
        <stp>XLFILL=b</stp>
        <tr r="U220" s="2"/>
      </tp>
      <tp t="s">
        <v>#N/A Requesting Data...</v>
        <stp/>
        <stp>##V3_BQLV12</stp>
        <stp>[MODL_NOW_US1.xlsx]Single Period!R88C47</stp>
        <stp>NOW US Equity</stp>
        <stp>IS_ADJ_SELLING_AND_MRKTG_EXPN_AR/1M</stp>
        <stp>FPR=2021Y</stp>
        <stp>FPT=A</stp>
        <stp>FA_ACT_EST_DATA=E, EST_SOURCE=SUM</stp>
        <stp>ACT_EST_MAPPING=PRECISE</stp>
        <stp>FS=MRC</stp>
        <stp>CURRENCY=USD</stp>
        <stp>XLFILL=b</stp>
        <tr r="AU88" s="2"/>
      </tp>
      <tp t="s">
        <v>#N/A Requesting Data...</v>
        <stp/>
        <stp>##V3_BQLV12</stp>
        <stp>[MODL_NOW_US1.xlsx]Single Period!R26C11</stp>
        <stp>NOW US Equity</stp>
        <stp>IS_ADJ_SELLING_AND_MRKTG_EXPN_AR/1M</stp>
        <stp>FPR=2021Y</stp>
        <stp>FPT=A</stp>
        <stp>FA_ACT_EST_DATA=E, EST_SOURCE=JPM</stp>
        <stp>ACT_EST_MAPPING=PRECISE</stp>
        <stp>FS=MRC</stp>
        <stp>CURRENCY=USD</stp>
        <stp>XLFILL=b</stp>
        <tr r="K26" s="2"/>
      </tp>
      <tp t="s">
        <v>#N/A Requesting Data...</v>
        <stp/>
        <stp>##V3_BQLV12</stp>
        <stp>[MODL_NOW_US1.xlsx]Single Period!R220C18</stp>
        <stp>NOW US Equity</stp>
        <stp>CF_PROCDS_FROM_INVSTMNTS/1M</stp>
        <stp>FPR=2021Y</stp>
        <stp>FPT=A</stp>
        <stp>FA_ACT_EST_DATA=E, EST_SOURCE=SNR</stp>
        <stp>ACT_EST_MAPPING=PRECISE</stp>
        <stp>FS=MRC</stp>
        <stp>CURRENCY=USD</stp>
        <stp>XLFILL=b</stp>
        <tr r="R220" s="2"/>
      </tp>
      <tp t="s">
        <v>#N/A Requesting Data...</v>
        <stp/>
        <stp>##V3_BQLV12</stp>
        <stp>[MODL_NOW_US1.xlsx]Single Period!R140C14</stp>
        <stp>SEG0000230975 Segment</stp>
        <stp>IS_SBC_ATTRIB_TO_COGS_PRETX/1M</stp>
        <stp>FPR=2021Y</stp>
        <stp>FPT=A</stp>
        <stp>FA_ACT_EST_DATA=E, EST_SOURCE=BMO</stp>
        <stp>ACT_EST_MAPPING=PRECISE</stp>
        <stp>FS=MRC</stp>
        <stp>CURRENCY=USD</stp>
        <stp>XLFILL=b</stp>
        <tr r="N140" s="2"/>
      </tp>
      <tp t="s">
        <v>#N/A Requesting Data...</v>
        <stp/>
        <stp>##V3_BQLV12</stp>
        <stp>[MODL_NOW_US1.xlsx]Single Period!R26C47</stp>
        <stp>NOW US Equity</stp>
        <stp>IS_ADJ_SELLING_AND_MRKTG_EXPN_AR/1M</stp>
        <stp>FPR=2021Y</stp>
        <stp>FPT=A</stp>
        <stp>FA_ACT_EST_DATA=E, EST_SOURCE=SUM</stp>
        <stp>ACT_EST_MAPPING=PRECISE</stp>
        <stp>FS=MRC</stp>
        <stp>CURRENCY=USD</stp>
        <stp>XLFILL=b</stp>
        <tr r="AU26" s="2"/>
      </tp>
      <tp t="s">
        <v>#N/A Requesting Data...</v>
        <stp/>
        <stp>##V3_BQLV12</stp>
        <stp>[MODL_NOW_US1.xlsx]Single Period!R53C24</stp>
        <stp>NOW US Equity</stp>
        <stp>ANNUALIZED_DAYS_SALES_OUTSTDG</stp>
        <stp>FPR=2021Y</stp>
        <stp>FPT=A</stp>
        <stp>FA_ACT_EST_DATA=E, EST_SOURCE=CWN</stp>
        <stp>ACT_EST_MAPPING=PRECISE</stp>
        <stp>FS=MRC</stp>
        <stp>CURRENCY=USD</stp>
        <stp>XLFILL=b</stp>
        <tr r="X53" s="2"/>
      </tp>
      <tp t="s">
        <v>#N/A Requesting Data...</v>
        <stp/>
        <stp>##V3_BQLV12</stp>
        <stp>[MODL_NOW_US1.xlsx]Single Period!R88C15</stp>
        <stp>NOW US Equity</stp>
        <stp>IS_ADJ_SELLING_AND_MRKTG_EXPN_AR/1M</stp>
        <stp>FPR=2021Y</stp>
        <stp>FPT=A</stp>
        <stp>FA_ACT_EST_DATA=E, EST_SOURCE=OPY</stp>
        <stp>ACT_EST_MAPPING=PRECISE</stp>
        <stp>FS=MRC</stp>
        <stp>CURRENCY=USD</stp>
        <stp>XLFILL=b</stp>
        <tr r="O88" s="2"/>
      </tp>
      <tp t="s">
        <v>#N/A Requesting Data...</v>
        <stp/>
        <stp>##V3_BQLV12</stp>
        <stp>[MODL_NOW_US1.xlsx]Single Period!R141C29</stp>
        <stp>SEG0000230986 Segment</stp>
        <stp>IS_SBC_ATTRIB_TO_COGS_PRETX/1M</stp>
        <stp>FPR=2021Y</stp>
        <stp>FPT=A</stp>
        <stp>FA_ACT_EST_DATA=E, EST_SOURCE=BNS</stp>
        <stp>ACT_EST_MAPPING=PRECISE</stp>
        <stp>FS=MRC</stp>
        <stp>CURRENCY=USD</stp>
        <stp>XLFILL=b</stp>
        <tr r="AC141" s="2"/>
      </tp>
      <tp t="s">
        <v>#N/A Requesting Data...</v>
        <stp/>
        <stp>##V3_BQLV12</stp>
        <stp>[MODL_NOW_US1.xlsx]Single Period!R53C40</stp>
        <stp>NOW US Equity</stp>
        <stp>ANNUALIZED_DAYS_SALES_OUTSTDG</stp>
        <stp>FPR=2021Y</stp>
        <stp>FPT=A</stp>
        <stp>FA_ACT_EST_DATA=E, EST_SOURCE=DWI</stp>
        <stp>ACT_EST_MAPPING=PRECISE</stp>
        <stp>FS=MRC</stp>
        <stp>CURRENCY=USD</stp>
        <stp>XLFILL=b</stp>
        <tr r="AN53" s="2"/>
      </tp>
      <tp t="s">
        <v>#N/A Requesting Data...</v>
        <stp/>
        <stp>##V3_BQLV12</stp>
        <stp>[MODL_NOW_US1.xlsx]Single Period!R141C18</stp>
        <stp>SEG0000230986 Segment</stp>
        <stp>IS_SBC_ATTRIB_TO_COGS_PRETX/1M</stp>
        <stp>FPR=2021Y</stp>
        <stp>FPT=A</stp>
        <stp>FA_ACT_EST_DATA=E, EST_SOURCE=SNR</stp>
        <stp>ACT_EST_MAPPING=PRECISE</stp>
        <stp>FS=MRC</stp>
        <stp>CURRENCY=USD</stp>
        <stp>XLFILL=b</stp>
        <tr r="R141" s="2"/>
      </tp>
      <tp t="s">
        <v>#N/A Requesting Data...</v>
        <stp/>
        <stp>##V3_BQLV12</stp>
        <stp>[MODL_NOW_US1.xlsx]Single Period!R140C21</stp>
        <stp>SEG0000230975 Segment</stp>
        <stp>IS_SBC_ATTRIB_TO_COGS_PRETX/1M</stp>
        <stp>FPR=2021Y</stp>
        <stp>FPT=A</stp>
        <stp>FA_ACT_EST_DATA=E, EST_SOURCE=JMP</stp>
        <stp>ACT_EST_MAPPING=PRECISE</stp>
        <stp>FS=MRC</stp>
        <stp>CURRENCY=USD</stp>
        <stp>XLFILL=b</stp>
        <tr r="U140" s="2"/>
      </tp>
      <tp t="s">
        <v>#N/A Requesting Data...</v>
        <stp/>
        <stp>##V3_BQLV12</stp>
        <stp>[MODL_NOW_US1.xlsx]Single Period!R26C15</stp>
        <stp>NOW US Equity</stp>
        <stp>IS_ADJ_SELLING_AND_MRKTG_EXPN_AR/1M</stp>
        <stp>FPR=2021Y</stp>
        <stp>FPT=A</stp>
        <stp>FA_ACT_EST_DATA=E, EST_SOURCE=OPY</stp>
        <stp>ACT_EST_MAPPING=PRECISE</stp>
        <stp>FS=MRC</stp>
        <stp>CURRENCY=USD</stp>
        <stp>XLFILL=b</stp>
        <tr r="O26" s="2"/>
      </tp>
      <tp t="s">
        <v>#N/A Requesting Data...</v>
        <stp/>
        <stp>##V3_BQLV12</stp>
        <stp>[MODL_NOW_US1.xlsx]Single Period!R231C24</stp>
        <stp>NOW US Equity</stp>
        <stp>CF_NET_CHNG_CASH/1M</stp>
        <stp>FPR=2021Y</stp>
        <stp>FPT=A</stp>
        <stp>FA_ACT_EST_DATA=E, EST_SOURCE=CWN</stp>
        <stp>ACT_EST_MAPPING=PRECISE</stp>
        <stp>FS=MRC</stp>
        <stp>CURRENCY=USD</stp>
        <stp>XLFILL=b</stp>
        <tr r="X231" s="2"/>
      </tp>
      <tp t="s">
        <v>#N/A Requesting Data...</v>
        <stp/>
        <stp>##V3_BQLV12</stp>
        <stp>[MODL_NOW_US1.xlsx]Single Period!R53C38</stp>
        <stp>NOW US Equity</stp>
        <stp>ANNUALIZED_DAYS_SALES_OUTSTDG</stp>
        <stp>FPR=2021Y</stp>
        <stp>FPT=A</stp>
        <stp>FA_ACT_EST_DATA=E, EST_SOURCE=RWB</stp>
        <stp>ACT_EST_MAPPING=PRECISE</stp>
        <stp>FS=MRC</stp>
        <stp>CURRENCY=USD</stp>
        <stp>XLFILL=b</stp>
        <tr r="AL53" s="2"/>
      </tp>
      <tp t="s">
        <v>#N/A Requesting Data...</v>
        <stp/>
        <stp>##V3_BQLV12</stp>
        <stp>[MODL_NOW_US1.xlsx]Single Period!R95C38</stp>
        <stp>NOW US Equity</stp>
        <stp>IS_COMPARABLE_EBIT/1M</stp>
        <stp>FPR=2021Y</stp>
        <stp>FPT=A</stp>
        <stp>FA_ACT_EST_DATA=E, EST_SOURCE=RWB</stp>
        <stp>ACT_EST_MAPPING=PRECISE</stp>
        <stp>FS=MRC</stp>
        <stp>CURRENCY=USD</stp>
        <stp>XLFILL=b</stp>
        <tr r="AL95" s="2"/>
      </tp>
      <tp t="s">
        <v>#N/A Requesting Data...</v>
        <stp/>
        <stp>##V3_BQLV12</stp>
        <stp>[MODL_NOW_US1.xlsx]Single Period!R95C24</stp>
        <stp>NOW US Equity</stp>
        <stp>IS_COMPARABLE_EBIT/1M</stp>
        <stp>FPR=2021Y</stp>
        <stp>FPT=A</stp>
        <stp>FA_ACT_EST_DATA=E, EST_SOURCE=CWN</stp>
        <stp>ACT_EST_MAPPING=PRECISE</stp>
        <stp>FS=MRC</stp>
        <stp>CURRENCY=USD</stp>
        <stp>XLFILL=b</stp>
        <tr r="X95" s="2"/>
      </tp>
      <tp t="s">
        <v>#N/A Requesting Data...</v>
        <stp/>
        <stp>##V3_BQLV12</stp>
        <stp>[MODL_NOW_US1.xlsx]Single Period!R95C40</stp>
        <stp>NOW US Equity</stp>
        <stp>IS_COMPARABLE_EBIT/1M</stp>
        <stp>FPR=2021Y</stp>
        <stp>FPT=A</stp>
        <stp>FA_ACT_EST_DATA=E, EST_SOURCE=DWI</stp>
        <stp>ACT_EST_MAPPING=PRECISE</stp>
        <stp>FS=MRC</stp>
        <stp>CURRENCY=USD</stp>
        <stp>XLFILL=b</stp>
        <tr r="AN95" s="2"/>
      </tp>
      <tp t="s">
        <v>#N/A Requesting Data...</v>
        <stp/>
        <stp>##V3_BQLV12</stp>
        <stp>[MODL_NOW_US1.xlsx]Single Period!R108C49</stp>
        <stp>NOW US Equity</stp>
        <stp>IS_COMP_EPS_EXCL_STOCK_COMP</stp>
        <stp>FPR=2021Y</stp>
        <stp>FPT=A</stp>
        <stp>FA_ACT_EST_DATA=E, EST_SOURCE=SCB</stp>
        <stp>ACT_EST_MAPPING=PRECISE</stp>
        <stp>FS=MRC</stp>
        <stp>CURRENCY=USD</stp>
        <stp>XLFILL=b</stp>
        <tr r="AW108" s="2"/>
      </tp>
      <tp t="s">
        <v>#N/A Requesting Data...</v>
        <stp/>
        <stp>##V3_BQLV12</stp>
        <stp>[MODL_NOW_US1.xlsx]Single Period!R90C29</stp>
        <stp>NOW US Equity</stp>
        <stp>IS_ADJ_R_AND_D_AS_REPORTED/1M</stp>
        <stp>FPR=2021Y</stp>
        <stp>FPT=A</stp>
        <stp>FA_ACT_EST_DATA=E, EST_SOURCE=BNS</stp>
        <stp>ACT_EST_MAPPING=PRECISE</stp>
        <stp>FS=MRC</stp>
        <stp>CURRENCY=USD</stp>
        <stp>XLFILL=b</stp>
        <tr r="AC90" s="2"/>
      </tp>
      <tp t="s">
        <v>#N/A Requesting Data...</v>
        <stp/>
        <stp>##V3_BQLV12</stp>
        <stp>[MODL_NOW_US1.xlsx]Single Period!R217C26</stp>
        <stp>NOW US Equity</stp>
        <stp>CAP_EXPEND_TO_SALES</stp>
        <stp>FPR=2021Y</stp>
        <stp>FPT=A</stp>
        <stp>FA_ACT_EST_DATA=E, EST_SOURCE=UBS</stp>
        <stp>ACT_EST_MAPPING=PRECISE</stp>
        <stp>FS=MRC</stp>
        <stp>CURRENCY=USD</stp>
        <stp>XLFILL=b</stp>
        <tr r="Z217" s="2"/>
      </tp>
      <tp t="s">
        <v>#N/A Requesting Data...</v>
        <stp/>
        <stp>##V3_BQLV12</stp>
        <stp>[MODL_NOW_US1.xlsx]Single Period!R90C18</stp>
        <stp>NOW US Equity</stp>
        <stp>IS_ADJ_R_AND_D_AS_REPORTED/1M</stp>
        <stp>FPR=2021Y</stp>
        <stp>FPT=A</stp>
        <stp>FA_ACT_EST_DATA=E, EST_SOURCE=SNR</stp>
        <stp>ACT_EST_MAPPING=PRECISE</stp>
        <stp>FS=MRC</stp>
        <stp>CURRENCY=USD</stp>
        <stp>XLFILL=b</stp>
        <tr r="R90" s="2"/>
      </tp>
      <tp t="s">
        <v>#N/A Requesting Data...</v>
        <stp/>
        <stp>##V3_BQLV12</stp>
        <stp>[MODL_NOW_US1.xlsx]Single Period!R50C37</stp>
        <stp>NOW US Equity</stp>
        <stp>NUM_CSTMR_CNTRCT_OVER_1_MILLN</stp>
        <stp>FPR=2021Y</stp>
        <stp>FPT=A</stp>
        <stp>FA_ACT_EST_DATA=E, EST_SOURCE=TTC</stp>
        <stp>ACT_EST_MAPPING=PRECISE</stp>
        <stp>FS=MRC</stp>
        <stp>CURRENCY=USD</stp>
        <stp>XLFILL=b</stp>
        <tr r="AK50" s="2"/>
      </tp>
      <tp t="s">
        <v>#N/A Requesting Data...</v>
        <stp/>
        <stp>##V3_BQLV12</stp>
        <stp>[MODL_NOW_US1.xlsx]Single Period!R50C42</stp>
        <stp>NOW US Equity</stp>
        <stp>NUM_CSTMR_CNTRCT_OVER_1_MILLN</stp>
        <stp>FPR=2021Y</stp>
        <stp>FPT=A</stp>
        <stp>FA_ACT_EST_DATA=E, EST_SOURCE=CTI</stp>
        <stp>ACT_EST_MAPPING=PRECISE</stp>
        <stp>FS=MRC</stp>
        <stp>CURRENCY=USD</stp>
        <stp>XLFILL=b</stp>
        <tr r="AP50" s="2"/>
      </tp>
      <tp t="s">
        <v>#N/A Requesting Data...</v>
        <stp/>
        <stp>##V3_BQLV12</stp>
        <stp>[MODL_NOW_US1.xlsx]Single Period!R217C25</stp>
        <stp>NOW US Equity</stp>
        <stp>CAP_EXPEND_TO_SALES</stp>
        <stp>FPR=2021Y</stp>
        <stp>FPT=A</stp>
        <stp>FA_ACT_EST_DATA=E, EST_SOURCE=DBG</stp>
        <stp>ACT_EST_MAPPING=PRECISE</stp>
        <stp>FS=MRC</stp>
        <stp>CURRENCY=USD</stp>
        <stp>XLFILL=b</stp>
        <tr r="Y217" s="2"/>
      </tp>
      <tp t="s">
        <v>#N/A Requesting Data...</v>
        <stp/>
        <stp>##V3_BQLV12</stp>
        <stp>[MODL_NOW_US1.xlsx]Single Period!R11C47</stp>
        <stp>NOW US Equity</stp>
        <stp>NUM_CSTMR_CNTRCT_OVER_1_MILLN</stp>
        <stp>FPR=2021Y</stp>
        <stp>FPT=A</stp>
        <stp>FA_ACT_EST_DATA=E, EST_SOURCE=SUM</stp>
        <stp>ACT_EST_MAPPING=PRECISE</stp>
        <stp>FS=MRC</stp>
        <stp>CURRENCY=USD</stp>
        <stp>XLFILL=b</stp>
        <tr r="AU11" s="2"/>
      </tp>
      <tp t="s">
        <v>#N/A Requesting Data...</v>
        <stp/>
        <stp>##V3_BQLV12</stp>
        <stp>[MODL_NOW_US1.xlsx]Single Period!R217C27</stp>
        <stp>NOW US Equity</stp>
        <stp>CAP_EXPEND_TO_SALES</stp>
        <stp>FPR=2021Y</stp>
        <stp>FPT=A</stp>
        <stp>FA_ACT_EST_DATA=E, EST_SOURCE=RBC</stp>
        <stp>ACT_EST_MAPPING=PRECISE</stp>
        <stp>FS=MRC</stp>
        <stp>CURRENCY=USD</stp>
        <stp>XLFILL=b</stp>
        <tr r="AA217" s="2"/>
      </tp>
      <tp t="s">
        <v>#N/A Requesting Data...</v>
        <stp/>
        <stp>##V3_BQLV12</stp>
        <stp>[MODL_NOW_US1.xlsx]Single Period!R6C39</stp>
        <stp>NOW US Equity</stp>
        <stp>IS_COMP_EPS_EXCL_STOCK_COMP</stp>
        <stp>FPR=2021Y</stp>
        <stp>FPT=A</stp>
        <stp>FA_ACT_EST_DATA=E, EST_SOURCE=DZB</stp>
        <stp>ACT_EST_MAPPING=PRECISE</stp>
        <stp>FS=MRC</stp>
        <stp>CURRENCY=USD</stp>
        <stp>XLFILL=b</stp>
        <tr r="AM6" s="2"/>
      </tp>
      <tp t="s">
        <v>#N/A Requesting Data...</v>
        <stp/>
        <stp>##V3_BQLV12</stp>
        <stp>[MODL_NOW_US1.xlsx]Single Period!R165C6</stp>
        <stp>NOW US Equity</stp>
        <stp>CONTRIBUTOR_STATS(BS_OPER_LEA_RT_OF_USE_ASSETS, MIN)/1M</stp>
        <stp>FPR=2021Y</stp>
        <stp>FPT=A</stp>
        <stp>FA_ACT_EST_DATA=E</stp>
        <stp>ACT_EST_MAPPING=PRECISE</stp>
        <stp>FS=MRC</stp>
        <stp>CURRENCY=USD</stp>
        <stp>XLFILL=b</stp>
        <tr r="F165" s="2"/>
      </tp>
      <tp t="s">
        <v>#N/A Requesting Data...</v>
        <stp/>
        <stp>##V3_BQLV12</stp>
        <stp>[MODL_NOW_US1.xlsx]Single Period!R165C7</stp>
        <stp>NOW US Equity</stp>
        <stp>CONTRIBUTOR_STATS(BS_OPER_LEA_RT_OF_USE_ASSETS, MAX)/1M</stp>
        <stp>FPR=2021Y</stp>
        <stp>FPT=A</stp>
        <stp>FA_ACT_EST_DATA=E</stp>
        <stp>ACT_EST_MAPPING=PRECISE</stp>
        <stp>FS=MRC</stp>
        <stp>CURRENCY=USD</stp>
        <stp>XLFILL=b</stp>
        <tr r="G165" s="2"/>
      </tp>
      <tp t="s">
        <v>#N/A Requesting Data...</v>
        <stp/>
        <stp>##V3_BQLV12</stp>
        <stp>[MODL_NOW_US1.xlsx]Single Period!R121C8</stp>
        <stp>NOW US Equity</stp>
        <stp>CONTRIBUTOR_STATS(CB_IS_GENL_AND_ADMIN_EXPN, STD)/1M</stp>
        <stp>FPR=2021Y</stp>
        <stp>FPT=A</stp>
        <stp>FA_ACT_EST_DATA=E</stp>
        <stp>ACT_EST_MAPPING=PRECISE</stp>
        <stp>FS=MRC</stp>
        <stp>CURRENCY=USD</stp>
        <stp>XLFILL=b</stp>
        <tr r="H121" s="2"/>
      </tp>
      <tp t="s">
        <v>#N/A Requesting Data...</v>
        <stp/>
        <stp>##V3_BQLV12</stp>
        <stp>[MODL_NOW_US1.xlsx]Single Period!R165C8</stp>
        <stp>NOW US Equity</stp>
        <stp>CONTRIBUTOR_STATS(BS_OPER_LEA_RT_OF_USE_ASSETS, STD)/1M</stp>
        <stp>FPR=2021Y</stp>
        <stp>FPT=A</stp>
        <stp>FA_ACT_EST_DATA=E</stp>
        <stp>ACT_EST_MAPPING=PRECISE</stp>
        <stp>FS=MRC</stp>
        <stp>CURRENCY=USD</stp>
        <stp>XLFILL=b</stp>
        <tr r="H165" s="2"/>
      </tp>
      <tp t="s">
        <v>#N/A Requesting Data...</v>
        <stp/>
        <stp>##V3_BQLV12</stp>
        <stp>[MODL_NOW_US1.xlsx]Single Period!R68C40</stp>
        <stp>SEG0000230986 Segment</stp>
        <stp>IS_ADJUSTED_COGS_AS_REPORTED/1M</stp>
        <stp>FPR=2021Y</stp>
        <stp>FPT=A</stp>
        <stp>FA_ACT_EST_DATA=E, EST_SOURCE=DWI</stp>
        <stp>ACT_EST_MAPPING=PRECISE</stp>
        <stp>FS=MRC</stp>
        <stp>CURRENCY=USD</stp>
        <stp>XLFILL=b</stp>
        <tr r="AN68" s="2"/>
      </tp>
      <tp t="s">
        <v>#N/A Requesting Data...</v>
        <stp/>
        <stp>##V3_BQLV12</stp>
        <stp>[MODL_NOW_US1.xlsx]Single Period!R60C40</stp>
        <stp>SEG0000230975 Segment</stp>
        <stp>IS_ADJUSTED_COGS_AS_REPORTED/1M</stp>
        <stp>FPR=2021Y</stp>
        <stp>FPT=A</stp>
        <stp>FA_ACT_EST_DATA=E, EST_SOURCE=DWI</stp>
        <stp>ACT_EST_MAPPING=PRECISE</stp>
        <stp>FS=MRC</stp>
        <stp>CURRENCY=USD</stp>
        <stp>XLFILL=b</stp>
        <tr r="AN60" s="2"/>
      </tp>
      <tp t="s">
        <v>#N/A Requesting Data...</v>
        <stp/>
        <stp>##V3_BQLV12</stp>
        <stp>[MODL_NOW_US1.xlsx]Single Period!R67C41</stp>
        <stp>SEG0000230986 Segment</stp>
        <stp>IS_PERCENTAGE_OF_REVENUE</stp>
        <stp>FPR=2021Y</stp>
        <stp>FPT=A</stp>
        <stp>FA_ACT_EST_DATA=E, EST_SOURCE=ARG</stp>
        <stp>ACT_EST_MAPPING=PRECISE</stp>
        <stp>FS=MRC</stp>
        <stp>CURRENCY=USD</stp>
        <stp>XLFILL=b</stp>
        <tr r="AO67" s="2"/>
      </tp>
      <tp t="s">
        <v>#N/A Requesting Data...</v>
        <stp/>
        <stp>##V3_BQLV12</stp>
        <stp>[MODL_NOW_US1.xlsx]Single Period!R184C5</stp>
        <stp>NOW US Equity</stp>
        <stp>BS_EQTY_BEFORE_MINORITY_INT/1M</stp>
        <stp>FPR=2021Y</stp>
        <stp>FPT=A</stp>
        <stp>FA_ACT_EST_DATA=E</stp>
        <stp>ACT_EST_MAPPING=PRECISE</stp>
        <stp>FS=MRC</stp>
        <stp>CURRENCY=USD</stp>
        <stp>XLFILL=b</stp>
        <tr r="E184" s="2"/>
      </tp>
      <tp t="s">
        <v>#N/A Requesting Data...</v>
        <stp/>
        <stp>##V3_BQLV12</stp>
        <stp>[MODL_NOW_US1.xlsx]Single Period!R67C39</stp>
        <stp>SEG0000230986 Segment</stp>
        <stp>IS_PERCENTAGE_OF_REVENUE</stp>
        <stp>FPR=2021Y</stp>
        <stp>FPT=A</stp>
        <stp>FA_ACT_EST_DATA=E, EST_SOURCE=DZB</stp>
        <stp>ACT_EST_MAPPING=PRECISE</stp>
        <stp>FS=MRC</stp>
        <stp>CURRENCY=USD</stp>
        <stp>XLFILL=b</stp>
        <tr r="AM67" s="2"/>
      </tp>
      <tp t="s">
        <v>#N/A Requesting Data...</v>
        <stp/>
        <stp>##V3_BQLV12</stp>
        <stp>[MODL_NOW_US1.xlsx]Single Period!R67C37</stp>
        <stp>SEG0000230986 Segment</stp>
        <stp>IS_PERCENTAGE_OF_REVENUE</stp>
        <stp>FPR=2021Y</stp>
        <stp>FPT=A</stp>
        <stp>FA_ACT_EST_DATA=E, EST_SOURCE=TTC</stp>
        <stp>ACT_EST_MAPPING=PRECISE</stp>
        <stp>FS=MRC</stp>
        <stp>CURRENCY=USD</stp>
        <stp>XLFILL=b</stp>
        <tr r="AK67" s="2"/>
      </tp>
      <tp t="s">
        <v>#N/A Requesting Data...</v>
        <stp/>
        <stp>##V3_BQLV12</stp>
        <stp>[MODL_NOW_US1.xlsx]Single Period!R44C40</stp>
        <stp>SEG0000230986 Segment</stp>
        <stp>IS_FOREIGN_CURRENCY_TURNOVER/1M</stp>
        <stp>FPR=2021Y</stp>
        <stp>FPT=A</stp>
        <stp>FA_ACT_EST_DATA=E, EST_SOURCE=DWI</stp>
        <stp>ACT_EST_MAPPING=PRECISE</stp>
        <stp>FS=MRC</stp>
        <stp>CURRENCY=USD</stp>
        <stp>XLFILL=b</stp>
        <tr r="AN44" s="2"/>
      </tp>
      <tp t="s">
        <v>#N/A Requesting Data...</v>
        <stp/>
        <stp>##V3_BQLV12</stp>
        <stp>[MODL_NOW_US1.xlsx]Single Period!R67C24</stp>
        <stp>SEG0000230986 Segment</stp>
        <stp>IS_PERCENTAGE_OF_REVENUE</stp>
        <stp>FPR=2021Y</stp>
        <stp>FPT=A</stp>
        <stp>FA_ACT_EST_DATA=E, EST_SOURCE=CWN</stp>
        <stp>ACT_EST_MAPPING=PRECISE</stp>
        <stp>FS=MRC</stp>
        <stp>CURRENCY=USD</stp>
        <stp>XLFILL=b</stp>
        <tr r="X67" s="2"/>
      </tp>
      <tp t="s">
        <v>#N/A Requesting Data...</v>
        <stp/>
        <stp>##V3_BQLV12</stp>
        <stp>[MODL_NOW_US1.xlsx]Single Period!R113C47</stp>
        <stp>SEG0000230986 Segment</stp>
        <stp>IS_COGS_TO_FE_AND_PP_AND_G/1M</stp>
        <stp>FPR=2021Y</stp>
        <stp>FPT=A</stp>
        <stp>FA_ACT_EST_DATA=E, EST_SOURCE=SUM</stp>
        <stp>ACT_EST_MAPPING=PRECISE</stp>
        <stp>FS=MRC</stp>
        <stp>CURRENCY=USD</stp>
        <stp>XLFILL=b</stp>
        <tr r="AU113" s="2"/>
      </tp>
      <tp t="s">
        <v>#N/A Requesting Data...</v>
        <stp/>
        <stp>##V3_BQLV12</stp>
        <stp>[MODL_NOW_US1.xlsx]Single Period!R142C9</stp>
        <stp>NOW US Equity</stp>
        <stp>CONTRIBUTOR_STATS(IS_SBC_ATT_TO_S_AND_M_PRETX, MEDIAN)/1M</stp>
        <stp>FPR=2021Y</stp>
        <stp>FPT=A</stp>
        <stp>FA_ACT_EST_DATA=E</stp>
        <stp>ACT_EST_MAPPING=PRECISE</stp>
        <stp>FS=MRC</stp>
        <stp>CURRENCY=USD</stp>
        <stp>XLFILL=b</stp>
        <tr r="I142" s="2"/>
      </tp>
      <tp t="s">
        <v>#N/A Requesting Data...</v>
        <stp/>
        <stp>##V3_BQLV12</stp>
        <stp>[MODL_NOW_US1.xlsx]Single Period!R84C18</stp>
        <stp>NOW US Equity</stp>
        <stp>IS_ADJ_GROSS_PROFIT_AS_REPORTED/1M</stp>
        <stp>FPR=2021Y</stp>
        <stp>FPT=A</stp>
        <stp>FA_ACT_EST_DATA=E, EST_SOURCE=SNR</stp>
        <stp>ACT_EST_MAPPING=PRECISE</stp>
        <stp>FS=MRC</stp>
        <stp>CURRENCY=USD</stp>
        <stp>XLFILL=b</stp>
        <tr r="R84" s="2"/>
      </tp>
      <tp t="s">
        <v>#N/A Requesting Data...</v>
        <stp/>
        <stp>##V3_BQLV12</stp>
        <stp>[MODL_NOW_US1.xlsx]Single Period!R24C18</stp>
        <stp>NOW US Equity</stp>
        <stp>IS_ADJ_GROSS_PROFIT_AS_REPORTED/1M</stp>
        <stp>FPR=2021Y</stp>
        <stp>FPT=A</stp>
        <stp>FA_ACT_EST_DATA=E, EST_SOURCE=SNR</stp>
        <stp>ACT_EST_MAPPING=PRECISE</stp>
        <stp>FS=MRC</stp>
        <stp>CURRENCY=USD</stp>
        <stp>XLFILL=b</stp>
        <tr r="R24" s="2"/>
      </tp>
      <tp t="s">
        <v>#N/A Requesting Data...</v>
        <stp/>
        <stp>##V3_BQLV12</stp>
        <stp>[MODL_NOW_US1.xlsx]Single Period!R84C29</stp>
        <stp>NOW US Equity</stp>
        <stp>IS_ADJ_GROSS_PROFIT_AS_REPORTED/1M</stp>
        <stp>FPR=2021Y</stp>
        <stp>FPT=A</stp>
        <stp>FA_ACT_EST_DATA=E, EST_SOURCE=BNS</stp>
        <stp>ACT_EST_MAPPING=PRECISE</stp>
        <stp>FS=MRC</stp>
        <stp>CURRENCY=USD</stp>
        <stp>XLFILL=b</stp>
        <tr r="AC84" s="2"/>
      </tp>
      <tp t="s">
        <v>#N/A Requesting Data...</v>
        <stp/>
        <stp>##V3_BQLV12</stp>
        <stp>[MODL_NOW_US1.xlsx]Single Period!R24C29</stp>
        <stp>NOW US Equity</stp>
        <stp>IS_ADJ_GROSS_PROFIT_AS_REPORTED/1M</stp>
        <stp>FPR=2021Y</stp>
        <stp>FPT=A</stp>
        <stp>FA_ACT_EST_DATA=E, EST_SOURCE=BNS</stp>
        <stp>ACT_EST_MAPPING=PRECISE</stp>
        <stp>FS=MRC</stp>
        <stp>CURRENCY=USD</stp>
        <stp>XLFILL=b</stp>
        <tr r="AC24" s="2"/>
      </tp>
      <tp t="s">
        <v>#N/A Requesting Data...</v>
        <stp/>
        <stp>##V3_BQLV12</stp>
        <stp>[MODL_NOW_US1.xlsx]Single Period!R26C41</stp>
        <stp>NOW US Equity</stp>
        <stp>IS_ADJ_SELLING_AND_MRKTG_EXPN_AR/1M</stp>
        <stp>FPR=2021Y</stp>
        <stp>FPT=A</stp>
        <stp>FA_ACT_EST_DATA=E, EST_SOURCE=ARG</stp>
        <stp>ACT_EST_MAPPING=PRECISE</stp>
        <stp>FS=MRC</stp>
        <stp>CURRENCY=USD</stp>
        <stp>XLFILL=b</stp>
        <tr r="AO26" s="2"/>
      </tp>
      <tp t="s">
        <v>#N/A Requesting Data...</v>
        <stp/>
        <stp>##V3_BQLV12</stp>
        <stp>[MODL_NOW_US1.xlsx]Single Period!R140C45</stp>
        <stp>SEG0000230975 Segment</stp>
        <stp>IS_SBC_ATTRIB_TO_COGS_PRETX/1M</stp>
        <stp>FPR=2021Y</stp>
        <stp>FPT=A</stp>
        <stp>FA_ACT_EST_DATA=E, EST_SOURCE=PJE</stp>
        <stp>ACT_EST_MAPPING=PRECISE</stp>
        <stp>FS=MRC</stp>
        <stp>CURRENCY=USD</stp>
        <stp>XLFILL=b</stp>
        <tr r="AS140" s="2"/>
      </tp>
      <tp t="s">
        <v>#N/A Requesting Data...</v>
        <stp/>
        <stp>##V3_BQLV12</stp>
        <stp>[MODL_NOW_US1.xlsx]Single Period!R88C48</stp>
        <stp>NOW US Equity</stp>
        <stp>IS_ADJ_SELLING_AND_MRKTG_EXPN_AR/1M</stp>
        <stp>FPR=2021Y</stp>
        <stp>FPT=A</stp>
        <stp>FA_ACT_EST_DATA=E, EST_SOURCE=CRC</stp>
        <stp>ACT_EST_MAPPING=PRECISE</stp>
        <stp>FS=MRC</stp>
        <stp>CURRENCY=USD</stp>
        <stp>XLFILL=b</stp>
        <tr r="AV88" s="2"/>
      </tp>
      <tp t="s">
        <v>#N/A Requesting Data...</v>
        <stp/>
        <stp>##V3_BQLV12</stp>
        <stp>[MODL_NOW_US1.xlsx]Single Period!R26C44</stp>
        <stp>NOW US Equity</stp>
        <stp>IS_ADJ_SELLING_AND_MRKTG_EXPN_AR/1M</stp>
        <stp>FPR=2021Y</stp>
        <stp>FPT=A</stp>
        <stp>FA_ACT_EST_DATA=E, EST_SOURCE=ARE</stp>
        <stp>ACT_EST_MAPPING=PRECISE</stp>
        <stp>FS=MRC</stp>
        <stp>CURRENCY=USD</stp>
        <stp>XLFILL=b</stp>
        <tr r="AR26" s="2"/>
      </tp>
      <tp t="s">
        <v>#N/A Requesting Data...</v>
        <stp/>
        <stp>##V3_BQLV12</stp>
        <stp>[MODL_NOW_US1.xlsx]Single Period!R53C15</stp>
        <stp>NOW US Equity</stp>
        <stp>ANNUALIZED_DAYS_SALES_OUTSTDG</stp>
        <stp>FPR=2021Y</stp>
        <stp>FPT=A</stp>
        <stp>FA_ACT_EST_DATA=E, EST_SOURCE=OPY</stp>
        <stp>ACT_EST_MAPPING=PRECISE</stp>
        <stp>FS=MRC</stp>
        <stp>CURRENCY=USD</stp>
        <stp>XLFILL=b</stp>
        <tr r="O53" s="2"/>
      </tp>
      <tp t="s">
        <v>#N/A Requesting Data...</v>
        <stp/>
        <stp>##V3_BQLV12</stp>
        <stp>[MODL_NOW_US1.xlsx]Single Period!R88C41</stp>
        <stp>NOW US Equity</stp>
        <stp>IS_ADJ_SELLING_AND_MRKTG_EXPN_AR/1M</stp>
        <stp>FPR=2021Y</stp>
        <stp>FPT=A</stp>
        <stp>FA_ACT_EST_DATA=E, EST_SOURCE=ARG</stp>
        <stp>ACT_EST_MAPPING=PRECISE</stp>
        <stp>FS=MRC</stp>
        <stp>CURRENCY=USD</stp>
        <stp>XLFILL=b</stp>
        <tr r="AO88" s="2"/>
      </tp>
      <tp t="s">
        <v>#N/A Requesting Data...</v>
        <stp/>
        <stp>##V3_BQLV12</stp>
        <stp>[MODL_NOW_US1.xlsx]Single Period!R231C19</stp>
        <stp>NOW US Equity</stp>
        <stp>CF_NET_CHNG_CASH/1M</stp>
        <stp>FPR=2021Y</stp>
        <stp>FPT=A</stp>
        <stp>FA_ACT_EST_DATA=E, EST_SOURCE=MSV</stp>
        <stp>ACT_EST_MAPPING=PRECISE</stp>
        <stp>FS=MRC</stp>
        <stp>CURRENCY=USD</stp>
        <stp>XLFILL=b</stp>
        <tr r="S231" s="2"/>
      </tp>
      <tp t="s">
        <v>#N/A Requesting Data...</v>
        <stp/>
        <stp>##V3_BQLV12</stp>
        <stp>[MODL_NOW_US1.xlsx]Single Period!R88C44</stp>
        <stp>NOW US Equity</stp>
        <stp>IS_ADJ_SELLING_AND_MRKTG_EXPN_AR/1M</stp>
        <stp>FPR=2021Y</stp>
        <stp>FPT=A</stp>
        <stp>FA_ACT_EST_DATA=E, EST_SOURCE=ARE</stp>
        <stp>ACT_EST_MAPPING=PRECISE</stp>
        <stp>FS=MRC</stp>
        <stp>CURRENCY=USD</stp>
        <stp>XLFILL=b</stp>
        <tr r="AR88" s="2"/>
      </tp>
      <tp t="s">
        <v>#N/A Requesting Data...</v>
        <stp/>
        <stp>##V3_BQLV12</stp>
        <stp>[MODL_NOW_US1.xlsx]Single Period!R26C48</stp>
        <stp>NOW US Equity</stp>
        <stp>IS_ADJ_SELLING_AND_MRKTG_EXPN_AR/1M</stp>
        <stp>FPR=2021Y</stp>
        <stp>FPT=A</stp>
        <stp>FA_ACT_EST_DATA=E, EST_SOURCE=CRC</stp>
        <stp>ACT_EST_MAPPING=PRECISE</stp>
        <stp>FS=MRC</stp>
        <stp>CURRENCY=USD</stp>
        <stp>XLFILL=b</stp>
        <tr r="AV26" s="2"/>
      </tp>
      <tp t="s">
        <v>#N/A Requesting Data...</v>
        <stp/>
        <stp>##V3_BQLV12</stp>
        <stp>[MODL_NOW_US1.xlsx]Single Period!R52C28</stp>
        <stp>NOW US Equity</stp>
        <stp>ACCT_RCV_DAYS</stp>
        <stp>FPR=2021Y</stp>
        <stp>FPT=A</stp>
        <stp>FA_ACT_EST_DATA=E, EST_SOURCE=EVR</stp>
        <stp>ACT_EST_MAPPING=PRECISE</stp>
        <stp>FS=MRC</stp>
        <stp>CURRENCY=USD</stp>
        <stp>XLFILL=b</stp>
        <tr r="AB52" s="2"/>
      </tp>
      <tp t="s">
        <v>#N/A Requesting Data...</v>
        <stp/>
        <stp>##V3_BQLV12</stp>
        <stp>[MODL_NOW_US1.xlsx]Single Period!R53C11</stp>
        <stp>NOW US Equity</stp>
        <stp>ANNUALIZED_DAYS_SALES_OUTSTDG</stp>
        <stp>FPR=2021Y</stp>
        <stp>FPT=A</stp>
        <stp>FA_ACT_EST_DATA=E, EST_SOURCE=JPM</stp>
        <stp>ACT_EST_MAPPING=PRECISE</stp>
        <stp>FS=MRC</stp>
        <stp>CURRENCY=USD</stp>
        <stp>XLFILL=b</stp>
        <tr r="K53" s="2"/>
      </tp>
      <tp t="s">
        <v>#N/A Requesting Data...</v>
        <stp/>
        <stp>##V3_BQLV12</stp>
        <stp>[MODL_NOW_US1.xlsx]Single Period!R162C24</stp>
        <stp>NOW US Equity</stp>
        <stp>BS_LONG_TERM_INVESTMENTS/1M</stp>
        <stp>FPR=2021Y</stp>
        <stp>FPT=A</stp>
        <stp>FA_ACT_EST_DATA=E, EST_SOURCE=CWN</stp>
        <stp>ACT_EST_MAPPING=PRECISE</stp>
        <stp>FS=MRC</stp>
        <stp>CURRENCY=USD</stp>
        <stp>XLFILL=b</stp>
        <tr r="X162" s="2"/>
      </tp>
      <tp t="s">
        <v>#N/A Requesting Data...</v>
        <stp/>
        <stp>##V3_BQLV12</stp>
        <stp>[MODL_NOW_US1.xlsx]Single Period!R108C27</stp>
        <stp>NOW US Equity</stp>
        <stp>IS_COMP_EPS_EXCL_STOCK_COMP</stp>
        <stp>FPR=2021Y</stp>
        <stp>FPT=A</stp>
        <stp>FA_ACT_EST_DATA=E, EST_SOURCE=RBC</stp>
        <stp>ACT_EST_MAPPING=PRECISE</stp>
        <stp>FS=MRC</stp>
        <stp>CURRENCY=USD</stp>
        <stp>XLFILL=b</stp>
        <tr r="AA108" s="2"/>
      </tp>
      <tp t="s">
        <v>#N/A Requesting Data...</v>
        <stp/>
        <stp>##V3_BQLV12</stp>
        <stp>[MODL_NOW_US1.xlsx]Single Period!R50C31</stp>
        <stp>NOW US Equity</stp>
        <stp>NUM_CSTMR_CNTRCT_OVER_1_MILLN</stp>
        <stp>FPR=2021Y</stp>
        <stp>FPT=A</stp>
        <stp>FA_ACT_EST_DATA=E, EST_SOURCE=GSR</stp>
        <stp>ACT_EST_MAPPING=PRECISE</stp>
        <stp>FS=MRC</stp>
        <stp>CURRENCY=USD</stp>
        <stp>XLFILL=b</stp>
        <tr r="AE50" s="2"/>
      </tp>
      <tp t="s">
        <v>#N/A Requesting Data...</v>
        <stp/>
        <stp>##V3_BQLV12</stp>
        <stp>[MODL_NOW_US1.xlsx]Single Period!R50C35</stp>
        <stp>NOW US Equity</stp>
        <stp>NUM_CSTMR_CNTRCT_OVER_1_MILLN</stp>
        <stp>FPR=2021Y</stp>
        <stp>FPT=A</stp>
        <stp>FA_ACT_EST_DATA=E, EST_SOURCE=MSR</stp>
        <stp>ACT_EST_MAPPING=PRECISE</stp>
        <stp>FS=MRC</stp>
        <stp>CURRENCY=USD</stp>
        <stp>XLFILL=b</stp>
        <tr r="AI50" s="2"/>
      </tp>
      <tp t="s">
        <v>#N/A Requesting Data...</v>
        <stp/>
        <stp>##V3_BQLV12</stp>
        <stp>[MODL_NOW_US1.xlsx]Single Period!R50C19</stp>
        <stp>NOW US Equity</stp>
        <stp>NUM_CSTMR_CNTRCT_OVER_1_MILLN</stp>
        <stp>FPR=2021Y</stp>
        <stp>FPT=A</stp>
        <stp>FA_ACT_EST_DATA=E, EST_SOURCE=MSV</stp>
        <stp>ACT_EST_MAPPING=PRECISE</stp>
        <stp>FS=MRC</stp>
        <stp>CURRENCY=USD</stp>
        <stp>XLFILL=b</stp>
        <tr r="S50" s="2"/>
      </tp>
      <tp t="s">
        <v>#N/A Requesting Data...</v>
        <stp/>
        <stp>##V3_BQLV12</stp>
        <stp>[MODL_NOW_US1.xlsx]Single Period!R108C25</stp>
        <stp>NOW US Equity</stp>
        <stp>IS_COMP_EPS_EXCL_STOCK_COMP</stp>
        <stp>FPR=2021Y</stp>
        <stp>FPT=A</stp>
        <stp>FA_ACT_EST_DATA=E, EST_SOURCE=DBG</stp>
        <stp>ACT_EST_MAPPING=PRECISE</stp>
        <stp>FS=MRC</stp>
        <stp>CURRENCY=USD</stp>
        <stp>XLFILL=b</stp>
        <tr r="Y108" s="2"/>
      </tp>
      <tp t="s">
        <v>#N/A Requesting Data...</v>
        <stp/>
        <stp>##V3_BQLV12</stp>
        <stp>[MODL_NOW_US1.xlsx]Single Period!R95C11</stp>
        <stp>NOW US Equity</stp>
        <stp>IS_COMPARABLE_EBIT/1M</stp>
        <stp>FPR=2021Y</stp>
        <stp>FPT=A</stp>
        <stp>FA_ACT_EST_DATA=E, EST_SOURCE=JPM</stp>
        <stp>ACT_EST_MAPPING=PRECISE</stp>
        <stp>FS=MRC</stp>
        <stp>CURRENCY=USD</stp>
        <stp>XLFILL=b</stp>
        <tr r="K95" s="2"/>
      </tp>
      <tp t="s">
        <v>#N/A Requesting Data...</v>
        <stp/>
        <stp>##V3_BQLV12</stp>
        <stp>[MODL_NOW_US1.xlsx]Single Period!R113C5</stp>
        <stp>SEG0000230986 Segment</stp>
        <stp>IS_COGS_TO_FE_AND_PP_AND_G/1M</stp>
        <stp>FPR=2021Y</stp>
        <stp>FPT=A</stp>
        <stp>FA_ACT_EST_DATA=E</stp>
        <stp>ACT_EST_MAPPING=PRECISE</stp>
        <stp>FS=MRC</stp>
        <stp>CURRENCY=USD</stp>
        <stp>XLFILL=b</stp>
        <tr r="E113" s="2"/>
      </tp>
      <tp t="s">
        <v>#N/A Requesting Data...</v>
        <stp/>
        <stp>##V3_BQLV12</stp>
        <stp>[MODL_NOW_US1.xlsx]Single Period!R108C26</stp>
        <stp>NOW US Equity</stp>
        <stp>IS_COMP_EPS_EXCL_STOCK_COMP</stp>
        <stp>FPR=2021Y</stp>
        <stp>FPT=A</stp>
        <stp>FA_ACT_EST_DATA=E, EST_SOURCE=UBS</stp>
        <stp>ACT_EST_MAPPING=PRECISE</stp>
        <stp>FS=MRC</stp>
        <stp>CURRENCY=USD</stp>
        <stp>XLFILL=b</stp>
        <tr r="Z108" s="2"/>
      </tp>
      <tp t="s">
        <v>#N/A Requesting Data...</v>
        <stp/>
        <stp>##V3_BQLV12</stp>
        <stp>[MODL_NOW_US1.xlsx]Single Period!R217C49</stp>
        <stp>NOW US Equity</stp>
        <stp>CAP_EXPEND_TO_SALES</stp>
        <stp>FPR=2021Y</stp>
        <stp>FPT=A</stp>
        <stp>FA_ACT_EST_DATA=E, EST_SOURCE=SCB</stp>
        <stp>ACT_EST_MAPPING=PRECISE</stp>
        <stp>FS=MRC</stp>
        <stp>CURRENCY=USD</stp>
        <stp>XLFILL=b</stp>
        <tr r="AW217" s="2"/>
      </tp>
      <tp t="s">
        <v>#N/A Requesting Data...</v>
        <stp/>
        <stp>##V3_BQLV12</stp>
        <stp>[MODL_NOW_US1.xlsx]Single Period!R11C48</stp>
        <stp>NOW US Equity</stp>
        <stp>NUM_CSTMR_CNTRCT_OVER_1_MILLN</stp>
        <stp>FPR=2021Y</stp>
        <stp>FPT=A</stp>
        <stp>FA_ACT_EST_DATA=E, EST_SOURCE=CRC</stp>
        <stp>ACT_EST_MAPPING=PRECISE</stp>
        <stp>FS=MRC</stp>
        <stp>CURRENCY=USD</stp>
        <stp>XLFILL=b</stp>
        <tr r="AV11" s="2"/>
      </tp>
      <tp t="s">
        <v>#N/A Requesting Data...</v>
        <stp/>
        <stp>##V3_BQLV12</stp>
        <stp>[MODL_NOW_US1.xlsx]Single Period!R11C44</stp>
        <stp>NOW US Equity</stp>
        <stp>NUM_CSTMR_CNTRCT_OVER_1_MILLN</stp>
        <stp>FPR=2021Y</stp>
        <stp>FPT=A</stp>
        <stp>FA_ACT_EST_DATA=E, EST_SOURCE=ARE</stp>
        <stp>ACT_EST_MAPPING=PRECISE</stp>
        <stp>FS=MRC</stp>
        <stp>CURRENCY=USD</stp>
        <stp>XLFILL=b</stp>
        <tr r="AR11" s="2"/>
      </tp>
      <tp t="s">
        <v>#N/A Requesting Data...</v>
        <stp/>
        <stp>##V3_BQLV12</stp>
        <stp>[MODL_NOW_US1.xlsx]Single Period!R11C41</stp>
        <stp>NOW US Equity</stp>
        <stp>NUM_CSTMR_CNTRCT_OVER_1_MILLN</stp>
        <stp>FPR=2021Y</stp>
        <stp>FPT=A</stp>
        <stp>FA_ACT_EST_DATA=E, EST_SOURCE=ARG</stp>
        <stp>ACT_EST_MAPPING=PRECISE</stp>
        <stp>FS=MRC</stp>
        <stp>CURRENCY=USD</stp>
        <stp>XLFILL=b</stp>
        <tr r="AO11" s="2"/>
      </tp>
      <tp t="s">
        <v>#N/A Requesting Data...</v>
        <stp/>
        <stp>##V3_BQLV12</stp>
        <stp>[MODL_NOW_US1.xlsx]Single Period!R50C34</stp>
        <stp>NOW US Equity</stp>
        <stp>NUM_CSTMR_CNTRCT_OVER_1_MILLN</stp>
        <stp>FPR=2021Y</stp>
        <stp>FPT=A</stp>
        <stp>FA_ACT_EST_DATA=E, EST_SOURCE=PSG</stp>
        <stp>ACT_EST_MAPPING=PRECISE</stp>
        <stp>FS=MRC</stp>
        <stp>CURRENCY=USD</stp>
        <stp>XLFILL=b</stp>
        <tr r="AH50" s="2"/>
      </tp>
      <tp t="s">
        <v>#N/A Requesting Data...</v>
        <stp/>
        <stp>##V3_BQLV12</stp>
        <stp>[MODL_NOW_US1.xlsx]Single Period!R95C15</stp>
        <stp>NOW US Equity</stp>
        <stp>IS_COMPARABLE_EBIT/1M</stp>
        <stp>FPR=2021Y</stp>
        <stp>FPT=A</stp>
        <stp>FA_ACT_EST_DATA=E, EST_SOURCE=OPY</stp>
        <stp>ACT_EST_MAPPING=PRECISE</stp>
        <stp>FS=MRC</stp>
        <stp>CURRENCY=USD</stp>
        <stp>XLFILL=b</stp>
        <tr r="O95" s="2"/>
      </tp>
    </main>
    <main first="bloomberg.rtd">
      <tp t="s">
        <v>#N/A Requesting Data...</v>
        <stp/>
        <stp>##V3_BQLV12</stp>
        <stp>[MODL_NOW_US1.xlsx]Single Period!R175C7</stp>
        <stp>NOW US Equity</stp>
        <stp>CONTRIBUTOR_STATS(BS_ACCRUD_EXPNSS_AND_OTHR, MAX)/1M</stp>
        <stp>FPR=2021Y</stp>
        <stp>FPT=A</stp>
        <stp>FA_ACT_EST_DATA=E</stp>
        <stp>ACT_EST_MAPPING=PRECISE</stp>
        <stp>FS=MRC</stp>
        <stp>CURRENCY=USD</stp>
        <stp>XLFILL=b</stp>
        <tr r="G175" s="2"/>
      </tp>
      <tp t="s">
        <v>#N/A Requesting Data...</v>
        <stp/>
        <stp>##V3_BQLV12</stp>
        <stp>[MODL_NOW_US1.xlsx]Single Period!R63C5</stp>
        <stp>SEG0000230975 Segment</stp>
        <stp>CB_IS_GROSS_PROFIT/1M</stp>
        <stp>FPR=2021Y</stp>
        <stp>FPT=A</stp>
        <stp>FA_ACT_EST_DATA=E</stp>
        <stp>ACT_EST_MAPPING=PRECISE</stp>
        <stp>FS=MRC</stp>
        <stp>CURRENCY=USD</stp>
        <stp>XLFILL=b</stp>
        <tr r="E63" s="2"/>
      </tp>
      <tp t="s">
        <v>#N/A Requesting Data...</v>
        <stp/>
        <stp>##V3_BQLV12</stp>
        <stp>[MODL_NOW_US1.xlsx]Single Period!R6C46</stp>
        <stp>NOW US Equity</stp>
        <stp>IS_COMP_EPS_EXCL_STOCK_COMP</stp>
        <stp>FPR=2021Y</stp>
        <stp>FPT=A</stp>
        <stp>FA_ACT_EST_DATA=E, EST_SOURCE=MZS</stp>
        <stp>ACT_EST_MAPPING=PRECISE</stp>
        <stp>FS=MRC</stp>
        <stp>CURRENCY=USD</stp>
        <stp>XLFILL=b</stp>
        <tr r="AT6" s="2"/>
      </tp>
      <tp t="s">
        <v>#N/A Requesting Data...</v>
        <stp/>
        <stp>##V3_BQLV12</stp>
        <stp>[MODL_NOW_US1.xlsx]Single Period!R146C9</stp>
        <stp>NOW US Equity</stp>
        <stp>CONTRIBUTOR_STATS(IS_AMORT_ACQD_INTANGIBLES_COGS, MEDIAN)/1M</stp>
        <stp>FPR=2021Y</stp>
        <stp>FPT=A</stp>
        <stp>FA_ACT_EST_DATA=E</stp>
        <stp>ACT_EST_MAPPING=PRECISE</stp>
        <stp>FS=MRC</stp>
        <stp>CURRENCY=USD</stp>
        <stp>XLFILL=b</stp>
        <tr r="I146" s="2"/>
      </tp>
      <tp t="s">
        <v>#N/A Requesting Data...</v>
        <stp/>
        <stp>##V3_BQLV12</stp>
        <stp>[MODL_NOW_US1.xlsx]Single Period!R113C37</stp>
        <stp>SEG0000230986 Segment</stp>
        <stp>IS_COGS_TO_FE_AND_PP_AND_G/1M</stp>
        <stp>FPR=2021Y</stp>
        <stp>FPT=A</stp>
        <stp>FA_ACT_EST_DATA=E, EST_SOURCE=TTC</stp>
        <stp>ACT_EST_MAPPING=PRECISE</stp>
        <stp>FS=MRC</stp>
        <stp>CURRENCY=USD</stp>
        <stp>XLFILL=b</stp>
        <tr r="AK113" s="2"/>
      </tp>
      <tp t="s">
        <v>#N/A Requesting Data...</v>
        <stp/>
        <stp>##V3_BQLV12</stp>
        <stp>[MODL_NOW_US1.xlsx]Single Period!R105C7</stp>
        <stp>NOW US Equity</stp>
        <stp>CONTRIBUTOR_STATS(ADJ_PROFIT_MARGIN, MAX)</stp>
        <stp>FPR=2021Y</stp>
        <stp>FPT=A</stp>
        <stp>FA_ACT_EST_DATA=E</stp>
        <stp>ACT_EST_MAPPING=PRECISE</stp>
        <stp>FS=MRC</stp>
        <stp>CURRENCY=USD</stp>
        <stp>XLFILL=b</stp>
        <tr r="G105" s="2"/>
      </tp>
      <tp t="s">
        <v>#N/A Requesting Data...</v>
        <stp/>
        <stp>##V3_BQLV12</stp>
        <stp>[MODL_NOW_US1.xlsx]Single Period!R112C39</stp>
        <stp>SEG0000230975 Segment</stp>
        <stp>IS_COGS_TO_FE_AND_PP_AND_G/1M</stp>
        <stp>FPR=2021Y</stp>
        <stp>FPT=A</stp>
        <stp>FA_ACT_EST_DATA=E, EST_SOURCE=DZB</stp>
        <stp>ACT_EST_MAPPING=PRECISE</stp>
        <stp>FS=MRC</stp>
        <stp>CURRENCY=USD</stp>
        <stp>XLFILL=b</stp>
        <tr r="AM112" s="2"/>
      </tp>
      <tp t="s">
        <v>#N/A Requesting Data...</v>
        <stp/>
        <stp>##V3_BQLV12</stp>
        <stp>[MODL_NOW_US1.xlsx]Single Period!R59C11</stp>
        <stp>SEG0000230975 Segment</stp>
        <stp>IS_PERCENTAGE_OF_REVENUE</stp>
        <stp>FPR=2021Y</stp>
        <stp>FPT=A</stp>
        <stp>FA_ACT_EST_DATA=E, EST_SOURCE=JPM</stp>
        <stp>ACT_EST_MAPPING=PRECISE</stp>
        <stp>FS=MRC</stp>
        <stp>CURRENCY=USD</stp>
        <stp>XLFILL=b</stp>
        <tr r="K59" s="2"/>
      </tp>
      <tp t="s">
        <v>#N/A Requesting Data...</v>
        <stp/>
        <stp>##V3_BQLV12</stp>
        <stp>[MODL_NOW_US1.xlsx]Single Period!R67C47</stp>
        <stp>SEG0000230986 Segment</stp>
        <stp>IS_PERCENTAGE_OF_REVENUE</stp>
        <stp>FPR=2021Y</stp>
        <stp>FPT=A</stp>
        <stp>FA_ACT_EST_DATA=E, EST_SOURCE=SUM</stp>
        <stp>ACT_EST_MAPPING=PRECISE</stp>
        <stp>FS=MRC</stp>
        <stp>CURRENCY=USD</stp>
        <stp>XLFILL=b</stp>
        <tr r="AU67" s="2"/>
      </tp>
      <tp t="s">
        <v>#N/A Requesting Data...</v>
        <stp/>
        <stp>##V3_BQLV12</stp>
        <stp>[MODL_NOW_US1.xlsx]Single Period!R105C6</stp>
        <stp>NOW US Equity</stp>
        <stp>CONTRIBUTOR_STATS(ADJ_PROFIT_MARGIN, MIN)</stp>
        <stp>FPR=2021Y</stp>
        <stp>FPT=A</stp>
        <stp>FA_ACT_EST_DATA=E</stp>
        <stp>ACT_EST_MAPPING=PRECISE</stp>
        <stp>FS=MRC</stp>
        <stp>CURRENCY=USD</stp>
        <stp>XLFILL=b</stp>
        <tr r="F105" s="2"/>
      </tp>
      <tp t="s">
        <v>#N/A Requesting Data...</v>
        <stp/>
        <stp>##V3_BQLV12</stp>
        <stp>[MODL_NOW_US1.xlsx]Single Period!R113C42</stp>
        <stp>SEG0000230986 Segment</stp>
        <stp>IS_COGS_TO_FE_AND_PP_AND_G/1M</stp>
        <stp>FPR=2021Y</stp>
        <stp>FPT=A</stp>
        <stp>FA_ACT_EST_DATA=E, EST_SOURCE=CTI</stp>
        <stp>ACT_EST_MAPPING=PRECISE</stp>
        <stp>FS=MRC</stp>
        <stp>CURRENCY=USD</stp>
        <stp>XLFILL=b</stp>
        <tr r="AP113" s="2"/>
      </tp>
      <tp t="s">
        <v>#N/A Requesting Data...</v>
        <stp/>
        <stp>##V3_BQLV12</stp>
        <stp>[MODL_NOW_US1.xlsx]Single Period!R44C19</stp>
        <stp>SEG0000230986 Segment</stp>
        <stp>IS_FOREIGN_CURRENCY_TURNOVER/1M</stp>
        <stp>FPR=2021Y</stp>
        <stp>FPT=A</stp>
        <stp>FA_ACT_EST_DATA=E, EST_SOURCE=MSV</stp>
        <stp>ACT_EST_MAPPING=PRECISE</stp>
        <stp>FS=MRC</stp>
        <stp>CURRENCY=USD</stp>
        <stp>XLFILL=b</stp>
        <tr r="S44" s="2"/>
      </tp>
      <tp t="s">
        <v>#N/A Requesting Data...</v>
        <stp/>
        <stp>##V3_BQLV12</stp>
        <stp>[MODL_NOW_US1.xlsx]Single Period!R67C31</stp>
        <stp>SEG0000230986 Segment</stp>
        <stp>IS_PERCENTAGE_OF_REVENUE</stp>
        <stp>FPR=2021Y</stp>
        <stp>FPT=A</stp>
        <stp>FA_ACT_EST_DATA=E, EST_SOURCE=GSR</stp>
        <stp>ACT_EST_MAPPING=PRECISE</stp>
        <stp>FS=MRC</stp>
        <stp>CURRENCY=USD</stp>
        <stp>XLFILL=b</stp>
        <tr r="AE67" s="2"/>
      </tp>
      <tp t="s">
        <v>#N/A Requesting Data...</v>
        <stp/>
        <stp>##V3_BQLV12</stp>
        <stp>[MODL_NOW_US1.xlsx]Single Period!R112C46</stp>
        <stp>SEG0000230975 Segment</stp>
        <stp>IS_COGS_TO_FE_AND_PP_AND_G/1M</stp>
        <stp>FPR=2021Y</stp>
        <stp>FPT=A</stp>
        <stp>FA_ACT_EST_DATA=E, EST_SOURCE=MZS</stp>
        <stp>ACT_EST_MAPPING=PRECISE</stp>
        <stp>FS=MRC</stp>
        <stp>CURRENCY=USD</stp>
        <stp>XLFILL=b</stp>
        <tr r="AT112" s="2"/>
      </tp>
      <tp t="s">
        <v>#N/A Requesting Data...</v>
        <stp/>
        <stp>##V3_BQLV12</stp>
        <stp>[MODL_NOW_US1.xlsx]Single Period!R68C19</stp>
        <stp>SEG0000230986 Segment</stp>
        <stp>IS_ADJUSTED_COGS_AS_REPORTED/1M</stp>
        <stp>FPR=2021Y</stp>
        <stp>FPT=A</stp>
        <stp>FA_ACT_EST_DATA=E, EST_SOURCE=MSV</stp>
        <stp>ACT_EST_MAPPING=PRECISE</stp>
        <stp>FS=MRC</stp>
        <stp>CURRENCY=USD</stp>
        <stp>XLFILL=b</stp>
        <tr r="S68" s="2"/>
      </tp>
      <tp t="s">
        <v>#N/A Requesting Data...</v>
        <stp/>
        <stp>##V3_BQLV12</stp>
        <stp>[MODL_NOW_US1.xlsx]Single Period!R60C19</stp>
        <stp>SEG0000230975 Segment</stp>
        <stp>IS_ADJUSTED_COGS_AS_REPORTED/1M</stp>
        <stp>FPR=2021Y</stp>
        <stp>FPT=A</stp>
        <stp>FA_ACT_EST_DATA=E, EST_SOURCE=MSV</stp>
        <stp>ACT_EST_MAPPING=PRECISE</stp>
        <stp>FS=MRC</stp>
        <stp>CURRENCY=USD</stp>
        <stp>XLFILL=b</stp>
        <tr r="S60" s="2"/>
      </tp>
      <tp t="s">
        <v>#N/A Requesting Data...</v>
        <stp/>
        <stp>##V3_BQLV12</stp>
        <stp>[MODL_NOW_US1.xlsx]Single Period!R52C38</stp>
        <stp>NOW US Equity</stp>
        <stp>ACCT_RCV_DAYS</stp>
        <stp>FPR=2021Y</stp>
        <stp>FPT=A</stp>
        <stp>FA_ACT_EST_DATA=E, EST_SOURCE=RWB</stp>
        <stp>ACT_EST_MAPPING=PRECISE</stp>
        <stp>FS=MRC</stp>
        <stp>CURRENCY=USD</stp>
        <stp>XLFILL=b</stp>
        <tr r="AL52" s="2"/>
      </tp>
      <tp t="s">
        <v>#N/A Requesting Data...</v>
        <stp/>
        <stp>##V3_BQLV12</stp>
        <stp>[MODL_NOW_US1.xlsx]Single Period!R26C37</stp>
        <stp>NOW US Equity</stp>
        <stp>IS_ADJ_SELLING_AND_MRKTG_EXPN_AR/1M</stp>
        <stp>FPR=2021Y</stp>
        <stp>FPT=A</stp>
        <stp>FA_ACT_EST_DATA=E, EST_SOURCE=TTC</stp>
        <stp>ACT_EST_MAPPING=PRECISE</stp>
        <stp>FS=MRC</stp>
        <stp>CURRENCY=USD</stp>
        <stp>XLFILL=b</stp>
        <tr r="AK26" s="2"/>
      </tp>
      <tp t="s">
        <v>#N/A Requesting Data...</v>
        <stp/>
        <stp>##V3_BQLV12</stp>
        <stp>[MODL_NOW_US1.xlsx]Single Period!R179C6</stp>
        <stp>NOW US Equity</stp>
        <stp>CONTRIBUTOR_STATS(LT_DEFERRED_REVENUE, MIN)/1M</stp>
        <stp>FPR=2021Y</stp>
        <stp>FPT=A</stp>
        <stp>FA_ACT_EST_DATA=E</stp>
        <stp>ACT_EST_MAPPING=PRECISE</stp>
        <stp>FS=MRC</stp>
        <stp>CURRENCY=USD</stp>
        <stp>XLFILL=b</stp>
        <tr r="F179" s="2"/>
      </tp>
      <tp t="s">
        <v>#N/A Requesting Data...</v>
        <stp/>
        <stp>##V3_BQLV12</stp>
        <stp>[MODL_NOW_US1.xlsx]Single Period!R179C7</stp>
        <stp>NOW US Equity</stp>
        <stp>CONTRIBUTOR_STATS(LT_DEFERRED_REVENUE, MAX)/1M</stp>
        <stp>FPR=2021Y</stp>
        <stp>FPT=A</stp>
        <stp>FA_ACT_EST_DATA=E</stp>
        <stp>ACT_EST_MAPPING=PRECISE</stp>
        <stp>FS=MRC</stp>
        <stp>CURRENCY=USD</stp>
        <stp>XLFILL=b</stp>
        <tr r="G179" s="2"/>
      </tp>
      <tp t="s">
        <v>#N/A Requesting Data...</v>
        <stp/>
        <stp>##V3_BQLV12</stp>
        <stp>[MODL_NOW_US1.xlsx]Single Period!R239C10</stp>
        <stp>NOW US Equity</stp>
        <stp>CFO_TO_SALES</stp>
        <stp>FPR=2021Y</stp>
        <stp>FPT=A</stp>
        <stp>FA_ACT_EST_DATA=E, EST_SOURCE=CMPY</stp>
        <stp>ACT_EST_MAPPING=PRECISE</stp>
        <stp>FS=MRC</stp>
        <stp>CURRENCY=USD</stp>
        <stp>XLFILL=b</stp>
        <tr r="J239" s="2"/>
      </tp>
      <tp t="s">
        <v>#N/A Requesting Data...</v>
        <stp/>
        <stp>##V3_BQLV12</stp>
        <stp>[MODL_NOW_US1.xlsx]Single Period!R162C28</stp>
        <stp>NOW US Equity</stp>
        <stp>BS_LONG_TERM_INVESTMENTS/1M</stp>
        <stp>FPR=2021Y</stp>
        <stp>FPT=A</stp>
        <stp>FA_ACT_EST_DATA=E, EST_SOURCE=EVR</stp>
        <stp>ACT_EST_MAPPING=PRECISE</stp>
        <stp>FS=MRC</stp>
        <stp>CURRENCY=USD</stp>
        <stp>XLFILL=b</stp>
        <tr r="AB162" s="2"/>
      </tp>
      <tp t="s">
        <v>#N/A Requesting Data...</v>
        <stp/>
        <stp>##V3_BQLV12</stp>
        <stp>[MODL_NOW_US1.xlsx]Single Period!R220C17</stp>
        <stp>NOW US Equity</stp>
        <stp>CF_PROCDS_FROM_INVSTMNTS/1M</stp>
        <stp>FPR=2021Y</stp>
        <stp>FPT=A</stp>
        <stp>FA_ACT_EST_DATA=E, EST_SOURCE=RHR</stp>
        <stp>ACT_EST_MAPPING=PRECISE</stp>
        <stp>FS=MRC</stp>
        <stp>CURRENCY=USD</stp>
        <stp>XLFILL=b</stp>
        <tr r="Q220" s="2"/>
      </tp>
      <tp t="s">
        <v>#N/A Requesting Data...</v>
        <stp/>
        <stp>##V3_BQLV12</stp>
        <stp>[MODL_NOW_US1.xlsx]Single Period!R88C37</stp>
        <stp>NOW US Equity</stp>
        <stp>IS_ADJ_SELLING_AND_MRKTG_EXPN_AR/1M</stp>
        <stp>FPR=2021Y</stp>
        <stp>FPT=A</stp>
        <stp>FA_ACT_EST_DATA=E, EST_SOURCE=TTC</stp>
        <stp>ACT_EST_MAPPING=PRECISE</stp>
        <stp>FS=MRC</stp>
        <stp>CURRENCY=USD</stp>
        <stp>XLFILL=b</stp>
        <tr r="AK88" s="2"/>
      </tp>
      <tp t="s">
        <v>#N/A Requesting Data...</v>
        <stp/>
        <stp>##V3_BQLV12</stp>
        <stp>[MODL_NOW_US1.xlsx]Single Period!R52C40</stp>
        <stp>NOW US Equity</stp>
        <stp>ACCT_RCV_DAYS</stp>
        <stp>FPR=2021Y</stp>
        <stp>FPT=A</stp>
        <stp>FA_ACT_EST_DATA=E, EST_SOURCE=DWI</stp>
        <stp>ACT_EST_MAPPING=PRECISE</stp>
        <stp>FS=MRC</stp>
        <stp>CURRENCY=USD</stp>
        <stp>XLFILL=b</stp>
        <tr r="AN52" s="2"/>
      </tp>
      <tp t="s">
        <v>#N/A Requesting Data...</v>
        <stp/>
        <stp>##V3_BQLV12</stp>
        <stp>[MODL_NOW_US1.xlsx]Single Period!R52C24</stp>
        <stp>NOW US Equity</stp>
        <stp>ACCT_RCV_DAYS</stp>
        <stp>FPR=2021Y</stp>
        <stp>FPT=A</stp>
        <stp>FA_ACT_EST_DATA=E, EST_SOURCE=CWN</stp>
        <stp>ACT_EST_MAPPING=PRECISE</stp>
        <stp>FS=MRC</stp>
        <stp>CURRENCY=USD</stp>
        <stp>XLFILL=b</stp>
        <tr r="X52" s="2"/>
      </tp>
      <tp t="s">
        <v>#N/A Requesting Data...</v>
        <stp/>
        <stp>##V3_BQLV12</stp>
        <stp>[MODL_NOW_US1.xlsx]Single Period!R184C6</stp>
        <stp>NOW US Equity</stp>
        <stp>CONTRIBUTOR_STATS(BS_EQTY_BEFORE_MINORITY_INT, MIN)/1M</stp>
        <stp>FPR=2021Y</stp>
        <stp>FPT=A</stp>
        <stp>FA_ACT_EST_DATA=E</stp>
        <stp>ACT_EST_MAPPING=PRECISE</stp>
        <stp>FS=MRC</stp>
        <stp>CURRENCY=USD</stp>
        <stp>XLFILL=b</stp>
        <tr r="F184" s="2"/>
      </tp>
      <tp t="s">
        <v>#N/A Requesting Data...</v>
        <stp/>
        <stp>##V3_BQLV12</stp>
        <stp>[MODL_NOW_US1.xlsx]Single Period!R184C7</stp>
        <stp>NOW US Equity</stp>
        <stp>CONTRIBUTOR_STATS(BS_EQTY_BEFORE_MINORITY_INT, MAX)/1M</stp>
        <stp>FPR=2021Y</stp>
        <stp>FPT=A</stp>
        <stp>FA_ACT_EST_DATA=E</stp>
        <stp>ACT_EST_MAPPING=PRECISE</stp>
        <stp>FS=MRC</stp>
        <stp>CURRENCY=USD</stp>
        <stp>XLFILL=b</stp>
        <tr r="G184" s="2"/>
      </tp>
      <tp t="s">
        <v>#N/A Requesting Data...</v>
        <stp/>
        <stp>##V3_BQLV12</stp>
        <stp>[MODL_NOW_US1.xlsx]Single Period!R184C8</stp>
        <stp>NOW US Equity</stp>
        <stp>CONTRIBUTOR_STATS(BS_EQTY_BEFORE_MINORITY_INT, STD)/1M</stp>
        <stp>FPR=2021Y</stp>
        <stp>FPT=A</stp>
        <stp>FA_ACT_EST_DATA=E</stp>
        <stp>ACT_EST_MAPPING=PRECISE</stp>
        <stp>FS=MRC</stp>
        <stp>CURRENCY=USD</stp>
        <stp>XLFILL=b</stp>
        <tr r="H184" s="2"/>
      </tp>
      <tp t="s">
        <v>#N/A Requesting Data...</v>
        <stp/>
        <stp>##V3_BQLV12</stp>
        <stp>[MODL_NOW_US1.xlsx]Single Period!R162C38</stp>
        <stp>NOW US Equity</stp>
        <stp>BS_LONG_TERM_INVESTMENTS/1M</stp>
        <stp>FPR=2021Y</stp>
        <stp>FPT=A</stp>
        <stp>FA_ACT_EST_DATA=E, EST_SOURCE=RWB</stp>
        <stp>ACT_EST_MAPPING=PRECISE</stp>
        <stp>FS=MRC</stp>
        <stp>CURRENCY=USD</stp>
        <stp>XLFILL=b</stp>
        <tr r="AL162" s="2"/>
      </tp>
      <tp t="s">
        <v>#N/A Requesting Data...</v>
        <stp/>
        <stp>##V3_BQLV12</stp>
        <stp>[MODL_NOW_US1.xlsx]Single Period!R141C17</stp>
        <stp>SEG0000230986 Segment</stp>
        <stp>IS_SBC_ATTRIB_TO_COGS_PRETX/1M</stp>
        <stp>FPR=2021Y</stp>
        <stp>FPT=A</stp>
        <stp>FA_ACT_EST_DATA=E, EST_SOURCE=RHR</stp>
        <stp>ACT_EST_MAPPING=PRECISE</stp>
        <stp>FS=MRC</stp>
        <stp>CURRENCY=USD</stp>
        <stp>XLFILL=b</stp>
        <tr r="Q141" s="2"/>
      </tp>
      <tp t="s">
        <v>#N/A Requesting Data...</v>
        <stp/>
        <stp>##V3_BQLV12</stp>
        <stp>[MODL_NOW_US1.xlsx]Single Period!R231C40</stp>
        <stp>NOW US Equity</stp>
        <stp>CF_NET_CHNG_CASH/1M</stp>
        <stp>FPR=2021Y</stp>
        <stp>FPT=A</stp>
        <stp>FA_ACT_EST_DATA=E, EST_SOURCE=DWI</stp>
        <stp>ACT_EST_MAPPING=PRECISE</stp>
        <stp>FS=MRC</stp>
        <stp>CURRENCY=USD</stp>
        <stp>XLFILL=b</stp>
        <tr r="AN231" s="2"/>
      </tp>
      <tp t="s">
        <v>#N/A Requesting Data...</v>
        <stp/>
        <stp>##V3_BQLV12</stp>
        <stp>[MODL_NOW_US1.xlsx]Single Period!R179C8</stp>
        <stp>NOW US Equity</stp>
        <stp>CONTRIBUTOR_STATS(LT_DEFERRED_REVENUE, STD)/1M</stp>
        <stp>FPR=2021Y</stp>
        <stp>FPT=A</stp>
        <stp>FA_ACT_EST_DATA=E</stp>
        <stp>ACT_EST_MAPPING=PRECISE</stp>
        <stp>FS=MRC</stp>
        <stp>CURRENCY=USD</stp>
        <stp>XLFILL=b</stp>
        <tr r="H179" s="2"/>
      </tp>
      <tp t="s">
        <v>#N/A Requesting Data...</v>
        <stp/>
        <stp>##V3_BQLV12</stp>
        <stp>[MODL_NOW_US1.xlsx]Single Period!R116C10</stp>
        <stp>NOW US Equity</stp>
        <stp>GROSS_MARGIN</stp>
        <stp>FPR=2021Y</stp>
        <stp>FPT=A</stp>
        <stp>FA_ACT_EST_DATA=E, EST_SOURCE=CMPY</stp>
        <stp>ACT_EST_MAPPING=PRECISE</stp>
        <stp>FS=MRC</stp>
        <stp>CURRENCY=USD</stp>
        <stp>XLFILL=b</stp>
        <tr r="J116" s="2"/>
      </tp>
      <tp t="s">
        <v>#N/A Requesting Data...</v>
        <stp/>
        <stp>##V3_BQLV12</stp>
        <stp>[MODL_NOW_US1.xlsx]Single Period!R11C31</stp>
        <stp>NOW US Equity</stp>
        <stp>NUM_CSTMR_CNTRCT_OVER_1_MILLN</stp>
        <stp>FPR=2021Y</stp>
        <stp>FPT=A</stp>
        <stp>FA_ACT_EST_DATA=E, EST_SOURCE=GSR</stp>
        <stp>ACT_EST_MAPPING=PRECISE</stp>
        <stp>FS=MRC</stp>
        <stp>CURRENCY=USD</stp>
        <stp>XLFILL=b</stp>
        <tr r="AE11" s="2"/>
      </tp>
      <tp t="s">
        <v>#N/A Requesting Data...</v>
        <stp/>
        <stp>##V3_BQLV12</stp>
        <stp>[MODL_NOW_US1.xlsx]Single Period!R11C35</stp>
        <stp>NOW US Equity</stp>
        <stp>NUM_CSTMR_CNTRCT_OVER_1_MILLN</stp>
        <stp>FPR=2021Y</stp>
        <stp>FPT=A</stp>
        <stp>FA_ACT_EST_DATA=E, EST_SOURCE=MSR</stp>
        <stp>ACT_EST_MAPPING=PRECISE</stp>
        <stp>FS=MRC</stp>
        <stp>CURRENCY=USD</stp>
        <stp>XLFILL=b</stp>
        <tr r="AI11" s="2"/>
      </tp>
      <tp t="s">
        <v>#N/A Requesting Data...</v>
        <stp/>
        <stp>##V3_BQLV12</stp>
        <stp>[MODL_NOW_US1.xlsx]Single Period!R108C32</stp>
        <stp>NOW US Equity</stp>
        <stp>IS_COMP_EPS_EXCL_STOCK_COMP</stp>
        <stp>FPR=2021Y</stp>
        <stp>FPT=A</stp>
        <stp>FA_ACT_EST_DATA=E, EST_SOURCE=FBC</stp>
        <stp>ACT_EST_MAPPING=PRECISE</stp>
        <stp>FS=MRC</stp>
        <stp>CURRENCY=USD</stp>
        <stp>XLFILL=b</stp>
        <tr r="AF108" s="2"/>
      </tp>
      <tp t="s">
        <v>#N/A Requesting Data...</v>
        <stp/>
        <stp>##V3_BQLV12</stp>
        <stp>[MODL_NOW_US1.xlsx]Single Period!R11C19</stp>
        <stp>NOW US Equity</stp>
        <stp>NUM_CSTMR_CNTRCT_OVER_1_MILLN</stp>
        <stp>FPR=2021Y</stp>
        <stp>FPT=A</stp>
        <stp>FA_ACT_EST_DATA=E, EST_SOURCE=MSV</stp>
        <stp>ACT_EST_MAPPING=PRECISE</stp>
        <stp>FS=MRC</stp>
        <stp>CURRENCY=USD</stp>
        <stp>XLFILL=b</stp>
        <tr r="S11" s="2"/>
      </tp>
      <tp t="s">
        <v>#N/A Requesting Data...</v>
        <stp/>
        <stp>##V3_BQLV12</stp>
        <stp>[MODL_NOW_US1.xlsx]Single Period!R203C10</stp>
        <stp>NOW US Equity</stp>
        <stp>AMORTIZATN_OF_FINNCNG_COSTS/1M</stp>
        <stp>FPR=2021Y</stp>
        <stp>FPT=A</stp>
        <stp>FA_ACT_EST_DATA=E, EST_SOURCE=CMPY</stp>
        <stp>ACT_EST_MAPPING=PRECISE</stp>
        <stp>FS=MRC</stp>
        <stp>CURRENCY=USD</stp>
        <stp>XLFILL=b</stp>
        <tr r="J203" s="2"/>
      </tp>
      <tp t="s">
        <v>#N/A Requesting Data...</v>
        <stp/>
        <stp>##V3_BQLV12</stp>
        <stp>[MODL_NOW_US1.xlsx]Single Period!R90C17</stp>
        <stp>NOW US Equity</stp>
        <stp>IS_ADJ_R_AND_D_AS_REPORTED/1M</stp>
        <stp>FPR=2021Y</stp>
        <stp>FPT=A</stp>
        <stp>FA_ACT_EST_DATA=E, EST_SOURCE=RHR</stp>
        <stp>ACT_EST_MAPPING=PRECISE</stp>
        <stp>FS=MRC</stp>
        <stp>CURRENCY=USD</stp>
        <stp>XLFILL=b</stp>
        <tr r="Q90" s="2"/>
      </tp>
      <tp t="s">
        <v>#N/A Requesting Data...</v>
        <stp/>
        <stp>##V3_BQLV12</stp>
        <stp>[MODL_NOW_US1.xlsx]Single Period!R217C22</stp>
        <stp>NOW US Equity</stp>
        <stp>CAP_EXPEND_TO_SALES</stp>
        <stp>FPR=2021Y</stp>
        <stp>FPT=A</stp>
        <stp>FA_ACT_EST_DATA=E, EST_SOURCE=NDH</stp>
        <stp>ACT_EST_MAPPING=PRECISE</stp>
        <stp>FS=MRC</stp>
        <stp>CURRENCY=USD</stp>
        <stp>XLFILL=b</stp>
        <tr r="V217" s="2"/>
      </tp>
      <tp t="s">
        <v>#N/A Requesting Data...</v>
        <stp/>
        <stp>##V3_BQLV12</stp>
        <stp>[MODL_NOW_US1.xlsx]Single Period!R50C48</stp>
        <stp>NOW US Equity</stp>
        <stp>NUM_CSTMR_CNTRCT_OVER_1_MILLN</stp>
        <stp>FPR=2021Y</stp>
        <stp>FPT=A</stp>
        <stp>FA_ACT_EST_DATA=E, EST_SOURCE=CRC</stp>
        <stp>ACT_EST_MAPPING=PRECISE</stp>
        <stp>FS=MRC</stp>
        <stp>CURRENCY=USD</stp>
        <stp>XLFILL=b</stp>
        <tr r="AV50" s="2"/>
      </tp>
      <tp t="s">
        <v>#N/A Requesting Data...</v>
        <stp/>
        <stp>##V3_BQLV12</stp>
        <stp>[MODL_NOW_US1.xlsx]Single Period!R50C44</stp>
        <stp>NOW US Equity</stp>
        <stp>NUM_CSTMR_CNTRCT_OVER_1_MILLN</stp>
        <stp>FPR=2021Y</stp>
        <stp>FPT=A</stp>
        <stp>FA_ACT_EST_DATA=E, EST_SOURCE=ARE</stp>
        <stp>ACT_EST_MAPPING=PRECISE</stp>
        <stp>FS=MRC</stp>
        <stp>CURRENCY=USD</stp>
        <stp>XLFILL=b</stp>
        <tr r="AR50" s="2"/>
      </tp>
      <tp t="s">
        <v>#N/A Requesting Data...</v>
        <stp/>
        <stp>##V3_BQLV12</stp>
        <stp>[MODL_NOW_US1.xlsx]Single Period!R50C41</stp>
        <stp>NOW US Equity</stp>
        <stp>NUM_CSTMR_CNTRCT_OVER_1_MILLN</stp>
        <stp>FPR=2021Y</stp>
        <stp>FPT=A</stp>
        <stp>FA_ACT_EST_DATA=E, EST_SOURCE=ARG</stp>
        <stp>ACT_EST_MAPPING=PRECISE</stp>
        <stp>FS=MRC</stp>
        <stp>CURRENCY=USD</stp>
        <stp>XLFILL=b</stp>
        <tr r="AO50" s="2"/>
      </tp>
      <tp t="s">
        <v>#N/A Requesting Data...</v>
        <stp/>
        <stp>##V3_BQLV12</stp>
        <stp>[MODL_NOW_US1.xlsx]Single Period!R11C34</stp>
        <stp>NOW US Equity</stp>
        <stp>NUM_CSTMR_CNTRCT_OVER_1_MILLN</stp>
        <stp>FPR=2021Y</stp>
        <stp>FPT=A</stp>
        <stp>FA_ACT_EST_DATA=E, EST_SOURCE=PSG</stp>
        <stp>ACT_EST_MAPPING=PRECISE</stp>
        <stp>FS=MRC</stp>
        <stp>CURRENCY=USD</stp>
        <stp>XLFILL=b</stp>
        <tr r="AH11" s="2"/>
      </tp>
      <tp t="s">
        <v>#N/A Requesting Data...</v>
        <stp/>
        <stp>##V3_BQLV12</stp>
        <stp>[MODL_NOW_US1.xlsx]Single Period!R217C36</stp>
        <stp>NOW US Equity</stp>
        <stp>CAP_EXPEND_TO_SALES</stp>
        <stp>FPR=2021Y</stp>
        <stp>FPT=A</stp>
        <stp>FA_ACT_EST_DATA=E, EST_SOURCE=JEF</stp>
        <stp>ACT_EST_MAPPING=PRECISE</stp>
        <stp>FS=MRC</stp>
        <stp>CURRENCY=USD</stp>
        <stp>XLFILL=b</stp>
        <tr r="AJ217" s="2"/>
      </tp>
      <tp t="s">
        <v>#N/A Requesting Data...</v>
        <stp/>
        <stp>##V3_BQLV12</stp>
        <stp>[MODL_NOW_US1.xlsx]Single Period!R204C8</stp>
        <stp>NOW US Equity</stp>
        <stp>CONTRIBUTOR_STATS(CF_DEF_INC_TAX, STD)/1M</stp>
        <stp>FPR=2021Y</stp>
        <stp>FPT=A</stp>
        <stp>FA_ACT_EST_DATA=E</stp>
        <stp>ACT_EST_MAPPING=PRECISE</stp>
        <stp>FS=MRC</stp>
        <stp>CURRENCY=USD</stp>
        <stp>XLFILL=b</stp>
        <tr r="H204" s="2"/>
      </tp>
      <tp t="s">
        <v>#N/A Requesting Data...</v>
        <stp/>
        <stp>##V3_BQLV12</stp>
        <stp>[MODL_NOW_US1.xlsx]Single Period!R185C8</stp>
        <stp>NOW US Equity</stp>
        <stp>CONTRIBUTOR_STATS(BS_TOT_ASSET, STD)/1M</stp>
        <stp>FPR=2021Y</stp>
        <stp>FPT=A</stp>
        <stp>FA_ACT_EST_DATA=E</stp>
        <stp>ACT_EST_MAPPING=PRECISE</stp>
        <stp>FS=MRC</stp>
        <stp>CURRENCY=USD</stp>
        <stp>XLFILL=b</stp>
        <tr r="H185" s="2"/>
      </tp>
      <tp t="s">
        <v>#N/A Requesting Data...</v>
        <stp/>
        <stp>##V3_BQLV12</stp>
        <stp>[MODL_NOW_US1.xlsx]Single Period!R170C8</stp>
        <stp>NOW US Equity</stp>
        <stp>CONTRIBUTOR_STATS(BS_TOT_ASSET, STD)/1M</stp>
        <stp>FPR=2021Y</stp>
        <stp>FPT=A</stp>
        <stp>FA_ACT_EST_DATA=E</stp>
        <stp>ACT_EST_MAPPING=PRECISE</stp>
        <stp>FS=MRC</stp>
        <stp>CURRENCY=USD</stp>
        <stp>XLFILL=b</stp>
        <tr r="H170" s="2"/>
      </tp>
      <tp t="s">
        <v>#N/A Requesting Data...</v>
        <stp/>
        <stp>##V3_BQLV12</stp>
        <stp>[MODL_NOW_US1.xlsx]Single Period!R175C6</stp>
        <stp>NOW US Equity</stp>
        <stp>CONTRIBUTOR_STATS(BS_ACCRUD_EXPNSS_AND_OTHR, MIN)/1M</stp>
        <stp>FPR=2021Y</stp>
        <stp>FPT=A</stp>
        <stp>FA_ACT_EST_DATA=E</stp>
        <stp>ACT_EST_MAPPING=PRECISE</stp>
        <stp>FS=MRC</stp>
        <stp>CURRENCY=USD</stp>
        <stp>XLFILL=b</stp>
        <tr r="F175" s="2"/>
      </tp>
      <tp t="s">
        <v>#N/A Requesting Data...</v>
        <stp/>
        <stp>##V3_BQLV12</stp>
        <stp>[MODL_NOW_US1.xlsx]Single Period!R204C7</stp>
        <stp>NOW US Equity</stp>
        <stp>CONTRIBUTOR_STATS(CF_DEF_INC_TAX, MAX)/1M</stp>
        <stp>FPR=2021Y</stp>
        <stp>FPT=A</stp>
        <stp>FA_ACT_EST_DATA=E</stp>
        <stp>ACT_EST_MAPPING=PRECISE</stp>
        <stp>FS=MRC</stp>
        <stp>CURRENCY=USD</stp>
        <stp>XLFILL=b</stp>
        <tr r="G204" s="2"/>
      </tp>
      <tp t="s">
        <v>#N/A Requesting Data...</v>
        <stp/>
        <stp>##V3_BQLV12</stp>
        <stp>[MODL_NOW_US1.xlsx]Single Period!R204C6</stp>
        <stp>NOW US Equity</stp>
        <stp>CONTRIBUTOR_STATS(CF_DEF_INC_TAX, MIN)/1M</stp>
        <stp>FPR=2021Y</stp>
        <stp>FPT=A</stp>
        <stp>FA_ACT_EST_DATA=E</stp>
        <stp>ACT_EST_MAPPING=PRECISE</stp>
        <stp>FS=MRC</stp>
        <stp>CURRENCY=USD</stp>
        <stp>XLFILL=b</stp>
        <tr r="F204" s="2"/>
      </tp>
      <tp t="s">
        <v>#N/A Requesting Data...</v>
        <stp/>
        <stp>##V3_BQLV12</stp>
        <stp>[MODL_NOW_US1.xlsx]Single Period!R170C6</stp>
        <stp>NOW US Equity</stp>
        <stp>CONTRIBUTOR_STATS(BS_TOT_ASSET, MIN)/1M</stp>
        <stp>FPR=2021Y</stp>
        <stp>FPT=A</stp>
        <stp>FA_ACT_EST_DATA=E</stp>
        <stp>ACT_EST_MAPPING=PRECISE</stp>
        <stp>FS=MRC</stp>
        <stp>CURRENCY=USD</stp>
        <stp>XLFILL=b</stp>
        <tr r="F170" s="2"/>
      </tp>
      <tp t="s">
        <v>#N/A Requesting Data...</v>
        <stp/>
        <stp>##V3_BQLV12</stp>
        <stp>[MODL_NOW_US1.xlsx]Single Period!R185C6</stp>
        <stp>NOW US Equity</stp>
        <stp>CONTRIBUTOR_STATS(BS_TOT_ASSET, MIN)/1M</stp>
        <stp>FPR=2021Y</stp>
        <stp>FPT=A</stp>
        <stp>FA_ACT_EST_DATA=E</stp>
        <stp>ACT_EST_MAPPING=PRECISE</stp>
        <stp>FS=MRC</stp>
        <stp>CURRENCY=USD</stp>
        <stp>XLFILL=b</stp>
        <tr r="F185" s="2"/>
      </tp>
      <tp t="s">
        <v>#N/A Requesting Data...</v>
        <stp/>
        <stp>##V3_BQLV12</stp>
        <stp>[MODL_NOW_US1.xlsx]Single Period!R185C7</stp>
        <stp>NOW US Equity</stp>
        <stp>CONTRIBUTOR_STATS(BS_TOT_ASSET, MAX)/1M</stp>
        <stp>FPR=2021Y</stp>
        <stp>FPT=A</stp>
        <stp>FA_ACT_EST_DATA=E</stp>
        <stp>ACT_EST_MAPPING=PRECISE</stp>
        <stp>FS=MRC</stp>
        <stp>CURRENCY=USD</stp>
        <stp>XLFILL=b</stp>
        <tr r="G185" s="2"/>
      </tp>
      <tp t="s">
        <v>#N/A Requesting Data...</v>
        <stp/>
        <stp>##V3_BQLV12</stp>
        <stp>[MODL_NOW_US1.xlsx]Single Period!R170C7</stp>
        <stp>NOW US Equity</stp>
        <stp>CONTRIBUTOR_STATS(BS_TOT_ASSET, MAX)/1M</stp>
        <stp>FPR=2021Y</stp>
        <stp>FPT=A</stp>
        <stp>FA_ACT_EST_DATA=E</stp>
        <stp>ACT_EST_MAPPING=PRECISE</stp>
        <stp>FS=MRC</stp>
        <stp>CURRENCY=USD</stp>
        <stp>XLFILL=b</stp>
        <tr r="G170" s="2"/>
      </tp>
      <tp t="s">
        <v>#N/A Requesting Data...</v>
        <stp/>
        <stp>##V3_BQLV12</stp>
        <stp>[MODL_NOW_US1.xlsx]Single Period!R189C7</stp>
        <stp>NOW US Equity</stp>
        <stp>CONTRIBUTOR_STATS(CUR_RATIO, MAX)</stp>
        <stp>FPR=2021Y</stp>
        <stp>FPT=A</stp>
        <stp>FA_ACT_EST_DATA=E</stp>
        <stp>ACT_EST_MAPPING=PRECISE</stp>
        <stp>FS=MRC</stp>
        <stp>CURRENCY=USD</stp>
        <stp>XLFILL=b</stp>
        <tr r="G189" s="2"/>
      </tp>
      <tp t="s">
        <v>#N/A Requesting Data...</v>
        <stp/>
        <stp>##V3_BQLV12</stp>
        <stp>[MODL_NOW_US1.xlsx]Single Period!R44C11</stp>
        <stp>SEG0000230986 Segment</stp>
        <stp>IS_FOREIGN_CURRENCY_TURNOVER/1M</stp>
        <stp>FPR=2021Y</stp>
        <stp>FPT=A</stp>
        <stp>FA_ACT_EST_DATA=E, EST_SOURCE=JPM</stp>
        <stp>ACT_EST_MAPPING=PRECISE</stp>
        <stp>FS=MRC</stp>
        <stp>CURRENCY=USD</stp>
        <stp>XLFILL=b</stp>
        <tr r="K44" s="2"/>
      </tp>
      <tp t="s">
        <v>#N/A Requesting Data...</v>
        <stp/>
        <stp>##V3_BQLV12</stp>
        <stp>[MODL_NOW_US1.xlsx]Single Period!R124C5</stp>
        <stp>NOW US Equity</stp>
        <stp>IS_EBIT_AS_REPORTED/1M</stp>
        <stp>FPR=2021Y</stp>
        <stp>FPT=A</stp>
        <stp>FA_ACT_EST_DATA=E</stp>
        <stp>ACT_EST_MAPPING=PRECISE</stp>
        <stp>FS=MRC</stp>
        <stp>CURRENCY=USD</stp>
        <stp>XLFILL=b</stp>
        <tr r="E124" s="2"/>
      </tp>
      <tp t="s">
        <v>#N/A Requesting Data...</v>
        <stp/>
        <stp>##V3_BQLV12</stp>
        <stp>[MODL_NOW_US1.xlsx]Single Period!R68C47</stp>
        <stp>SEG0000230986 Segment</stp>
        <stp>IS_ADJUSTED_COGS_AS_REPORTED/1M</stp>
        <stp>FPR=2021Y</stp>
        <stp>FPT=A</stp>
        <stp>FA_ACT_EST_DATA=E, EST_SOURCE=SUM</stp>
        <stp>ACT_EST_MAPPING=PRECISE</stp>
        <stp>FS=MRC</stp>
        <stp>CURRENCY=USD</stp>
        <stp>XLFILL=b</stp>
        <tr r="AU68" s="2"/>
      </tp>
      <tp t="s">
        <v>#N/A Requesting Data...</v>
        <stp/>
        <stp>##V3_BQLV12</stp>
        <stp>[MODL_NOW_US1.xlsx]Single Period!R60C47</stp>
        <stp>SEG0000230975 Segment</stp>
        <stp>IS_ADJUSTED_COGS_AS_REPORTED/1M</stp>
        <stp>FPR=2021Y</stp>
        <stp>FPT=A</stp>
        <stp>FA_ACT_EST_DATA=E, EST_SOURCE=SUM</stp>
        <stp>ACT_EST_MAPPING=PRECISE</stp>
        <stp>FS=MRC</stp>
        <stp>CURRENCY=USD</stp>
        <stp>XLFILL=b</stp>
        <tr r="AU60" s="2"/>
      </tp>
      <tp t="s">
        <v>#N/A Requesting Data...</v>
        <stp/>
        <stp>##V3_BQLV12</stp>
        <stp>[MODL_NOW_US1.xlsx]Single Period!R44C47</stp>
        <stp>SEG0000230986 Segment</stp>
        <stp>IS_FOREIGN_CURRENCY_TURNOVER/1M</stp>
        <stp>FPR=2021Y</stp>
        <stp>FPT=A</stp>
        <stp>FA_ACT_EST_DATA=E, EST_SOURCE=SUM</stp>
        <stp>ACT_EST_MAPPING=PRECISE</stp>
        <stp>FS=MRC</stp>
        <stp>CURRENCY=USD</stp>
        <stp>XLFILL=b</stp>
        <tr r="AU44" s="2"/>
      </tp>
      <tp t="s">
        <v>#N/A Requesting Data...</v>
        <stp/>
        <stp>##V3_BQLV12</stp>
        <stp>[MODL_NOW_US1.xlsx]Single Period!R68C11</stp>
        <stp>SEG0000230986 Segment</stp>
        <stp>IS_ADJUSTED_COGS_AS_REPORTED/1M</stp>
        <stp>FPR=2021Y</stp>
        <stp>FPT=A</stp>
        <stp>FA_ACT_EST_DATA=E, EST_SOURCE=JPM</stp>
        <stp>ACT_EST_MAPPING=PRECISE</stp>
        <stp>FS=MRC</stp>
        <stp>CURRENCY=USD</stp>
        <stp>XLFILL=b</stp>
        <tr r="K68" s="2"/>
      </tp>
      <tp t="s">
        <v>#N/A Requesting Data...</v>
        <stp/>
        <stp>##V3_BQLV12</stp>
        <stp>[MODL_NOW_US1.xlsx]Single Period!R60C11</stp>
        <stp>SEG0000230975 Segment</stp>
        <stp>IS_ADJUSTED_COGS_AS_REPORTED/1M</stp>
        <stp>FPR=2021Y</stp>
        <stp>FPT=A</stp>
        <stp>FA_ACT_EST_DATA=E, EST_SOURCE=JPM</stp>
        <stp>ACT_EST_MAPPING=PRECISE</stp>
        <stp>FS=MRC</stp>
        <stp>CURRENCY=USD</stp>
        <stp>XLFILL=b</stp>
        <tr r="K60" s="2"/>
      </tp>
      <tp t="s">
        <v>#N/A Requesting Data...</v>
        <stp/>
        <stp>##V3_BQLV12</stp>
        <stp>[MODL_NOW_US1.xlsx]Single Period!R113C38</stp>
        <stp>SEG0000230986 Segment</stp>
        <stp>IS_COGS_TO_FE_AND_PP_AND_G/1M</stp>
        <stp>FPR=2021Y</stp>
        <stp>FPT=A</stp>
        <stp>FA_ACT_EST_DATA=E, EST_SOURCE=RWB</stp>
        <stp>ACT_EST_MAPPING=PRECISE</stp>
        <stp>FS=MRC</stp>
        <stp>CURRENCY=USD</stp>
        <stp>XLFILL=b</stp>
        <tr r="AL113" s="2"/>
      </tp>
      <tp t="s">
        <v>#N/A Requesting Data...</v>
        <stp/>
        <stp>##V3_BQLV12</stp>
        <stp>[MODL_NOW_US1.xlsx]Single Period!R59C47</stp>
        <stp>SEG0000230975 Segment</stp>
        <stp>IS_PERCENTAGE_OF_REVENUE</stp>
        <stp>FPR=2021Y</stp>
        <stp>FPT=A</stp>
        <stp>FA_ACT_EST_DATA=E, EST_SOURCE=SUM</stp>
        <stp>ACT_EST_MAPPING=PRECISE</stp>
        <stp>FS=MRC</stp>
        <stp>CURRENCY=USD</stp>
        <stp>XLFILL=b</stp>
        <tr r="AU59" s="2"/>
      </tp>
      <tp t="s">
        <v>#N/A Requesting Data...</v>
        <stp/>
        <stp>##V3_BQLV12</stp>
        <stp>[MODL_NOW_US1.xlsx]Single Period!R189C6</stp>
        <stp>NOW US Equity</stp>
        <stp>CONTRIBUTOR_STATS(CUR_RATIO, MIN)</stp>
        <stp>FPR=2021Y</stp>
        <stp>FPT=A</stp>
        <stp>FA_ACT_EST_DATA=E</stp>
        <stp>ACT_EST_MAPPING=PRECISE</stp>
        <stp>FS=MRC</stp>
        <stp>CURRENCY=USD</stp>
        <stp>XLFILL=b</stp>
        <tr r="F189" s="2"/>
      </tp>
      <tp t="s">
        <v>#N/A Requesting Data...</v>
        <stp/>
        <stp>##V3_BQLV12</stp>
        <stp>[MODL_NOW_US1.xlsx]Single Period!R67C11</stp>
        <stp>SEG0000230986 Segment</stp>
        <stp>IS_PERCENTAGE_OF_REVENUE</stp>
        <stp>FPR=2021Y</stp>
        <stp>FPT=A</stp>
        <stp>FA_ACT_EST_DATA=E, EST_SOURCE=JPM</stp>
        <stp>ACT_EST_MAPPING=PRECISE</stp>
        <stp>FS=MRC</stp>
        <stp>CURRENCY=USD</stp>
        <stp>XLFILL=b</stp>
        <tr r="K67" s="2"/>
      </tp>
      <tp t="s">
        <v>#N/A Requesting Data...</v>
        <stp/>
        <stp>##V3_BQLV12</stp>
        <stp>[MODL_NOW_US1.xlsx]Single Period!R113C24</stp>
        <stp>SEG0000230986 Segment</stp>
        <stp>IS_COGS_TO_FE_AND_PP_AND_G/1M</stp>
        <stp>FPR=2021Y</stp>
        <stp>FPT=A</stp>
        <stp>FA_ACT_EST_DATA=E, EST_SOURCE=CWN</stp>
        <stp>ACT_EST_MAPPING=PRECISE</stp>
        <stp>FS=MRC</stp>
        <stp>CURRENCY=USD</stp>
        <stp>XLFILL=b</stp>
        <tr r="X113" s="2"/>
      </tp>
      <tp t="s">
        <v>#N/A Requesting Data...</v>
        <stp/>
        <stp>##V3_BQLV12</stp>
        <stp>[MODL_NOW_US1.xlsx]Single Period!R239C8</stp>
        <stp>NOW US Equity</stp>
        <stp>CONTRIBUTOR_STATS(CFO_TO_SALES, STD)</stp>
        <stp>FPR=2021Y</stp>
        <stp>FPT=A</stp>
        <stp>FA_ACT_EST_DATA=E</stp>
        <stp>ACT_EST_MAPPING=PRECISE</stp>
        <stp>FS=MRC</stp>
        <stp>CURRENCY=USD</stp>
        <stp>XLFILL=b</stp>
        <tr r="H239" s="2"/>
      </tp>
      <tp t="s">
        <v>#N/A Requesting Data...</v>
        <stp/>
        <stp>##V3_BQLV12</stp>
        <stp>[MODL_NOW_US1.xlsx]Single Period!R113C40</stp>
        <stp>SEG0000230986 Segment</stp>
        <stp>IS_COGS_TO_FE_AND_PP_AND_G/1M</stp>
        <stp>FPR=2021Y</stp>
        <stp>FPT=A</stp>
        <stp>FA_ACT_EST_DATA=E, EST_SOURCE=DWI</stp>
        <stp>ACT_EST_MAPPING=PRECISE</stp>
        <stp>FS=MRC</stp>
        <stp>CURRENCY=USD</stp>
        <stp>XLFILL=b</stp>
        <tr r="AN113" s="2"/>
      </tp>
      <tp t="s">
        <v>#N/A Requesting Data...</v>
        <stp/>
        <stp>##V3_BQLV12</stp>
        <stp>[MODL_NOW_US1.xlsx]Single Period!R175C9</stp>
        <stp>NOW US Equity</stp>
        <stp>CONTRIBUTOR_STATS(BS_ACCRUD_EXPNSS_AND_OTHR, MEDIAN)/1M</stp>
        <stp>FPR=2021Y</stp>
        <stp>FPT=A</stp>
        <stp>FA_ACT_EST_DATA=E</stp>
        <stp>ACT_EST_MAPPING=PRECISE</stp>
        <stp>FS=MRC</stp>
        <stp>CURRENCY=USD</stp>
        <stp>XLFILL=b</stp>
        <tr r="I175" s="2"/>
      </tp>
      <tp t="s">
        <v>#N/A Requesting Data...</v>
        <stp/>
        <stp>##V3_BQLV12</stp>
        <stp>[MODL_NOW_US1.xlsx]Single Period!R44C15</stp>
        <stp>SEG0000230986 Segment</stp>
        <stp>IS_FOREIGN_CURRENCY_TURNOVER/1M</stp>
        <stp>FPR=2021Y</stp>
        <stp>FPT=A</stp>
        <stp>FA_ACT_EST_DATA=E, EST_SOURCE=OPY</stp>
        <stp>ACT_EST_MAPPING=PRECISE</stp>
        <stp>FS=MRC</stp>
        <stp>CURRENCY=USD</stp>
        <stp>XLFILL=b</stp>
        <tr r="O44" s="2"/>
      </tp>
      <tp t="s">
        <v>#N/A Requesting Data...</v>
        <stp/>
        <stp>##V3_BQLV12</stp>
        <stp>[MODL_NOW_US1.xlsx]Single Period!R68C15</stp>
        <stp>SEG0000230986 Segment</stp>
        <stp>IS_ADJUSTED_COGS_AS_REPORTED/1M</stp>
        <stp>FPR=2021Y</stp>
        <stp>FPT=A</stp>
        <stp>FA_ACT_EST_DATA=E, EST_SOURCE=OPY</stp>
        <stp>ACT_EST_MAPPING=PRECISE</stp>
        <stp>FS=MRC</stp>
        <stp>CURRENCY=USD</stp>
        <stp>XLFILL=b</stp>
        <tr r="O68" s="2"/>
      </tp>
      <tp t="s">
        <v>#N/A Requesting Data...</v>
        <stp/>
        <stp>##V3_BQLV12</stp>
        <stp>[MODL_NOW_US1.xlsx]Single Period!R60C15</stp>
        <stp>SEG0000230975 Segment</stp>
        <stp>IS_ADJUSTED_COGS_AS_REPORTED/1M</stp>
        <stp>FPR=2021Y</stp>
        <stp>FPT=A</stp>
        <stp>FA_ACT_EST_DATA=E, EST_SOURCE=OPY</stp>
        <stp>ACT_EST_MAPPING=PRECISE</stp>
        <stp>FS=MRC</stp>
        <stp>CURRENCY=USD</stp>
        <stp>XLFILL=b</stp>
        <tr r="O60" s="2"/>
      </tp>
      <tp t="s">
        <v>#N/A Requesting Data...</v>
        <stp/>
        <stp>##V3_BQLV12</stp>
        <stp>[MODL_NOW_US1.xlsx]Single Period!R59C31</stp>
        <stp>SEG0000230975 Segment</stp>
        <stp>IS_PERCENTAGE_OF_REVENUE</stp>
        <stp>FPR=2021Y</stp>
        <stp>FPT=A</stp>
        <stp>FA_ACT_EST_DATA=E, EST_SOURCE=GSR</stp>
        <stp>ACT_EST_MAPPING=PRECISE</stp>
        <stp>FS=MRC</stp>
        <stp>CURRENCY=USD</stp>
        <stp>XLFILL=b</stp>
        <tr r="AE59" s="2"/>
      </tp>
      <tp t="s">
        <v>#N/A Requesting Data...</v>
        <stp/>
        <stp>##V3_BQLV12</stp>
        <stp>[MODL_NOW_US1.xlsx]Single Period!R52C37</stp>
        <stp>NOW US Equity</stp>
        <stp>ACCT_RCV_DAYS</stp>
        <stp>FPR=2021Y</stp>
        <stp>FPT=A</stp>
        <stp>FA_ACT_EST_DATA=E, EST_SOURCE=TTC</stp>
        <stp>ACT_EST_MAPPING=PRECISE</stp>
        <stp>FS=MRC</stp>
        <stp>CURRENCY=USD</stp>
        <stp>XLFILL=b</stp>
        <tr r="AK52" s="2"/>
      </tp>
      <tp t="s">
        <v>#N/A Requesting Data...</v>
        <stp/>
        <stp>##V3_BQLV12</stp>
        <stp>[MODL_NOW_US1.xlsx]Single Period!R231C31</stp>
        <stp>NOW US Equity</stp>
        <stp>CF_NET_CHNG_CASH/1M</stp>
        <stp>FPR=2021Y</stp>
        <stp>FPT=A</stp>
        <stp>FA_ACT_EST_DATA=E, EST_SOURCE=GSR</stp>
        <stp>ACT_EST_MAPPING=PRECISE</stp>
        <stp>FS=MRC</stp>
        <stp>CURRENCY=USD</stp>
        <stp>XLFILL=b</stp>
        <tr r="AE231" s="2"/>
      </tp>
      <tp t="s">
        <v>#N/A Requesting Data...</v>
        <stp/>
        <stp>##V3_BQLV12</stp>
        <stp>[MODL_NOW_US1.xlsx]Single Period!R114C9</stp>
        <stp>SEG0000230986 Segment</stp>
        <stp>CONTRIBUTOR_STATS(CB_IS_GROSS_MARGIN, MEDIAN)</stp>
        <stp>FPR=2021Y</stp>
        <stp>FPT=A</stp>
        <stp>FA_ACT_EST_DATA=E</stp>
        <stp>ACT_EST_MAPPING=PRECISE</stp>
        <stp>FS=MRC</stp>
        <stp>CURRENCY=USD</stp>
        <stp>XLFILL=b</stp>
        <tr r="I114" s="2"/>
      </tp>
      <tp t="s">
        <v>#N/A Requesting Data...</v>
        <stp/>
        <stp>##V3_BQLV12</stp>
        <stp>[MODL_NOW_US1.xlsx]Single Period!R88C38</stp>
        <stp>NOW US Equity</stp>
        <stp>IS_ADJ_SELLING_AND_MRKTG_EXPN_AR/1M</stp>
        <stp>FPR=2021Y</stp>
        <stp>FPT=A</stp>
        <stp>FA_ACT_EST_DATA=E, EST_SOURCE=RWB</stp>
        <stp>ACT_EST_MAPPING=PRECISE</stp>
        <stp>FS=MRC</stp>
        <stp>CURRENCY=USD</stp>
        <stp>XLFILL=b</stp>
        <tr r="AL88" s="2"/>
      </tp>
      <tp t="s">
        <v>#N/A Requesting Data...</v>
        <stp/>
        <stp>##V3_BQLV12</stp>
        <stp>[MODL_NOW_US1.xlsx]Single Period!R231C35</stp>
        <stp>NOW US Equity</stp>
        <stp>CF_NET_CHNG_CASH/1M</stp>
        <stp>FPR=2021Y</stp>
        <stp>FPT=A</stp>
        <stp>FA_ACT_EST_DATA=E, EST_SOURCE=MSR</stp>
        <stp>ACT_EST_MAPPING=PRECISE</stp>
        <stp>FS=MRC</stp>
        <stp>CURRENCY=USD</stp>
        <stp>XLFILL=b</stp>
        <tr r="AI231" s="2"/>
      </tp>
      <tp t="s">
        <v>#N/A Requesting Data...</v>
        <stp/>
        <stp>##V3_BQLV12</stp>
        <stp>[MODL_NOW_US1.xlsx]Single Period!R52C42</stp>
        <stp>NOW US Equity</stp>
        <stp>ACCT_RCV_DAYS</stp>
        <stp>FPR=2021Y</stp>
        <stp>FPT=A</stp>
        <stp>FA_ACT_EST_DATA=E, EST_SOURCE=CTI</stp>
        <stp>ACT_EST_MAPPING=PRECISE</stp>
        <stp>FS=MRC</stp>
        <stp>CURRENCY=USD</stp>
        <stp>XLFILL=b</stp>
        <tr r="AP52" s="2"/>
      </tp>
      <tp t="s">
        <v>#N/A Requesting Data...</v>
        <stp/>
        <stp>##V3_BQLV12</stp>
        <stp>[MODL_NOW_US1.xlsx]Single Period!R26C38</stp>
        <stp>NOW US Equity</stp>
        <stp>IS_ADJ_SELLING_AND_MRKTG_EXPN_AR/1M</stp>
        <stp>FPR=2021Y</stp>
        <stp>FPT=A</stp>
        <stp>FA_ACT_EST_DATA=E, EST_SOURCE=RWB</stp>
        <stp>ACT_EST_MAPPING=PRECISE</stp>
        <stp>FS=MRC</stp>
        <stp>CURRENCY=USD</stp>
        <stp>XLFILL=b</stp>
        <tr r="AL26" s="2"/>
      </tp>
      <tp t="s">
        <v>#N/A Requesting Data...</v>
        <stp/>
        <stp>##V3_BQLV12</stp>
        <stp>[MODL_NOW_US1.xlsx]Single Period!R231C34</stp>
        <stp>NOW US Equity</stp>
        <stp>CF_NET_CHNG_CASH/1M</stp>
        <stp>FPR=2021Y</stp>
        <stp>FPT=A</stp>
        <stp>FA_ACT_EST_DATA=E, EST_SOURCE=PSG</stp>
        <stp>ACT_EST_MAPPING=PRECISE</stp>
        <stp>FS=MRC</stp>
        <stp>CURRENCY=USD</stp>
        <stp>XLFILL=b</stp>
        <tr r="AH231" s="2"/>
      </tp>
      <tp t="s">
        <v>#N/A Requesting Data...</v>
        <stp/>
        <stp>##V3_BQLV12</stp>
        <stp>[MODL_NOW_US1.xlsx]Single Period!R88C28</stp>
        <stp>NOW US Equity</stp>
        <stp>IS_ADJ_SELLING_AND_MRKTG_EXPN_AR/1M</stp>
        <stp>FPR=2021Y</stp>
        <stp>FPT=A</stp>
        <stp>FA_ACT_EST_DATA=E, EST_SOURCE=EVR</stp>
        <stp>ACT_EST_MAPPING=PRECISE</stp>
        <stp>FS=MRC</stp>
        <stp>CURRENCY=USD</stp>
        <stp>XLFILL=b</stp>
        <tr r="AB88" s="2"/>
      </tp>
      <tp t="s">
        <v>#N/A Requesting Data...</v>
        <stp/>
        <stp>##V3_BQLV12</stp>
        <stp>[MODL_NOW_US1.xlsx]Single Period!R140C17</stp>
        <stp>SEG0000230975 Segment</stp>
        <stp>IS_SBC_ATTRIB_TO_COGS_PRETX/1M</stp>
        <stp>FPR=2021Y</stp>
        <stp>FPT=A</stp>
        <stp>FA_ACT_EST_DATA=E, EST_SOURCE=RHR</stp>
        <stp>ACT_EST_MAPPING=PRECISE</stp>
        <stp>FS=MRC</stp>
        <stp>CURRENCY=USD</stp>
        <stp>XLFILL=b</stp>
        <tr r="Q140" s="2"/>
      </tp>
      <tp t="s">
        <v>#N/A Requesting Data...</v>
        <stp/>
        <stp>##V3_BQLV12</stp>
        <stp>[MODL_NOW_US1.xlsx]Single Period!R53C41</stp>
        <stp>NOW US Equity</stp>
        <stp>ANNUALIZED_DAYS_SALES_OUTSTDG</stp>
        <stp>FPR=2021Y</stp>
        <stp>FPT=A</stp>
        <stp>FA_ACT_EST_DATA=E, EST_SOURCE=ARG</stp>
        <stp>ACT_EST_MAPPING=PRECISE</stp>
        <stp>FS=MRC</stp>
        <stp>CURRENCY=USD</stp>
        <stp>XLFILL=b</stp>
        <tr r="AO53" s="2"/>
      </tp>
      <tp t="s">
        <v>#N/A Requesting Data...</v>
        <stp/>
        <stp>##V3_BQLV12</stp>
        <stp>[MODL_NOW_US1.xlsx]Single Period!R53C44</stp>
        <stp>NOW US Equity</stp>
        <stp>ANNUALIZED_DAYS_SALES_OUTSTDG</stp>
        <stp>FPR=2021Y</stp>
        <stp>FPT=A</stp>
        <stp>FA_ACT_EST_DATA=E, EST_SOURCE=ARE</stp>
        <stp>ACT_EST_MAPPING=PRECISE</stp>
        <stp>FS=MRC</stp>
        <stp>CURRENCY=USD</stp>
        <stp>XLFILL=b</stp>
        <tr r="AR53" s="2"/>
      </tp>
      <tp t="s">
        <v>#N/A Requesting Data...</v>
        <stp/>
        <stp>##V3_BQLV12</stp>
        <stp>[MODL_NOW_US1.xlsx]Single Period!R231C42</stp>
        <stp>NOW US Equity</stp>
        <stp>CF_NET_CHNG_CASH/1M</stp>
        <stp>FPR=2021Y</stp>
        <stp>FPT=A</stp>
        <stp>FA_ACT_EST_DATA=E, EST_SOURCE=CTI</stp>
        <stp>ACT_EST_MAPPING=PRECISE</stp>
        <stp>FS=MRC</stp>
        <stp>CURRENCY=USD</stp>
        <stp>XLFILL=b</stp>
        <tr r="AP231" s="2"/>
      </tp>
      <tp t="s">
        <v>#N/A Requesting Data...</v>
        <stp/>
        <stp>##V3_BQLV12</stp>
        <stp>[MODL_NOW_US1.xlsx]Single Period!R162C37</stp>
        <stp>NOW US Equity</stp>
        <stp>BS_LONG_TERM_INVESTMENTS/1M</stp>
        <stp>FPR=2021Y</stp>
        <stp>FPT=A</stp>
        <stp>FA_ACT_EST_DATA=E, EST_SOURCE=TTC</stp>
        <stp>ACT_EST_MAPPING=PRECISE</stp>
        <stp>FS=MRC</stp>
        <stp>CURRENCY=USD</stp>
        <stp>XLFILL=b</stp>
        <tr r="AK162" s="2"/>
      </tp>
      <tp t="s">
        <v>#N/A Requesting Data...</v>
        <stp/>
        <stp>##V3_BQLV12</stp>
        <stp>[MODL_NOW_US1.xlsx]Single Period!R53C48</stp>
        <stp>NOW US Equity</stp>
        <stp>ANNUALIZED_DAYS_SALES_OUTSTDG</stp>
        <stp>FPR=2021Y</stp>
        <stp>FPT=A</stp>
        <stp>FA_ACT_EST_DATA=E, EST_SOURCE=CRC</stp>
        <stp>ACT_EST_MAPPING=PRECISE</stp>
        <stp>FS=MRC</stp>
        <stp>CURRENCY=USD</stp>
        <stp>XLFILL=b</stp>
        <tr r="AV53" s="2"/>
      </tp>
      <tp t="s">
        <v>#N/A Requesting Data...</v>
        <stp/>
        <stp>##V3_BQLV12</stp>
        <stp>[MODL_NOW_US1.xlsx]Single Period!R26C28</stp>
        <stp>NOW US Equity</stp>
        <stp>IS_ADJ_SELLING_AND_MRKTG_EXPN_AR/1M</stp>
        <stp>FPR=2021Y</stp>
        <stp>FPT=A</stp>
        <stp>FA_ACT_EST_DATA=E, EST_SOURCE=EVR</stp>
        <stp>ACT_EST_MAPPING=PRECISE</stp>
        <stp>FS=MRC</stp>
        <stp>CURRENCY=USD</stp>
        <stp>XLFILL=b</stp>
        <tr r="AB26" s="2"/>
      </tp>
      <tp t="s">
        <v>#N/A Requesting Data...</v>
        <stp/>
        <stp>##V3_BQLV12</stp>
        <stp>[MODL_NOW_US1.xlsx]Single Period!R129C10</stp>
        <stp>NOW US Equity</stp>
        <stp>EFF_TAX_RATE</stp>
        <stp>FPR=2021Y</stp>
        <stp>FPT=A</stp>
        <stp>FA_ACT_EST_DATA=E, EST_SOURCE=CMPY</stp>
        <stp>ACT_EST_MAPPING=PRECISE</stp>
        <stp>FS=MRC</stp>
        <stp>CURRENCY=USD</stp>
        <stp>XLFILL=b</stp>
        <tr r="J129" s="2"/>
      </tp>
      <tp t="s">
        <v>#N/A Requesting Data...</v>
        <stp/>
        <stp>##V3_BQLV12</stp>
        <stp>[MODL_NOW_US1.xlsx]Single Period!R95C44</stp>
        <stp>NOW US Equity</stp>
        <stp>IS_COMPARABLE_EBIT/1M</stp>
        <stp>FPR=2021Y</stp>
        <stp>FPT=A</stp>
        <stp>FA_ACT_EST_DATA=E, EST_SOURCE=ARE</stp>
        <stp>ACT_EST_MAPPING=PRECISE</stp>
        <stp>FS=MRC</stp>
        <stp>CURRENCY=USD</stp>
        <stp>XLFILL=b</stp>
        <tr r="AR95" s="2"/>
      </tp>
      <tp t="s">
        <v>#N/A Requesting Data...</v>
        <stp/>
        <stp>##V3_BQLV12</stp>
        <stp>[MODL_NOW_US1.xlsx]Single Period!R64C7</stp>
        <stp>SEG0000230975 Segment</stp>
        <stp>CONTRIBUTOR_STATS(CB_IS_GROSS_MARGIN, MAX)</stp>
        <stp>FPR=2021Y</stp>
        <stp>FPT=A</stp>
        <stp>FA_ACT_EST_DATA=E</stp>
        <stp>ACT_EST_MAPPING=PRECISE</stp>
        <stp>FS=MRC</stp>
        <stp>CURRENCY=USD</stp>
        <stp>XLFILL=b</stp>
        <tr r="G64" s="2"/>
      </tp>
      <tp t="s">
        <v>#N/A Requesting Data...</v>
        <stp/>
        <stp>##V3_BQLV12</stp>
        <stp>[MODL_NOW_US1.xlsx]Single Period!R108C16</stp>
        <stp>NOW US Equity</stp>
        <stp>IS_COMP_EPS_EXCL_STOCK_COMP</stp>
        <stp>FPR=2021Y</stp>
        <stp>FPT=A</stp>
        <stp>FA_ACT_EST_DATA=E, EST_SOURCE=BCA</stp>
        <stp>ACT_EST_MAPPING=PRECISE</stp>
        <stp>FS=MRC</stp>
        <stp>CURRENCY=USD</stp>
        <stp>XLFILL=b</stp>
        <tr r="P108" s="2"/>
      </tp>
      <tp t="s">
        <v>#N/A Requesting Data...</v>
        <stp/>
        <stp>##V3_BQLV12</stp>
        <stp>[MODL_NOW_US1.xlsx]Single Period!R95C41</stp>
        <stp>NOW US Equity</stp>
        <stp>IS_COMPARABLE_EBIT/1M</stp>
        <stp>FPR=2021Y</stp>
        <stp>FPT=A</stp>
        <stp>FA_ACT_EST_DATA=E, EST_SOURCE=ARG</stp>
        <stp>ACT_EST_MAPPING=PRECISE</stp>
        <stp>FS=MRC</stp>
        <stp>CURRENCY=USD</stp>
        <stp>XLFILL=b</stp>
        <tr r="AO95" s="2"/>
      </tp>
      <tp t="s">
        <v>#N/A Requesting Data...</v>
        <stp/>
        <stp>##V3_BQLV12</stp>
        <stp>[MODL_NOW_US1.xlsx]Single Period!R108C33</stp>
        <stp>NOW US Equity</stp>
        <stp>IS_COMP_EPS_EXCL_STOCK_COMP</stp>
        <stp>FPR=2021Y</stp>
        <stp>FPT=A</stp>
        <stp>FA_ACT_EST_DATA=E, EST_SOURCE=MAC</stp>
        <stp>ACT_EST_MAPPING=PRECISE</stp>
        <stp>FS=MRC</stp>
        <stp>CURRENCY=USD</stp>
        <stp>XLFILL=b</stp>
        <tr r="AG108" s="2"/>
      </tp>
      <tp t="s">
        <v>#N/A Requesting Data...</v>
        <stp/>
        <stp>##V3_BQLV12</stp>
        <stp>[MODL_NOW_US1.xlsx]Single Period!R95C48</stp>
        <stp>NOW US Equity</stp>
        <stp>IS_COMPARABLE_EBIT/1M</stp>
        <stp>FPR=2021Y</stp>
        <stp>FPT=A</stp>
        <stp>FA_ACT_EST_DATA=E, EST_SOURCE=CRC</stp>
        <stp>ACT_EST_MAPPING=PRECISE</stp>
        <stp>FS=MRC</stp>
        <stp>CURRENCY=USD</stp>
        <stp>XLFILL=b</stp>
        <tr r="AV95" s="2"/>
      </tp>
      <tp t="s">
        <v>#N/A Requesting Data...</v>
        <stp/>
        <stp>##V3_BQLV12</stp>
        <stp>[MODL_NOW_US1.xlsx]Single Period!R11C15</stp>
        <stp>NOW US Equity</stp>
        <stp>NUM_CSTMR_CNTRCT_OVER_1_MILLN</stp>
        <stp>FPR=2021Y</stp>
        <stp>FPT=A</stp>
        <stp>FA_ACT_EST_DATA=E, EST_SOURCE=OPY</stp>
        <stp>ACT_EST_MAPPING=PRECISE</stp>
        <stp>FS=MRC</stp>
        <stp>CURRENCY=USD</stp>
        <stp>XLFILL=b</stp>
        <tr r="O11" s="2"/>
      </tp>
      <tp t="s">
        <v>#N/A Requesting Data...</v>
        <stp/>
        <stp>##V3_BQLV12</stp>
        <stp>[MODL_NOW_US1.xlsx]Single Period!R108C30</stp>
        <stp>NOW US Equity</stp>
        <stp>IS_COMP_EPS_EXCL_STOCK_COMP</stp>
        <stp>FPR=2021Y</stp>
        <stp>FPT=A</stp>
        <stp>FA_ACT_EST_DATA=E, EST_SOURCE=BAM</stp>
        <stp>ACT_EST_MAPPING=PRECISE</stp>
        <stp>FS=MRC</stp>
        <stp>CURRENCY=USD</stp>
        <stp>XLFILL=b</stp>
        <tr r="AD108" s="2"/>
      </tp>
      <tp t="s">
        <v>#N/A Requesting Data...</v>
        <stp/>
        <stp>##V3_BQLV12</stp>
        <stp>[MODL_NOW_US1.xlsx]Single Period!R64C6</stp>
        <stp>SEG0000230975 Segment</stp>
        <stp>CONTRIBUTOR_STATS(CB_IS_GROSS_MARGIN, MIN)</stp>
        <stp>FPR=2021Y</stp>
        <stp>FPT=A</stp>
        <stp>FA_ACT_EST_DATA=E</stp>
        <stp>ACT_EST_MAPPING=PRECISE</stp>
        <stp>FS=MRC</stp>
        <stp>CURRENCY=USD</stp>
        <stp>XLFILL=b</stp>
        <tr r="F64" s="2"/>
      </tp>
      <tp t="s">
        <v>#N/A Requesting Data...</v>
        <stp/>
        <stp>##V3_BQLV12</stp>
        <stp>[MODL_NOW_US1.xlsx]Single Period!R142C10</stp>
        <stp>NOW US Equity</stp>
        <stp>IS_SBC_ATT_TO_S_AND_M_PRETX/1M</stp>
        <stp>FPR=2021Y</stp>
        <stp>FPT=A</stp>
        <stp>FA_ACT_EST_DATA=E, EST_SOURCE=CMPY</stp>
        <stp>ACT_EST_MAPPING=PRECISE</stp>
        <stp>FS=MRC</stp>
        <stp>CURRENCY=USD</stp>
        <stp>XLFILL=b</stp>
        <tr r="J142" s="2"/>
      </tp>
      <tp t="s">
        <v>#N/A Requesting Data...</v>
        <stp/>
        <stp>##V3_BQLV12</stp>
        <stp>[MODL_NOW_US1.xlsx]Single Period!R108C43</stp>
        <stp>NOW US Equity</stp>
        <stp>IS_COMP_EPS_EXCL_STOCK_COMP</stp>
        <stp>FPR=2021Y</stp>
        <stp>FPT=A</stp>
        <stp>FA_ACT_EST_DATA=E, EST_SOURCE=WFT</stp>
        <stp>ACT_EST_MAPPING=PRECISE</stp>
        <stp>FS=MRC</stp>
        <stp>CURRENCY=USD</stp>
        <stp>XLFILL=b</stp>
        <tr r="AQ108" s="2"/>
      </tp>
      <tp t="s">
        <v>#N/A Requesting Data...</v>
        <stp/>
        <stp>##V3_BQLV12</stp>
        <stp>[MODL_NOW_US1.xlsx]Single Period!R11C11</stp>
        <stp>NOW US Equity</stp>
        <stp>NUM_CSTMR_CNTRCT_OVER_1_MILLN</stp>
        <stp>FPR=2021Y</stp>
        <stp>FPT=A</stp>
        <stp>FA_ACT_EST_DATA=E, EST_SOURCE=JPM</stp>
        <stp>ACT_EST_MAPPING=PRECISE</stp>
        <stp>FS=MRC</stp>
        <stp>CURRENCY=USD</stp>
        <stp>XLFILL=b</stp>
        <tr r="K11" s="2"/>
      </tp>
      <tp t="s">
        <v>#N/A Requesting Data...</v>
        <stp/>
        <stp>##V3_BQLV12</stp>
        <stp>[MODL_NOW_US1.xlsx]Single Period!R123C8</stp>
        <stp>NOW US Equity</stp>
        <stp>CONTRIBUTOR_STATS(TOTAL_OPERATING_EXPENSES_RATIO, STD)/1M</stp>
        <stp>FPR=2021Y</stp>
        <stp>FPT=A</stp>
        <stp>FA_ACT_EST_DATA=E</stp>
        <stp>ACT_EST_MAPPING=PRECISE</stp>
        <stp>FS=MRC</stp>
        <stp>CURRENCY=USD</stp>
        <stp>XLFILL=b</stp>
        <tr r="H123" s="2"/>
      </tp>
      <tp t="s">
        <v>#N/A Requesting Data...</v>
        <stp/>
        <stp>##V3_BQLV12</stp>
        <stp>[MODL_NOW_US1.xlsx]Single Period!R128C7</stp>
        <stp>NOW US Equity</stp>
        <stp>CONTRIBUTOR_STATS(IS_INC_TAX_EXP, MAX)/1M</stp>
        <stp>FPR=2021Y</stp>
        <stp>FPT=A</stp>
        <stp>FA_ACT_EST_DATA=E</stp>
        <stp>ACT_EST_MAPPING=PRECISE</stp>
        <stp>FS=MRC</stp>
        <stp>CURRENCY=USD</stp>
        <stp>XLFILL=b</stp>
        <tr r="G128" s="2"/>
      </tp>
      <tp t="s">
        <v>#N/A Requesting Data...</v>
        <stp/>
        <stp>##V3_BQLV12</stp>
        <stp>[MODL_NOW_US1.xlsx]Single Period!R128C6</stp>
        <stp>NOW US Equity</stp>
        <stp>CONTRIBUTOR_STATS(IS_INC_TAX_EXP, MIN)/1M</stp>
        <stp>FPR=2021Y</stp>
        <stp>FPT=A</stp>
        <stp>FA_ACT_EST_DATA=E</stp>
        <stp>ACT_EST_MAPPING=PRECISE</stp>
        <stp>FS=MRC</stp>
        <stp>CURRENCY=USD</stp>
        <stp>XLFILL=b</stp>
        <tr r="F128" s="2"/>
      </tp>
      <tp t="s">
        <v>#N/A Requesting Data...</v>
        <stp/>
        <stp>##V3_BQLV12</stp>
        <stp>[MODL_NOW_US1.xlsx]Single Period!R233C6</stp>
        <stp>NOW US Equity</stp>
        <stp>CONTRIBUTOR_STATS(CF_CASH_AND_CASH_EQUIV_END_BAL, MIN)/1M</stp>
        <stp>FPR=2021Y</stp>
        <stp>FPT=A</stp>
        <stp>FA_ACT_EST_DATA=E</stp>
        <stp>ACT_EST_MAPPING=PRECISE</stp>
        <stp>FS=MRC</stp>
        <stp>CURRENCY=USD</stp>
        <stp>XLFILL=b</stp>
        <tr r="F233" s="2"/>
      </tp>
      <tp t="s">
        <v>#N/A Requesting Data...</v>
        <stp/>
        <stp>##V3_BQLV12</stp>
        <stp>[MODL_NOW_US1.xlsx]Single Period!R233C7</stp>
        <stp>NOW US Equity</stp>
        <stp>CONTRIBUTOR_STATS(CF_CASH_AND_CASH_EQUIV_END_BAL, MAX)/1M</stp>
        <stp>FPR=2021Y</stp>
        <stp>FPT=A</stp>
        <stp>FA_ACT_EST_DATA=E</stp>
        <stp>ACT_EST_MAPPING=PRECISE</stp>
        <stp>FS=MRC</stp>
        <stp>CURRENCY=USD</stp>
        <stp>XLFILL=b</stp>
        <tr r="G233" s="2"/>
      </tp>
      <tp t="s">
        <v>#N/A Requesting Data...</v>
        <stp/>
        <stp>##V3_BQLV12</stp>
        <stp>[MODL_NOW_US1.xlsx]Single Period!R233C8</stp>
        <stp>NOW US Equity</stp>
        <stp>CONTRIBUTOR_STATS(CF_CASH_AND_CASH_EQUIV_END_BAL, STD)/1M</stp>
        <stp>FPR=2021Y</stp>
        <stp>FPT=A</stp>
        <stp>FA_ACT_EST_DATA=E</stp>
        <stp>ACT_EST_MAPPING=PRECISE</stp>
        <stp>FS=MRC</stp>
        <stp>CURRENCY=USD</stp>
        <stp>XLFILL=b</stp>
        <tr r="H233" s="2"/>
      </tp>
      <tp t="s">
        <v>#N/A Requesting Data...</v>
        <stp/>
        <stp>##V3_BQLV12</stp>
        <stp>[MODL_NOW_US1.xlsx]Single Period!R128C8</stp>
        <stp>NOW US Equity</stp>
        <stp>CONTRIBUTOR_STATS(IS_INC_TAX_EXP, STD)/1M</stp>
        <stp>FPR=2021Y</stp>
        <stp>FPT=A</stp>
        <stp>FA_ACT_EST_DATA=E</stp>
        <stp>ACT_EST_MAPPING=PRECISE</stp>
        <stp>FS=MRC</stp>
        <stp>CURRENCY=USD</stp>
        <stp>XLFILL=b</stp>
        <tr r="H128" s="2"/>
      </tp>
      <tp t="s">
        <v>#N/A Requesting Data...</v>
        <stp/>
        <stp>##V3_BQLV12</stp>
        <stp>[MODL_NOW_US1.xlsx]Single Period!R123C7</stp>
        <stp>NOW US Equity</stp>
        <stp>CONTRIBUTOR_STATS(TOTAL_OPERATING_EXPENSES_RATIO, MAX)/1M</stp>
        <stp>FPR=2021Y</stp>
        <stp>FPT=A</stp>
        <stp>FA_ACT_EST_DATA=E</stp>
        <stp>ACT_EST_MAPPING=PRECISE</stp>
        <stp>FS=MRC</stp>
        <stp>CURRENCY=USD</stp>
        <stp>XLFILL=b</stp>
        <tr r="G123" s="2"/>
      </tp>
      <tp t="s">
        <v>#N/A Requesting Data...</v>
        <stp/>
        <stp>##V3_BQLV12</stp>
        <stp>[MODL_NOW_US1.xlsx]Single Period!R123C6</stp>
        <stp>NOW US Equity</stp>
        <stp>CONTRIBUTOR_STATS(TOTAL_OPERATING_EXPENSES_RATIO, MIN)/1M</stp>
        <stp>FPR=2021Y</stp>
        <stp>FPT=A</stp>
        <stp>FA_ACT_EST_DATA=E</stp>
        <stp>ACT_EST_MAPPING=PRECISE</stp>
        <stp>FS=MRC</stp>
        <stp>CURRENCY=USD</stp>
        <stp>XLFILL=b</stp>
        <tr r="F123" s="2"/>
      </tp>
      <tp t="s">
        <v>#N/A Requesting Data...</v>
        <stp/>
        <stp>##V3_BQLV12</stp>
        <stp>[MODL_NOW_US1.xlsx]Single Period!R59C41</stp>
        <stp>SEG0000230975 Segment</stp>
        <stp>IS_PERCENTAGE_OF_REVENUE</stp>
        <stp>FPR=2021Y</stp>
        <stp>FPT=A</stp>
        <stp>FA_ACT_EST_DATA=E, EST_SOURCE=ARG</stp>
        <stp>ACT_EST_MAPPING=PRECISE</stp>
        <stp>FS=MRC</stp>
        <stp>CURRENCY=USD</stp>
        <stp>XLFILL=b</stp>
        <tr r="AO59" s="2"/>
      </tp>
      <tp t="s">
        <v>#N/A Requesting Data...</v>
        <stp/>
        <stp>##V3_BQLV12</stp>
        <stp>[MODL_NOW_US1.xlsx]Single Period!R68C42</stp>
        <stp>SEG0000230986 Segment</stp>
        <stp>IS_ADJUSTED_COGS_AS_REPORTED/1M</stp>
        <stp>FPR=2021Y</stp>
        <stp>FPT=A</stp>
        <stp>FA_ACT_EST_DATA=E, EST_SOURCE=CTI</stp>
        <stp>ACT_EST_MAPPING=PRECISE</stp>
        <stp>FS=MRC</stp>
        <stp>CURRENCY=USD</stp>
        <stp>XLFILL=b</stp>
        <tr r="AP68" s="2"/>
      </tp>
      <tp t="s">
        <v>#N/A Requesting Data...</v>
        <stp/>
        <stp>##V3_BQLV12</stp>
        <stp>[MODL_NOW_US1.xlsx]Single Period!R60C42</stp>
        <stp>SEG0000230975 Segment</stp>
        <stp>IS_ADJUSTED_COGS_AS_REPORTED/1M</stp>
        <stp>FPR=2021Y</stp>
        <stp>FPT=A</stp>
        <stp>FA_ACT_EST_DATA=E, EST_SOURCE=CTI</stp>
        <stp>ACT_EST_MAPPING=PRECISE</stp>
        <stp>FS=MRC</stp>
        <stp>CURRENCY=USD</stp>
        <stp>XLFILL=b</stp>
        <tr r="AP60" s="2"/>
      </tp>
      <tp t="s">
        <v>#N/A Requesting Data...</v>
        <stp/>
        <stp>##V3_BQLV12</stp>
        <stp>[MODL_NOW_US1.xlsx]Single Period!R44C42</stp>
        <stp>SEG0000230986 Segment</stp>
        <stp>IS_FOREIGN_CURRENCY_TURNOVER/1M</stp>
        <stp>FPR=2021Y</stp>
        <stp>FPT=A</stp>
        <stp>FA_ACT_EST_DATA=E, EST_SOURCE=CTI</stp>
        <stp>ACT_EST_MAPPING=PRECISE</stp>
        <stp>FS=MRC</stp>
        <stp>CURRENCY=USD</stp>
        <stp>XLFILL=b</stp>
        <tr r="AP44" s="2"/>
      </tp>
      <tp t="s">
        <v>#N/A Requesting Data...</v>
        <stp/>
        <stp>##V3_BQLV12</stp>
        <stp>[MODL_NOW_US1.xlsx]Single Period!R59C37</stp>
        <stp>SEG0000230975 Segment</stp>
        <stp>IS_PERCENTAGE_OF_REVENUE</stp>
        <stp>FPR=2021Y</stp>
        <stp>FPT=A</stp>
        <stp>FA_ACT_EST_DATA=E, EST_SOURCE=TTC</stp>
        <stp>ACT_EST_MAPPING=PRECISE</stp>
        <stp>FS=MRC</stp>
        <stp>CURRENCY=USD</stp>
        <stp>XLFILL=b</stp>
        <tr r="AK59" s="2"/>
      </tp>
      <tp t="s">
        <v>#N/A Requesting Data...</v>
        <stp/>
        <stp>##V3_BQLV12</stp>
        <stp>[MODL_NOW_US1.xlsx]Single Period!R59C39</stp>
        <stp>SEG0000230975 Segment</stp>
        <stp>IS_PERCENTAGE_OF_REVENUE</stp>
        <stp>FPR=2021Y</stp>
        <stp>FPT=A</stp>
        <stp>FA_ACT_EST_DATA=E, EST_SOURCE=DZB</stp>
        <stp>ACT_EST_MAPPING=PRECISE</stp>
        <stp>FS=MRC</stp>
        <stp>CURRENCY=USD</stp>
        <stp>XLFILL=b</stp>
        <tr r="AM59" s="2"/>
      </tp>
      <tp t="s">
        <v>#N/A Requesting Data...</v>
        <stp/>
        <stp>##V3_BQLV12</stp>
        <stp>[MODL_NOW_US1.xlsx]Single Period!R137C5</stp>
        <stp>NOW US Equity</stp>
        <stp>CF_STOCK_BASED_COMPENSATION/1M</stp>
        <stp>FPR=2021Y</stp>
        <stp>FPT=A</stp>
        <stp>FA_ACT_EST_DATA=E</stp>
        <stp>ACT_EST_MAPPING=PRECISE</stp>
        <stp>FS=MRC</stp>
        <stp>CURRENCY=USD</stp>
        <stp>XLFILL=b</stp>
        <tr r="E137" s="2"/>
      </tp>
      <tp t="s">
        <v>#N/A Requesting Data...</v>
        <stp/>
        <stp>##V3_BQLV12</stp>
        <stp>[MODL_NOW_US1.xlsx]Single Period!R59C24</stp>
        <stp>SEG0000230975 Segment</stp>
        <stp>IS_PERCENTAGE_OF_REVENUE</stp>
        <stp>FPR=2021Y</stp>
        <stp>FPT=A</stp>
        <stp>FA_ACT_EST_DATA=E, EST_SOURCE=CWN</stp>
        <stp>ACT_EST_MAPPING=PRECISE</stp>
        <stp>FS=MRC</stp>
        <stp>CURRENCY=USD</stp>
        <stp>XLFILL=b</stp>
        <tr r="X59" s="2"/>
      </tp>
      <tp t="s">
        <v>#N/A Requesting Data...</v>
        <stp/>
        <stp>##V3_BQLV12</stp>
        <stp>[MODL_NOW_US1.xlsx]Single Period!R68C34</stp>
        <stp>SEG0000230986 Segment</stp>
        <stp>IS_ADJUSTED_COGS_AS_REPORTED/1M</stp>
        <stp>FPR=2021Y</stp>
        <stp>FPT=A</stp>
        <stp>FA_ACT_EST_DATA=E, EST_SOURCE=PSG</stp>
        <stp>ACT_EST_MAPPING=PRECISE</stp>
        <stp>FS=MRC</stp>
        <stp>CURRENCY=USD</stp>
        <stp>XLFILL=b</stp>
        <tr r="AH68" s="2"/>
      </tp>
      <tp t="s">
        <v>#N/A Requesting Data...</v>
        <stp/>
        <stp>##V3_BQLV12</stp>
        <stp>[MODL_NOW_US1.xlsx]Single Period!R60C34</stp>
        <stp>SEG0000230975 Segment</stp>
        <stp>IS_ADJUSTED_COGS_AS_REPORTED/1M</stp>
        <stp>FPR=2021Y</stp>
        <stp>FPT=A</stp>
        <stp>FA_ACT_EST_DATA=E, EST_SOURCE=PSG</stp>
        <stp>ACT_EST_MAPPING=PRECISE</stp>
        <stp>FS=MRC</stp>
        <stp>CURRENCY=USD</stp>
        <stp>XLFILL=b</stp>
        <tr r="AH60" s="2"/>
      </tp>
      <tp t="s">
        <v>#N/A Requesting Data...</v>
        <stp/>
        <stp>##V3_BQLV12</stp>
        <stp>[MODL_NOW_US1.xlsx]Single Period!R24C14</stp>
        <stp>NOW US Equity</stp>
        <stp>IS_ADJ_GROSS_PROFIT_AS_REPORTED/1M</stp>
        <stp>FPR=2021Y</stp>
        <stp>FPT=A</stp>
        <stp>FA_ACT_EST_DATA=E, EST_SOURCE=BMO</stp>
        <stp>ACT_EST_MAPPING=PRECISE</stp>
        <stp>FS=MRC</stp>
        <stp>CURRENCY=USD</stp>
        <stp>XLFILL=b</stp>
        <tr r="N24" s="2"/>
      </tp>
      <tp t="s">
        <v>#N/A Requesting Data...</v>
        <stp/>
        <stp>##V3_BQLV12</stp>
        <stp>[MODL_NOW_US1.xlsx]Single Period!R84C14</stp>
        <stp>NOW US Equity</stp>
        <stp>IS_ADJ_GROSS_PROFIT_AS_REPORTED/1M</stp>
        <stp>FPR=2021Y</stp>
        <stp>FPT=A</stp>
        <stp>FA_ACT_EST_DATA=E, EST_SOURCE=BMO</stp>
        <stp>ACT_EST_MAPPING=PRECISE</stp>
        <stp>FS=MRC</stp>
        <stp>CURRENCY=USD</stp>
        <stp>XLFILL=b</stp>
        <tr r="N84" s="2"/>
      </tp>
      <tp t="s">
        <v>#N/A Requesting Data...</v>
        <stp/>
        <stp>##V3_BQLV12</stp>
        <stp>[MODL_NOW_US1.xlsx]Single Period!R44C34</stp>
        <stp>SEG0000230986 Segment</stp>
        <stp>IS_FOREIGN_CURRENCY_TURNOVER/1M</stp>
        <stp>FPR=2021Y</stp>
        <stp>FPT=A</stp>
        <stp>FA_ACT_EST_DATA=E, EST_SOURCE=PSG</stp>
        <stp>ACT_EST_MAPPING=PRECISE</stp>
        <stp>FS=MRC</stp>
        <stp>CURRENCY=USD</stp>
        <stp>XLFILL=b</stp>
        <tr r="AH44" s="2"/>
      </tp>
      <tp t="s">
        <v>#N/A Requesting Data...</v>
        <stp/>
        <stp>##V3_BQLV12</stp>
        <stp>[MODL_NOW_US1.xlsx]Single Period!R24C21</stp>
        <stp>NOW US Equity</stp>
        <stp>IS_ADJ_GROSS_PROFIT_AS_REPORTED/1M</stp>
        <stp>FPR=2021Y</stp>
        <stp>FPT=A</stp>
        <stp>FA_ACT_EST_DATA=E, EST_SOURCE=JMP</stp>
        <stp>ACT_EST_MAPPING=PRECISE</stp>
        <stp>FS=MRC</stp>
        <stp>CURRENCY=USD</stp>
        <stp>XLFILL=b</stp>
        <tr r="U24" s="2"/>
      </tp>
      <tp t="s">
        <v>#N/A Requesting Data...</v>
        <stp/>
        <stp>##V3_BQLV12</stp>
        <stp>[MODL_NOW_US1.xlsx]Single Period!R84C21</stp>
        <stp>NOW US Equity</stp>
        <stp>IS_ADJ_GROSS_PROFIT_AS_REPORTED/1M</stp>
        <stp>FPR=2021Y</stp>
        <stp>FPT=A</stp>
        <stp>FA_ACT_EST_DATA=E, EST_SOURCE=JMP</stp>
        <stp>ACT_EST_MAPPING=PRECISE</stp>
        <stp>FS=MRC</stp>
        <stp>CURRENCY=USD</stp>
        <stp>XLFILL=b</stp>
        <tr r="U84" s="2"/>
      </tp>
      <tp t="s">
        <v>#N/A Requesting Data...</v>
        <stp/>
        <stp>##V3_BQLV12</stp>
        <stp>[MODL_NOW_US1.xlsx]Single Period!R113C28</stp>
        <stp>SEG0000230986 Segment</stp>
        <stp>IS_COGS_TO_FE_AND_PP_AND_G/1M</stp>
        <stp>FPR=2021Y</stp>
        <stp>FPT=A</stp>
        <stp>FA_ACT_EST_DATA=E, EST_SOURCE=EVR</stp>
        <stp>ACT_EST_MAPPING=PRECISE</stp>
        <stp>FS=MRC</stp>
        <stp>CURRENCY=USD</stp>
        <stp>XLFILL=b</stp>
        <tr r="AB113" s="2"/>
      </tp>
      <tp t="s">
        <v>#N/A Requesting Data...</v>
        <stp/>
        <stp>##V3_BQLV12</stp>
        <stp>[MODL_NOW_US1.xlsx]Single Period!R112C23</stp>
        <stp>SEG0000230975 Segment</stp>
        <stp>IS_COGS_TO_FE_AND_PP_AND_G/1M</stp>
        <stp>FPR=2021Y</stp>
        <stp>FPT=A</stp>
        <stp>FA_ACT_EST_DATA=E, EST_SOURCE=ZXS</stp>
        <stp>ACT_EST_MAPPING=PRECISE</stp>
        <stp>FS=MRC</stp>
        <stp>CURRENCY=USD</stp>
        <stp>XLFILL=b</stp>
        <tr r="W112" s="2"/>
      </tp>
      <tp t="s">
        <v>#N/A Requesting Data...</v>
        <stp/>
        <stp>##V3_BQLV12</stp>
        <stp>[MODL_NOW_US1.xlsx]Single Period!R44C35</stp>
        <stp>SEG0000230986 Segment</stp>
        <stp>IS_FOREIGN_CURRENCY_TURNOVER/1M</stp>
        <stp>FPR=2021Y</stp>
        <stp>FPT=A</stp>
        <stp>FA_ACT_EST_DATA=E, EST_SOURCE=MSR</stp>
        <stp>ACT_EST_MAPPING=PRECISE</stp>
        <stp>FS=MRC</stp>
        <stp>CURRENCY=USD</stp>
        <stp>XLFILL=b</stp>
        <tr r="AI44" s="2"/>
      </tp>
      <tp t="s">
        <v>#N/A Requesting Data...</v>
        <stp/>
        <stp>##V3_BQLV12</stp>
        <stp>[MODL_NOW_US1.xlsx]Single Period!R68C31</stp>
        <stp>SEG0000230986 Segment</stp>
        <stp>IS_ADJUSTED_COGS_AS_REPORTED/1M</stp>
        <stp>FPR=2021Y</stp>
        <stp>FPT=A</stp>
        <stp>FA_ACT_EST_DATA=E, EST_SOURCE=GSR</stp>
        <stp>ACT_EST_MAPPING=PRECISE</stp>
        <stp>FS=MRC</stp>
        <stp>CURRENCY=USD</stp>
        <stp>XLFILL=b</stp>
        <tr r="AE68" s="2"/>
      </tp>
      <tp t="s">
        <v>#N/A Requesting Data...</v>
        <stp/>
        <stp>##V3_BQLV12</stp>
        <stp>[MODL_NOW_US1.xlsx]Single Period!R60C31</stp>
        <stp>SEG0000230975 Segment</stp>
        <stp>IS_ADJUSTED_COGS_AS_REPORTED/1M</stp>
        <stp>FPR=2021Y</stp>
        <stp>FPT=A</stp>
        <stp>FA_ACT_EST_DATA=E, EST_SOURCE=GSR</stp>
        <stp>ACT_EST_MAPPING=PRECISE</stp>
        <stp>FS=MRC</stp>
        <stp>CURRENCY=USD</stp>
        <stp>XLFILL=b</stp>
        <tr r="AE60" s="2"/>
      </tp>
      <tp t="s">
        <v>#N/A Requesting Data...</v>
        <stp/>
        <stp>##V3_BQLV12</stp>
        <stp>[MODL_NOW_US1.xlsx]Single Period!R44C31</stp>
        <stp>SEG0000230986 Segment</stp>
        <stp>IS_FOREIGN_CURRENCY_TURNOVER/1M</stp>
        <stp>FPR=2021Y</stp>
        <stp>FPT=A</stp>
        <stp>FA_ACT_EST_DATA=E, EST_SOURCE=GSR</stp>
        <stp>ACT_EST_MAPPING=PRECISE</stp>
        <stp>FS=MRC</stp>
        <stp>CURRENCY=USD</stp>
        <stp>XLFILL=b</stp>
        <tr r="AE44" s="2"/>
      </tp>
      <tp t="s">
        <v>#N/A Requesting Data...</v>
        <stp/>
        <stp>##V3_BQLV12</stp>
        <stp>[MODL_NOW_US1.xlsx]Single Period!R68C35</stp>
        <stp>SEG0000230986 Segment</stp>
        <stp>IS_ADJUSTED_COGS_AS_REPORTED/1M</stp>
        <stp>FPR=2021Y</stp>
        <stp>FPT=A</stp>
        <stp>FA_ACT_EST_DATA=E, EST_SOURCE=MSR</stp>
        <stp>ACT_EST_MAPPING=PRECISE</stp>
        <stp>FS=MRC</stp>
        <stp>CURRENCY=USD</stp>
        <stp>XLFILL=b</stp>
        <tr r="AI68" s="2"/>
      </tp>
      <tp t="s">
        <v>#N/A Requesting Data...</v>
        <stp/>
        <stp>##V3_BQLV12</stp>
        <stp>[MODL_NOW_US1.xlsx]Single Period!R60C35</stp>
        <stp>SEG0000230975 Segment</stp>
        <stp>IS_ADJUSTED_COGS_AS_REPORTED/1M</stp>
        <stp>FPR=2021Y</stp>
        <stp>FPT=A</stp>
        <stp>FA_ACT_EST_DATA=E, EST_SOURCE=MSR</stp>
        <stp>ACT_EST_MAPPING=PRECISE</stp>
        <stp>FS=MRC</stp>
        <stp>CURRENCY=USD</stp>
        <stp>XLFILL=b</stp>
        <tr r="AI60" s="2"/>
      </tp>
      <tp t="s">
        <v>#N/A Requesting Data...</v>
        <stp/>
        <stp>##V3_BQLV12</stp>
        <stp>[MODL_NOW_US1.xlsx]Single Period!R88C24</stp>
        <stp>NOW US Equity</stp>
        <stp>IS_ADJ_SELLING_AND_MRKTG_EXPN_AR/1M</stp>
        <stp>FPR=2021Y</stp>
        <stp>FPT=A</stp>
        <stp>FA_ACT_EST_DATA=E, EST_SOURCE=CWN</stp>
        <stp>ACT_EST_MAPPING=PRECISE</stp>
        <stp>FS=MRC</stp>
        <stp>CURRENCY=USD</stp>
        <stp>XLFILL=b</stp>
        <tr r="X88" s="2"/>
      </tp>
      <tp t="s">
        <v>#N/A Requesting Data...</v>
        <stp/>
        <stp>##V3_BQLV12</stp>
        <stp>[MODL_NOW_US1.xlsx]Single Period!R141C45</stp>
        <stp>SEG0000230986 Segment</stp>
        <stp>IS_SBC_ATTRIB_TO_COGS_PRETX/1M</stp>
        <stp>FPR=2021Y</stp>
        <stp>FPT=A</stp>
        <stp>FA_ACT_EST_DATA=E, EST_SOURCE=PJE</stp>
        <stp>ACT_EST_MAPPING=PRECISE</stp>
        <stp>FS=MRC</stp>
        <stp>CURRENCY=USD</stp>
        <stp>XLFILL=b</stp>
        <tr r="AS141" s="2"/>
      </tp>
      <tp t="s">
        <v>#N/A Requesting Data...</v>
        <stp/>
        <stp>##V3_BQLV12</stp>
        <stp>[MODL_NOW_US1.xlsx]Single Period!R98C10</stp>
        <stp>NOW US Equity</stp>
        <stp>CF_DEPR_AMORT/1M</stp>
        <stp>FPR=2021Y</stp>
        <stp>FPT=A</stp>
        <stp>FA_ACT_EST_DATA=E, EST_SOURCE=CMPY</stp>
        <stp>ACT_EST_MAPPING=PRECISE</stp>
        <stp>FS=MRC</stp>
        <stp>CURRENCY=USD</stp>
        <stp>XLFILL=b</stp>
        <tr r="J98" s="2"/>
      </tp>
      <tp t="s">
        <v>#N/A Requesting Data...</v>
        <stp/>
        <stp>##V3_BQLV12</stp>
        <stp>[MODL_NOW_US1.xlsx]Single Period!R53C19</stp>
        <stp>NOW US Equity</stp>
        <stp>ANNUALIZED_DAYS_SALES_OUTSTDG</stp>
        <stp>FPR=2021Y</stp>
        <stp>FPT=A</stp>
        <stp>FA_ACT_EST_DATA=E, EST_SOURCE=MSV</stp>
        <stp>ACT_EST_MAPPING=PRECISE</stp>
        <stp>FS=MRC</stp>
        <stp>CURRENCY=USD</stp>
        <stp>XLFILL=b</stp>
        <tr r="S53" s="2"/>
      </tp>
      <tp t="s">
        <v>#N/A Requesting Data...</v>
        <stp/>
        <stp>##V3_BQLV12</stp>
        <stp>[MODL_NOW_US1.xlsx]Single Period!R53C31</stp>
        <stp>NOW US Equity</stp>
        <stp>ANNUALIZED_DAYS_SALES_OUTSTDG</stp>
        <stp>FPR=2021Y</stp>
        <stp>FPT=A</stp>
        <stp>FA_ACT_EST_DATA=E, EST_SOURCE=GSR</stp>
        <stp>ACT_EST_MAPPING=PRECISE</stp>
        <stp>FS=MRC</stp>
        <stp>CURRENCY=USD</stp>
        <stp>XLFILL=b</stp>
        <tr r="AE53" s="2"/>
      </tp>
      <tp t="s">
        <v>#N/A Requesting Data...</v>
        <stp/>
        <stp>##V3_BQLV12</stp>
        <stp>[MODL_NOW_US1.xlsx]Single Period!R53C35</stp>
        <stp>NOW US Equity</stp>
        <stp>ANNUALIZED_DAYS_SALES_OUTSTDG</stp>
        <stp>FPR=2021Y</stp>
        <stp>FPT=A</stp>
        <stp>FA_ACT_EST_DATA=E, EST_SOURCE=MSR</stp>
        <stp>ACT_EST_MAPPING=PRECISE</stp>
        <stp>FS=MRC</stp>
        <stp>CURRENCY=USD</stp>
        <stp>XLFILL=b</stp>
        <tr r="AI53" s="2"/>
      </tp>
      <tp t="s">
        <v>#N/A Requesting Data...</v>
        <stp/>
        <stp>##V3_BQLV12</stp>
        <stp>[MODL_NOW_US1.xlsx]Single Period!R231C15</stp>
        <stp>NOW US Equity</stp>
        <stp>CF_NET_CHNG_CASH/1M</stp>
        <stp>FPR=2021Y</stp>
        <stp>FPT=A</stp>
        <stp>FA_ACT_EST_DATA=E, EST_SOURCE=OPY</stp>
        <stp>ACT_EST_MAPPING=PRECISE</stp>
        <stp>FS=MRC</stp>
        <stp>CURRENCY=USD</stp>
        <stp>XLFILL=b</stp>
        <tr r="O231" s="2"/>
      </tp>
      <tp t="s">
        <v>#N/A Requesting Data...</v>
        <stp/>
        <stp>##V3_BQLV12</stp>
        <stp>[MODL_NOW_US1.xlsx]Single Period!R26C24</stp>
        <stp>NOW US Equity</stp>
        <stp>IS_ADJ_SELLING_AND_MRKTG_EXPN_AR/1M</stp>
        <stp>FPR=2021Y</stp>
        <stp>FPT=A</stp>
        <stp>FA_ACT_EST_DATA=E, EST_SOURCE=CWN</stp>
        <stp>ACT_EST_MAPPING=PRECISE</stp>
        <stp>FS=MRC</stp>
        <stp>CURRENCY=USD</stp>
        <stp>XLFILL=b</stp>
        <tr r="X26" s="2"/>
      </tp>
      <tp t="s">
        <v>#N/A Requesting Data...</v>
        <stp/>
        <stp>##V3_BQLV12</stp>
        <stp>[MODL_NOW_US1.xlsx]Single Period!R52C47</stp>
        <stp>NOW US Equity</stp>
        <stp>ACCT_RCV_DAYS</stp>
        <stp>FPR=2021Y</stp>
        <stp>FPT=A</stp>
        <stp>FA_ACT_EST_DATA=E, EST_SOURCE=SUM</stp>
        <stp>ACT_EST_MAPPING=PRECISE</stp>
        <stp>FS=MRC</stp>
        <stp>CURRENCY=USD</stp>
        <stp>XLFILL=b</stp>
        <tr r="AU52" s="2"/>
      </tp>
      <tp t="s">
        <v>#N/A Requesting Data...</v>
        <stp/>
        <stp>##V3_BQLV12</stp>
        <stp>[MODL_NOW_US1.xlsx]Single Period!R162C48</stp>
        <stp>NOW US Equity</stp>
        <stp>BS_LONG_TERM_INVESTMENTS/1M</stp>
        <stp>FPR=2021Y</stp>
        <stp>FPT=A</stp>
        <stp>FA_ACT_EST_DATA=E, EST_SOURCE=CRC</stp>
        <stp>ACT_EST_MAPPING=PRECISE</stp>
        <stp>FS=MRC</stp>
        <stp>CURRENCY=USD</stp>
        <stp>XLFILL=b</stp>
        <tr r="AV162" s="2"/>
      </tp>
      <tp t="s">
        <v>#N/A Requesting Data...</v>
        <stp/>
        <stp>##V3_BQLV12</stp>
        <stp>[MODL_NOW_US1.xlsx]Single Period!R53C34</stp>
        <stp>NOW US Equity</stp>
        <stp>ANNUALIZED_DAYS_SALES_OUTSTDG</stp>
        <stp>FPR=2021Y</stp>
        <stp>FPT=A</stp>
        <stp>FA_ACT_EST_DATA=E, EST_SOURCE=PSG</stp>
        <stp>ACT_EST_MAPPING=PRECISE</stp>
        <stp>FS=MRC</stp>
        <stp>CURRENCY=USD</stp>
        <stp>XLFILL=b</stp>
        <tr r="AH53" s="2"/>
      </tp>
      <tp t="s">
        <v>#N/A Requesting Data...</v>
        <stp/>
        <stp>##V3_BQLV12</stp>
        <stp>[MODL_NOW_US1.xlsx]Single Period!R162C41</stp>
        <stp>NOW US Equity</stp>
        <stp>BS_LONG_TERM_INVESTMENTS/1M</stp>
        <stp>FPR=2021Y</stp>
        <stp>FPT=A</stp>
        <stp>FA_ACT_EST_DATA=E, EST_SOURCE=ARG</stp>
        <stp>ACT_EST_MAPPING=PRECISE</stp>
        <stp>FS=MRC</stp>
        <stp>CURRENCY=USD</stp>
        <stp>XLFILL=b</stp>
        <tr r="AO162" s="2"/>
      </tp>
      <tp t="s">
        <v>#N/A Requesting Data...</v>
        <stp/>
        <stp>##V3_BQLV12</stp>
        <stp>[MODL_NOW_US1.xlsx]Single Period!R231C47</stp>
        <stp>NOW US Equity</stp>
        <stp>CF_NET_CHNG_CASH/1M</stp>
        <stp>FPR=2021Y</stp>
        <stp>FPT=A</stp>
        <stp>FA_ACT_EST_DATA=E, EST_SOURCE=SUM</stp>
        <stp>ACT_EST_MAPPING=PRECISE</stp>
        <stp>FS=MRC</stp>
        <stp>CURRENCY=USD</stp>
        <stp>XLFILL=b</stp>
        <tr r="AU231" s="2"/>
      </tp>
      <tp t="s">
        <v>#N/A Requesting Data...</v>
        <stp/>
        <stp>##V3_BQLV12</stp>
        <stp>[MODL_NOW_US1.xlsx]Single Period!R231C11</stp>
        <stp>NOW US Equity</stp>
        <stp>CF_NET_CHNG_CASH/1M</stp>
        <stp>FPR=2021Y</stp>
        <stp>FPT=A</stp>
        <stp>FA_ACT_EST_DATA=E, EST_SOURCE=JPM</stp>
        <stp>ACT_EST_MAPPING=PRECISE</stp>
        <stp>FS=MRC</stp>
        <stp>CURRENCY=USD</stp>
        <stp>XLFILL=b</stp>
        <tr r="K231" s="2"/>
      </tp>
      <tp t="s">
        <v>#N/A Requesting Data...</v>
        <stp/>
        <stp>##V3_BQLV12</stp>
        <stp>[MODL_NOW_US1.xlsx]Single Period!R162C44</stp>
        <stp>NOW US Equity</stp>
        <stp>BS_LONG_TERM_INVESTMENTS/1M</stp>
        <stp>FPR=2021Y</stp>
        <stp>FPT=A</stp>
        <stp>FA_ACT_EST_DATA=E, EST_SOURCE=ARE</stp>
        <stp>ACT_EST_MAPPING=PRECISE</stp>
        <stp>FS=MRC</stp>
        <stp>CURRENCY=USD</stp>
        <stp>XLFILL=b</stp>
        <tr r="AR162" s="2"/>
      </tp>
      <tp t="s">
        <v>#N/A Requesting Data...</v>
        <stp/>
        <stp>##V3_BQLV12</stp>
        <stp>[MODL_NOW_US1.xlsx]Single Period!R11C10</stp>
        <stp>NOW US Equity</stp>
        <stp>NUM_CSTMR_CNTRCT_OVER_1_MILLN</stp>
        <stp>FPR=2021Y</stp>
        <stp>FPT=A</stp>
        <stp>FA_ACT_EST_DATA=E, EST_SOURCE=CMPY</stp>
        <stp>ACT_EST_MAPPING=PRECISE</stp>
        <stp>FS=MRC</stp>
        <stp>CURRENCY=USD</stp>
        <stp>XLFILL=b</stp>
        <tr r="J11" s="2"/>
      </tp>
      <tp t="s">
        <v>#N/A Requesting Data...</v>
        <stp/>
        <stp>##V3_BQLV12</stp>
        <stp>[MODL_NOW_US1.xlsx]Single Period!R50C10</stp>
        <stp>NOW US Equity</stp>
        <stp>NUM_CSTMR_CNTRCT_OVER_1_MILLN</stp>
        <stp>FPR=2021Y</stp>
        <stp>FPT=A</stp>
        <stp>FA_ACT_EST_DATA=E, EST_SOURCE=CMPY</stp>
        <stp>ACT_EST_MAPPING=PRECISE</stp>
        <stp>FS=MRC</stp>
        <stp>CURRENCY=USD</stp>
        <stp>XLFILL=b</stp>
        <tr r="J50" s="2"/>
      </tp>
      <tp t="s">
        <v>#N/A Requesting Data...</v>
        <stp/>
        <stp>##V3_BQLV12</stp>
        <stp>[MODL_NOW_US1.xlsx]Single Period!R217C13</stp>
        <stp>NOW US Equity</stp>
        <stp>CAP_EXPEND_TO_SALES</stp>
        <stp>FPR=2021Y</stp>
        <stp>FPT=A</stp>
        <stp>FA_ACT_EST_DATA=E, EST_SOURCE=KEY</stp>
        <stp>ACT_EST_MAPPING=PRECISE</stp>
        <stp>FS=MRC</stp>
        <stp>CURRENCY=USD</stp>
        <stp>XLFILL=b</stp>
        <tr r="M217" s="2"/>
      </tp>
      <tp t="s">
        <v>#N/A Requesting Data...</v>
        <stp/>
        <stp>##V3_BQLV12</stp>
        <stp>[MODL_NOW_US1.xlsx]Single Period!R95C34</stp>
        <stp>NOW US Equity</stp>
        <stp>IS_COMPARABLE_EBIT/1M</stp>
        <stp>FPR=2021Y</stp>
        <stp>FPT=A</stp>
        <stp>FA_ACT_EST_DATA=E, EST_SOURCE=PSG</stp>
        <stp>ACT_EST_MAPPING=PRECISE</stp>
        <stp>FS=MRC</stp>
        <stp>CURRENCY=USD</stp>
        <stp>XLFILL=b</stp>
        <tr r="AH95" s="2"/>
      </tp>
      <tp t="s">
        <v>#N/A Requesting Data...</v>
        <stp/>
        <stp>##V3_BQLV12</stp>
        <stp>[MODL_NOW_US1.xlsx]Single Period!R50C15</stp>
        <stp>NOW US Equity</stp>
        <stp>NUM_CSTMR_CNTRCT_OVER_1_MILLN</stp>
        <stp>FPR=2021Y</stp>
        <stp>FPT=A</stp>
        <stp>FA_ACT_EST_DATA=E, EST_SOURCE=OPY</stp>
        <stp>ACT_EST_MAPPING=PRECISE</stp>
        <stp>FS=MRC</stp>
        <stp>CURRENCY=USD</stp>
        <stp>XLFILL=b</stp>
        <tr r="O50" s="2"/>
      </tp>
      <tp t="s">
        <v>#N/A Requesting Data...</v>
        <stp/>
        <stp>##V3_BQLV12</stp>
        <stp>[MODL_NOW_US1.xlsx]Single Period!R108C20</stp>
        <stp>NOW US Equity</stp>
        <stp>IS_COMP_EPS_EXCL_STOCK_COMP</stp>
        <stp>FPR=2021Y</stp>
        <stp>FPT=A</stp>
        <stp>FA_ACT_EST_DATA=E, EST_SOURCE=CAN</stp>
        <stp>ACT_EST_MAPPING=PRECISE</stp>
        <stp>FS=MRC</stp>
        <stp>CURRENCY=USD</stp>
        <stp>XLFILL=b</stp>
        <tr r="T108" s="2"/>
      </tp>
      <tp t="s">
        <v>#N/A Requesting Data...</v>
        <stp/>
        <stp>##V3_BQLV12</stp>
        <stp>[MODL_NOW_US1.xlsx]Single Period!R108C12</stp>
        <stp>NOW US Equity</stp>
        <stp>IS_COMP_EPS_EXCL_STOCK_COMP</stp>
        <stp>FPR=2021Y</stp>
        <stp>FPT=A</stp>
        <stp>FA_ACT_EST_DATA=E, EST_SOURCE=WBL</stp>
        <stp>ACT_EST_MAPPING=PRECISE</stp>
        <stp>FS=MRC</stp>
        <stp>CURRENCY=USD</stp>
        <stp>XLFILL=b</stp>
        <tr r="L108" s="2"/>
      </tp>
      <tp t="s">
        <v>#N/A Requesting Data...</v>
        <stp/>
        <stp>##V3_BQLV12</stp>
        <stp>[MODL_NOW_US1.xlsx]Single Period!R95C19</stp>
        <stp>NOW US Equity</stp>
        <stp>IS_COMPARABLE_EBIT/1M</stp>
        <stp>FPR=2021Y</stp>
        <stp>FPT=A</stp>
        <stp>FA_ACT_EST_DATA=E, EST_SOURCE=MSV</stp>
        <stp>ACT_EST_MAPPING=PRECISE</stp>
        <stp>FS=MRC</stp>
        <stp>CURRENCY=USD</stp>
        <stp>XLFILL=b</stp>
        <tr r="S95" s="2"/>
      </tp>
      <tp t="s">
        <v>#N/A Requesting Data...</v>
        <stp/>
        <stp>##V3_BQLV12</stp>
        <stp>[MODL_NOW_US1.xlsx]Single Period!R18C6</stp>
        <stp>SEG0000230975 Segment</stp>
        <stp>CONTRIBUTOR_STATS(IS_ADJ_GROSS_MARGIN_PCT_AR, MIN)</stp>
        <stp>FPR=2021Y</stp>
        <stp>FPT=A</stp>
        <stp>FA_ACT_EST_DATA=E</stp>
        <stp>ACT_EST_MAPPING=PRECISE</stp>
        <stp>FS=MRC</stp>
        <stp>CURRENCY=USD</stp>
        <stp>XLFILL=b</stp>
        <tr r="F18" s="2"/>
      </tp>
      <tp t="s">
        <v>#N/A Requesting Data...</v>
        <stp/>
        <stp>##V3_BQLV12</stp>
        <stp>[MODL_NOW_US1.xlsx]Single Period!R184C10</stp>
        <stp>NOW US Equity</stp>
        <stp>BS_EQTY_BEFORE_MINORITY_INT/1M</stp>
        <stp>FPR=2021Y</stp>
        <stp>FPT=A</stp>
        <stp>FA_ACT_EST_DATA=E, EST_SOURCE=CMPY</stp>
        <stp>ACT_EST_MAPPING=PRECISE</stp>
        <stp>FS=MRC</stp>
        <stp>CURRENCY=USD</stp>
        <stp>XLFILL=b</stp>
        <tr r="J184" s="2"/>
      </tp>
      <tp t="s">
        <v>#N/A Requesting Data...</v>
        <stp/>
        <stp>##V3_BQLV12</stp>
        <stp>[MODL_NOW_US1.xlsx]Single Period!R95C35</stp>
        <stp>NOW US Equity</stp>
        <stp>IS_COMPARABLE_EBIT/1M</stp>
        <stp>FPR=2021Y</stp>
        <stp>FPT=A</stp>
        <stp>FA_ACT_EST_DATA=E, EST_SOURCE=MSR</stp>
        <stp>ACT_EST_MAPPING=PRECISE</stp>
        <stp>FS=MRC</stp>
        <stp>CURRENCY=USD</stp>
        <stp>XLFILL=b</stp>
        <tr r="AI95" s="2"/>
      </tp>
      <tp t="s">
        <v>#N/A Requesting Data...</v>
        <stp/>
        <stp>##V3_BQLV12</stp>
        <stp>[MODL_NOW_US1.xlsx]Single Period!R95C31</stp>
        <stp>NOW US Equity</stp>
        <stp>IS_COMPARABLE_EBIT/1M</stp>
        <stp>FPR=2021Y</stp>
        <stp>FPT=A</stp>
        <stp>FA_ACT_EST_DATA=E, EST_SOURCE=GSR</stp>
        <stp>ACT_EST_MAPPING=PRECISE</stp>
        <stp>FS=MRC</stp>
        <stp>CURRENCY=USD</stp>
        <stp>XLFILL=b</stp>
        <tr r="AE95" s="2"/>
      </tp>
      <tp t="s">
        <v>#N/A Requesting Data...</v>
        <stp/>
        <stp>##V3_BQLV12</stp>
        <stp>[MODL_NOW_US1.xlsx]Single Period!R162C9</stp>
        <stp>NOW US Equity</stp>
        <stp>CONTRIBUTOR_STATS(BS_LONG_TERM_INVESTMENTS, MEDIAN)/1M</stp>
        <stp>FPR=2021Y</stp>
        <stp>FPT=A</stp>
        <stp>FA_ACT_EST_DATA=E</stp>
        <stp>ACT_EST_MAPPING=PRECISE</stp>
        <stp>FS=MRC</stp>
        <stp>CURRENCY=USD</stp>
        <stp>XLFILL=b</stp>
        <tr r="I162" s="2"/>
      </tp>
      <tp t="s">
        <v>#N/A Requesting Data...</v>
        <stp/>
        <stp>##V3_BQLV12</stp>
        <stp>[MODL_NOW_US1.xlsx]Single Period!R90C45</stp>
        <stp>NOW US Equity</stp>
        <stp>IS_ADJ_R_AND_D_AS_REPORTED/1M</stp>
        <stp>FPR=2021Y</stp>
        <stp>FPT=A</stp>
        <stp>FA_ACT_EST_DATA=E, EST_SOURCE=PJE</stp>
        <stp>ACT_EST_MAPPING=PRECISE</stp>
        <stp>FS=MRC</stp>
        <stp>CURRENCY=USD</stp>
        <stp>XLFILL=b</stp>
        <tr r="AS90" s="2"/>
      </tp>
      <tp t="s">
        <v>#N/A Requesting Data...</v>
        <stp/>
        <stp>##V3_BQLV12</stp>
        <stp>[MODL_NOW_US1.xlsx]Single Period!R18C7</stp>
        <stp>SEG0000230975 Segment</stp>
        <stp>CONTRIBUTOR_STATS(IS_ADJ_GROSS_MARGIN_PCT_AR, MAX)</stp>
        <stp>FPR=2021Y</stp>
        <stp>FPT=A</stp>
        <stp>FA_ACT_EST_DATA=E</stp>
        <stp>ACT_EST_MAPPING=PRECISE</stp>
        <stp>FS=MRC</stp>
        <stp>CURRENCY=USD</stp>
        <stp>XLFILL=b</stp>
        <tr r="G18" s="2"/>
      </tp>
      <tp t="s">
        <v>#N/A Requesting Data...</v>
        <stp/>
        <stp>##V3_BQLV12</stp>
        <stp>[MODL_NOW_US1.xlsx]Single Period!R50C11</stp>
        <stp>NOW US Equity</stp>
        <stp>NUM_CSTMR_CNTRCT_OVER_1_MILLN</stp>
        <stp>FPR=2021Y</stp>
        <stp>FPT=A</stp>
        <stp>FA_ACT_EST_DATA=E, EST_SOURCE=JPM</stp>
        <stp>ACT_EST_MAPPING=PRECISE</stp>
        <stp>FS=MRC</stp>
        <stp>CURRENCY=USD</stp>
        <stp>XLFILL=b</stp>
        <tr r="K50" s="2"/>
      </tp>
      <tp t="s">
        <v>#N/A Requesting Data...</v>
        <stp/>
        <stp>##V3_BQLV12</stp>
        <stp>[MODL_NOW_US1.xlsx]Single Period!R181C34</stp>
        <stp>NOW US Equity</stp>
        <stp>BS_LONG_TERM_BORROWINGS/1M</stp>
        <stp>FPR=2021Y</stp>
        <stp>FPT=A</stp>
        <stp>FA_ACT_EST_DATA=E, EST_SOURCE=PSG</stp>
        <stp>ACT_EST_MAPPING=PRECISE</stp>
        <stp>FS=MRC</stp>
        <stp>CURRENCY=USD</stp>
        <stp>XLFILL=b</stp>
        <tr r="AH181" s="2"/>
      </tp>
      <tp t="s">
        <v>#N/A Requesting Data...</v>
        <stp/>
        <stp>##V3_BQLV12</stp>
        <stp>[MODL_NOW_US1.xlsx]Single Period!R117C11</stp>
        <stp>NOW US Equity</stp>
        <stp>IS_TOT_OPER_EXP/1M</stp>
        <stp>FPR=2021Y</stp>
        <stp>FPT=A</stp>
        <stp>FA_ACT_EST_DATA=E, EST_SOURCE=JPM</stp>
        <stp>ACT_EST_MAPPING=PRECISE</stp>
        <stp>FS=MRC</stp>
        <stp>CURRENCY=USD</stp>
        <stp>XLFILL=b</stp>
        <tr r="K117" s="2"/>
      </tp>
      <tp t="s">
        <v>#N/A Requesting Data...</v>
        <stp/>
        <stp>##V3_BQLV12</stp>
        <stp>[MODL_NOW_US1.xlsx]Single Period!R21C47</stp>
        <stp>SEG0000230986 Segment</stp>
        <stp>IS_BILLINGS/1M</stp>
        <stp>FPR=2021Y</stp>
        <stp>FPT=A</stp>
        <stp>FA_ACT_EST_DATA=E, EST_SOURCE=SUM</stp>
        <stp>ACT_EST_MAPPING=PRECISE</stp>
        <stp>FS=MRC</stp>
        <stp>CURRENCY=USD</stp>
        <stp>XLFILL=b</stp>
        <tr r="AU21" s="2"/>
      </tp>
      <tp t="s">
        <v>#N/A Requesting Data...</v>
        <stp/>
        <stp>##V3_BQLV12</stp>
        <stp>[MODL_NOW_US1.xlsx]Single Period!R46C47</stp>
        <stp>SEG0000230986 Segment</stp>
        <stp>IS_BILLINGS/1M</stp>
        <stp>FPR=2021Y</stp>
        <stp>FPT=A</stp>
        <stp>FA_ACT_EST_DATA=E, EST_SOURCE=SUM</stp>
        <stp>ACT_EST_MAPPING=PRECISE</stp>
        <stp>FS=MRC</stp>
        <stp>CURRENCY=USD</stp>
        <stp>XLFILL=b</stp>
        <tr r="AU46" s="2"/>
      </tp>
      <tp t="s">
        <v>#N/A Requesting Data...</v>
        <stp/>
        <stp>##V3_BQLV12</stp>
        <stp>[MODL_NOW_US1.xlsx]Single Period!R236C26</stp>
        <stp>NOW US Equity</stp>
        <stp>FREE_CASH_FLOW_MARGIN</stp>
        <stp>FPR=2021Y</stp>
        <stp>FPT=A</stp>
        <stp>FA_ACT_EST_DATA=E, EST_SOURCE=UBS</stp>
        <stp>ACT_EST_MAPPING=PRECISE</stp>
        <stp>FS=MRC</stp>
        <stp>CURRENCY=USD</stp>
        <stp>XLFILL=b</stp>
        <tr r="Z236" s="2"/>
      </tp>
      <tp t="s">
        <v>#N/A Requesting Data...</v>
        <stp/>
        <stp>##V3_BQLV12</stp>
        <stp>[MODL_NOW_US1.xlsx]Single Period!R174C13</stp>
        <stp>NOW US Equity</stp>
        <stp>BS_ACCT_PAYABLE/1M</stp>
        <stp>FPR=2021Y</stp>
        <stp>FPT=A</stp>
        <stp>FA_ACT_EST_DATA=E, EST_SOURCE=KEY</stp>
        <stp>ACT_EST_MAPPING=PRECISE</stp>
        <stp>FS=MRC</stp>
        <stp>CURRENCY=USD</stp>
        <stp>XLFILL=b</stp>
        <tr r="M174" s="2"/>
      </tp>
      <tp t="s">
        <v>#N/A Requesting Data...</v>
        <stp/>
        <stp>##V3_BQLV12</stp>
        <stp>[MODL_NOW_US1.xlsx]Single Period!R199C36</stp>
        <stp>NOW US Equity</stp>
        <stp>IS_COMP_NET_INCOME_GAAP/1M</stp>
        <stp>FPR=2021Y</stp>
        <stp>FPT=A</stp>
        <stp>FA_ACT_EST_DATA=E, EST_SOURCE=JEF</stp>
        <stp>ACT_EST_MAPPING=PRECISE</stp>
        <stp>FS=MRC</stp>
        <stp>CURRENCY=USD</stp>
        <stp>XLFILL=b</stp>
        <tr r="AJ199" s="2"/>
      </tp>
      <tp t="s">
        <v>#N/A Requesting Data...</v>
        <stp/>
        <stp>##V3_BQLV12</stp>
        <stp>[MODL_NOW_US1.xlsx]Single Period!R130C36</stp>
        <stp>NOW US Equity</stp>
        <stp>IS_COMP_NET_INCOME_GAAP/1M</stp>
        <stp>FPR=2021Y</stp>
        <stp>FPT=A</stp>
        <stp>FA_ACT_EST_DATA=E, EST_SOURCE=JEF</stp>
        <stp>ACT_EST_MAPPING=PRECISE</stp>
        <stp>FS=MRC</stp>
        <stp>CURRENCY=USD</stp>
        <stp>XLFILL=b</stp>
        <tr r="AJ130" s="2"/>
      </tp>
      <tp t="s">
        <v>#N/A Requesting Data...</v>
        <stp/>
        <stp>##V3_BQLV12</stp>
        <stp>[MODL_NOW_US1.xlsx]Single Period!R42C28</stp>
        <stp>SEG0000230975 Segment</stp>
        <stp>IS_BILLINGS/1M</stp>
        <stp>FPR=2021Y</stp>
        <stp>FPT=A</stp>
        <stp>FA_ACT_EST_DATA=E, EST_SOURCE=EVR</stp>
        <stp>ACT_EST_MAPPING=PRECISE</stp>
        <stp>FS=MRC</stp>
        <stp>CURRENCY=USD</stp>
        <stp>XLFILL=b</stp>
        <tr r="AB42" s="2"/>
      </tp>
      <tp t="s">
        <v>#N/A Requesting Data...</v>
        <stp/>
        <stp>##V3_BQLV12</stp>
        <stp>[MODL_NOW_US1.xlsx]Single Period!R17C28</stp>
        <stp>SEG0000230975 Segment</stp>
        <stp>IS_BILLINGS/1M</stp>
        <stp>FPR=2021Y</stp>
        <stp>FPT=A</stp>
        <stp>FA_ACT_EST_DATA=E, EST_SOURCE=EVR</stp>
        <stp>ACT_EST_MAPPING=PRECISE</stp>
        <stp>FS=MRC</stp>
        <stp>CURRENCY=USD</stp>
        <stp>XLFILL=b</stp>
        <tr r="AB17" s="2"/>
      </tp>
      <tp t="s">
        <v>#N/A Requesting Data...</v>
        <stp/>
        <stp>##V3_BQLV12</stp>
        <stp>[MODL_NOW_US1.xlsx]Single Period!R235C10</stp>
        <stp>NOW US Equity</stp>
        <stp>CF_FREE_CASH_FLOW_AS_REPORTED/1M</stp>
        <stp>FPR=2021Y</stp>
        <stp>FPT=A</stp>
        <stp>FA_ACT_EST_DATA=E, EST_SOURCE=CMPY</stp>
        <stp>ACT_EST_MAPPING=PRECISE</stp>
        <stp>FS=MRC</stp>
        <stp>CURRENCY=USD</stp>
        <stp>XLFILL=b</stp>
        <tr r="J235" s="2"/>
      </tp>
      <tp t="s">
        <v>#N/A Requesting Data...</v>
        <stp/>
        <stp>##V3_BQLV12</stp>
        <stp>[MODL_NOW_US1.xlsx]Single Period!R199C13</stp>
        <stp>NOW US Equity</stp>
        <stp>IS_COMP_NET_INCOME_GAAP/1M</stp>
        <stp>FPR=2021Y</stp>
        <stp>FPT=A</stp>
        <stp>FA_ACT_EST_DATA=E, EST_SOURCE=KEY</stp>
        <stp>ACT_EST_MAPPING=PRECISE</stp>
        <stp>FS=MRC</stp>
        <stp>CURRENCY=USD</stp>
        <stp>XLFILL=b</stp>
        <tr r="M199" s="2"/>
      </tp>
      <tp t="s">
        <v>#N/A Requesting Data...</v>
        <stp/>
        <stp>##V3_BQLV12</stp>
        <stp>[MODL_NOW_US1.xlsx]Single Period!R130C13</stp>
        <stp>NOW US Equity</stp>
        <stp>IS_COMP_NET_INCOME_GAAP/1M</stp>
        <stp>FPR=2021Y</stp>
        <stp>FPT=A</stp>
        <stp>FA_ACT_EST_DATA=E, EST_SOURCE=KEY</stp>
        <stp>ACT_EST_MAPPING=PRECISE</stp>
        <stp>FS=MRC</stp>
        <stp>CURRENCY=USD</stp>
        <stp>XLFILL=b</stp>
        <tr r="M130" s="2"/>
      </tp>
      <tp t="s">
        <v>#N/A Requesting Data...</v>
        <stp/>
        <stp>##V3_BQLV12</stp>
        <stp>[MODL_NOW_US1.xlsx]Single Period!R174C36</stp>
        <stp>NOW US Equity</stp>
        <stp>BS_ACCT_PAYABLE/1M</stp>
        <stp>FPR=2021Y</stp>
        <stp>FPT=A</stp>
        <stp>FA_ACT_EST_DATA=E, EST_SOURCE=JEF</stp>
        <stp>ACT_EST_MAPPING=PRECISE</stp>
        <stp>FS=MRC</stp>
        <stp>CURRENCY=USD</stp>
        <stp>XLFILL=b</stp>
        <tr r="AJ174" s="2"/>
      </tp>
      <tp t="s">
        <v>#N/A Requesting Data...</v>
        <stp/>
        <stp>##V3_BQLV12</stp>
        <stp>[MODL_NOW_US1.xlsx]Single Period!R181C19</stp>
        <stp>NOW US Equity</stp>
        <stp>BS_LONG_TERM_BORROWINGS/1M</stp>
        <stp>FPR=2021Y</stp>
        <stp>FPT=A</stp>
        <stp>FA_ACT_EST_DATA=E, EST_SOURCE=MSV</stp>
        <stp>ACT_EST_MAPPING=PRECISE</stp>
        <stp>FS=MRC</stp>
        <stp>CURRENCY=USD</stp>
        <stp>XLFILL=b</stp>
        <tr r="S181" s="2"/>
      </tp>
      <tp t="s">
        <v>#N/A Requesting Data...</v>
        <stp/>
        <stp>##V3_BQLV12</stp>
        <stp>[MODL_NOW_US1.xlsx]Single Period!R236C12</stp>
        <stp>NOW US Equity</stp>
        <stp>FREE_CASH_FLOW_MARGIN</stp>
        <stp>FPR=2021Y</stp>
        <stp>FPT=A</stp>
        <stp>FA_ACT_EST_DATA=E, EST_SOURCE=WBL</stp>
        <stp>ACT_EST_MAPPING=PRECISE</stp>
        <stp>FS=MRC</stp>
        <stp>CURRENCY=USD</stp>
        <stp>XLFILL=b</stp>
        <tr r="L236" s="2"/>
      </tp>
      <tp t="s">
        <v>#N/A Requesting Data...</v>
        <stp/>
        <stp>##V3_BQLV12</stp>
        <stp>[MODL_NOW_US1.xlsx]Single Period!R117C15</stp>
        <stp>NOW US Equity</stp>
        <stp>IS_TOT_OPER_EXP/1M</stp>
        <stp>FPR=2021Y</stp>
        <stp>FPT=A</stp>
        <stp>FA_ACT_EST_DATA=E, EST_SOURCE=OPY</stp>
        <stp>ACT_EST_MAPPING=PRECISE</stp>
        <stp>FS=MRC</stp>
        <stp>CURRENCY=USD</stp>
        <stp>XLFILL=b</stp>
        <tr r="O117" s="2"/>
      </tp>
      <tp t="s">
        <v>#N/A Requesting Data...</v>
        <stp/>
        <stp>##V3_BQLV12</stp>
        <stp>[MODL_NOW_US1.xlsx]Single Period!R181C35</stp>
        <stp>NOW US Equity</stp>
        <stp>BS_LONG_TERM_BORROWINGS/1M</stp>
        <stp>FPR=2021Y</stp>
        <stp>FPT=A</stp>
        <stp>FA_ACT_EST_DATA=E, EST_SOURCE=MSR</stp>
        <stp>ACT_EST_MAPPING=PRECISE</stp>
        <stp>FS=MRC</stp>
        <stp>CURRENCY=USD</stp>
        <stp>XLFILL=b</stp>
        <tr r="AI181" s="2"/>
      </tp>
      <tp t="s">
        <v>#N/A Requesting Data...</v>
        <stp/>
        <stp>##V3_BQLV12</stp>
        <stp>[MODL_NOW_US1.xlsx]Single Period!R181C31</stp>
        <stp>NOW US Equity</stp>
        <stp>BS_LONG_TERM_BORROWINGS/1M</stp>
        <stp>FPR=2021Y</stp>
        <stp>FPT=A</stp>
        <stp>FA_ACT_EST_DATA=E, EST_SOURCE=GSR</stp>
        <stp>ACT_EST_MAPPING=PRECISE</stp>
        <stp>FS=MRC</stp>
        <stp>CURRENCY=USD</stp>
        <stp>XLFILL=b</stp>
        <tr r="AE181" s="2"/>
      </tp>
    </main>
    <main first="bloomberg.rtd">
      <tp t="s">
        <v>#N/A Requesting Data...</v>
        <stp/>
        <stp>##V3_BQLV12</stp>
        <stp>[MODL_NOW_US1.xlsx]Single Period!R205C22</stp>
        <stp>NOW US Equity</stp>
        <stp>CB_CF_OTHR_NONCSH_ITEMS/1M</stp>
        <stp>FPR=2021Y</stp>
        <stp>FPT=A</stp>
        <stp>FA_ACT_EST_DATA=E, EST_SOURCE=NDH</stp>
        <stp>ACT_EST_MAPPING=PRECISE</stp>
        <stp>FS=MRC</stp>
        <stp>CURRENCY=USD</stp>
        <stp>XLFILL=b</stp>
        <tr r="V205" s="2"/>
      </tp>
      <tp t="s">
        <v>#N/A Requesting Data...</v>
        <stp/>
        <stp>##V3_BQLV12</stp>
        <stp>[MODL_NOW_US1.xlsx]Single Period!R236C32</stp>
        <stp>NOW US Equity</stp>
        <stp>FREE_CASH_FLOW_MARGIN</stp>
        <stp>FPR=2021Y</stp>
        <stp>FPT=A</stp>
        <stp>FA_ACT_EST_DATA=E, EST_SOURCE=FBC</stp>
        <stp>ACT_EST_MAPPING=PRECISE</stp>
        <stp>FS=MRC</stp>
        <stp>CURRENCY=USD</stp>
        <stp>XLFILL=b</stp>
        <tr r="AF236" s="2"/>
      </tp>
      <tp t="s">
        <v>#N/A Requesting Data...</v>
        <stp/>
        <stp>##V3_BQLV12</stp>
        <stp>[MODL_NOW_US1.xlsx]Single Period!R236C27</stp>
        <stp>NOW US Equity</stp>
        <stp>FREE_CASH_FLOW_MARGIN</stp>
        <stp>FPR=2021Y</stp>
        <stp>FPT=A</stp>
        <stp>FA_ACT_EST_DATA=E, EST_SOURCE=RBC</stp>
        <stp>ACT_EST_MAPPING=PRECISE</stp>
        <stp>FS=MRC</stp>
        <stp>CURRENCY=USD</stp>
        <stp>XLFILL=b</stp>
        <tr r="AA236" s="2"/>
      </tp>
      <tp t="s">
        <v>#N/A Requesting Data...</v>
        <stp/>
        <stp>##V3_BQLV12</stp>
        <stp>[MODL_NOW_US1.xlsx]Single Period!R125C49</stp>
        <stp>NOW US Equity</stp>
        <stp>OPER_INC_TO_NET_SALES</stp>
        <stp>FPR=2021Y</stp>
        <stp>FPT=A</stp>
        <stp>FA_ACT_EST_DATA=E, EST_SOURCE=SCB</stp>
        <stp>ACT_EST_MAPPING=PRECISE</stp>
        <stp>FS=MRC</stp>
        <stp>CURRENCY=USD</stp>
        <stp>XLFILL=b</stp>
        <tr r="AW125" s="2"/>
      </tp>
      <tp t="s">
        <v>#N/A Requesting Data...</v>
        <stp/>
        <stp>##V3_BQLV12</stp>
        <stp>[MODL_NOW_US1.xlsx]Single Period!R125C16</stp>
        <stp>NOW US Equity</stp>
        <stp>OPER_INC_TO_NET_SALES</stp>
        <stp>FPR=2021Y</stp>
        <stp>FPT=A</stp>
        <stp>FA_ACT_EST_DATA=E, EST_SOURCE=BCA</stp>
        <stp>ACT_EST_MAPPING=PRECISE</stp>
        <stp>FS=MRC</stp>
        <stp>CURRENCY=USD</stp>
        <stp>XLFILL=b</stp>
        <tr r="P125" s="2"/>
      </tp>
      <tp t="s">
        <v>#N/A Requesting Data...</v>
        <stp/>
        <stp>##V3_BQLV12</stp>
        <stp>[MODL_NOW_US1.xlsx]Single Period!R236C25</stp>
        <stp>NOW US Equity</stp>
        <stp>FREE_CASH_FLOW_MARGIN</stp>
        <stp>FPR=2021Y</stp>
        <stp>FPT=A</stp>
        <stp>FA_ACT_EST_DATA=E, EST_SOURCE=DBG</stp>
        <stp>ACT_EST_MAPPING=PRECISE</stp>
        <stp>FS=MRC</stp>
        <stp>CURRENCY=USD</stp>
        <stp>XLFILL=b</stp>
        <tr r="Y236" s="2"/>
      </tp>
      <tp t="s">
        <v>#N/A Requesting Data...</v>
        <stp/>
        <stp>##V3_BQLV12</stp>
        <stp>[MODL_NOW_US1.xlsx]Single Period!R63C30</stp>
        <stp>SEG0000230975 Segment</stp>
        <stp>CB_IS_GROSS_PROFIT/1M</stp>
        <stp>FPR=2021Y</stp>
        <stp>FPT=A</stp>
        <stp>FA_ACT_EST_DATA=E, EST_SOURCE=BAM</stp>
        <stp>ACT_EST_MAPPING=PRECISE</stp>
        <stp>FS=MRC</stp>
        <stp>CURRENCY=USD</stp>
        <stp>XLFILL=b</stp>
        <tr r="AD63" s="2"/>
      </tp>
      <tp t="s">
        <v>#N/A Requesting Data...</v>
        <stp/>
        <stp>##V3_BQLV12</stp>
        <stp>[MODL_NOW_US1.xlsx]Single Period!R104C48</stp>
        <stp>NOW US Equity</stp>
        <stp>IS_COMP_NET_INC_EXCL_STOCK_COMP/1M</stp>
        <stp>FPR=2021Y</stp>
        <stp>FPT=A</stp>
        <stp>FA_ACT_EST_DATA=E, EST_SOURCE=CRC</stp>
        <stp>ACT_EST_MAPPING=PRECISE</stp>
        <stp>FS=MRC</stp>
        <stp>CURRENCY=USD</stp>
        <stp>XLFILL=b</stp>
        <tr r="AV104" s="2"/>
      </tp>
      <tp t="s">
        <v>#N/A Requesting Data...</v>
        <stp/>
        <stp>##V3_BQLV12</stp>
        <stp>[MODL_NOW_US1.xlsx]Single Period!R63C20</stp>
        <stp>SEG0000230975 Segment</stp>
        <stp>CB_IS_GROSS_PROFIT/1M</stp>
        <stp>FPR=2021Y</stp>
        <stp>FPT=A</stp>
        <stp>FA_ACT_EST_DATA=E, EST_SOURCE=CAN</stp>
        <stp>ACT_EST_MAPPING=PRECISE</stp>
        <stp>FS=MRC</stp>
        <stp>CURRENCY=USD</stp>
        <stp>XLFILL=b</stp>
        <tr r="T63" s="2"/>
      </tp>
      <tp t="s">
        <v>#N/A Requesting Data...</v>
        <stp/>
        <stp>##V3_BQLV12</stp>
        <stp>[MODL_NOW_US1.xlsx]Single Period!R218C42</stp>
        <stp>NOW US Equity</stp>
        <stp>CF_ACQUISITION_OF_INTANG_ASSETS/1M</stp>
        <stp>FPR=2021Y</stp>
        <stp>FPT=A</stp>
        <stp>FA_ACT_EST_DATA=E, EST_SOURCE=CTI</stp>
        <stp>ACT_EST_MAPPING=PRECISE</stp>
        <stp>FS=MRC</stp>
        <stp>CURRENCY=USD</stp>
        <stp>XLFILL=b</stp>
        <tr r="AP218" s="2"/>
      </tp>
      <tp t="s">
        <v>#N/A Requesting Data...</v>
        <stp/>
        <stp>##V3_BQLV12</stp>
        <stp>[MODL_NOW_US1.xlsx]Single Period!R155C38</stp>
        <stp>NOW US Equity</stp>
        <stp>BS_CASH_CASH_EQUIVALENTS_AND_STI/1M</stp>
        <stp>FPR=2021Y</stp>
        <stp>FPT=A</stp>
        <stp>FA_ACT_EST_DATA=E, EST_SOURCE=RWB</stp>
        <stp>ACT_EST_MAPPING=PRECISE</stp>
        <stp>FS=MRC</stp>
        <stp>CURRENCY=USD</stp>
        <stp>XLFILL=b</stp>
        <tr r="AL155" s="2"/>
      </tp>
      <tp t="s">
        <v>#N/A Requesting Data...</v>
        <stp/>
        <stp>##V3_BQLV12</stp>
        <stp>[MODL_NOW_US1.xlsx]Single Period!R104C44</stp>
        <stp>NOW US Equity</stp>
        <stp>IS_COMP_NET_INC_EXCL_STOCK_COMP/1M</stp>
        <stp>FPR=2021Y</stp>
        <stp>FPT=A</stp>
        <stp>FA_ACT_EST_DATA=E, EST_SOURCE=ARE</stp>
        <stp>ACT_EST_MAPPING=PRECISE</stp>
        <stp>FS=MRC</stp>
        <stp>CURRENCY=USD</stp>
        <stp>XLFILL=b</stp>
        <tr r="AR104" s="2"/>
      </tp>
      <tp t="s">
        <v>#N/A Requesting Data...</v>
        <stp/>
        <stp>##V3_BQLV12</stp>
        <stp>[MODL_NOW_US1.xlsx]Single Period!R177C26</stp>
        <stp>NOW US Equity</stp>
        <stp>BS_ST_CPTL_LEA_AND_OP_LEA_LIABS/1M</stp>
        <stp>FPR=2021Y</stp>
        <stp>FPT=A</stp>
        <stp>FA_ACT_EST_DATA=E, EST_SOURCE=UBS</stp>
        <stp>ACT_EST_MAPPING=PRECISE</stp>
        <stp>FS=MRC</stp>
        <stp>CURRENCY=USD</stp>
        <stp>XLFILL=b</stp>
        <tr r="Z177" s="2"/>
      </tp>
      <tp t="s">
        <v>#N/A Requesting Data...</v>
        <stp/>
        <stp>##V3_BQLV12</stp>
        <stp>[MODL_NOW_US1.xlsx]Single Period!R104C41</stp>
        <stp>NOW US Equity</stp>
        <stp>IS_COMP_NET_INC_EXCL_STOCK_COMP/1M</stp>
        <stp>FPR=2021Y</stp>
        <stp>FPT=A</stp>
        <stp>FA_ACT_EST_DATA=E, EST_SOURCE=ARG</stp>
        <stp>ACT_EST_MAPPING=PRECISE</stp>
        <stp>FS=MRC</stp>
        <stp>CURRENCY=USD</stp>
        <stp>XLFILL=b</stp>
        <tr r="AO104" s="2"/>
      </tp>
      <tp t="s">
        <v>#N/A Requesting Data...</v>
        <stp/>
        <stp>##V3_BQLV12</stp>
        <stp>[MODL_NOW_US1.xlsx]Single Period!R182C46</stp>
        <stp>NOW US Equity</stp>
        <stp>BS_OTHER_NONCURRENT_LIABILITIES/1M</stp>
        <stp>FPR=2021Y</stp>
        <stp>FPT=A</stp>
        <stp>FA_ACT_EST_DATA=E, EST_SOURCE=MZS</stp>
        <stp>ACT_EST_MAPPING=PRECISE</stp>
        <stp>FS=MRC</stp>
        <stp>CURRENCY=USD</stp>
        <stp>XLFILL=b</stp>
        <tr r="AT182" s="2"/>
      </tp>
      <tp t="s">
        <v>#N/A Requesting Data...</v>
        <stp/>
        <stp>##V3_BQLV12</stp>
        <stp>[MODL_NOW_US1.xlsx]Single Period!R216C45</stp>
        <stp>NOW US Equity</stp>
        <stp>CF_PURCHASE_OF_FIXED_PROD_ASSETS/1M</stp>
        <stp>FPR=2021Y</stp>
        <stp>FPT=A</stp>
        <stp>FA_ACT_EST_DATA=E, EST_SOURCE=PJE</stp>
        <stp>ACT_EST_MAPPING=PRECISE</stp>
        <stp>FS=MRC</stp>
        <stp>CURRENCY=USD</stp>
        <stp>XLFILL=b</stp>
        <tr r="AS216" s="2"/>
      </tp>
      <tp t="s">
        <v>#N/A Requesting Data...</v>
        <stp/>
        <stp>##V3_BQLV12</stp>
        <stp>[MODL_NOW_US1.xlsx]Single Period!R107C22</stp>
        <stp>NOW US Equity</stp>
        <stp>CB_IS_ADJ_DILUTED_AVG_SHS/1M</stp>
        <stp>FPR=2021Y</stp>
        <stp>FPT=A</stp>
        <stp>FA_ACT_EST_DATA=E, EST_SOURCE=NDH</stp>
        <stp>ACT_EST_MAPPING=PRECISE</stp>
        <stp>FS=MRC</stp>
        <stp>CURRENCY=USD</stp>
        <stp>XLFILL=b</stp>
        <tr r="V107" s="2"/>
      </tp>
      <tp t="s">
        <v>#N/A Requesting Data...</v>
        <stp/>
        <stp>##V3_BQLV12</stp>
        <stp>[MODL_NOW_US1.xlsx]Single Period!R121C25</stp>
        <stp>NOW US Equity</stp>
        <stp>CB_IS_GENL_AND_ADMIN_EXPN/1M</stp>
        <stp>FPR=2021Y</stp>
        <stp>FPT=A</stp>
        <stp>FA_ACT_EST_DATA=E, EST_SOURCE=DBG</stp>
        <stp>ACT_EST_MAPPING=PRECISE</stp>
        <stp>FS=MRC</stp>
        <stp>CURRENCY=USD</stp>
        <stp>XLFILL=b</stp>
        <tr r="Y121" s="2"/>
      </tp>
      <tp t="s">
        <v>#N/A Requesting Data...</v>
        <stp/>
        <stp>##V3_BQLV12</stp>
        <stp>[MODL_NOW_US1.xlsx]Single Period!R202C13</stp>
        <stp>NOW US Equity</stp>
        <stp>CF_AMORTIZATN_OF_DEFRRD_COMPNSTN/1M</stp>
        <stp>FPR=2021Y</stp>
        <stp>FPT=A</stp>
        <stp>FA_ACT_EST_DATA=E, EST_SOURCE=KEY</stp>
        <stp>ACT_EST_MAPPING=PRECISE</stp>
        <stp>FS=MRC</stp>
        <stp>CURRENCY=USD</stp>
        <stp>XLFILL=b</stp>
        <tr r="M202" s="2"/>
      </tp>
      <tp t="s">
        <v>#N/A Requesting Data...</v>
        <stp/>
        <stp>##V3_BQLV12</stp>
        <stp>[MODL_NOW_US1.xlsx]Single Period!R63C33</stp>
        <stp>SEG0000230975 Segment</stp>
        <stp>CB_IS_GROSS_PROFIT/1M</stp>
        <stp>FPR=2021Y</stp>
        <stp>FPT=A</stp>
        <stp>FA_ACT_EST_DATA=E, EST_SOURCE=MAC</stp>
        <stp>ACT_EST_MAPPING=PRECISE</stp>
        <stp>FS=MRC</stp>
        <stp>CURRENCY=USD</stp>
        <stp>XLFILL=b</stp>
        <tr r="AG63" s="2"/>
      </tp>
      <tp t="s">
        <v>#N/A Requesting Data...</v>
        <stp/>
        <stp>##V3_BQLV12</stp>
        <stp>[MODL_NOW_US1.xlsx]Single Period!R218C37</stp>
        <stp>NOW US Equity</stp>
        <stp>CF_ACQUISITION_OF_INTANG_ASSETS/1M</stp>
        <stp>FPR=2021Y</stp>
        <stp>FPT=A</stp>
        <stp>FA_ACT_EST_DATA=E, EST_SOURCE=TTC</stp>
        <stp>ACT_EST_MAPPING=PRECISE</stp>
        <stp>FS=MRC</stp>
        <stp>CURRENCY=USD</stp>
        <stp>XLFILL=b</stp>
        <tr r="AK218" s="2"/>
      </tp>
      <tp t="s">
        <v>#N/A Requesting Data...</v>
        <stp/>
        <stp>##V3_BQLV12</stp>
        <stp>[MODL_NOW_US1.xlsx]Single Period!R182C39</stp>
        <stp>NOW US Equity</stp>
        <stp>BS_OTHER_NONCURRENT_LIABILITIES/1M</stp>
        <stp>FPR=2021Y</stp>
        <stp>FPT=A</stp>
        <stp>FA_ACT_EST_DATA=E, EST_SOURCE=DZB</stp>
        <stp>ACT_EST_MAPPING=PRECISE</stp>
        <stp>FS=MRC</stp>
        <stp>CURRENCY=USD</stp>
        <stp>XLFILL=b</stp>
        <tr r="AM182" s="2"/>
      </tp>
      <tp t="s">
        <v>#N/A Requesting Data...</v>
        <stp/>
        <stp>##V3_BQLV12</stp>
        <stp>[MODL_NOW_US1.xlsx]Single Period!R177C25</stp>
        <stp>NOW US Equity</stp>
        <stp>BS_ST_CPTL_LEA_AND_OP_LEA_LIABS/1M</stp>
        <stp>FPR=2021Y</stp>
        <stp>FPT=A</stp>
        <stp>FA_ACT_EST_DATA=E, EST_SOURCE=DBG</stp>
        <stp>ACT_EST_MAPPING=PRECISE</stp>
        <stp>FS=MRC</stp>
        <stp>CURRENCY=USD</stp>
        <stp>XLFILL=b</stp>
        <tr r="Y177" s="2"/>
      </tp>
      <tp t="s">
        <v>#N/A Requesting Data...</v>
        <stp/>
        <stp>##V3_BQLV12</stp>
        <stp>[MODL_NOW_US1.xlsx]Single Period!R107C18</stp>
        <stp>NOW US Equity</stp>
        <stp>CB_IS_ADJ_DILUTED_AVG_SHS/1M</stp>
        <stp>FPR=2021Y</stp>
        <stp>FPT=A</stp>
        <stp>FA_ACT_EST_DATA=E, EST_SOURCE=SNR</stp>
        <stp>ACT_EST_MAPPING=PRECISE</stp>
        <stp>FS=MRC</stp>
        <stp>CURRENCY=USD</stp>
        <stp>XLFILL=b</stp>
        <tr r="R107" s="2"/>
      </tp>
      <tp t="s">
        <v>#N/A Requesting Data...</v>
        <stp/>
        <stp>##V3_BQLV12</stp>
        <stp>[MODL_NOW_US1.xlsx]Single Period!R155C28</stp>
        <stp>NOW US Equity</stp>
        <stp>BS_CASH_CASH_EQUIVALENTS_AND_STI/1M</stp>
        <stp>FPR=2021Y</stp>
        <stp>FPT=A</stp>
        <stp>FA_ACT_EST_DATA=E, EST_SOURCE=EVR</stp>
        <stp>ACT_EST_MAPPING=PRECISE</stp>
        <stp>FS=MRC</stp>
        <stp>CURRENCY=USD</stp>
        <stp>XLFILL=b</stp>
        <tr r="AB155" s="2"/>
      </tp>
      <tp t="s">
        <v>#N/A Requesting Data...</v>
        <stp/>
        <stp>##V3_BQLV12</stp>
        <stp>[MODL_NOW_US1.xlsx]Single Period!R177C32</stp>
        <stp>NOW US Equity</stp>
        <stp>BS_ST_CPTL_LEA_AND_OP_LEA_LIABS/1M</stp>
        <stp>FPR=2021Y</stp>
        <stp>FPT=A</stp>
        <stp>FA_ACT_EST_DATA=E, EST_SOURCE=FBC</stp>
        <stp>ACT_EST_MAPPING=PRECISE</stp>
        <stp>FS=MRC</stp>
        <stp>CURRENCY=USD</stp>
        <stp>XLFILL=b</stp>
        <tr r="AF177" s="2"/>
      </tp>
      <tp t="s">
        <v>#N/A Requesting Data...</v>
        <stp/>
        <stp>##V3_BQLV12</stp>
        <stp>[MODL_NOW_US1.xlsx]Single Period!R177C27</stp>
        <stp>NOW US Equity</stp>
        <stp>BS_ST_CPTL_LEA_AND_OP_LEA_LIABS/1M</stp>
        <stp>FPR=2021Y</stp>
        <stp>FPT=A</stp>
        <stp>FA_ACT_EST_DATA=E, EST_SOURCE=RBC</stp>
        <stp>ACT_EST_MAPPING=PRECISE</stp>
        <stp>FS=MRC</stp>
        <stp>CURRENCY=USD</stp>
        <stp>XLFILL=b</stp>
        <tr r="AA177" s="2"/>
      </tp>
      <tp t="s">
        <v>#N/A Requesting Data...</v>
        <stp/>
        <stp>##V3_BQLV12</stp>
        <stp>[MODL_NOW_US1.xlsx]Single Period!R175C12</stp>
        <stp>NOW US Equity</stp>
        <stp>BS_ACCRUD_EXPNSS_AND_OTHR/1M</stp>
        <stp>FPR=2021Y</stp>
        <stp>FPT=A</stp>
        <stp>FA_ACT_EST_DATA=E, EST_SOURCE=WBL</stp>
        <stp>ACT_EST_MAPPING=PRECISE</stp>
        <stp>FS=MRC</stp>
        <stp>CURRENCY=USD</stp>
        <stp>XLFILL=b</stp>
        <tr r="L175" s="2"/>
      </tp>
      <tp t="s">
        <v>#N/A Requesting Data...</v>
        <stp/>
        <stp>##V3_BQLV12</stp>
        <stp>[MODL_NOW_US1.xlsx]Single Period!R221C46</stp>
        <stp>NOW US Equity</stp>
        <stp>CB_CF_OTHER_INVESTING_ACTIVITIES/1M</stp>
        <stp>FPR=2021Y</stp>
        <stp>FPT=A</stp>
        <stp>FA_ACT_EST_DATA=E, EST_SOURCE=MZS</stp>
        <stp>ACT_EST_MAPPING=PRECISE</stp>
        <stp>FS=MRC</stp>
        <stp>CURRENCY=USD</stp>
        <stp>XLFILL=b</stp>
        <tr r="AT221" s="2"/>
      </tp>
      <tp t="s">
        <v>#N/A Requesting Data...</v>
        <stp/>
        <stp>##V3_BQLV12</stp>
        <stp>[MODL_NOW_US1.xlsx]Single Period!R177C12</stp>
        <stp>NOW US Equity</stp>
        <stp>BS_ST_CPTL_LEA_AND_OP_LEA_LIABS/1M</stp>
        <stp>FPR=2021Y</stp>
        <stp>FPT=A</stp>
        <stp>FA_ACT_EST_DATA=E, EST_SOURCE=WBL</stp>
        <stp>ACT_EST_MAPPING=PRECISE</stp>
        <stp>FS=MRC</stp>
        <stp>CURRENCY=USD</stp>
        <stp>XLFILL=b</stp>
        <tr r="L177" s="2"/>
      </tp>
      <tp t="s">
        <v>#N/A Requesting Data...</v>
        <stp/>
        <stp>##V3_BQLV12</stp>
        <stp>[MODL_NOW_US1.xlsx]Single Period!R175C32</stp>
        <stp>NOW US Equity</stp>
        <stp>BS_ACCRUD_EXPNSS_AND_OTHR/1M</stp>
        <stp>FPR=2021Y</stp>
        <stp>FPT=A</stp>
        <stp>FA_ACT_EST_DATA=E, EST_SOURCE=FBC</stp>
        <stp>ACT_EST_MAPPING=PRECISE</stp>
        <stp>FS=MRC</stp>
        <stp>CURRENCY=USD</stp>
        <stp>XLFILL=b</stp>
        <tr r="AF175" s="2"/>
      </tp>
      <tp t="s">
        <v>#N/A Requesting Data...</v>
        <stp/>
        <stp>##V3_BQLV12</stp>
        <stp>[MODL_NOW_US1.xlsx]Single Period!R107C13</stp>
        <stp>NOW US Equity</stp>
        <stp>CB_IS_ADJ_DILUTED_AVG_SHS/1M</stp>
        <stp>FPR=2021Y</stp>
        <stp>FPT=A</stp>
        <stp>FA_ACT_EST_DATA=E, EST_SOURCE=KEY</stp>
        <stp>ACT_EST_MAPPING=PRECISE</stp>
        <stp>FS=MRC</stp>
        <stp>CURRENCY=USD</stp>
        <stp>XLFILL=b</stp>
        <tr r="M107" s="2"/>
      </tp>
      <tp t="s">
        <v>#N/A Requesting Data...</v>
        <stp/>
        <stp>##V3_BQLV12</stp>
        <stp>[MODL_NOW_US1.xlsx]Single Period!R121C29</stp>
        <stp>NOW US Equity</stp>
        <stp>CB_IS_GENL_AND_ADMIN_EXPN/1M</stp>
        <stp>FPR=2021Y</stp>
        <stp>FPT=A</stp>
        <stp>FA_ACT_EST_DATA=E, EST_SOURCE=BNS</stp>
        <stp>ACT_EST_MAPPING=PRECISE</stp>
        <stp>FS=MRC</stp>
        <stp>CURRENCY=USD</stp>
        <stp>XLFILL=b</stp>
        <tr r="AC121" s="2"/>
      </tp>
      <tp t="s">
        <v>#N/A Requesting Data...</v>
        <stp/>
        <stp>##V3_BQLV12</stp>
        <stp>[MODL_NOW_US1.xlsx]Single Period!R116C29</stp>
        <stp>NOW US Equity</stp>
        <stp>GROSS_MARGIN</stp>
        <stp>FPR=2021Y</stp>
        <stp>FPT=A</stp>
        <stp>FA_ACT_EST_DATA=E, EST_SOURCE=BNS</stp>
        <stp>ACT_EST_MAPPING=PRECISE</stp>
        <stp>FS=MRC</stp>
        <stp>CURRENCY=USD</stp>
        <stp>XLFILL=b</stp>
        <tr r="AC116" s="2"/>
      </tp>
      <tp t="s">
        <v>#N/A Requesting Data...</v>
        <stp/>
        <stp>##V3_BQLV12</stp>
        <stp>[MODL_NOW_US1.xlsx]Single Period!R239C15</stp>
        <stp>NOW US Equity</stp>
        <stp>CFO_TO_SALES</stp>
        <stp>FPR=2021Y</stp>
        <stp>FPT=A</stp>
        <stp>FA_ACT_EST_DATA=E, EST_SOURCE=OPY</stp>
        <stp>ACT_EST_MAPPING=PRECISE</stp>
        <stp>FS=MRC</stp>
        <stp>CURRENCY=USD</stp>
        <stp>XLFILL=b</stp>
        <tr r="O239" s="2"/>
      </tp>
      <tp t="s">
        <v>#N/A Requesting Data...</v>
        <stp/>
        <stp>##V3_BQLV12</stp>
        <stp>[MODL_NOW_US1.xlsx]Single Period!R21C9</stp>
        <stp>SEG0000230986 Segment</stp>
        <stp>CONTRIBUTOR_STATS(IS_BILLINGS, MEDIAN)/1M</stp>
        <stp>FPR=2021Y</stp>
        <stp>FPT=A</stp>
        <stp>FA_ACT_EST_DATA=E</stp>
        <stp>ACT_EST_MAPPING=PRECISE</stp>
        <stp>FS=MRC</stp>
        <stp>CURRENCY=USD</stp>
        <stp>XLFILL=b</stp>
        <tr r="I21" s="2"/>
      </tp>
      <tp t="s">
        <v>#N/A Requesting Data...</v>
        <stp/>
        <stp>##V3_BQLV12</stp>
        <stp>[MODL_NOW_US1.xlsx]Single Period!R116C25</stp>
        <stp>NOW US Equity</stp>
        <stp>GROSS_MARGIN</stp>
        <stp>FPR=2021Y</stp>
        <stp>FPT=A</stp>
        <stp>FA_ACT_EST_DATA=E, EST_SOURCE=DBG</stp>
        <stp>ACT_EST_MAPPING=PRECISE</stp>
        <stp>FS=MRC</stp>
        <stp>CURRENCY=USD</stp>
        <stp>XLFILL=b</stp>
        <tr r="Y116" s="2"/>
      </tp>
      <tp t="s">
        <v>#N/A Requesting Data...</v>
        <stp/>
        <stp>##V3_BQLV12</stp>
        <stp>[MODL_NOW_US1.xlsx]Single Period!R129C30</stp>
        <stp>NOW US Equity</stp>
        <stp>EFF_TAX_RATE</stp>
        <stp>FPR=2021Y</stp>
        <stp>FPT=A</stp>
        <stp>FA_ACT_EST_DATA=E, EST_SOURCE=BAM</stp>
        <stp>ACT_EST_MAPPING=PRECISE</stp>
        <stp>FS=MRC</stp>
        <stp>CURRENCY=USD</stp>
        <stp>XLFILL=b</stp>
        <tr r="AD129" s="2"/>
      </tp>
      <tp t="s">
        <v>#N/A Requesting Data...</v>
        <stp/>
        <stp>##V3_BQLV12</stp>
        <stp>[MODL_NOW_US1.xlsx]Single Period!R129C20</stp>
        <stp>NOW US Equity</stp>
        <stp>EFF_TAX_RATE</stp>
        <stp>FPR=2021Y</stp>
        <stp>FPT=A</stp>
        <stp>FA_ACT_EST_DATA=E, EST_SOURCE=CAN</stp>
        <stp>ACT_EST_MAPPING=PRECISE</stp>
        <stp>FS=MRC</stp>
        <stp>CURRENCY=USD</stp>
        <stp>XLFILL=b</stp>
        <tr r="T129" s="2"/>
      </tp>
      <tp t="s">
        <v>#N/A Requesting Data...</v>
        <stp/>
        <stp>##V3_BQLV12</stp>
        <stp>[MODL_NOW_US1.xlsx]Single Period!R144C10</stp>
        <stp>NOW US Equity</stp>
        <stp>IS_SBC_ATT_TO_GENL_AND_ADMIN_PRETX/1M</stp>
        <stp>FPR=2021Y</stp>
        <stp>FPT=A</stp>
        <stp>FA_ACT_EST_DATA=E, EST_SOURCE=CMPY</stp>
        <stp>ACT_EST_MAPPING=PRECISE</stp>
        <stp>FS=MRC</stp>
        <stp>CURRENCY=USD</stp>
        <stp>XLFILL=b</stp>
        <tr r="J144" s="2"/>
      </tp>
      <tp t="s">
        <v>#N/A Requesting Data...</v>
        <stp/>
        <stp>##V3_BQLV12</stp>
        <stp>[MODL_NOW_US1.xlsx]Single Period!R159C13</stp>
        <stp>NOW US Equity</stp>
        <stp>CB_BS_OTHER_CURRENT_ASSETS/1M</stp>
        <stp>FPR=2021Y</stp>
        <stp>FPT=A</stp>
        <stp>FA_ACT_EST_DATA=E, EST_SOURCE=KEY</stp>
        <stp>ACT_EST_MAPPING=PRECISE</stp>
        <stp>FS=MRC</stp>
        <stp>CURRENCY=USD</stp>
        <stp>XLFILL=b</stp>
        <tr r="M159" s="2"/>
      </tp>
      <tp t="s">
        <v>#N/A Requesting Data...</v>
        <stp/>
        <stp>##V3_BQLV12</stp>
        <stp>[MODL_NOW_US1.xlsx]Single Period!R157C21</stp>
        <stp>NOW US Equity</stp>
        <stp>BS_MKT_SEC_OTHER_ST_INVEST/1M</stp>
        <stp>FPR=2021Y</stp>
        <stp>FPT=A</stp>
        <stp>FA_ACT_EST_DATA=E, EST_SOURCE=JMP</stp>
        <stp>ACT_EST_MAPPING=PRECISE</stp>
        <stp>FS=MRC</stp>
        <stp>CURRENCY=USD</stp>
        <stp>XLFILL=b</stp>
        <tr r="U157" s="2"/>
      </tp>
      <tp t="s">
        <v>#N/A Requesting Data...</v>
        <stp/>
        <stp>##V3_BQLV12</stp>
        <stp>[MODL_NOW_US1.xlsx]Single Period!R111C34</stp>
        <stp>NOW US Equity</stp>
        <stp>IS_COGS_TO_FE_AND_PP_AND_G/1M</stp>
        <stp>FPR=2021Y</stp>
        <stp>FPT=A</stp>
        <stp>FA_ACT_EST_DATA=E, EST_SOURCE=PSG</stp>
        <stp>ACT_EST_MAPPING=PRECISE</stp>
        <stp>FS=MRC</stp>
        <stp>CURRENCY=USD</stp>
        <stp>XLFILL=b</stp>
        <tr r="AH111" s="2"/>
      </tp>
      <tp t="s">
        <v>#N/A Requesting Data...</v>
        <stp/>
        <stp>##V3_BQLV12</stp>
        <stp>[MODL_NOW_US1.xlsx]Single Period!R212C45</stp>
        <stp>NOW US Equity</stp>
        <stp>CF_CHANGE_IN_ACCRUD_EXPNSS/1M</stp>
        <stp>FPR=2021Y</stp>
        <stp>FPT=A</stp>
        <stp>FA_ACT_EST_DATA=E, EST_SOURCE=PJE</stp>
        <stp>ACT_EST_MAPPING=PRECISE</stp>
        <stp>FS=MRC</stp>
        <stp>CURRENCY=USD</stp>
        <stp>XLFILL=b</stp>
        <tr r="AS212" s="2"/>
      </tp>
      <tp t="s">
        <v>#N/A Requesting Data...</v>
        <stp/>
        <stp>##V3_BQLV12</stp>
        <stp>[MODL_NOW_US1.xlsx]Single Period!R164C43</stp>
        <stp>NOW US Equity</stp>
        <stp>CB_BS_PP_AND_E_NET/1M</stp>
        <stp>FPR=2021Y</stp>
        <stp>FPT=A</stp>
        <stp>FA_ACT_EST_DATA=E, EST_SOURCE=WFT</stp>
        <stp>ACT_EST_MAPPING=PRECISE</stp>
        <stp>FS=MRC</stp>
        <stp>CURRENCY=USD</stp>
        <stp>XLFILL=b</stp>
        <tr r="AQ164" s="2"/>
      </tp>
      <tp t="s">
        <v>#N/A Requesting Data...</v>
        <stp/>
        <stp>##V3_BQLV12</stp>
        <stp>[MODL_NOW_US1.xlsx]Single Period!R194C17</stp>
        <stp>NOW US Equity</stp>
        <stp>CB_BS_OTHER_CURRENT_ASSETS/1M</stp>
        <stp>FPR=2021Y</stp>
        <stp>FPT=A</stp>
        <stp>FA_ACT_EST_DATA=E, EST_SOURCE=RHR</stp>
        <stp>ACT_EST_MAPPING=PRECISE</stp>
        <stp>FS=MRC</stp>
        <stp>CURRENCY=USD</stp>
        <stp>XLFILL=b</stp>
        <tr r="Q194" s="2"/>
      </tp>
      <tp t="s">
        <v>#N/A Requesting Data...</v>
        <stp/>
        <stp>##V3_BQLV12</stp>
        <stp>[MODL_NOW_US1.xlsx]Single Period!R163C33</stp>
        <stp>NOW US Equity</stp>
        <stp>CB_BS_PP_AND_E_NET/1M</stp>
        <stp>FPR=2021Y</stp>
        <stp>FPT=A</stp>
        <stp>FA_ACT_EST_DATA=E, EST_SOURCE=MAC</stp>
        <stp>ACT_EST_MAPPING=PRECISE</stp>
        <stp>FS=MRC</stp>
        <stp>CURRENCY=USD</stp>
        <stp>XLFILL=b</stp>
        <tr r="AG163" s="2"/>
      </tp>
      <tp t="s">
        <v>#N/A Requesting Data...</v>
        <stp/>
        <stp>##V3_BQLV12</stp>
        <stp>[MODL_NOW_US1.xlsx]Single Period!R111C35</stp>
        <stp>NOW US Equity</stp>
        <stp>IS_COGS_TO_FE_AND_PP_AND_G/1M</stp>
        <stp>FPR=2021Y</stp>
        <stp>FPT=A</stp>
        <stp>FA_ACT_EST_DATA=E, EST_SOURCE=MSR</stp>
        <stp>ACT_EST_MAPPING=PRECISE</stp>
        <stp>FS=MRC</stp>
        <stp>CURRENCY=USD</stp>
        <stp>XLFILL=b</stp>
        <tr r="AI111" s="2"/>
      </tp>
      <tp t="s">
        <v>#N/A Requesting Data...</v>
        <stp/>
        <stp>##V3_BQLV12</stp>
        <stp>[MODL_NOW_US1.xlsx]Single Period!R111C31</stp>
        <stp>NOW US Equity</stp>
        <stp>IS_COGS_TO_FE_AND_PP_AND_G/1M</stp>
        <stp>FPR=2021Y</stp>
        <stp>FPT=A</stp>
        <stp>FA_ACT_EST_DATA=E, EST_SOURCE=GSR</stp>
        <stp>ACT_EST_MAPPING=PRECISE</stp>
        <stp>FS=MRC</stp>
        <stp>CURRENCY=USD</stp>
        <stp>XLFILL=b</stp>
        <tr r="AE111" s="2"/>
      </tp>
      <tp t="s">
        <v>#N/A Requesting Data...</v>
        <stp/>
        <stp>##V3_BQLV12</stp>
        <stp>[MODL_NOW_US1.xlsx]Single Period!R127C33</stp>
        <stp>NOW US Equity</stp>
        <stp>PRETAX_INC/1M</stp>
        <stp>FPR=2021Y</stp>
        <stp>FPT=A</stp>
        <stp>FA_ACT_EST_DATA=E, EST_SOURCE=MAC</stp>
        <stp>ACT_EST_MAPPING=PRECISE</stp>
        <stp>FS=MRC</stp>
        <stp>CURRENCY=USD</stp>
        <stp>XLFILL=b</stp>
        <tr r="AG127" s="2"/>
      </tp>
      <tp t="s">
        <v>#N/A Requesting Data...</v>
        <stp/>
        <stp>##V3_BQLV12</stp>
        <stp>[MODL_NOW_US1.xlsx]Single Period!R111C19</stp>
        <stp>NOW US Equity</stp>
        <stp>IS_COGS_TO_FE_AND_PP_AND_G/1M</stp>
        <stp>FPR=2021Y</stp>
        <stp>FPT=A</stp>
        <stp>FA_ACT_EST_DATA=E, EST_SOURCE=MSV</stp>
        <stp>ACT_EST_MAPPING=PRECISE</stp>
        <stp>FS=MRC</stp>
        <stp>CURRENCY=USD</stp>
        <stp>XLFILL=b</stp>
        <tr r="S111" s="2"/>
      </tp>
      <tp t="s">
        <v>#N/A Requesting Data...</v>
        <stp/>
        <stp>##V3_BQLV12</stp>
        <stp>[MODL_NOW_US1.xlsx]Single Period!R127C20</stp>
        <stp>NOW US Equity</stp>
        <stp>PRETAX_INC/1M</stp>
        <stp>FPR=2021Y</stp>
        <stp>FPT=A</stp>
        <stp>FA_ACT_EST_DATA=E, EST_SOURCE=CAN</stp>
        <stp>ACT_EST_MAPPING=PRECISE</stp>
        <stp>FS=MRC</stp>
        <stp>CURRENCY=USD</stp>
        <stp>XLFILL=b</stp>
        <tr r="T127" s="2"/>
      </tp>
      <tp t="s">
        <v>#N/A Requesting Data...</v>
        <stp/>
        <stp>##V3_BQLV12</stp>
        <stp>[MODL_NOW_US1.xlsx]Single Period!R127C30</stp>
        <stp>NOW US Equity</stp>
        <stp>PRETAX_INC/1M</stp>
        <stp>FPR=2021Y</stp>
        <stp>FPT=A</stp>
        <stp>FA_ACT_EST_DATA=E, EST_SOURCE=BAM</stp>
        <stp>ACT_EST_MAPPING=PRECISE</stp>
        <stp>FS=MRC</stp>
        <stp>CURRENCY=USD</stp>
        <stp>XLFILL=b</stp>
        <tr r="AD127" s="2"/>
      </tp>
      <tp t="s">
        <v>#N/A Requesting Data...</v>
        <stp/>
        <stp>##V3_BQLV12</stp>
        <stp>[MODL_NOW_US1.xlsx]Single Period!R157C14</stp>
        <stp>NOW US Equity</stp>
        <stp>BS_MKT_SEC_OTHER_ST_INVEST/1M</stp>
        <stp>FPR=2021Y</stp>
        <stp>FPT=A</stp>
        <stp>FA_ACT_EST_DATA=E, EST_SOURCE=BMO</stp>
        <stp>ACT_EST_MAPPING=PRECISE</stp>
        <stp>FS=MRC</stp>
        <stp>CURRENCY=USD</stp>
        <stp>XLFILL=b</stp>
        <tr r="N157" s="2"/>
      </tp>
      <tp t="s">
        <v>#N/A Requesting Data...</v>
        <stp/>
        <stp>##V3_BQLV12</stp>
        <stp>[MODL_NOW_US1.xlsx]Single Period!R159C36</stp>
        <stp>NOW US Equity</stp>
        <stp>CB_BS_OTHER_CURRENT_ASSETS/1M</stp>
        <stp>FPR=2021Y</stp>
        <stp>FPT=A</stp>
        <stp>FA_ACT_EST_DATA=E, EST_SOURCE=JEF</stp>
        <stp>ACT_EST_MAPPING=PRECISE</stp>
        <stp>FS=MRC</stp>
        <stp>CURRENCY=USD</stp>
        <stp>XLFILL=b</stp>
        <tr r="AJ159" s="2"/>
      </tp>
      <tp t="s">
        <v>#N/A Requesting Data...</v>
        <stp/>
        <stp>##V3_BQLV12</stp>
        <stp>[MODL_NOW_US1.xlsx]Single Period!R96C20</stp>
        <stp>NOW US Equity</stp>
        <stp>ADJ_OPERATING_MARGIN</stp>
        <stp>FPR=2021Y</stp>
        <stp>FPT=A</stp>
        <stp>FA_ACT_EST_DATA=E, EST_SOURCE=CAN</stp>
        <stp>ACT_EST_MAPPING=PRECISE</stp>
        <stp>FS=MRC</stp>
        <stp>CURRENCY=USD</stp>
        <stp>XLFILL=b</stp>
        <tr r="T96" s="2"/>
      </tp>
      <tp t="s">
        <v>#N/A Requesting Data...</v>
        <stp/>
        <stp>##V3_BQLV12</stp>
        <stp>[MODL_NOW_US1.xlsx]Single Period!R163C20</stp>
        <stp>NOW US Equity</stp>
        <stp>CB_BS_PP_AND_E_NET/1M</stp>
        <stp>FPR=2021Y</stp>
        <stp>FPT=A</stp>
        <stp>FA_ACT_EST_DATA=E, EST_SOURCE=CAN</stp>
        <stp>ACT_EST_MAPPING=PRECISE</stp>
        <stp>FS=MRC</stp>
        <stp>CURRENCY=USD</stp>
        <stp>XLFILL=b</stp>
        <tr r="T163" s="2"/>
      </tp>
      <tp t="s">
        <v>#N/A Requesting Data...</v>
        <stp/>
        <stp>##V3_BQLV12</stp>
        <stp>[MODL_NOW_US1.xlsx]Single Period!R96C30</stp>
        <stp>NOW US Equity</stp>
        <stp>ADJ_OPERATING_MARGIN</stp>
        <stp>FPR=2021Y</stp>
        <stp>FPT=A</stp>
        <stp>FA_ACT_EST_DATA=E, EST_SOURCE=BAM</stp>
        <stp>ACT_EST_MAPPING=PRECISE</stp>
        <stp>FS=MRC</stp>
        <stp>CURRENCY=USD</stp>
        <stp>XLFILL=b</stp>
        <tr r="AD96" s="2"/>
      </tp>
      <tp t="s">
        <v>#N/A Requesting Data...</v>
        <stp/>
        <stp>##V3_BQLV12</stp>
        <stp>[MODL_NOW_US1.xlsx]Single Period!R163C30</stp>
        <stp>NOW US Equity</stp>
        <stp>CB_BS_PP_AND_E_NET/1M</stp>
        <stp>FPR=2021Y</stp>
        <stp>FPT=A</stp>
        <stp>FA_ACT_EST_DATA=E, EST_SOURCE=BAM</stp>
        <stp>ACT_EST_MAPPING=PRECISE</stp>
        <stp>FS=MRC</stp>
        <stp>CURRENCY=USD</stp>
        <stp>XLFILL=b</stp>
        <tr r="AD163" s="2"/>
      </tp>
      <tp t="s">
        <v>#N/A Requesting Data...</v>
        <stp/>
        <stp>##V3_BQLV12</stp>
        <stp>[MODL_NOW_US1.xlsx]Single Period!R28C49</stp>
        <stp>NOW US Equity</stp>
        <stp>ADJ_OPERATING_MARGIN</stp>
        <stp>FPR=2021Y</stp>
        <stp>FPT=A</stp>
        <stp>FA_ACT_EST_DATA=E, EST_SOURCE=SCB</stp>
        <stp>ACT_EST_MAPPING=PRECISE</stp>
        <stp>FS=MRC</stp>
        <stp>CURRENCY=USD</stp>
        <stp>XLFILL=b</stp>
        <tr r="AW28" s="2"/>
      </tp>
      <tp t="s">
        <v>#N/A Requesting Data...</v>
        <stp/>
        <stp>##V3_BQLV12</stp>
        <stp>[MODL_NOW_US1.xlsx]Single Period!R21C37</stp>
        <stp>SEG0000230986 Segment</stp>
        <stp>IS_BILLINGS/1M</stp>
        <stp>FPR=2021Y</stp>
        <stp>FPT=A</stp>
        <stp>FA_ACT_EST_DATA=E, EST_SOURCE=TTC</stp>
        <stp>ACT_EST_MAPPING=PRECISE</stp>
        <stp>FS=MRC</stp>
        <stp>CURRENCY=USD</stp>
        <stp>XLFILL=b</stp>
        <tr r="AK21" s="2"/>
      </tp>
      <tp t="s">
        <v>#N/A Requesting Data...</v>
        <stp/>
        <stp>##V3_BQLV12</stp>
        <stp>[MODL_NOW_US1.xlsx]Single Period!R46C37</stp>
        <stp>SEG0000230986 Segment</stp>
        <stp>IS_BILLINGS/1M</stp>
        <stp>FPR=2021Y</stp>
        <stp>FPT=A</stp>
        <stp>FA_ACT_EST_DATA=E, EST_SOURCE=TTC</stp>
        <stp>ACT_EST_MAPPING=PRECISE</stp>
        <stp>FS=MRC</stp>
        <stp>CURRENCY=USD</stp>
        <stp>XLFILL=b</stp>
        <tr r="AK46" s="2"/>
      </tp>
      <tp t="s">
        <v>#N/A Requesting Data...</v>
        <stp/>
        <stp>##V3_BQLV12</stp>
        <stp>[MODL_NOW_US1.xlsx]Single Period!R199C22</stp>
        <stp>NOW US Equity</stp>
        <stp>IS_COMP_NET_INCOME_GAAP/1M</stp>
        <stp>FPR=2021Y</stp>
        <stp>FPT=A</stp>
        <stp>FA_ACT_EST_DATA=E, EST_SOURCE=NDH</stp>
        <stp>ACT_EST_MAPPING=PRECISE</stp>
        <stp>FS=MRC</stp>
        <stp>CURRENCY=USD</stp>
        <stp>XLFILL=b</stp>
        <tr r="V199" s="2"/>
      </tp>
      <tp t="s">
        <v>#N/A Requesting Data...</v>
        <stp/>
        <stp>##V3_BQLV12</stp>
        <stp>[MODL_NOW_US1.xlsx]Single Period!R130C22</stp>
        <stp>NOW US Equity</stp>
        <stp>IS_COMP_NET_INCOME_GAAP/1M</stp>
        <stp>FPR=2021Y</stp>
        <stp>FPT=A</stp>
        <stp>FA_ACT_EST_DATA=E, EST_SOURCE=NDH</stp>
        <stp>ACT_EST_MAPPING=PRECISE</stp>
        <stp>FS=MRC</stp>
        <stp>CURRENCY=USD</stp>
        <stp>XLFILL=b</stp>
        <tr r="V130" s="2"/>
      </tp>
      <tp t="s">
        <v>#N/A Requesting Data...</v>
        <stp/>
        <stp>##V3_BQLV12</stp>
        <stp>[MODL_NOW_US1.xlsx]Single Period!R42C38</stp>
        <stp>SEG0000230975 Segment</stp>
        <stp>IS_BILLINGS/1M</stp>
        <stp>FPR=2021Y</stp>
        <stp>FPT=A</stp>
        <stp>FA_ACT_EST_DATA=E, EST_SOURCE=RWB</stp>
        <stp>ACT_EST_MAPPING=PRECISE</stp>
        <stp>FS=MRC</stp>
        <stp>CURRENCY=USD</stp>
        <stp>XLFILL=b</stp>
        <tr r="AL42" s="2"/>
      </tp>
      <tp t="s">
        <v>#N/A Requesting Data...</v>
        <stp/>
        <stp>##V3_BQLV12</stp>
        <stp>[MODL_NOW_US1.xlsx]Single Period!R17C38</stp>
        <stp>SEG0000230975 Segment</stp>
        <stp>IS_BILLINGS/1M</stp>
        <stp>FPR=2021Y</stp>
        <stp>FPT=A</stp>
        <stp>FA_ACT_EST_DATA=E, EST_SOURCE=RWB</stp>
        <stp>ACT_EST_MAPPING=PRECISE</stp>
        <stp>FS=MRC</stp>
        <stp>CURRENCY=USD</stp>
        <stp>XLFILL=b</stp>
        <tr r="AL17" s="2"/>
      </tp>
      <tp t="s">
        <v>#N/A Requesting Data...</v>
        <stp/>
        <stp>##V3_BQLV12</stp>
        <stp>[MODL_NOW_US1.xlsx]Single Period!R208C21</stp>
        <stp>NOW US Equity</stp>
        <stp>CF_CHANGE_IN_OTHR_ASSTS/1M</stp>
        <stp>FPR=2021Y</stp>
        <stp>FPT=A</stp>
        <stp>FA_ACT_EST_DATA=E, EST_SOURCE=JMP</stp>
        <stp>ACT_EST_MAPPING=PRECISE</stp>
        <stp>FS=MRC</stp>
        <stp>CURRENCY=USD</stp>
        <stp>XLFILL=b</stp>
        <tr r="U208" s="2"/>
      </tp>
      <tp t="s">
        <v>#N/A Requesting Data...</v>
        <stp/>
        <stp>##V3_BQLV12</stp>
        <stp>[MODL_NOW_US1.xlsx]Single Period!R160C11</stp>
        <stp>NOW US Equity</stp>
        <stp>PREPAID_EXPNSS_AND_OTHR/1M</stp>
        <stp>FPR=2021Y</stp>
        <stp>FPT=A</stp>
        <stp>FA_ACT_EST_DATA=E, EST_SOURCE=JPM</stp>
        <stp>ACT_EST_MAPPING=PRECISE</stp>
        <stp>FS=MRC</stp>
        <stp>CURRENCY=USD</stp>
        <stp>XLFILL=b</stp>
        <tr r="K160" s="2"/>
      </tp>
      <tp t="s">
        <v>#N/A Requesting Data...</v>
        <stp/>
        <stp>##V3_BQLV12</stp>
        <stp>[MODL_NOW_US1.xlsx]Single Period!R181C48</stp>
        <stp>NOW US Equity</stp>
        <stp>BS_LONG_TERM_BORROWINGS/1M</stp>
        <stp>FPR=2021Y</stp>
        <stp>FPT=A</stp>
        <stp>FA_ACT_EST_DATA=E, EST_SOURCE=CRC</stp>
        <stp>ACT_EST_MAPPING=PRECISE</stp>
        <stp>FS=MRC</stp>
        <stp>CURRENCY=USD</stp>
        <stp>XLFILL=b</stp>
        <tr r="AV181" s="2"/>
      </tp>
      <tp t="s">
        <v>#N/A Requesting Data...</v>
        <stp/>
        <stp>##V3_BQLV12</stp>
        <stp>[MODL_NOW_US1.xlsx]Single Period!R205C13</stp>
        <stp>NOW US Equity</stp>
        <stp>CB_CF_OTHR_NONCSH_ITEMS/1M</stp>
        <stp>FPR=2021Y</stp>
        <stp>FPT=A</stp>
        <stp>FA_ACT_EST_DATA=E, EST_SOURCE=KEY</stp>
        <stp>ACT_EST_MAPPING=PRECISE</stp>
        <stp>FS=MRC</stp>
        <stp>CURRENCY=USD</stp>
        <stp>XLFILL=b</stp>
        <tr r="M205" s="2"/>
      </tp>
      <tp t="s">
        <v>#N/A Requesting Data...</v>
        <stp/>
        <stp>##V3_BQLV12</stp>
        <stp>[MODL_NOW_US1.xlsx]Single Period!R181C44</stp>
        <stp>NOW US Equity</stp>
        <stp>BS_LONG_TERM_BORROWINGS/1M</stp>
        <stp>FPR=2021Y</stp>
        <stp>FPT=A</stp>
        <stp>FA_ACT_EST_DATA=E, EST_SOURCE=ARE</stp>
        <stp>ACT_EST_MAPPING=PRECISE</stp>
        <stp>FS=MRC</stp>
        <stp>CURRENCY=USD</stp>
        <stp>XLFILL=b</stp>
        <tr r="AR181" s="2"/>
      </tp>
      <tp t="s">
        <v>#N/A Requesting Data...</v>
        <stp/>
        <stp>##V3_BQLV12</stp>
        <stp>[MODL_NOW_US1.xlsx]Single Period!R181C41</stp>
        <stp>NOW US Equity</stp>
        <stp>BS_LONG_TERM_BORROWINGS/1M</stp>
        <stp>FPR=2021Y</stp>
        <stp>FPT=A</stp>
        <stp>FA_ACT_EST_DATA=E, EST_SOURCE=ARG</stp>
        <stp>ACT_EST_MAPPING=PRECISE</stp>
        <stp>FS=MRC</stp>
        <stp>CURRENCY=USD</stp>
        <stp>XLFILL=b</stp>
        <tr r="AO181" s="2"/>
      </tp>
      <tp t="s">
        <v>#N/A Requesting Data...</v>
        <stp/>
        <stp>##V3_BQLV12</stp>
        <stp>[MODL_NOW_US1.xlsx]Single Period!R17C24</stp>
        <stp>SEG0000230975 Segment</stp>
        <stp>IS_BILLINGS/1M</stp>
        <stp>FPR=2021Y</stp>
        <stp>FPT=A</stp>
        <stp>FA_ACT_EST_DATA=E, EST_SOURCE=CWN</stp>
        <stp>ACT_EST_MAPPING=PRECISE</stp>
        <stp>FS=MRC</stp>
        <stp>CURRENCY=USD</stp>
        <stp>XLFILL=b</stp>
        <tr r="X17" s="2"/>
      </tp>
      <tp t="s">
        <v>#N/A Requesting Data...</v>
        <stp/>
        <stp>##V3_BQLV12</stp>
        <stp>[MODL_NOW_US1.xlsx]Single Period!R42C24</stp>
        <stp>SEG0000230975 Segment</stp>
        <stp>IS_BILLINGS/1M</stp>
        <stp>FPR=2021Y</stp>
        <stp>FPT=A</stp>
        <stp>FA_ACT_EST_DATA=E, EST_SOURCE=CWN</stp>
        <stp>ACT_EST_MAPPING=PRECISE</stp>
        <stp>FS=MRC</stp>
        <stp>CURRENCY=USD</stp>
        <stp>XLFILL=b</stp>
        <tr r="X42" s="2"/>
      </tp>
      <tp t="s">
        <v>#N/A Requesting Data...</v>
        <stp/>
        <stp>##V3_BQLV12</stp>
        <stp>[MODL_NOW_US1.xlsx]Single Period!R42C40</stp>
        <stp>SEG0000230975 Segment</stp>
        <stp>IS_BILLINGS/1M</stp>
        <stp>FPR=2021Y</stp>
        <stp>FPT=A</stp>
        <stp>FA_ACT_EST_DATA=E, EST_SOURCE=DWI</stp>
        <stp>ACT_EST_MAPPING=PRECISE</stp>
        <stp>FS=MRC</stp>
        <stp>CURRENCY=USD</stp>
        <stp>XLFILL=b</stp>
        <tr r="AN42" s="2"/>
      </tp>
      <tp t="s">
        <v>#N/A Requesting Data...</v>
        <stp/>
        <stp>##V3_BQLV12</stp>
        <stp>[MODL_NOW_US1.xlsx]Single Period!R46C42</stp>
        <stp>SEG0000230986 Segment</stp>
        <stp>IS_BILLINGS/1M</stp>
        <stp>FPR=2021Y</stp>
        <stp>FPT=A</stp>
        <stp>FA_ACT_EST_DATA=E, EST_SOURCE=CTI</stp>
        <stp>ACT_EST_MAPPING=PRECISE</stp>
        <stp>FS=MRC</stp>
        <stp>CURRENCY=USD</stp>
        <stp>XLFILL=b</stp>
        <tr r="AP46" s="2"/>
      </tp>
      <tp t="s">
        <v>#N/A Requesting Data...</v>
        <stp/>
        <stp>##V3_BQLV12</stp>
        <stp>[MODL_NOW_US1.xlsx]Single Period!R21C42</stp>
        <stp>SEG0000230986 Segment</stp>
        <stp>IS_BILLINGS/1M</stp>
        <stp>FPR=2021Y</stp>
        <stp>FPT=A</stp>
        <stp>FA_ACT_EST_DATA=E, EST_SOURCE=CTI</stp>
        <stp>ACT_EST_MAPPING=PRECISE</stp>
        <stp>FS=MRC</stp>
        <stp>CURRENCY=USD</stp>
        <stp>XLFILL=b</stp>
        <tr r="AP21" s="2"/>
      </tp>
      <tp t="s">
        <v>#N/A Requesting Data...</v>
        <stp/>
        <stp>##V3_BQLV12</stp>
        <stp>[MODL_NOW_US1.xlsx]Single Period!R17C40</stp>
        <stp>SEG0000230975 Segment</stp>
        <stp>IS_BILLINGS/1M</stp>
        <stp>FPR=2021Y</stp>
        <stp>FPT=A</stp>
        <stp>FA_ACT_EST_DATA=E, EST_SOURCE=DWI</stp>
        <stp>ACT_EST_MAPPING=PRECISE</stp>
        <stp>FS=MRC</stp>
        <stp>CURRENCY=USD</stp>
        <stp>XLFILL=b</stp>
        <tr r="AN17" s="2"/>
      </tp>
      <tp t="s">
        <v>#N/A Requesting Data...</v>
        <stp/>
        <stp>##V3_BQLV12</stp>
        <stp>[MODL_NOW_US1.xlsx]Single Period!R125C26</stp>
        <stp>NOW US Equity</stp>
        <stp>OPER_INC_TO_NET_SALES</stp>
        <stp>FPR=2021Y</stp>
        <stp>FPT=A</stp>
        <stp>FA_ACT_EST_DATA=E, EST_SOURCE=UBS</stp>
        <stp>ACT_EST_MAPPING=PRECISE</stp>
        <stp>FS=MRC</stp>
        <stp>CURRENCY=USD</stp>
        <stp>XLFILL=b</stp>
        <tr r="Z125" s="2"/>
      </tp>
      <tp t="s">
        <v>#N/A Requesting Data...</v>
        <stp/>
        <stp>##V3_BQLV12</stp>
        <stp>[MODL_NOW_US1.xlsx]Single Period!R125C12</stp>
        <stp>NOW US Equity</stp>
        <stp>OPER_INC_TO_NET_SALES</stp>
        <stp>FPR=2021Y</stp>
        <stp>FPT=A</stp>
        <stp>FA_ACT_EST_DATA=E, EST_SOURCE=WBL</stp>
        <stp>ACT_EST_MAPPING=PRECISE</stp>
        <stp>FS=MRC</stp>
        <stp>CURRENCY=USD</stp>
        <stp>XLFILL=b</stp>
        <tr r="L125" s="2"/>
      </tp>
      <tp t="s">
        <v>#N/A Requesting Data...</v>
        <stp/>
        <stp>##V3_BQLV12</stp>
        <stp>[MODL_NOW_US1.xlsx]Single Period!R160C15</stp>
        <stp>NOW US Equity</stp>
        <stp>PREPAID_EXPNSS_AND_OTHR/1M</stp>
        <stp>FPR=2021Y</stp>
        <stp>FPT=A</stp>
        <stp>FA_ACT_EST_DATA=E, EST_SOURCE=OPY</stp>
        <stp>ACT_EST_MAPPING=PRECISE</stp>
        <stp>FS=MRC</stp>
        <stp>CURRENCY=USD</stp>
        <stp>XLFILL=b</stp>
        <tr r="O160" s="2"/>
      </tp>
      <tp t="s">
        <v>#N/A Requesting Data...</v>
        <stp/>
        <stp>##V3_BQLV12</stp>
        <stp>[MODL_NOW_US1.xlsx]Single Period!R125C25</stp>
        <stp>NOW US Equity</stp>
        <stp>OPER_INC_TO_NET_SALES</stp>
        <stp>FPR=2021Y</stp>
        <stp>FPT=A</stp>
        <stp>FA_ACT_EST_DATA=E, EST_SOURCE=DBG</stp>
        <stp>ACT_EST_MAPPING=PRECISE</stp>
        <stp>FS=MRC</stp>
        <stp>CURRENCY=USD</stp>
        <stp>XLFILL=b</stp>
        <tr r="Y125" s="2"/>
      </tp>
      <tp t="s">
        <v>#N/A Requesting Data...</v>
        <stp/>
        <stp>##V3_BQLV12</stp>
        <stp>[MODL_NOW_US1.xlsx]Single Period!R236C16</stp>
        <stp>NOW US Equity</stp>
        <stp>FREE_CASH_FLOW_MARGIN</stp>
        <stp>FPR=2021Y</stp>
        <stp>FPT=A</stp>
        <stp>FA_ACT_EST_DATA=E, EST_SOURCE=BCA</stp>
        <stp>ACT_EST_MAPPING=PRECISE</stp>
        <stp>FS=MRC</stp>
        <stp>CURRENCY=USD</stp>
        <stp>XLFILL=b</stp>
        <tr r="P236" s="2"/>
      </tp>
      <tp t="s">
        <v>#N/A Requesting Data...</v>
        <stp/>
        <stp>##V3_BQLV12</stp>
        <stp>[MODL_NOW_US1.xlsx]Single Period!R205C36</stp>
        <stp>NOW US Equity</stp>
        <stp>CB_CF_OTHR_NONCSH_ITEMS/1M</stp>
        <stp>FPR=2021Y</stp>
        <stp>FPT=A</stp>
        <stp>FA_ACT_EST_DATA=E, EST_SOURCE=JEF</stp>
        <stp>ACT_EST_MAPPING=PRECISE</stp>
        <stp>FS=MRC</stp>
        <stp>CURRENCY=USD</stp>
        <stp>XLFILL=b</stp>
        <tr r="AJ205" s="2"/>
      </tp>
      <tp t="s">
        <v>#N/A Requesting Data...</v>
        <stp/>
        <stp>##V3_BQLV12</stp>
        <stp>[MODL_NOW_US1.xlsx]Single Period!R236C49</stp>
        <stp>NOW US Equity</stp>
        <stp>FREE_CASH_FLOW_MARGIN</stp>
        <stp>FPR=2021Y</stp>
        <stp>FPT=A</stp>
        <stp>FA_ACT_EST_DATA=E, EST_SOURCE=SCB</stp>
        <stp>ACT_EST_MAPPING=PRECISE</stp>
        <stp>FS=MRC</stp>
        <stp>CURRENCY=USD</stp>
        <stp>XLFILL=b</stp>
        <tr r="AW236" s="2"/>
      </tp>
      <tp t="s">
        <v>#N/A Requesting Data...</v>
        <stp/>
        <stp>##V3_BQLV12</stp>
        <stp>[MODL_NOW_US1.xlsx]Single Period!R174C22</stp>
        <stp>NOW US Equity</stp>
        <stp>BS_ACCT_PAYABLE/1M</stp>
        <stp>FPR=2021Y</stp>
        <stp>FPT=A</stp>
        <stp>FA_ACT_EST_DATA=E, EST_SOURCE=NDH</stp>
        <stp>ACT_EST_MAPPING=PRECISE</stp>
        <stp>FS=MRC</stp>
        <stp>CURRENCY=USD</stp>
        <stp>XLFILL=b</stp>
        <tr r="V174" s="2"/>
      </tp>
      <tp t="s">
        <v>#N/A Requesting Data...</v>
        <stp/>
        <stp>##V3_BQLV12</stp>
        <stp>[MODL_NOW_US1.xlsx]Single Period!R125C27</stp>
        <stp>NOW US Equity</stp>
        <stp>OPER_INC_TO_NET_SALES</stp>
        <stp>FPR=2021Y</stp>
        <stp>FPT=A</stp>
        <stp>FA_ACT_EST_DATA=E, EST_SOURCE=RBC</stp>
        <stp>ACT_EST_MAPPING=PRECISE</stp>
        <stp>FS=MRC</stp>
        <stp>CURRENCY=USD</stp>
        <stp>XLFILL=b</stp>
        <tr r="AA125" s="2"/>
      </tp>
      <tp t="s">
        <v>#N/A Requesting Data...</v>
        <stp/>
        <stp>##V3_BQLV12</stp>
        <stp>[MODL_NOW_US1.xlsx]Single Period!R125C32</stp>
        <stp>NOW US Equity</stp>
        <stp>OPER_INC_TO_NET_SALES</stp>
        <stp>FPR=2021Y</stp>
        <stp>FPT=A</stp>
        <stp>FA_ACT_EST_DATA=E, EST_SOURCE=FBC</stp>
        <stp>ACT_EST_MAPPING=PRECISE</stp>
        <stp>FS=MRC</stp>
        <stp>CURRENCY=USD</stp>
        <stp>XLFILL=b</stp>
        <tr r="AF125" s="2"/>
      </tp>
      <tp t="s">
        <v>#N/A Requesting Data...</v>
        <stp/>
        <stp>##V3_BQLV12</stp>
        <stp>[MODL_NOW_US1.xlsx]Single Period!R208C14</stp>
        <stp>NOW US Equity</stp>
        <stp>CF_CHANGE_IN_OTHR_ASSTS/1M</stp>
        <stp>FPR=2021Y</stp>
        <stp>FPT=A</stp>
        <stp>FA_ACT_EST_DATA=E, EST_SOURCE=BMO</stp>
        <stp>ACT_EST_MAPPING=PRECISE</stp>
        <stp>FS=MRC</stp>
        <stp>CURRENCY=USD</stp>
        <stp>XLFILL=b</stp>
        <tr r="N208" s="2"/>
      </tp>
      <tp t="s">
        <v>#N/A Requesting Data...</v>
        <stp/>
        <stp>##V3_BQLV12</stp>
        <stp>[MODL_NOW_US1.xlsx]Single Period!R71C14</stp>
        <stp>SEG0000230986 Segment</stp>
        <stp>CB_IS_GROSS_PROFIT/1M</stp>
        <stp>FPR=2021Y</stp>
        <stp>FPT=A</stp>
        <stp>FA_ACT_EST_DATA=E, EST_SOURCE=BMO</stp>
        <stp>ACT_EST_MAPPING=PRECISE</stp>
        <stp>FS=MRC</stp>
        <stp>CURRENCY=USD</stp>
        <stp>XLFILL=b</stp>
        <tr r="N71" s="2"/>
      </tp>
      <tp t="s">
        <v>#N/A Requesting Data...</v>
        <stp/>
        <stp>##V3_BQLV12</stp>
        <stp>[MODL_NOW_US1.xlsx]Single Period!R104C34</stp>
        <stp>NOW US Equity</stp>
        <stp>IS_COMP_NET_INC_EXCL_STOCK_COMP/1M</stp>
        <stp>FPR=2021Y</stp>
        <stp>FPT=A</stp>
        <stp>FA_ACT_EST_DATA=E, EST_SOURCE=PSG</stp>
        <stp>ACT_EST_MAPPING=PRECISE</stp>
        <stp>FS=MRC</stp>
        <stp>CURRENCY=USD</stp>
        <stp>XLFILL=b</stp>
        <tr r="AH104" s="2"/>
      </tp>
      <tp t="s">
        <v>#N/A Requesting Data...</v>
        <stp/>
        <stp>##V3_BQLV12</stp>
        <stp>[MODL_NOW_US1.xlsx]Single Period!R155C24</stp>
        <stp>NOW US Equity</stp>
        <stp>BS_CASH_CASH_EQUIVALENTS_AND_STI/1M</stp>
        <stp>FPR=2021Y</stp>
        <stp>FPT=A</stp>
        <stp>FA_ACT_EST_DATA=E, EST_SOURCE=CWN</stp>
        <stp>ACT_EST_MAPPING=PRECISE</stp>
        <stp>FS=MRC</stp>
        <stp>CURRENCY=USD</stp>
        <stp>XLFILL=b</stp>
        <tr r="X155" s="2"/>
      </tp>
      <tp t="s">
        <v>#N/A Requesting Data...</v>
        <stp/>
        <stp>##V3_BQLV12</stp>
        <stp>[MODL_NOW_US1.xlsx]Single Period!R121C22</stp>
        <stp>NOW US Equity</stp>
        <stp>CB_IS_GENL_AND_ADMIN_EXPN/1M</stp>
        <stp>FPR=2021Y</stp>
        <stp>FPT=A</stp>
        <stp>FA_ACT_EST_DATA=E, EST_SOURCE=NDH</stp>
        <stp>ACT_EST_MAPPING=PRECISE</stp>
        <stp>FS=MRC</stp>
        <stp>CURRENCY=USD</stp>
        <stp>XLFILL=b</stp>
        <tr r="V121" s="2"/>
      </tp>
      <tp t="s">
        <v>#N/A Requesting Data...</v>
        <stp/>
        <stp>##V3_BQLV12</stp>
        <stp>[MODL_NOW_US1.xlsx]Single Period!R148C11</stp>
        <stp>NOW US Equity</stp>
        <stp>IS_AMORT_ACQD_INTANGIBLES_R_AND_D/1M</stp>
        <stp>FPR=2021Y</stp>
        <stp>FPT=A</stp>
        <stp>FA_ACT_EST_DATA=E, EST_SOURCE=JPM</stp>
        <stp>ACT_EST_MAPPING=PRECISE</stp>
        <stp>FS=MRC</stp>
        <stp>CURRENCY=USD</stp>
        <stp>XLFILL=b</stp>
        <tr r="K148" s="2"/>
      </tp>
      <tp t="s">
        <v>#N/A Requesting Data...</v>
        <stp/>
        <stp>##V3_BQLV12</stp>
        <stp>[MODL_NOW_US1.xlsx]Single Period!R218C47</stp>
        <stp>NOW US Equity</stp>
        <stp>CF_ACQUISITION_OF_INTANG_ASSETS/1M</stp>
        <stp>FPR=2021Y</stp>
        <stp>FPT=A</stp>
        <stp>FA_ACT_EST_DATA=E, EST_SOURCE=SUM</stp>
        <stp>ACT_EST_MAPPING=PRECISE</stp>
        <stp>FS=MRC</stp>
        <stp>CURRENCY=USD</stp>
        <stp>XLFILL=b</stp>
        <tr r="AU218" s="2"/>
      </tp>
      <tp t="s">
        <v>#N/A Requesting Data...</v>
        <stp/>
        <stp>##V3_BQLV12</stp>
        <stp>[MODL_NOW_US1.xlsx]Single Period!R107C25</stp>
        <stp>NOW US Equity</stp>
        <stp>CB_IS_ADJ_DILUTED_AVG_SHS/1M</stp>
        <stp>FPR=2021Y</stp>
        <stp>FPT=A</stp>
        <stp>FA_ACT_EST_DATA=E, EST_SOURCE=DBG</stp>
        <stp>ACT_EST_MAPPING=PRECISE</stp>
        <stp>FS=MRC</stp>
        <stp>CURRENCY=USD</stp>
        <stp>XLFILL=b</stp>
        <tr r="Y107" s="2"/>
      </tp>
      <tp t="s">
        <v>#N/A Requesting Data...</v>
        <stp/>
        <stp>##V3_BQLV12</stp>
        <stp>[MODL_NOW_US1.xlsx]Single Period!R177C49</stp>
        <stp>NOW US Equity</stp>
        <stp>BS_ST_CPTL_LEA_AND_OP_LEA_LIABS/1M</stp>
        <stp>FPR=2021Y</stp>
        <stp>FPT=A</stp>
        <stp>FA_ACT_EST_DATA=E, EST_SOURCE=SCB</stp>
        <stp>ACT_EST_MAPPING=PRECISE</stp>
        <stp>FS=MRC</stp>
        <stp>CURRENCY=USD</stp>
        <stp>XLFILL=b</stp>
        <tr r="AW177" s="2"/>
      </tp>
      <tp t="s">
        <v>#N/A Requesting Data...</v>
        <stp/>
        <stp>##V3_BQLV12</stp>
        <stp>[MODL_NOW_US1.xlsx]Single Period!R104C19</stp>
        <stp>NOW US Equity</stp>
        <stp>IS_COMP_NET_INC_EXCL_STOCK_COMP/1M</stp>
        <stp>FPR=2021Y</stp>
        <stp>FPT=A</stp>
        <stp>FA_ACT_EST_DATA=E, EST_SOURCE=MSV</stp>
        <stp>ACT_EST_MAPPING=PRECISE</stp>
        <stp>FS=MRC</stp>
        <stp>CURRENCY=USD</stp>
        <stp>XLFILL=b</stp>
        <tr r="S104" s="2"/>
      </tp>
      <tp t="s">
        <v>#N/A Requesting Data...</v>
        <stp/>
        <stp>##V3_BQLV12</stp>
        <stp>[MODL_NOW_US1.xlsx]Single Period!R107C29</stp>
        <stp>NOW US Equity</stp>
        <stp>CB_IS_ADJ_DILUTED_AVG_SHS/1M</stp>
        <stp>FPR=2021Y</stp>
        <stp>FPT=A</stp>
        <stp>FA_ACT_EST_DATA=E, EST_SOURCE=BNS</stp>
        <stp>ACT_EST_MAPPING=PRECISE</stp>
        <stp>FS=MRC</stp>
        <stp>CURRENCY=USD</stp>
        <stp>XLFILL=b</stp>
        <tr r="AC107" s="2"/>
      </tp>
      <tp t="s">
        <v>#N/A Requesting Data...</v>
        <stp/>
        <stp>##V3_BQLV12</stp>
        <stp>[MODL_NOW_US1.xlsx]Single Period!R104C31</stp>
        <stp>NOW US Equity</stp>
        <stp>IS_COMP_NET_INC_EXCL_STOCK_COMP/1M</stp>
        <stp>FPR=2021Y</stp>
        <stp>FPT=A</stp>
        <stp>FA_ACT_EST_DATA=E, EST_SOURCE=GSR</stp>
        <stp>ACT_EST_MAPPING=PRECISE</stp>
        <stp>FS=MRC</stp>
        <stp>CURRENCY=USD</stp>
        <stp>XLFILL=b</stp>
        <tr r="AE104" s="2"/>
      </tp>
      <tp t="s">
        <v>#N/A Requesting Data...</v>
        <stp/>
        <stp>##V3_BQLV12</stp>
        <stp>[MODL_NOW_US1.xlsx]Single Period!R104C35</stp>
        <stp>NOW US Equity</stp>
        <stp>IS_COMP_NET_INC_EXCL_STOCK_COMP/1M</stp>
        <stp>FPR=2021Y</stp>
        <stp>FPT=A</stp>
        <stp>FA_ACT_EST_DATA=E, EST_SOURCE=MSR</stp>
        <stp>ACT_EST_MAPPING=PRECISE</stp>
        <stp>FS=MRC</stp>
        <stp>CURRENCY=USD</stp>
        <stp>XLFILL=b</stp>
        <tr r="AI104" s="2"/>
      </tp>
      <tp t="s">
        <v>#N/A Requesting Data...</v>
        <stp/>
        <stp>##V3_BQLV12</stp>
        <stp>[MODL_NOW_US1.xlsx]Single Period!R177C16</stp>
        <stp>NOW US Equity</stp>
        <stp>BS_ST_CPTL_LEA_AND_OP_LEA_LIABS/1M</stp>
        <stp>FPR=2021Y</stp>
        <stp>FPT=A</stp>
        <stp>FA_ACT_EST_DATA=E, EST_SOURCE=BCA</stp>
        <stp>ACT_EST_MAPPING=PRECISE</stp>
        <stp>FS=MRC</stp>
        <stp>CURRENCY=USD</stp>
        <stp>XLFILL=b</stp>
        <tr r="P177" s="2"/>
      </tp>
      <tp t="s">
        <v>#N/A Requesting Data...</v>
        <stp/>
        <stp>##V3_BQLV12</stp>
        <stp>[MODL_NOW_US1.xlsx]Single Period!R175C20</stp>
        <stp>NOW US Equity</stp>
        <stp>BS_ACCRUD_EXPNSS_AND_OTHR/1M</stp>
        <stp>FPR=2021Y</stp>
        <stp>FPT=A</stp>
        <stp>FA_ACT_EST_DATA=E, EST_SOURCE=CAN</stp>
        <stp>ACT_EST_MAPPING=PRECISE</stp>
        <stp>FS=MRC</stp>
        <stp>CURRENCY=USD</stp>
        <stp>XLFILL=b</stp>
        <tr r="T175" s="2"/>
      </tp>
      <tp t="s">
        <v>#N/A Requesting Data...</v>
        <stp/>
        <stp>##V3_BQLV12</stp>
        <stp>[MODL_NOW_US1.xlsx]Single Period!R213C14</stp>
        <stp>NOW US Equity</stp>
        <stp>CF_CASH_FROM_OPER/1M</stp>
        <stp>FPR=2021Y</stp>
        <stp>FPT=A</stp>
        <stp>FA_ACT_EST_DATA=E, EST_SOURCE=BMO</stp>
        <stp>ACT_EST_MAPPING=PRECISE</stp>
        <stp>FS=MRC</stp>
        <stp>CURRENCY=USD</stp>
        <stp>XLFILL=b</stp>
        <tr r="N213" s="2"/>
      </tp>
      <tp t="s">
        <v>#N/A Requesting Data...</v>
        <stp/>
        <stp>##V3_BQLV12</stp>
        <stp>[MODL_NOW_US1.xlsx]Single Period!R121C13</stp>
        <stp>NOW US Equity</stp>
        <stp>CB_IS_GENL_AND_ADMIN_EXPN/1M</stp>
        <stp>FPR=2021Y</stp>
        <stp>FPT=A</stp>
        <stp>FA_ACT_EST_DATA=E, EST_SOURCE=KEY</stp>
        <stp>ACT_EST_MAPPING=PRECISE</stp>
        <stp>FS=MRC</stp>
        <stp>CURRENCY=USD</stp>
        <stp>XLFILL=b</stp>
        <tr r="M121" s="2"/>
      </tp>
      <tp t="s">
        <v>#N/A Requesting Data...</v>
        <stp/>
        <stp>##V3_BQLV12</stp>
        <stp>[MODL_NOW_US1.xlsx]Single Period!R216C21</stp>
        <stp>NOW US Equity</stp>
        <stp>CF_PURCHASE_OF_FIXED_PROD_ASSETS/1M</stp>
        <stp>FPR=2021Y</stp>
        <stp>FPT=A</stp>
        <stp>FA_ACT_EST_DATA=E, EST_SOURCE=JMP</stp>
        <stp>ACT_EST_MAPPING=PRECISE</stp>
        <stp>FS=MRC</stp>
        <stp>CURRENCY=USD</stp>
        <stp>XLFILL=b</stp>
        <tr r="U216" s="2"/>
      </tp>
      <tp t="s">
        <v>#N/A Requesting Data...</v>
        <stp/>
        <stp>##V3_BQLV12</stp>
        <stp>[MODL_NOW_US1.xlsx]Single Period!R175C30</stp>
        <stp>NOW US Equity</stp>
        <stp>BS_ACCRUD_EXPNSS_AND_OTHR/1M</stp>
        <stp>FPR=2021Y</stp>
        <stp>FPT=A</stp>
        <stp>FA_ACT_EST_DATA=E, EST_SOURCE=BAM</stp>
        <stp>ACT_EST_MAPPING=PRECISE</stp>
        <stp>FS=MRC</stp>
        <stp>CURRENCY=USD</stp>
        <stp>XLFILL=b</stp>
        <tr r="AD175" s="2"/>
      </tp>
      <tp t="s">
        <v>#N/A Requesting Data...</v>
        <stp/>
        <stp>##V3_BQLV12</stp>
        <stp>[MODL_NOW_US1.xlsx]Single Period!R225C15</stp>
        <stp>NOW US Equity</stp>
        <stp>CF_INCR_CAP_STOCK/1M</stp>
        <stp>FPR=2021Y</stp>
        <stp>FPT=A</stp>
        <stp>FA_ACT_EST_DATA=E, EST_SOURCE=OPY</stp>
        <stp>ACT_EST_MAPPING=PRECISE</stp>
        <stp>FS=MRC</stp>
        <stp>CURRENCY=USD</stp>
        <stp>XLFILL=b</stp>
        <tr r="O225" s="2"/>
      </tp>
      <tp t="s">
        <v>#N/A Requesting Data...</v>
        <stp/>
        <stp>##V3_BQLV12</stp>
        <stp>[MODL_NOW_US1.xlsx]Single Period!R216C18</stp>
        <stp>NOW US Equity</stp>
        <stp>CF_PURCHASE_OF_FIXED_PROD_ASSETS/1M</stp>
        <stp>FPR=2021Y</stp>
        <stp>FPT=A</stp>
        <stp>FA_ACT_EST_DATA=E, EST_SOURCE=SNR</stp>
        <stp>ACT_EST_MAPPING=PRECISE</stp>
        <stp>FS=MRC</stp>
        <stp>CURRENCY=USD</stp>
        <stp>XLFILL=b</stp>
        <tr r="R216" s="2"/>
      </tp>
      <tp t="s">
        <v>#N/A Requesting Data...</v>
        <stp/>
        <stp>##V3_BQLV12</stp>
        <stp>[MODL_NOW_US1.xlsx]Single Period!R71C21</stp>
        <stp>SEG0000230986 Segment</stp>
        <stp>CB_IS_GROSS_PROFIT/1M</stp>
        <stp>FPR=2021Y</stp>
        <stp>FPT=A</stp>
        <stp>FA_ACT_EST_DATA=E, EST_SOURCE=JMP</stp>
        <stp>ACT_EST_MAPPING=PRECISE</stp>
        <stp>FS=MRC</stp>
        <stp>CURRENCY=USD</stp>
        <stp>XLFILL=b</stp>
        <tr r="U71" s="2"/>
      </tp>
      <tp t="s">
        <v>#N/A Requesting Data...</v>
        <stp/>
        <stp>##V3_BQLV12</stp>
        <stp>[MODL_NOW_US1.xlsx]Single Period!R121C18</stp>
        <stp>NOW US Equity</stp>
        <stp>CB_IS_GENL_AND_ADMIN_EXPN/1M</stp>
        <stp>FPR=2021Y</stp>
        <stp>FPT=A</stp>
        <stp>FA_ACT_EST_DATA=E, EST_SOURCE=SNR</stp>
        <stp>ACT_EST_MAPPING=PRECISE</stp>
        <stp>FS=MRC</stp>
        <stp>CURRENCY=USD</stp>
        <stp>XLFILL=b</stp>
        <tr r="R121" s="2"/>
      </tp>
      <tp t="s">
        <v>#N/A Requesting Data...</v>
        <stp/>
        <stp>##V3_BQLV12</stp>
        <stp>[MODL_NOW_US1.xlsx]Single Period!R116C18</stp>
        <stp>NOW US Equity</stp>
        <stp>GROSS_MARGIN</stp>
        <stp>FPR=2021Y</stp>
        <stp>FPT=A</stp>
        <stp>FA_ACT_EST_DATA=E, EST_SOURCE=SNR</stp>
        <stp>ACT_EST_MAPPING=PRECISE</stp>
        <stp>FS=MRC</stp>
        <stp>CURRENCY=USD</stp>
        <stp>XLFILL=b</stp>
        <tr r="R116" s="2"/>
      </tp>
      <tp t="s">
        <v>#N/A Requesting Data...</v>
        <stp/>
        <stp>##V3_BQLV12</stp>
        <stp>[MODL_NOW_US1.xlsx]Single Period!R116C13</stp>
        <stp>NOW US Equity</stp>
        <stp>GROSS_MARGIN</stp>
        <stp>FPR=2021Y</stp>
        <stp>FPT=A</stp>
        <stp>FA_ACT_EST_DATA=E, EST_SOURCE=KEY</stp>
        <stp>ACT_EST_MAPPING=PRECISE</stp>
        <stp>FS=MRC</stp>
        <stp>CURRENCY=USD</stp>
        <stp>XLFILL=b</stp>
        <tr r="M116" s="2"/>
      </tp>
      <tp t="s">
        <v>#N/A Requesting Data...</v>
        <stp/>
        <stp>##V3_BQLV12</stp>
        <stp>[MODL_NOW_US1.xlsx]Single Period!R129C32</stp>
        <stp>NOW US Equity</stp>
        <stp>EFF_TAX_RATE</stp>
        <stp>FPR=2021Y</stp>
        <stp>FPT=A</stp>
        <stp>FA_ACT_EST_DATA=E, EST_SOURCE=FBC</stp>
        <stp>ACT_EST_MAPPING=PRECISE</stp>
        <stp>FS=MRC</stp>
        <stp>CURRENCY=USD</stp>
        <stp>XLFILL=b</stp>
        <tr r="AF129" s="2"/>
      </tp>
      <tp t="s">
        <v>#N/A Requesting Data...</v>
        <stp/>
        <stp>##V3_BQLV12</stp>
        <stp>[MODL_NOW_US1.xlsx]Single Period!R116C22</stp>
        <stp>NOW US Equity</stp>
        <stp>GROSS_MARGIN</stp>
        <stp>FPR=2021Y</stp>
        <stp>FPT=A</stp>
        <stp>FA_ACT_EST_DATA=E, EST_SOURCE=NDH</stp>
        <stp>ACT_EST_MAPPING=PRECISE</stp>
        <stp>FS=MRC</stp>
        <stp>CURRENCY=USD</stp>
        <stp>XLFILL=b</stp>
        <tr r="V116" s="2"/>
      </tp>
      <tp t="s">
        <v>#N/A Requesting Data...</v>
        <stp/>
        <stp>##V3_BQLV12</stp>
        <stp>[MODL_NOW_US1.xlsx]Single Period!R129C12</stp>
        <stp>NOW US Equity</stp>
        <stp>EFF_TAX_RATE</stp>
        <stp>FPR=2021Y</stp>
        <stp>FPT=A</stp>
        <stp>FA_ACT_EST_DATA=E, EST_SOURCE=WBL</stp>
        <stp>ACT_EST_MAPPING=PRECISE</stp>
        <stp>FS=MRC</stp>
        <stp>CURRENCY=USD</stp>
        <stp>XLFILL=b</stp>
        <tr r="L129" s="2"/>
      </tp>
      <tp t="s">
        <v>#N/A Requesting Data...</v>
        <stp/>
        <stp>##V3_BQLV12</stp>
        <stp>[MODL_NOW_US1.xlsx]Single Period!R111C48</stp>
        <stp>NOW US Equity</stp>
        <stp>IS_COGS_TO_FE_AND_PP_AND_G/1M</stp>
        <stp>FPR=2021Y</stp>
        <stp>FPT=A</stp>
        <stp>FA_ACT_EST_DATA=E, EST_SOURCE=CRC</stp>
        <stp>ACT_EST_MAPPING=PRECISE</stp>
        <stp>FS=MRC</stp>
        <stp>CURRENCY=USD</stp>
        <stp>XLFILL=b</stp>
        <tr r="AV111" s="2"/>
      </tp>
      <tp t="s">
        <v>#N/A Requesting Data...</v>
        <stp/>
        <stp>##V3_BQLV12</stp>
        <stp>[MODL_NOW_US1.xlsx]Single Period!R111C44</stp>
        <stp>NOW US Equity</stp>
        <stp>IS_COGS_TO_FE_AND_PP_AND_G/1M</stp>
        <stp>FPR=2021Y</stp>
        <stp>FPT=A</stp>
        <stp>FA_ACT_EST_DATA=E, EST_SOURCE=ARE</stp>
        <stp>ACT_EST_MAPPING=PRECISE</stp>
        <stp>FS=MRC</stp>
        <stp>CURRENCY=USD</stp>
        <stp>XLFILL=b</stp>
        <tr r="AR111" s="2"/>
      </tp>
      <tp t="s">
        <v>#N/A Requesting Data...</v>
        <stp/>
        <stp>##V3_BQLV12</stp>
        <stp>[MODL_NOW_US1.xlsx]Single Period!R149C14</stp>
        <stp>NOW US Equity</stp>
        <stp>IS_AMORT_ACQD_INTANG_GEN_AND_ADMIN/1M</stp>
        <stp>FPR=2021Y</stp>
        <stp>FPT=A</stp>
        <stp>FA_ACT_EST_DATA=E, EST_SOURCE=BMO</stp>
        <stp>ACT_EST_MAPPING=PRECISE</stp>
        <stp>FS=MRC</stp>
        <stp>CURRENCY=USD</stp>
        <stp>XLFILL=b</stp>
        <tr r="N149" s="2"/>
      </tp>
      <tp t="s">
        <v>#N/A Requesting Data...</v>
        <stp/>
        <stp>##V3_BQLV12</stp>
        <stp>[MODL_NOW_US1.xlsx]Single Period!R111C41</stp>
        <stp>NOW US Equity</stp>
        <stp>IS_COGS_TO_FE_AND_PP_AND_G/1M</stp>
        <stp>FPR=2021Y</stp>
        <stp>FPT=A</stp>
        <stp>FA_ACT_EST_DATA=E, EST_SOURCE=ARG</stp>
        <stp>ACT_EST_MAPPING=PRECISE</stp>
        <stp>FS=MRC</stp>
        <stp>CURRENCY=USD</stp>
        <stp>XLFILL=b</stp>
        <tr r="AO111" s="2"/>
      </tp>
      <tp t="s">
        <v>#N/A Requesting Data...</v>
        <stp/>
        <stp>##V3_BQLV12</stp>
        <stp>[MODL_NOW_US1.xlsx]Single Period!R16C10</stp>
        <stp>SEG0000230969 Segment</stp>
        <stp>SALES_REV_TURN/1M</stp>
        <stp>FPR=2021Y</stp>
        <stp>FPT=A</stp>
        <stp>FA_ACT_EST_DATA=E, EST_SOURCE=CMPY</stp>
        <stp>ACT_EST_MAPPING=PRECISE</stp>
        <stp>FS=MRC</stp>
        <stp>CURRENCY=USD</stp>
        <stp>XLFILL=b</stp>
        <tr r="J16" s="2"/>
      </tp>
      <tp t="s">
        <v>#N/A Requesting Data...</v>
        <stp/>
        <stp>##V3_BQLV12</stp>
        <stp>[MODL_NOW_US1.xlsx]Single Period!R77C10</stp>
        <stp>SEG0000230969 Segment</stp>
        <stp>SALES_REV_TURN/1M</stp>
        <stp>FPR=2021Y</stp>
        <stp>FPT=A</stp>
        <stp>FA_ACT_EST_DATA=E, EST_SOURCE=CMPY</stp>
        <stp>ACT_EST_MAPPING=PRECISE</stp>
        <stp>FS=MRC</stp>
        <stp>CURRENCY=USD</stp>
        <stp>XLFILL=b</stp>
        <tr r="J77" s="2"/>
      </tp>
      <tp t="s">
        <v>#N/A Requesting Data...</v>
        <stp/>
        <stp>##V3_BQLV12</stp>
        <stp>[MODL_NOW_US1.xlsx]Single Period!R165C5</stp>
        <stp>NOW US Equity</stp>
        <stp>BS_OPER_LEA_RT_OF_USE_ASSETS/1M</stp>
        <stp>FPR=2021Y</stp>
        <stp>FPT=A</stp>
        <stp>FA_ACT_EST_DATA=E</stp>
        <stp>ACT_EST_MAPPING=PRECISE</stp>
        <stp>FS=MRC</stp>
        <stp>CURRENCY=USD</stp>
        <stp>XLFILL=b</stp>
        <tr r="E165" s="2"/>
      </tp>
      <tp t="s">
        <v>#N/A Requesting Data...</v>
        <stp/>
        <stp>##V3_BQLV12</stp>
        <stp>[MODL_NOW_US1.xlsx]Single Period!R96C32</stp>
        <stp>NOW US Equity</stp>
        <stp>ADJ_OPERATING_MARGIN</stp>
        <stp>FPR=2021Y</stp>
        <stp>FPT=A</stp>
        <stp>FA_ACT_EST_DATA=E, EST_SOURCE=FBC</stp>
        <stp>ACT_EST_MAPPING=PRECISE</stp>
        <stp>FS=MRC</stp>
        <stp>CURRENCY=USD</stp>
        <stp>XLFILL=b</stp>
        <tr r="AF96" s="2"/>
      </tp>
      <tp t="s">
        <v>#N/A Requesting Data...</v>
        <stp/>
        <stp>##V3_BQLV12</stp>
        <stp>[MODL_NOW_US1.xlsx]Single Period!R159C22</stp>
        <stp>NOW US Equity</stp>
        <stp>CB_BS_OTHER_CURRENT_ASSETS/1M</stp>
        <stp>FPR=2021Y</stp>
        <stp>FPT=A</stp>
        <stp>FA_ACT_EST_DATA=E, EST_SOURCE=NDH</stp>
        <stp>ACT_EST_MAPPING=PRECISE</stp>
        <stp>FS=MRC</stp>
        <stp>CURRENCY=USD</stp>
        <stp>XLFILL=b</stp>
        <tr r="V159" s="2"/>
      </tp>
      <tp t="s">
        <v>#N/A Requesting Data...</v>
        <stp/>
        <stp>##V3_BQLV12</stp>
        <stp>[MODL_NOW_US1.xlsx]Single Period!R166C23</stp>
        <stp>NOW US Equity</stp>
        <stp>BS_OTHER_INTANGIBLE_ASSETS/1M</stp>
        <stp>FPR=2021Y</stp>
        <stp>FPT=A</stp>
        <stp>FA_ACT_EST_DATA=E, EST_SOURCE=ZXS</stp>
        <stp>ACT_EST_MAPPING=PRECISE</stp>
        <stp>FS=MRC</stp>
        <stp>CURRENCY=USD</stp>
        <stp>XLFILL=b</stp>
        <tr r="W166" s="2"/>
      </tp>
      <tp t="s">
        <v>#N/A Requesting Data...</v>
        <stp/>
        <stp>##V3_BQLV12</stp>
        <stp>[MODL_NOW_US1.xlsx]Single Period!R149C21</stp>
        <stp>NOW US Equity</stp>
        <stp>IS_AMORT_ACQD_INTANG_GEN_AND_ADMIN/1M</stp>
        <stp>FPR=2021Y</stp>
        <stp>FPT=A</stp>
        <stp>FA_ACT_EST_DATA=E, EST_SOURCE=JMP</stp>
        <stp>ACT_EST_MAPPING=PRECISE</stp>
        <stp>FS=MRC</stp>
        <stp>CURRENCY=USD</stp>
        <stp>XLFILL=b</stp>
        <tr r="U149" s="2"/>
      </tp>
      <tp t="s">
        <v>#N/A Requesting Data...</v>
        <stp/>
        <stp>##V3_BQLV12</stp>
        <stp>[MODL_NOW_US1.xlsx]Single Period!R96C12</stp>
        <stp>NOW US Equity</stp>
        <stp>ADJ_OPERATING_MARGIN</stp>
        <stp>FPR=2021Y</stp>
        <stp>FPT=A</stp>
        <stp>FA_ACT_EST_DATA=E, EST_SOURCE=WBL</stp>
        <stp>ACT_EST_MAPPING=PRECISE</stp>
        <stp>FS=MRC</stp>
        <stp>CURRENCY=USD</stp>
        <stp>XLFILL=b</stp>
        <tr r="L96" s="2"/>
      </tp>
      <tp t="s">
        <v>#N/A Requesting Data...</v>
        <stp/>
        <stp>##V3_BQLV12</stp>
        <stp>[MODL_NOW_US1.xlsx]Single Period!R17C37</stp>
        <stp>SEG0000230975 Segment</stp>
        <stp>IS_BILLINGS/1M</stp>
        <stp>FPR=2021Y</stp>
        <stp>FPT=A</stp>
        <stp>FA_ACT_EST_DATA=E, EST_SOURCE=TTC</stp>
        <stp>ACT_EST_MAPPING=PRECISE</stp>
        <stp>FS=MRC</stp>
        <stp>CURRENCY=USD</stp>
        <stp>XLFILL=b</stp>
        <tr r="AK17" s="2"/>
      </tp>
      <tp t="s">
        <v>#N/A Requesting Data...</v>
        <stp/>
        <stp>##V3_BQLV12</stp>
        <stp>[MODL_NOW_US1.xlsx]Single Period!R42C37</stp>
        <stp>SEG0000230975 Segment</stp>
        <stp>IS_BILLINGS/1M</stp>
        <stp>FPR=2021Y</stp>
        <stp>FPT=A</stp>
        <stp>FA_ACT_EST_DATA=E, EST_SOURCE=TTC</stp>
        <stp>ACT_EST_MAPPING=PRECISE</stp>
        <stp>FS=MRC</stp>
        <stp>CURRENCY=USD</stp>
        <stp>XLFILL=b</stp>
        <tr r="AK42" s="2"/>
      </tp>
      <tp t="s">
        <v>#N/A Requesting Data...</v>
        <stp/>
        <stp>##V3_BQLV12</stp>
        <stp>[MODL_NOW_US1.xlsx]Single Period!R208C18</stp>
        <stp>NOW US Equity</stp>
        <stp>CF_CHANGE_IN_OTHR_ASSTS/1M</stp>
        <stp>FPR=2021Y</stp>
        <stp>FPT=A</stp>
        <stp>FA_ACT_EST_DATA=E, EST_SOURCE=SNR</stp>
        <stp>ACT_EST_MAPPING=PRECISE</stp>
        <stp>FS=MRC</stp>
        <stp>CURRENCY=USD</stp>
        <stp>XLFILL=b</stp>
        <tr r="R208" s="2"/>
      </tp>
      <tp t="s">
        <v>#N/A Requesting Data...</v>
        <stp/>
        <stp>##V3_BQLV12</stp>
        <stp>[MODL_NOW_US1.xlsx]Single Period!R46C38</stp>
        <stp>SEG0000230986 Segment</stp>
        <stp>IS_BILLINGS/1M</stp>
        <stp>FPR=2021Y</stp>
        <stp>FPT=A</stp>
        <stp>FA_ACT_EST_DATA=E, EST_SOURCE=RWB</stp>
        <stp>ACT_EST_MAPPING=PRECISE</stp>
        <stp>FS=MRC</stp>
        <stp>CURRENCY=USD</stp>
        <stp>XLFILL=b</stp>
        <tr r="AL46" s="2"/>
      </tp>
      <tp t="s">
        <v>#N/A Requesting Data...</v>
        <stp/>
        <stp>##V3_BQLV12</stp>
        <stp>[MODL_NOW_US1.xlsx]Single Period!R21C38</stp>
        <stp>SEG0000230986 Segment</stp>
        <stp>IS_BILLINGS/1M</stp>
        <stp>FPR=2021Y</stp>
        <stp>FPT=A</stp>
        <stp>FA_ACT_EST_DATA=E, EST_SOURCE=RWB</stp>
        <stp>ACT_EST_MAPPING=PRECISE</stp>
        <stp>FS=MRC</stp>
        <stp>CURRENCY=USD</stp>
        <stp>XLFILL=b</stp>
        <tr r="AL21" s="2"/>
      </tp>
      <tp t="s">
        <v>#N/A Requesting Data...</v>
        <stp/>
        <stp>##V3_BQLV12</stp>
        <stp>[MODL_NOW_US1.xlsx]Single Period!R208C29</stp>
        <stp>NOW US Equity</stp>
        <stp>CF_CHANGE_IN_OTHR_ASSTS/1M</stp>
        <stp>FPR=2021Y</stp>
        <stp>FPT=A</stp>
        <stp>FA_ACT_EST_DATA=E, EST_SOURCE=BNS</stp>
        <stp>ACT_EST_MAPPING=PRECISE</stp>
        <stp>FS=MRC</stp>
        <stp>CURRENCY=USD</stp>
        <stp>XLFILL=b</stp>
        <tr r="AC208" s="2"/>
      </tp>
      <tp t="s">
        <v>#N/A Requesting Data...</v>
        <stp/>
        <stp>##V3_BQLV12</stp>
        <stp>[MODL_NOW_US1.xlsx]Single Period!R160C34</stp>
        <stp>NOW US Equity</stp>
        <stp>PREPAID_EXPNSS_AND_OTHR/1M</stp>
        <stp>FPR=2021Y</stp>
        <stp>FPT=A</stp>
        <stp>FA_ACT_EST_DATA=E, EST_SOURCE=PSG</stp>
        <stp>ACT_EST_MAPPING=PRECISE</stp>
        <stp>FS=MRC</stp>
        <stp>CURRENCY=USD</stp>
        <stp>XLFILL=b</stp>
        <tr r="AH160" s="2"/>
      </tp>
      <tp t="s">
        <v>#N/A Requesting Data...</v>
        <stp/>
        <stp>##V3_BQLV12</stp>
        <stp>[MODL_NOW_US1.xlsx]Single Period!R117C48</stp>
        <stp>NOW US Equity</stp>
        <stp>IS_TOT_OPER_EXP/1M</stp>
        <stp>FPR=2021Y</stp>
        <stp>FPT=A</stp>
        <stp>FA_ACT_EST_DATA=E, EST_SOURCE=CRC</stp>
        <stp>ACT_EST_MAPPING=PRECISE</stp>
        <stp>FS=MRC</stp>
        <stp>CURRENCY=USD</stp>
        <stp>XLFILL=b</stp>
        <tr r="AV117" s="2"/>
      </tp>
      <tp t="s">
        <v>#N/A Requesting Data...</v>
        <stp/>
        <stp>##V3_BQLV12</stp>
        <stp>[MODL_NOW_US1.xlsx]Single Period!R21C24</stp>
        <stp>SEG0000230986 Segment</stp>
        <stp>IS_BILLINGS/1M</stp>
        <stp>FPR=2021Y</stp>
        <stp>FPT=A</stp>
        <stp>FA_ACT_EST_DATA=E, EST_SOURCE=CWN</stp>
        <stp>ACT_EST_MAPPING=PRECISE</stp>
        <stp>FS=MRC</stp>
        <stp>CURRENCY=USD</stp>
        <stp>XLFILL=b</stp>
        <tr r="X21" s="2"/>
      </tp>
      <tp t="s">
        <v>#N/A Requesting Data...</v>
        <stp/>
        <stp>##V3_BQLV12</stp>
        <stp>[MODL_NOW_US1.xlsx]Single Period!R46C24</stp>
        <stp>SEG0000230986 Segment</stp>
        <stp>IS_BILLINGS/1M</stp>
        <stp>FPR=2021Y</stp>
        <stp>FPT=A</stp>
        <stp>FA_ACT_EST_DATA=E, EST_SOURCE=CWN</stp>
        <stp>ACT_EST_MAPPING=PRECISE</stp>
        <stp>FS=MRC</stp>
        <stp>CURRENCY=USD</stp>
        <stp>XLFILL=b</stp>
        <tr r="X46" s="2"/>
      </tp>
      <tp t="s">
        <v>#N/A Requesting Data...</v>
        <stp/>
        <stp>##V3_BQLV12</stp>
        <stp>[MODL_NOW_US1.xlsx]Single Period!R117C44</stp>
        <stp>NOW US Equity</stp>
        <stp>IS_TOT_OPER_EXP/1M</stp>
        <stp>FPR=2021Y</stp>
        <stp>FPT=A</stp>
        <stp>FA_ACT_EST_DATA=E, EST_SOURCE=ARE</stp>
        <stp>ACT_EST_MAPPING=PRECISE</stp>
        <stp>FS=MRC</stp>
        <stp>CURRENCY=USD</stp>
        <stp>XLFILL=b</stp>
        <tr r="AR117" s="2"/>
      </tp>
      <tp t="s">
        <v>#N/A Requesting Data...</v>
        <stp/>
        <stp>##V3_BQLV12</stp>
        <stp>[MODL_NOW_US1.xlsx]Single Period!R205C43</stp>
        <stp>NOW US Equity</stp>
        <stp>CB_CF_OTHR_NONCSH_ITEMS/1M</stp>
        <stp>FPR=2021Y</stp>
        <stp>FPT=A</stp>
        <stp>FA_ACT_EST_DATA=E, EST_SOURCE=WFT</stp>
        <stp>ACT_EST_MAPPING=PRECISE</stp>
        <stp>FS=MRC</stp>
        <stp>CURRENCY=USD</stp>
        <stp>XLFILL=b</stp>
        <tr r="AQ205" s="2"/>
      </tp>
      <tp t="s">
        <v>#N/A Requesting Data...</v>
        <stp/>
        <stp>##V3_BQLV12</stp>
        <stp>[MODL_NOW_US1.xlsx]Single Period!R46C40</stp>
        <stp>SEG0000230986 Segment</stp>
        <stp>IS_BILLINGS/1M</stp>
        <stp>FPR=2021Y</stp>
        <stp>FPT=A</stp>
        <stp>FA_ACT_EST_DATA=E, EST_SOURCE=DWI</stp>
        <stp>ACT_EST_MAPPING=PRECISE</stp>
        <stp>FS=MRC</stp>
        <stp>CURRENCY=USD</stp>
        <stp>XLFILL=b</stp>
        <tr r="AN46" s="2"/>
      </tp>
      <tp t="s">
        <v>#N/A Requesting Data...</v>
        <stp/>
        <stp>##V3_BQLV12</stp>
        <stp>[MODL_NOW_US1.xlsx]Single Period!R42C42</stp>
        <stp>SEG0000230975 Segment</stp>
        <stp>IS_BILLINGS/1M</stp>
        <stp>FPR=2021Y</stp>
        <stp>FPT=A</stp>
        <stp>FA_ACT_EST_DATA=E, EST_SOURCE=CTI</stp>
        <stp>ACT_EST_MAPPING=PRECISE</stp>
        <stp>FS=MRC</stp>
        <stp>CURRENCY=USD</stp>
        <stp>XLFILL=b</stp>
        <tr r="AP42" s="2"/>
      </tp>
      <tp t="s">
        <v>#N/A Requesting Data...</v>
        <stp/>
        <stp>##V3_BQLV12</stp>
        <stp>[MODL_NOW_US1.xlsx]Single Period!R21C40</stp>
        <stp>SEG0000230986 Segment</stp>
        <stp>IS_BILLINGS/1M</stp>
        <stp>FPR=2021Y</stp>
        <stp>FPT=A</stp>
        <stp>FA_ACT_EST_DATA=E, EST_SOURCE=DWI</stp>
        <stp>ACT_EST_MAPPING=PRECISE</stp>
        <stp>FS=MRC</stp>
        <stp>CURRENCY=USD</stp>
        <stp>XLFILL=b</stp>
        <tr r="AN21" s="2"/>
      </tp>
      <tp t="s">
        <v>#N/A Requesting Data...</v>
        <stp/>
        <stp>##V3_BQLV12</stp>
        <stp>[MODL_NOW_US1.xlsx]Single Period!R17C42</stp>
        <stp>SEG0000230975 Segment</stp>
        <stp>IS_BILLINGS/1M</stp>
        <stp>FPR=2021Y</stp>
        <stp>FPT=A</stp>
        <stp>FA_ACT_EST_DATA=E, EST_SOURCE=CTI</stp>
        <stp>ACT_EST_MAPPING=PRECISE</stp>
        <stp>FS=MRC</stp>
        <stp>CURRENCY=USD</stp>
        <stp>XLFILL=b</stp>
        <tr r="AP17" s="2"/>
      </tp>
      <tp t="s">
        <v>#N/A Requesting Data...</v>
        <stp/>
        <stp>##V3_BQLV12</stp>
        <stp>[MODL_NOW_US1.xlsx]Single Period!R117C41</stp>
        <stp>NOW US Equity</stp>
        <stp>IS_TOT_OPER_EXP/1M</stp>
        <stp>FPR=2021Y</stp>
        <stp>FPT=A</stp>
        <stp>FA_ACT_EST_DATA=E, EST_SOURCE=ARG</stp>
        <stp>ACT_EST_MAPPING=PRECISE</stp>
        <stp>FS=MRC</stp>
        <stp>CURRENCY=USD</stp>
        <stp>XLFILL=b</stp>
        <tr r="AO117" s="2"/>
      </tp>
      <tp t="s">
        <v>#N/A Requesting Data...</v>
        <stp/>
        <stp>##V3_BQLV12</stp>
        <stp>[MODL_NOW_US1.xlsx]Single Period!R91C8</stp>
        <stp>NOW US Equity</stp>
        <stp>CONTRIBUTOR_STATS(ADJ_R_AND_D_TO_SALES, STD)</stp>
        <stp>FPR=2021Y</stp>
        <stp>FPT=A</stp>
        <stp>FA_ACT_EST_DATA=E</stp>
        <stp>ACT_EST_MAPPING=PRECISE</stp>
        <stp>FS=MRC</stp>
        <stp>CURRENCY=USD</stp>
        <stp>XLFILL=b</stp>
        <tr r="H91" s="2"/>
      </tp>
      <tp t="s">
        <v>#N/A Requesting Data...</v>
        <stp/>
        <stp>##V3_BQLV12</stp>
        <stp>[MODL_NOW_US1.xlsx]Single Period!R125C20</stp>
        <stp>NOW US Equity</stp>
        <stp>OPER_INC_TO_NET_SALES</stp>
        <stp>FPR=2021Y</stp>
        <stp>FPT=A</stp>
        <stp>FA_ACT_EST_DATA=E, EST_SOURCE=CAN</stp>
        <stp>ACT_EST_MAPPING=PRECISE</stp>
        <stp>FS=MRC</stp>
        <stp>CURRENCY=USD</stp>
        <stp>XLFILL=b</stp>
        <tr r="T125" s="2"/>
      </tp>
      <tp t="s">
        <v>#N/A Requesting Data...</v>
        <stp/>
        <stp>##V3_BQLV12</stp>
        <stp>[MODL_NOW_US1.xlsx]Single Period!R32C9</stp>
        <stp>NOW US Equity</stp>
        <stp>CONTRIBUTOR_STATS(BS_REMAINING_PERFORMANCE_OBLIG, MEDIAN)/1M</stp>
        <stp>FPR=2021Y</stp>
        <stp>FPT=A</stp>
        <stp>FA_ACT_EST_DATA=E</stp>
        <stp>ACT_EST_MAPPING=PRECISE</stp>
        <stp>FS=MRC</stp>
        <stp>CURRENCY=USD</stp>
        <stp>XLFILL=b</stp>
        <tr r="I32" s="2"/>
      </tp>
      <tp t="s">
        <v>#N/A Requesting Data...</v>
        <stp/>
        <stp>##V3_BQLV12</stp>
        <stp>[MODL_NOW_US1.xlsx]Single Period!R37C9</stp>
        <stp>NOW US Equity</stp>
        <stp>CONTRIBUTOR_STATS(BS_REMAINING_PERFORMANCE_OBLIG, MEDIAN)/1M</stp>
        <stp>FPR=2021Y</stp>
        <stp>FPT=A</stp>
        <stp>FA_ACT_EST_DATA=E</stp>
        <stp>ACT_EST_MAPPING=PRECISE</stp>
        <stp>FS=MRC</stp>
        <stp>CURRENCY=USD</stp>
        <stp>XLFILL=b</stp>
        <tr r="I37" s="2"/>
      </tp>
      <tp t="s">
        <v>#N/A Requesting Data...</v>
        <stp/>
        <stp>##V3_BQLV12</stp>
        <stp>[MODL_NOW_US1.xlsx]Single Period!R125C30</stp>
        <stp>NOW US Equity</stp>
        <stp>OPER_INC_TO_NET_SALES</stp>
        <stp>FPR=2021Y</stp>
        <stp>FPT=A</stp>
        <stp>FA_ACT_EST_DATA=E, EST_SOURCE=BAM</stp>
        <stp>ACT_EST_MAPPING=PRECISE</stp>
        <stp>FS=MRC</stp>
        <stp>CURRENCY=USD</stp>
        <stp>XLFILL=b</stp>
        <tr r="AD125" s="2"/>
      </tp>
      <tp t="s">
        <v>#N/A Requesting Data...</v>
        <stp/>
        <stp>##V3_BQLV12</stp>
        <stp>[MODL_NOW_US1.xlsx]Single Period!R160C19</stp>
        <stp>NOW US Equity</stp>
        <stp>PREPAID_EXPNSS_AND_OTHR/1M</stp>
        <stp>FPR=2021Y</stp>
        <stp>FPT=A</stp>
        <stp>FA_ACT_EST_DATA=E, EST_SOURCE=MSV</stp>
        <stp>ACT_EST_MAPPING=PRECISE</stp>
        <stp>FS=MRC</stp>
        <stp>CURRENCY=USD</stp>
        <stp>XLFILL=b</stp>
        <tr r="S160" s="2"/>
      </tp>
      <tp t="s">
        <v>#N/A Requesting Data...</v>
        <stp/>
        <stp>##V3_BQLV12</stp>
        <stp>[MODL_NOW_US1.xlsx]Single Period!R125C33</stp>
        <stp>NOW US Equity</stp>
        <stp>OPER_INC_TO_NET_SALES</stp>
        <stp>FPR=2021Y</stp>
        <stp>FPT=A</stp>
        <stp>FA_ACT_EST_DATA=E, EST_SOURCE=MAC</stp>
        <stp>ACT_EST_MAPPING=PRECISE</stp>
        <stp>FS=MRC</stp>
        <stp>CURRENCY=USD</stp>
        <stp>XLFILL=b</stp>
        <tr r="AG125" s="2"/>
      </tp>
      <tp t="s">
        <v>#N/A Requesting Data...</v>
        <stp/>
        <stp>##V3_BQLV12</stp>
        <stp>[MODL_NOW_US1.xlsx]Single Period!R160C35</stp>
        <stp>NOW US Equity</stp>
        <stp>PREPAID_EXPNSS_AND_OTHR/1M</stp>
        <stp>FPR=2021Y</stp>
        <stp>FPT=A</stp>
        <stp>FA_ACT_EST_DATA=E, EST_SOURCE=MSR</stp>
        <stp>ACT_EST_MAPPING=PRECISE</stp>
        <stp>FS=MRC</stp>
        <stp>CURRENCY=USD</stp>
        <stp>XLFILL=b</stp>
        <tr r="AI160" s="2"/>
      </tp>
      <tp t="s">
        <v>#N/A Requesting Data...</v>
        <stp/>
        <stp>##V3_BQLV12</stp>
        <stp>[MODL_NOW_US1.xlsx]Single Period!R160C31</stp>
        <stp>NOW US Equity</stp>
        <stp>PREPAID_EXPNSS_AND_OTHR/1M</stp>
        <stp>FPR=2021Y</stp>
        <stp>FPT=A</stp>
        <stp>FA_ACT_EST_DATA=E, EST_SOURCE=GSR</stp>
        <stp>ACT_EST_MAPPING=PRECISE</stp>
        <stp>FS=MRC</stp>
        <stp>CURRENCY=USD</stp>
        <stp>XLFILL=b</stp>
        <tr r="AE160" s="2"/>
      </tp>
      <tp t="s">
        <v>#N/A Requesting Data...</v>
        <stp/>
        <stp>##V3_BQLV12</stp>
        <stp>[MODL_NOW_US1.xlsx]Single Period!R182C23</stp>
        <stp>NOW US Equity</stp>
        <stp>BS_OTHER_NONCURRENT_LIABILITIES/1M</stp>
        <stp>FPR=2021Y</stp>
        <stp>FPT=A</stp>
        <stp>FA_ACT_EST_DATA=E, EST_SOURCE=ZXS</stp>
        <stp>ACT_EST_MAPPING=PRECISE</stp>
        <stp>FS=MRC</stp>
        <stp>CURRENCY=USD</stp>
        <stp>XLFILL=b</stp>
        <tr r="W182" s="2"/>
      </tp>
      <tp t="s">
        <v>#N/A Requesting Data...</v>
        <stp/>
        <stp>##V3_BQLV12</stp>
        <stp>[MODL_NOW_US1.xlsx]Single Period!R225C44</stp>
        <stp>NOW US Equity</stp>
        <stp>CF_INCR_CAP_STOCK/1M</stp>
        <stp>FPR=2021Y</stp>
        <stp>FPT=A</stp>
        <stp>FA_ACT_EST_DATA=E, EST_SOURCE=ARE</stp>
        <stp>ACT_EST_MAPPING=PRECISE</stp>
        <stp>FS=MRC</stp>
        <stp>CURRENCY=USD</stp>
        <stp>XLFILL=b</stp>
        <tr r="AR225" s="2"/>
      </tp>
      <tp t="s">
        <v>#N/A Requesting Data...</v>
        <stp/>
        <stp>##V3_BQLV12</stp>
        <stp>[MODL_NOW_US1.xlsx]Single Period!R155C48</stp>
        <stp>NOW US Equity</stp>
        <stp>BS_CASH_CASH_EQUIVALENTS_AND_STI/1M</stp>
        <stp>FPR=2021Y</stp>
        <stp>FPT=A</stp>
        <stp>FA_ACT_EST_DATA=E, EST_SOURCE=CRC</stp>
        <stp>ACT_EST_MAPPING=PRECISE</stp>
        <stp>FS=MRC</stp>
        <stp>CURRENCY=USD</stp>
        <stp>XLFILL=b</stp>
        <tr r="AV155" s="2"/>
      </tp>
      <tp t="s">
        <v>#N/A Requesting Data...</v>
        <stp/>
        <stp>##V3_BQLV12</stp>
        <stp>[MODL_NOW_US1.xlsx]Single Period!R148C47</stp>
        <stp>NOW US Equity</stp>
        <stp>IS_AMORT_ACQD_INTANGIBLES_R_AND_D/1M</stp>
        <stp>FPR=2021Y</stp>
        <stp>FPT=A</stp>
        <stp>FA_ACT_EST_DATA=E, EST_SOURCE=SUM</stp>
        <stp>ACT_EST_MAPPING=PRECISE</stp>
        <stp>FS=MRC</stp>
        <stp>CURRENCY=USD</stp>
        <stp>XLFILL=b</stp>
        <tr r="AU148" s="2"/>
      </tp>
      <tp t="s">
        <v>#N/A Requesting Data...</v>
        <stp/>
        <stp>##V3_BQLV12</stp>
        <stp>[MODL_NOW_US1.xlsx]Single Period!R155C44</stp>
        <stp>NOW US Equity</stp>
        <stp>BS_CASH_CASH_EQUIVALENTS_AND_STI/1M</stp>
        <stp>FPR=2021Y</stp>
        <stp>FPT=A</stp>
        <stp>FA_ACT_EST_DATA=E, EST_SOURCE=ARE</stp>
        <stp>ACT_EST_MAPPING=PRECISE</stp>
        <stp>FS=MRC</stp>
        <stp>CURRENCY=USD</stp>
        <stp>XLFILL=b</stp>
        <tr r="AR155" s="2"/>
      </tp>
      <tp t="s">
        <v>#N/A Requesting Data...</v>
        <stp/>
        <stp>##V3_BQLV12</stp>
        <stp>[MODL_NOW_US1.xlsx]Single Period!R104C11</stp>
        <stp>NOW US Equity</stp>
        <stp>IS_COMP_NET_INC_EXCL_STOCK_COMP/1M</stp>
        <stp>FPR=2021Y</stp>
        <stp>FPT=A</stp>
        <stp>FA_ACT_EST_DATA=E, EST_SOURCE=JPM</stp>
        <stp>ACT_EST_MAPPING=PRECISE</stp>
        <stp>FS=MRC</stp>
        <stp>CURRENCY=USD</stp>
        <stp>XLFILL=b</stp>
        <tr r="K104" s="2"/>
      </tp>
      <tp t="s">
        <v>#N/A Requesting Data...</v>
        <stp/>
        <stp>##V3_BQLV12</stp>
        <stp>[MODL_NOW_US1.xlsx]Single Period!R63C16</stp>
        <stp>SEG0000230975 Segment</stp>
        <stp>CB_IS_GROSS_PROFIT/1M</stp>
        <stp>FPR=2021Y</stp>
        <stp>FPT=A</stp>
        <stp>FA_ACT_EST_DATA=E, EST_SOURCE=BCA</stp>
        <stp>ACT_EST_MAPPING=PRECISE</stp>
        <stp>FS=MRC</stp>
        <stp>CURRENCY=USD</stp>
        <stp>XLFILL=b</stp>
        <tr r="P63" s="2"/>
      </tp>
      <tp t="s">
        <v>#N/A Requesting Data...</v>
        <stp/>
        <stp>##V3_BQLV12</stp>
        <stp>[MODL_NOW_US1.xlsx]Single Period!R216C14</stp>
        <stp>NOW US Equity</stp>
        <stp>CF_PURCHASE_OF_FIXED_PROD_ASSETS/1M</stp>
        <stp>FPR=2021Y</stp>
        <stp>FPT=A</stp>
        <stp>FA_ACT_EST_DATA=E, EST_SOURCE=BMO</stp>
        <stp>ACT_EST_MAPPING=PRECISE</stp>
        <stp>FS=MRC</stp>
        <stp>CURRENCY=USD</stp>
        <stp>XLFILL=b</stp>
        <tr r="N216" s="2"/>
      </tp>
      <tp t="s">
        <v>#N/A Requesting Data...</v>
        <stp/>
        <stp>##V3_BQLV12</stp>
        <stp>[MODL_NOW_US1.xlsx]Single Period!R225C42</stp>
        <stp>NOW US Equity</stp>
        <stp>CF_INCR_CAP_STOCK/1M</stp>
        <stp>FPR=2021Y</stp>
        <stp>FPT=A</stp>
        <stp>FA_ACT_EST_DATA=E, EST_SOURCE=CTI</stp>
        <stp>ACT_EST_MAPPING=PRECISE</stp>
        <stp>FS=MRC</stp>
        <stp>CURRENCY=USD</stp>
        <stp>XLFILL=b</stp>
        <tr r="AP225" s="2"/>
      </tp>
      <tp t="s">
        <v>#N/A Requesting Data...</v>
        <stp/>
        <stp>##V3_BQLV12</stp>
        <stp>[MODL_NOW_US1.xlsx]Single Period!R121C16</stp>
        <stp>NOW US Equity</stp>
        <stp>CB_IS_GENL_AND_ADMIN_EXPN/1M</stp>
        <stp>FPR=2021Y</stp>
        <stp>FPT=A</stp>
        <stp>FA_ACT_EST_DATA=E, EST_SOURCE=BCA</stp>
        <stp>ACT_EST_MAPPING=PRECISE</stp>
        <stp>FS=MRC</stp>
        <stp>CURRENCY=USD</stp>
        <stp>XLFILL=b</stp>
        <tr r="P121" s="2"/>
      </tp>
      <tp t="s">
        <v>#N/A Requesting Data...</v>
        <stp/>
        <stp>##V3_BQLV12</stp>
        <stp>[MODL_NOW_US1.xlsx]Single Period!R63C49</stp>
        <stp>SEG0000230975 Segment</stp>
        <stp>CB_IS_GROSS_PROFIT/1M</stp>
        <stp>FPR=2021Y</stp>
        <stp>FPT=A</stp>
        <stp>FA_ACT_EST_DATA=E, EST_SOURCE=SCB</stp>
        <stp>ACT_EST_MAPPING=PRECISE</stp>
        <stp>FS=MRC</stp>
        <stp>CURRENCY=USD</stp>
        <stp>XLFILL=b</stp>
        <tr r="AW63" s="2"/>
      </tp>
      <tp t="s">
        <v>#N/A Requesting Data...</v>
        <stp/>
        <stp>##V3_BQLV12</stp>
        <stp>[MODL_NOW_US1.xlsx]Single Period!R155C41</stp>
        <stp>NOW US Equity</stp>
        <stp>BS_CASH_CASH_EQUIVALENTS_AND_STI/1M</stp>
        <stp>FPR=2021Y</stp>
        <stp>FPT=A</stp>
        <stp>FA_ACT_EST_DATA=E, EST_SOURCE=ARG</stp>
        <stp>ACT_EST_MAPPING=PRECISE</stp>
        <stp>FS=MRC</stp>
        <stp>CURRENCY=USD</stp>
        <stp>XLFILL=b</stp>
        <tr r="AO155" s="2"/>
      </tp>
      <tp t="s">
        <v>#N/A Requesting Data...</v>
        <stp/>
        <stp>##V3_BQLV12</stp>
        <stp>[MODL_NOW_US1.xlsx]Single Period!R121C27</stp>
        <stp>NOW US Equity</stp>
        <stp>CB_IS_GENL_AND_ADMIN_EXPN/1M</stp>
        <stp>FPR=2021Y</stp>
        <stp>FPT=A</stp>
        <stp>FA_ACT_EST_DATA=E, EST_SOURCE=RBC</stp>
        <stp>ACT_EST_MAPPING=PRECISE</stp>
        <stp>FS=MRC</stp>
        <stp>CURRENCY=USD</stp>
        <stp>XLFILL=b</stp>
        <tr r="AA121" s="2"/>
      </tp>
      <tp t="s">
        <v>#N/A Requesting Data...</v>
        <stp/>
        <stp>##V3_BQLV12</stp>
        <stp>[MODL_NOW_US1.xlsx]Single Period!R107C26</stp>
        <stp>NOW US Equity</stp>
        <stp>CB_IS_ADJ_DILUTED_AVG_SHS/1M</stp>
        <stp>FPR=2021Y</stp>
        <stp>FPT=A</stp>
        <stp>FA_ACT_EST_DATA=E, EST_SOURCE=UBS</stp>
        <stp>ACT_EST_MAPPING=PRECISE</stp>
        <stp>FS=MRC</stp>
        <stp>CURRENCY=USD</stp>
        <stp>XLFILL=b</stp>
        <tr r="Z107" s="2"/>
      </tp>
      <tp t="s">
        <v>#N/A Requesting Data...</v>
        <stp/>
        <stp>##V3_BQLV12</stp>
        <stp>[MODL_NOW_US1.xlsx]Single Period!R202C36</stp>
        <stp>NOW US Equity</stp>
        <stp>CF_AMORTIZATN_OF_DEFRRD_COMPNSTN/1M</stp>
        <stp>FPR=2021Y</stp>
        <stp>FPT=A</stp>
        <stp>FA_ACT_EST_DATA=E, EST_SOURCE=JEF</stp>
        <stp>ACT_EST_MAPPING=PRECISE</stp>
        <stp>FS=MRC</stp>
        <stp>CURRENCY=USD</stp>
        <stp>XLFILL=b</stp>
        <tr r="AJ202" s="2"/>
      </tp>
      <tp t="s">
        <v>#N/A Requesting Data...</v>
        <stp/>
        <stp>##V3_BQLV12</stp>
        <stp>[MODL_NOW_US1.xlsx]Single Period!R225C35</stp>
        <stp>NOW US Equity</stp>
        <stp>CF_INCR_CAP_STOCK/1M</stp>
        <stp>FPR=2021Y</stp>
        <stp>FPT=A</stp>
        <stp>FA_ACT_EST_DATA=E, EST_SOURCE=MSR</stp>
        <stp>ACT_EST_MAPPING=PRECISE</stp>
        <stp>FS=MRC</stp>
        <stp>CURRENCY=USD</stp>
        <stp>XLFILL=b</stp>
        <tr r="AI225" s="2"/>
      </tp>
      <tp t="s">
        <v>#N/A Requesting Data...</v>
        <stp/>
        <stp>##V3_BQLV12</stp>
        <stp>[MODL_NOW_US1.xlsx]Single Period!R121C43</stp>
        <stp>NOW US Equity</stp>
        <stp>CB_IS_GENL_AND_ADMIN_EXPN/1M</stp>
        <stp>FPR=2021Y</stp>
        <stp>FPT=A</stp>
        <stp>FA_ACT_EST_DATA=E, EST_SOURCE=WFT</stp>
        <stp>ACT_EST_MAPPING=PRECISE</stp>
        <stp>FS=MRC</stp>
        <stp>CURRENCY=USD</stp>
        <stp>XLFILL=b</stp>
        <tr r="AQ121" s="2"/>
      </tp>
      <tp t="s">
        <v>#N/A Requesting Data...</v>
        <stp/>
        <stp>##V3_BQLV12</stp>
        <stp>[MODL_NOW_US1.xlsx]Single Period!R175C33</stp>
        <stp>NOW US Equity</stp>
        <stp>BS_ACCRUD_EXPNSS_AND_OTHR/1M</stp>
        <stp>FPR=2021Y</stp>
        <stp>FPT=A</stp>
        <stp>FA_ACT_EST_DATA=E, EST_SOURCE=MAC</stp>
        <stp>ACT_EST_MAPPING=PRECISE</stp>
        <stp>FS=MRC</stp>
        <stp>CURRENCY=USD</stp>
        <stp>XLFILL=b</stp>
        <tr r="AG175" s="2"/>
      </tp>
      <tp t="s">
        <v>#N/A Requesting Data...</v>
        <stp/>
        <stp>##V3_BQLV12</stp>
        <stp>[MODL_NOW_US1.xlsx]Single Period!R213C49</stp>
        <stp>NOW US Equity</stp>
        <stp>CF_CASH_FROM_OPER/1M</stp>
        <stp>FPR=2021Y</stp>
        <stp>FPT=A</stp>
        <stp>FA_ACT_EST_DATA=E, EST_SOURCE=SCB</stp>
        <stp>ACT_EST_MAPPING=PRECISE</stp>
        <stp>FS=MRC</stp>
        <stp>CURRENCY=USD</stp>
        <stp>XLFILL=b</stp>
        <tr r="AW213" s="2"/>
      </tp>
      <tp t="s">
        <v>#N/A Requesting Data...</v>
        <stp/>
        <stp>##V3_BQLV12</stp>
        <stp>[MODL_NOW_US1.xlsx]Single Period!R148C31</stp>
        <stp>NOW US Equity</stp>
        <stp>IS_AMORT_ACQD_INTANGIBLES_R_AND_D/1M</stp>
        <stp>FPR=2021Y</stp>
        <stp>FPT=A</stp>
        <stp>FA_ACT_EST_DATA=E, EST_SOURCE=GSR</stp>
        <stp>ACT_EST_MAPPING=PRECISE</stp>
        <stp>FS=MRC</stp>
        <stp>CURRENCY=USD</stp>
        <stp>XLFILL=b</stp>
        <tr r="AE148" s="2"/>
      </tp>
      <tp t="s">
        <v>#N/A Requesting Data...</v>
        <stp/>
        <stp>##V3_BQLV12</stp>
        <stp>[MODL_NOW_US1.xlsx]Single Period!R71C18</stp>
        <stp>SEG0000230986 Segment</stp>
        <stp>CB_IS_GROSS_PROFIT/1M</stp>
        <stp>FPR=2021Y</stp>
        <stp>FPT=A</stp>
        <stp>FA_ACT_EST_DATA=E, EST_SOURCE=SNR</stp>
        <stp>ACT_EST_MAPPING=PRECISE</stp>
        <stp>FS=MRC</stp>
        <stp>CURRENCY=USD</stp>
        <stp>XLFILL=b</stp>
        <tr r="R71" s="2"/>
      </tp>
      <tp t="s">
        <v>#N/A Requesting Data...</v>
        <stp/>
        <stp>##V3_BQLV12</stp>
        <stp>[MODL_NOW_US1.xlsx]Single Period!R202C22</stp>
        <stp>NOW US Equity</stp>
        <stp>CF_AMORTIZATN_OF_DEFRRD_COMPNSTN/1M</stp>
        <stp>FPR=2021Y</stp>
        <stp>FPT=A</stp>
        <stp>FA_ACT_EST_DATA=E, EST_SOURCE=NDH</stp>
        <stp>ACT_EST_MAPPING=PRECISE</stp>
        <stp>FS=MRC</stp>
        <stp>CURRENCY=USD</stp>
        <stp>XLFILL=b</stp>
        <tr r="V202" s="2"/>
      </tp>
      <tp t="s">
        <v>#N/A Requesting Data...</v>
        <stp/>
        <stp>##V3_BQLV12</stp>
        <stp>[MODL_NOW_US1.xlsx]Single Period!R71C29</stp>
        <stp>SEG0000230986 Segment</stp>
        <stp>CB_IS_GROSS_PROFIT/1M</stp>
        <stp>FPR=2021Y</stp>
        <stp>FPT=A</stp>
        <stp>FA_ACT_EST_DATA=E, EST_SOURCE=BNS</stp>
        <stp>ACT_EST_MAPPING=PRECISE</stp>
        <stp>FS=MRC</stp>
        <stp>CURRENCY=USD</stp>
        <stp>XLFILL=b</stp>
        <tr r="AC71" s="2"/>
      </tp>
      <tp t="s">
        <v>#N/A Requesting Data...</v>
        <stp/>
        <stp>##V3_BQLV12</stp>
        <stp>[MODL_NOW_US1.xlsx]Single Period!R104C15</stp>
        <stp>NOW US Equity</stp>
        <stp>IS_COMP_NET_INC_EXCL_STOCK_COMP/1M</stp>
        <stp>FPR=2021Y</stp>
        <stp>FPT=A</stp>
        <stp>FA_ACT_EST_DATA=E, EST_SOURCE=OPY</stp>
        <stp>ACT_EST_MAPPING=PRECISE</stp>
        <stp>FS=MRC</stp>
        <stp>CURRENCY=USD</stp>
        <stp>XLFILL=b</stp>
        <tr r="O104" s="2"/>
      </tp>
      <tp t="s">
        <v>#N/A Requesting Data...</v>
        <stp/>
        <stp>##V3_BQLV12</stp>
        <stp>[MODL_NOW_US1.xlsx]Single Period!R216C29</stp>
        <stp>NOW US Equity</stp>
        <stp>CF_PURCHASE_OF_FIXED_PROD_ASSETS/1M</stp>
        <stp>FPR=2021Y</stp>
        <stp>FPT=A</stp>
        <stp>FA_ACT_EST_DATA=E, EST_SOURCE=BNS</stp>
        <stp>ACT_EST_MAPPING=PRECISE</stp>
        <stp>FS=MRC</stp>
        <stp>CURRENCY=USD</stp>
        <stp>XLFILL=b</stp>
        <tr r="AC216" s="2"/>
      </tp>
      <tp t="s">
        <v>#N/A Requesting Data...</v>
        <stp/>
        <stp>##V3_BQLV12</stp>
        <stp>[MODL_NOW_US1.xlsx]Single Period!R218C28</stp>
        <stp>NOW US Equity</stp>
        <stp>CF_ACQUISITION_OF_INTANG_ASSETS/1M</stp>
        <stp>FPR=2021Y</stp>
        <stp>FPT=A</stp>
        <stp>FA_ACT_EST_DATA=E, EST_SOURCE=EVR</stp>
        <stp>ACT_EST_MAPPING=PRECISE</stp>
        <stp>FS=MRC</stp>
        <stp>CURRENCY=USD</stp>
        <stp>XLFILL=b</stp>
        <tr r="AB218" s="2"/>
      </tp>
      <tp t="s">
        <v>#N/A Requesting Data...</v>
        <stp/>
        <stp>##V3_BQLV12</stp>
        <stp>[MODL_NOW_US1.xlsx]Single Period!R116C43</stp>
        <stp>NOW US Equity</stp>
        <stp>GROSS_MARGIN</stp>
        <stp>FPR=2021Y</stp>
        <stp>FPT=A</stp>
        <stp>FA_ACT_EST_DATA=E, EST_SOURCE=WFT</stp>
        <stp>ACT_EST_MAPPING=PRECISE</stp>
        <stp>FS=MRC</stp>
        <stp>CURRENCY=USD</stp>
        <stp>XLFILL=b</stp>
        <tr r="AQ116" s="2"/>
      </tp>
      <tp t="s">
        <v>#N/A Requesting Data...</v>
        <stp/>
        <stp>##V3_BQLV12</stp>
        <stp>[MODL_NOW_US1.xlsx]Single Period!R138C5</stp>
        <stp>NOW US Equity</stp>
        <stp>SBC_NON_GAAP_TO_SALES</stp>
        <stp>FPR=2021Y</stp>
        <stp>FPT=A</stp>
        <stp>FA_ACT_EST_DATA=E</stp>
        <stp>ACT_EST_MAPPING=PRECISE</stp>
        <stp>FS=MRC</stp>
        <stp>CURRENCY=USD</stp>
        <stp>XLFILL=b</stp>
        <tr r="E138" s="2"/>
      </tp>
      <tp t="s">
        <v>#N/A Requesting Data...</v>
        <stp/>
        <stp>##V3_BQLV12</stp>
        <stp>[MODL_NOW_US1.xlsx]Single Period!R116C27</stp>
        <stp>NOW US Equity</stp>
        <stp>GROSS_MARGIN</stp>
        <stp>FPR=2021Y</stp>
        <stp>FPT=A</stp>
        <stp>FA_ACT_EST_DATA=E, EST_SOURCE=RBC</stp>
        <stp>ACT_EST_MAPPING=PRECISE</stp>
        <stp>FS=MRC</stp>
        <stp>CURRENCY=USD</stp>
        <stp>XLFILL=b</stp>
        <tr r="AA116" s="2"/>
      </tp>
      <tp t="s">
        <v>#N/A Requesting Data...</v>
        <stp/>
        <stp>##V3_BQLV12</stp>
        <stp>[MODL_NOW_US1.xlsx]Single Period!R116C16</stp>
        <stp>NOW US Equity</stp>
        <stp>GROSS_MARGIN</stp>
        <stp>FPR=2021Y</stp>
        <stp>FPT=A</stp>
        <stp>FA_ACT_EST_DATA=E, EST_SOURCE=BCA</stp>
        <stp>ACT_EST_MAPPING=PRECISE</stp>
        <stp>FS=MRC</stp>
        <stp>CURRENCY=USD</stp>
        <stp>XLFILL=b</stp>
        <tr r="P116" s="2"/>
      </tp>
      <tp t="s">
        <v>#N/A Requesting Data...</v>
        <stp/>
        <stp>##V3_BQLV12</stp>
        <stp>[MODL_NOW_US1.xlsx]Single Period!R81C17</stp>
        <stp>NOW US Equity</stp>
        <stp>IS_ADJ_SALES_YOY_CHG_PCT_CC</stp>
        <stp>FPR=2021Y</stp>
        <stp>FPT=A</stp>
        <stp>FA_ACT_EST_DATA=E, EST_SOURCE=RHR</stp>
        <stp>ACT_EST_MAPPING=PRECISE</stp>
        <stp>FS=MRC</stp>
        <stp>CURRENCY=USD</stp>
        <stp>XLFILL=b</stp>
        <tr r="Q81" s="2"/>
      </tp>
      <tp t="s">
        <v>#N/A Requesting Data...</v>
        <stp/>
        <stp>##V3_BQLV12</stp>
        <stp>[MODL_NOW_US1.xlsx]Single Period!R239C34</stp>
        <stp>NOW US Equity</stp>
        <stp>CFO_TO_SALES</stp>
        <stp>FPR=2021Y</stp>
        <stp>FPT=A</stp>
        <stp>FA_ACT_EST_DATA=E, EST_SOURCE=PSG</stp>
        <stp>ACT_EST_MAPPING=PRECISE</stp>
        <stp>FS=MRC</stp>
        <stp>CURRENCY=USD</stp>
        <stp>XLFILL=b</stp>
        <tr r="AH239" s="2"/>
      </tp>
      <tp t="s">
        <v>#N/A Requesting Data...</v>
        <stp/>
        <stp>##V3_BQLV12</stp>
        <stp>[MODL_NOW_US1.xlsx]Single Period!R129C36</stp>
        <stp>NOW US Equity</stp>
        <stp>EFF_TAX_RATE</stp>
        <stp>FPR=2021Y</stp>
        <stp>FPT=A</stp>
        <stp>FA_ACT_EST_DATA=E, EST_SOURCE=JEF</stp>
        <stp>ACT_EST_MAPPING=PRECISE</stp>
        <stp>FS=MRC</stp>
        <stp>CURRENCY=USD</stp>
        <stp>XLFILL=b</stp>
        <tr r="AJ129" s="2"/>
      </tp>
      <tp t="s">
        <v>#N/A Requesting Data...</v>
        <stp/>
        <stp>##V3_BQLV12</stp>
        <stp>[MODL_NOW_US1.xlsx]Single Period!R239C40</stp>
        <stp>NOW US Equity</stp>
        <stp>CFO_TO_SALES</stp>
        <stp>FPR=2021Y</stp>
        <stp>FPT=A</stp>
        <stp>FA_ACT_EST_DATA=E, EST_SOURCE=DWI</stp>
        <stp>ACT_EST_MAPPING=PRECISE</stp>
        <stp>FS=MRC</stp>
        <stp>CURRENCY=USD</stp>
        <stp>XLFILL=b</stp>
        <tr r="AN239" s="2"/>
      </tp>
      <tp t="s">
        <v>#N/A Requesting Data...</v>
        <stp/>
        <stp>##V3_BQLV12</stp>
        <stp>[MODL_NOW_US1.xlsx]Single Period!R212C17</stp>
        <stp>NOW US Equity</stp>
        <stp>CF_CHANGE_IN_ACCRUD_EXPNSS/1M</stp>
        <stp>FPR=2021Y</stp>
        <stp>FPT=A</stp>
        <stp>FA_ACT_EST_DATA=E, EST_SOURCE=RHR</stp>
        <stp>ACT_EST_MAPPING=PRECISE</stp>
        <stp>FS=MRC</stp>
        <stp>CURRENCY=USD</stp>
        <stp>XLFILL=b</stp>
        <tr r="Q212" s="2"/>
      </tp>
      <tp t="s">
        <v>#N/A Requesting Data...</v>
        <stp/>
        <stp>##V3_BQLV12</stp>
        <stp>[MODL_NOW_US1.xlsx]Single Period!R163C49</stp>
        <stp>NOW US Equity</stp>
        <stp>CB_BS_PP_AND_E_NET/1M</stp>
        <stp>FPR=2021Y</stp>
        <stp>FPT=A</stp>
        <stp>FA_ACT_EST_DATA=E, EST_SOURCE=SCB</stp>
        <stp>ACT_EST_MAPPING=PRECISE</stp>
        <stp>FS=MRC</stp>
        <stp>CURRENCY=USD</stp>
        <stp>XLFILL=b</stp>
        <tr r="AW163" s="2"/>
      </tp>
      <tp t="s">
        <v>#N/A Requesting Data...</v>
        <stp/>
        <stp>##V3_BQLV12</stp>
        <stp>[MODL_NOW_US1.xlsx]Single Period!R163C16</stp>
        <stp>NOW US Equity</stp>
        <stp>CB_BS_PP_AND_E_NET/1M</stp>
        <stp>FPR=2021Y</stp>
        <stp>FPT=A</stp>
        <stp>FA_ACT_EST_DATA=E, EST_SOURCE=BCA</stp>
        <stp>ACT_EST_MAPPING=PRECISE</stp>
        <stp>FS=MRC</stp>
        <stp>CURRENCY=USD</stp>
        <stp>XLFILL=b</stp>
        <tr r="P163" s="2"/>
      </tp>
      <tp t="s">
        <v>#N/A Requesting Data...</v>
        <stp/>
        <stp>##V3_BQLV12</stp>
        <stp>[MODL_NOW_US1.xlsx]Single Period!R96C36</stp>
        <stp>NOW US Equity</stp>
        <stp>ADJ_OPERATING_MARGIN</stp>
        <stp>FPR=2021Y</stp>
        <stp>FPT=A</stp>
        <stp>FA_ACT_EST_DATA=E, EST_SOURCE=JEF</stp>
        <stp>ACT_EST_MAPPING=PRECISE</stp>
        <stp>FS=MRC</stp>
        <stp>CURRENCY=USD</stp>
        <stp>XLFILL=b</stp>
        <tr r="AJ96" s="2"/>
      </tp>
      <tp t="s">
        <v>#N/A Requesting Data...</v>
        <stp/>
        <stp>##V3_BQLV12</stp>
        <stp>[MODL_NOW_US1.xlsx]Single Period!R127C49</stp>
        <stp>NOW US Equity</stp>
        <stp>PRETAX_INC/1M</stp>
        <stp>FPR=2021Y</stp>
        <stp>FPT=A</stp>
        <stp>FA_ACT_EST_DATA=E, EST_SOURCE=SCB</stp>
        <stp>ACT_EST_MAPPING=PRECISE</stp>
        <stp>FS=MRC</stp>
        <stp>CURRENCY=USD</stp>
        <stp>XLFILL=b</stp>
        <tr r="AW127" s="2"/>
      </tp>
      <tp t="s">
        <v>#N/A Requesting Data...</v>
        <stp/>
        <stp>##V3_BQLV12</stp>
        <stp>[MODL_NOW_US1.xlsx]Single Period!R127C16</stp>
        <stp>NOW US Equity</stp>
        <stp>PRETAX_INC/1M</stp>
        <stp>FPR=2021Y</stp>
        <stp>FPT=A</stp>
        <stp>FA_ACT_EST_DATA=E, EST_SOURCE=BCA</stp>
        <stp>ACT_EST_MAPPING=PRECISE</stp>
        <stp>FS=MRC</stp>
        <stp>CURRENCY=USD</stp>
        <stp>XLFILL=b</stp>
        <tr r="P127" s="2"/>
      </tp>
      <tp t="s">
        <v>#N/A Requesting Data...</v>
        <stp/>
        <stp>##V3_BQLV12</stp>
        <stp>[MODL_NOW_US1.xlsx]Single Period!R91C23</stp>
        <stp>NOW US Equity</stp>
        <stp>ADJ_R_AND_D_TO_SALES</stp>
        <stp>FPR=2021Y</stp>
        <stp>FPT=A</stp>
        <stp>FA_ACT_EST_DATA=E, EST_SOURCE=ZXS</stp>
        <stp>ACT_EST_MAPPING=PRECISE</stp>
        <stp>FS=MRC</stp>
        <stp>CURRENCY=USD</stp>
        <stp>XLFILL=b</stp>
        <tr r="W91" s="2"/>
      </tp>
      <tp t="s">
        <v>#N/A Requesting Data...</v>
        <stp/>
        <stp>##V3_BQLV12</stp>
        <stp>[MODL_NOW_US1.xlsx]Single Period!R149C29</stp>
        <stp>NOW US Equity</stp>
        <stp>IS_AMORT_ACQD_INTANG_GEN_AND_ADMIN/1M</stp>
        <stp>FPR=2021Y</stp>
        <stp>FPT=A</stp>
        <stp>FA_ACT_EST_DATA=E, EST_SOURCE=BNS</stp>
        <stp>ACT_EST_MAPPING=PRECISE</stp>
        <stp>FS=MRC</stp>
        <stp>CURRENCY=USD</stp>
        <stp>XLFILL=b</stp>
        <tr r="AC149" s="2"/>
      </tp>
      <tp t="s">
        <v>#N/A Requesting Data...</v>
        <stp/>
        <stp>##V3_BQLV12</stp>
        <stp>[MODL_NOW_US1.xlsx]Single Period!R149C18</stp>
        <stp>NOW US Equity</stp>
        <stp>IS_AMORT_ACQD_INTANG_GEN_AND_ADMIN/1M</stp>
        <stp>FPR=2021Y</stp>
        <stp>FPT=A</stp>
        <stp>FA_ACT_EST_DATA=E, EST_SOURCE=SNR</stp>
        <stp>ACT_EST_MAPPING=PRECISE</stp>
        <stp>FS=MRC</stp>
        <stp>CURRENCY=USD</stp>
        <stp>XLFILL=b</stp>
        <tr r="R149" s="2"/>
      </tp>
      <tp t="s">
        <v>#N/A Requesting Data...</v>
        <stp/>
        <stp>##V3_BQLV12</stp>
        <stp>[MODL_NOW_US1.xlsx]Single Period!R164C22</stp>
        <stp>NOW US Equity</stp>
        <stp>CB_BS_PP_AND_E_NET/1M</stp>
        <stp>FPR=2021Y</stp>
        <stp>FPT=A</stp>
        <stp>FA_ACT_EST_DATA=E, EST_SOURCE=NDH</stp>
        <stp>ACT_EST_MAPPING=PRECISE</stp>
        <stp>FS=MRC</stp>
        <stp>CURRENCY=USD</stp>
        <stp>XLFILL=b</stp>
        <tr r="V164" s="2"/>
      </tp>
      <tp t="s">
        <v>#N/A Requesting Data...</v>
        <stp/>
        <stp>##V3_BQLV12</stp>
        <stp>[MODL_NOW_US1.xlsx]Single Period!R194C45</stp>
        <stp>NOW US Equity</stp>
        <stp>CB_BS_OTHER_CURRENT_ASSETS/1M</stp>
        <stp>FPR=2021Y</stp>
        <stp>FPT=A</stp>
        <stp>FA_ACT_EST_DATA=E, EST_SOURCE=PJE</stp>
        <stp>ACT_EST_MAPPING=PRECISE</stp>
        <stp>FS=MRC</stp>
        <stp>CURRENCY=USD</stp>
        <stp>XLFILL=b</stp>
        <tr r="AS194" s="2"/>
      </tp>
      <tp t="s">
        <v>#N/A Requesting Data...</v>
        <stp/>
        <stp>##V3_BQLV12</stp>
        <stp>[MODL_NOW_US1.xlsx]Single Period!R174C43</stp>
        <stp>NOW US Equity</stp>
        <stp>BS_ACCT_PAYABLE/1M</stp>
        <stp>FPR=2021Y</stp>
        <stp>FPT=A</stp>
        <stp>FA_ACT_EST_DATA=E, EST_SOURCE=WFT</stp>
        <stp>ACT_EST_MAPPING=PRECISE</stp>
        <stp>FS=MRC</stp>
        <stp>CURRENCY=USD</stp>
        <stp>XLFILL=b</stp>
        <tr r="AQ174" s="2"/>
      </tp>
      <tp t="s">
        <v>#N/A Requesting Data...</v>
        <stp/>
        <stp>##V3_BQLV12</stp>
        <stp>[MODL_NOW_US1.xlsx]Single Period!R181C11</stp>
        <stp>NOW US Equity</stp>
        <stp>BS_LONG_TERM_BORROWINGS/1M</stp>
        <stp>FPR=2021Y</stp>
        <stp>FPT=A</stp>
        <stp>FA_ACT_EST_DATA=E, EST_SOURCE=JPM</stp>
        <stp>ACT_EST_MAPPING=PRECISE</stp>
        <stp>FS=MRC</stp>
        <stp>CURRENCY=USD</stp>
        <stp>XLFILL=b</stp>
        <tr r="K181" s="2"/>
      </tp>
      <tp t="s">
        <v>#N/A Requesting Data...</v>
        <stp/>
        <stp>##V3_BQLV12</stp>
        <stp>[MODL_NOW_US1.xlsx]Single Period!R17C47</stp>
        <stp>SEG0000230975 Segment</stp>
        <stp>IS_BILLINGS/1M</stp>
        <stp>FPR=2021Y</stp>
        <stp>FPT=A</stp>
        <stp>FA_ACT_EST_DATA=E, EST_SOURCE=SUM</stp>
        <stp>ACT_EST_MAPPING=PRECISE</stp>
        <stp>FS=MRC</stp>
        <stp>CURRENCY=USD</stp>
        <stp>XLFILL=b</stp>
        <tr r="AU17" s="2"/>
      </tp>
      <tp t="s">
        <v>#N/A Requesting Data...</v>
        <stp/>
        <stp>##V3_BQLV12</stp>
        <stp>[MODL_NOW_US1.xlsx]Single Period!R42C47</stp>
        <stp>SEG0000230975 Segment</stp>
        <stp>IS_BILLINGS/1M</stp>
        <stp>FPR=2021Y</stp>
        <stp>FPT=A</stp>
        <stp>FA_ACT_EST_DATA=E, EST_SOURCE=SUM</stp>
        <stp>ACT_EST_MAPPING=PRECISE</stp>
        <stp>FS=MRC</stp>
        <stp>CURRENCY=USD</stp>
        <stp>XLFILL=b</stp>
        <tr r="AU42" s="2"/>
      </tp>
      <tp t="s">
        <v>#N/A Requesting Data...</v>
        <stp/>
        <stp>##V3_BQLV12</stp>
        <stp>[MODL_NOW_US1.xlsx]Single Period!R117C34</stp>
        <stp>NOW US Equity</stp>
        <stp>IS_TOT_OPER_EXP/1M</stp>
        <stp>FPR=2021Y</stp>
        <stp>FPT=A</stp>
        <stp>FA_ACT_EST_DATA=E, EST_SOURCE=PSG</stp>
        <stp>ACT_EST_MAPPING=PRECISE</stp>
        <stp>FS=MRC</stp>
        <stp>CURRENCY=USD</stp>
        <stp>XLFILL=b</stp>
        <tr r="AH117" s="2"/>
      </tp>
      <tp t="s">
        <v>#N/A Requesting Data...</v>
        <stp/>
        <stp>##V3_BQLV12</stp>
        <stp>[MODL_NOW_US1.xlsx]Single Period!R160C48</stp>
        <stp>NOW US Equity</stp>
        <stp>PREPAID_EXPNSS_AND_OTHR/1M</stp>
        <stp>FPR=2021Y</stp>
        <stp>FPT=A</stp>
        <stp>FA_ACT_EST_DATA=E, EST_SOURCE=CRC</stp>
        <stp>ACT_EST_MAPPING=PRECISE</stp>
        <stp>FS=MRC</stp>
        <stp>CURRENCY=USD</stp>
        <stp>XLFILL=b</stp>
        <tr r="AV160" s="2"/>
      </tp>
      <tp t="s">
        <v>#N/A Requesting Data...</v>
        <stp/>
        <stp>##V3_BQLV12</stp>
        <stp>[MODL_NOW_US1.xlsx]Single Period!R160C41</stp>
        <stp>NOW US Equity</stp>
        <stp>PREPAID_EXPNSS_AND_OTHR/1M</stp>
        <stp>FPR=2021Y</stp>
        <stp>FPT=A</stp>
        <stp>FA_ACT_EST_DATA=E, EST_SOURCE=ARG</stp>
        <stp>ACT_EST_MAPPING=PRECISE</stp>
        <stp>FS=MRC</stp>
        <stp>CURRENCY=USD</stp>
        <stp>XLFILL=b</stp>
        <tr r="AO160" s="2"/>
      </tp>
      <tp t="s">
        <v>#N/A Requesting Data...</v>
        <stp/>
        <stp>##V3_BQLV12</stp>
        <stp>[MODL_NOW_US1.xlsx]Single Period!R160C44</stp>
        <stp>NOW US Equity</stp>
        <stp>PREPAID_EXPNSS_AND_OTHR/1M</stp>
        <stp>FPR=2021Y</stp>
        <stp>FPT=A</stp>
        <stp>FA_ACT_EST_DATA=E, EST_SOURCE=ARE</stp>
        <stp>ACT_EST_MAPPING=PRECISE</stp>
        <stp>FS=MRC</stp>
        <stp>CURRENCY=USD</stp>
        <stp>XLFILL=b</stp>
        <tr r="AR160" s="2"/>
      </tp>
      <tp t="s">
        <v>#N/A Requesting Data...</v>
        <stp/>
        <stp>##V3_BQLV12</stp>
        <stp>[MODL_NOW_US1.xlsx]Single Period!R46C28</stp>
        <stp>SEG0000230986 Segment</stp>
        <stp>IS_BILLINGS/1M</stp>
        <stp>FPR=2021Y</stp>
        <stp>FPT=A</stp>
        <stp>FA_ACT_EST_DATA=E, EST_SOURCE=EVR</stp>
        <stp>ACT_EST_MAPPING=PRECISE</stp>
        <stp>FS=MRC</stp>
        <stp>CURRENCY=USD</stp>
        <stp>XLFILL=b</stp>
        <tr r="AB46" s="2"/>
      </tp>
      <tp t="s">
        <v>#N/A Requesting Data...</v>
        <stp/>
        <stp>##V3_BQLV12</stp>
        <stp>[MODL_NOW_US1.xlsx]Single Period!R21C28</stp>
        <stp>SEG0000230986 Segment</stp>
        <stp>IS_BILLINGS/1M</stp>
        <stp>FPR=2021Y</stp>
        <stp>FPT=A</stp>
        <stp>FA_ACT_EST_DATA=E, EST_SOURCE=EVR</stp>
        <stp>ACT_EST_MAPPING=PRECISE</stp>
        <stp>FS=MRC</stp>
        <stp>CURRENCY=USD</stp>
        <stp>XLFILL=b</stp>
        <tr r="AB21" s="2"/>
      </tp>
      <tp t="s">
        <v>#N/A Requesting Data...</v>
        <stp/>
        <stp>##V3_BQLV12</stp>
        <stp>[MODL_NOW_US1.xlsx]Single Period!R236C30</stp>
        <stp>NOW US Equity</stp>
        <stp>FREE_CASH_FLOW_MARGIN</stp>
        <stp>FPR=2021Y</stp>
        <stp>FPT=A</stp>
        <stp>FA_ACT_EST_DATA=E, EST_SOURCE=BAM</stp>
        <stp>ACT_EST_MAPPING=PRECISE</stp>
        <stp>FS=MRC</stp>
        <stp>CURRENCY=USD</stp>
        <stp>XLFILL=b</stp>
        <tr r="AD236" s="2"/>
      </tp>
      <tp t="s">
        <v>#N/A Requesting Data...</v>
        <stp/>
        <stp>##V3_BQLV12</stp>
        <stp>[MODL_NOW_US1.xlsx]Single Period!R236C20</stp>
        <stp>NOW US Equity</stp>
        <stp>FREE_CASH_FLOW_MARGIN</stp>
        <stp>FPR=2021Y</stp>
        <stp>FPT=A</stp>
        <stp>FA_ACT_EST_DATA=E, EST_SOURCE=CAN</stp>
        <stp>ACT_EST_MAPPING=PRECISE</stp>
        <stp>FS=MRC</stp>
        <stp>CURRENCY=USD</stp>
        <stp>XLFILL=b</stp>
        <tr r="T236" s="2"/>
      </tp>
      <tp t="s">
        <v>#N/A Requesting Data...</v>
        <stp/>
        <stp>##V3_BQLV12</stp>
        <stp>[MODL_NOW_US1.xlsx]Single Period!R117C19</stp>
        <stp>NOW US Equity</stp>
        <stp>IS_TOT_OPER_EXP/1M</stp>
        <stp>FPR=2021Y</stp>
        <stp>FPT=A</stp>
        <stp>FA_ACT_EST_DATA=E, EST_SOURCE=MSV</stp>
        <stp>ACT_EST_MAPPING=PRECISE</stp>
        <stp>FS=MRC</stp>
        <stp>CURRENCY=USD</stp>
        <stp>XLFILL=b</stp>
        <tr r="S117" s="2"/>
      </tp>
      <tp t="s">
        <v>#N/A Requesting Data...</v>
        <stp/>
        <stp>##V3_BQLV12</stp>
        <stp>[MODL_NOW_US1.xlsx]Single Period!R199C43</stp>
        <stp>NOW US Equity</stp>
        <stp>IS_COMP_NET_INCOME_GAAP/1M</stp>
        <stp>FPR=2021Y</stp>
        <stp>FPT=A</stp>
        <stp>FA_ACT_EST_DATA=E, EST_SOURCE=WFT</stp>
        <stp>ACT_EST_MAPPING=PRECISE</stp>
        <stp>FS=MRC</stp>
        <stp>CURRENCY=USD</stp>
        <stp>XLFILL=b</stp>
        <tr r="AQ199" s="2"/>
      </tp>
      <tp t="s">
        <v>#N/A Requesting Data...</v>
        <stp/>
        <stp>##V3_BQLV12</stp>
        <stp>[MODL_NOW_US1.xlsx]Single Period!R130C43</stp>
        <stp>NOW US Equity</stp>
        <stp>IS_COMP_NET_INCOME_GAAP/1M</stp>
        <stp>FPR=2021Y</stp>
        <stp>FPT=A</stp>
        <stp>FA_ACT_EST_DATA=E, EST_SOURCE=WFT</stp>
        <stp>ACT_EST_MAPPING=PRECISE</stp>
        <stp>FS=MRC</stp>
        <stp>CURRENCY=USD</stp>
        <stp>XLFILL=b</stp>
        <tr r="AQ130" s="2"/>
      </tp>
      <tp t="s">
        <v>#N/A Requesting Data...</v>
        <stp/>
        <stp>##V3_BQLV12</stp>
        <stp>[MODL_NOW_US1.xlsx]Single Period!R9C5</stp>
        <stp>NOW US Equity</stp>
        <stp>IS_BILLINGS/1M</stp>
        <stp>FPR=2021Y</stp>
        <stp>FPT=A</stp>
        <stp>FA_ACT_EST_DATA=E</stp>
        <stp>ACT_EST_MAPPING=PRECISE</stp>
        <stp>FS=MRC</stp>
        <stp>CURRENCY=USD</stp>
        <stp>XLFILL=b</stp>
        <tr r="E9" s="2"/>
      </tp>
      <tp t="s">
        <v>#N/A Requesting Data...</v>
        <stp/>
        <stp>##V3_BQLV12</stp>
        <stp>[MODL_NOW_US1.xlsx]Single Period!R236C33</stp>
        <stp>NOW US Equity</stp>
        <stp>FREE_CASH_FLOW_MARGIN</stp>
        <stp>FPR=2021Y</stp>
        <stp>FPT=A</stp>
        <stp>FA_ACT_EST_DATA=E, EST_SOURCE=MAC</stp>
        <stp>ACT_EST_MAPPING=PRECISE</stp>
        <stp>FS=MRC</stp>
        <stp>CURRENCY=USD</stp>
        <stp>XLFILL=b</stp>
        <tr r="AG236" s="2"/>
      </tp>
      <tp t="s">
        <v>#N/A Requesting Data...</v>
        <stp/>
        <stp>##V3_BQLV12</stp>
        <stp>[MODL_NOW_US1.xlsx]Single Period!R117C35</stp>
        <stp>NOW US Equity</stp>
        <stp>IS_TOT_OPER_EXP/1M</stp>
        <stp>FPR=2021Y</stp>
        <stp>FPT=A</stp>
        <stp>FA_ACT_EST_DATA=E, EST_SOURCE=MSR</stp>
        <stp>ACT_EST_MAPPING=PRECISE</stp>
        <stp>FS=MRC</stp>
        <stp>CURRENCY=USD</stp>
        <stp>XLFILL=b</stp>
        <tr r="AI117" s="2"/>
      </tp>
      <tp t="s">
        <v>#N/A Requesting Data...</v>
        <stp/>
        <stp>##V3_BQLV12</stp>
        <stp>[MODL_NOW_US1.xlsx]Single Period!R181C15</stp>
        <stp>NOW US Equity</stp>
        <stp>BS_LONG_TERM_BORROWINGS/1M</stp>
        <stp>FPR=2021Y</stp>
        <stp>FPT=A</stp>
        <stp>FA_ACT_EST_DATA=E, EST_SOURCE=OPY</stp>
        <stp>ACT_EST_MAPPING=PRECISE</stp>
        <stp>FS=MRC</stp>
        <stp>CURRENCY=USD</stp>
        <stp>XLFILL=b</stp>
        <tr r="O181" s="2"/>
      </tp>
      <tp t="s">
        <v>#N/A Requesting Data...</v>
        <stp/>
        <stp>##V3_BQLV12</stp>
        <stp>[MODL_NOW_US1.xlsx]Single Period!R117C31</stp>
        <stp>NOW US Equity</stp>
        <stp>IS_TOT_OPER_EXP/1M</stp>
        <stp>FPR=2021Y</stp>
        <stp>FPT=A</stp>
        <stp>FA_ACT_EST_DATA=E, EST_SOURCE=GSR</stp>
        <stp>ACT_EST_MAPPING=PRECISE</stp>
        <stp>FS=MRC</stp>
        <stp>CURRENCY=USD</stp>
        <stp>XLFILL=b</stp>
        <tr r="AE117" s="2"/>
      </tp>
      <tp t="s">
        <v>#N/A Requesting Data...</v>
        <stp/>
        <stp>##V3_BQLV12</stp>
        <stp>[MODL_NOW_US1.xlsx]Single Period!R63C12</stp>
        <stp>SEG0000230975 Segment</stp>
        <stp>CB_IS_GROSS_PROFIT/1M</stp>
        <stp>FPR=2021Y</stp>
        <stp>FPT=A</stp>
        <stp>FA_ACT_EST_DATA=E, EST_SOURCE=WBL</stp>
        <stp>ACT_EST_MAPPING=PRECISE</stp>
        <stp>FS=MRC</stp>
        <stp>CURRENCY=USD</stp>
        <stp>XLFILL=b</stp>
        <tr r="L63" s="2"/>
      </tp>
      <tp t="s">
        <v>#N/A Requesting Data...</v>
        <stp/>
        <stp>##V3_BQLV12</stp>
        <stp>[MODL_NOW_US1.xlsx]Single Period!R107C16</stp>
        <stp>NOW US Equity</stp>
        <stp>CB_IS_ADJ_DILUTED_AVG_SHS/1M</stp>
        <stp>FPR=2021Y</stp>
        <stp>FPT=A</stp>
        <stp>FA_ACT_EST_DATA=E, EST_SOURCE=BCA</stp>
        <stp>ACT_EST_MAPPING=PRECISE</stp>
        <stp>FS=MRC</stp>
        <stp>CURRENCY=USD</stp>
        <stp>XLFILL=b</stp>
        <tr r="P107" s="2"/>
      </tp>
      <tp t="s">
        <v>#N/A Requesting Data...</v>
        <stp/>
        <stp>##V3_BQLV12</stp>
        <stp>[MODL_NOW_US1.xlsx]Single Period!R218C24</stp>
        <stp>NOW US Equity</stp>
        <stp>CF_ACQUISITION_OF_INTANG_ASSETS/1M</stp>
        <stp>FPR=2021Y</stp>
        <stp>FPT=A</stp>
        <stp>FA_ACT_EST_DATA=E, EST_SOURCE=CWN</stp>
        <stp>ACT_EST_MAPPING=PRECISE</stp>
        <stp>FS=MRC</stp>
        <stp>CURRENCY=USD</stp>
        <stp>XLFILL=b</stp>
        <tr r="X218" s="2"/>
      </tp>
      <tp t="s">
        <v>#N/A Requesting Data...</v>
        <stp/>
        <stp>##V3_BQLV12</stp>
        <stp>[MODL_NOW_US1.xlsx]Single Period!R225C34</stp>
        <stp>NOW US Equity</stp>
        <stp>CF_INCR_CAP_STOCK/1M</stp>
        <stp>FPR=2021Y</stp>
        <stp>FPT=A</stp>
        <stp>FA_ACT_EST_DATA=E, EST_SOURCE=PSG</stp>
        <stp>ACT_EST_MAPPING=PRECISE</stp>
        <stp>FS=MRC</stp>
        <stp>CURRENCY=USD</stp>
        <stp>XLFILL=b</stp>
        <tr r="AH225" s="2"/>
      </tp>
      <tp t="s">
        <v>#N/A Requesting Data...</v>
        <stp/>
        <stp>##V3_BQLV12</stp>
        <stp>[MODL_NOW_US1.xlsx]Single Period!R218C40</stp>
        <stp>NOW US Equity</stp>
        <stp>CF_ACQUISITION_OF_INTANG_ASSETS/1M</stp>
        <stp>FPR=2021Y</stp>
        <stp>FPT=A</stp>
        <stp>FA_ACT_EST_DATA=E, EST_SOURCE=DWI</stp>
        <stp>ACT_EST_MAPPING=PRECISE</stp>
        <stp>FS=MRC</stp>
        <stp>CURRENCY=USD</stp>
        <stp>XLFILL=b</stp>
        <tr r="AN218" s="2"/>
      </tp>
      <tp t="s">
        <v>#N/A Requesting Data...</v>
        <stp/>
        <stp>##V3_BQLV12</stp>
        <stp>[MODL_NOW_US1.xlsx]Single Period!R107C27</stp>
        <stp>NOW US Equity</stp>
        <stp>CB_IS_ADJ_DILUTED_AVG_SHS/1M</stp>
        <stp>FPR=2021Y</stp>
        <stp>FPT=A</stp>
        <stp>FA_ACT_EST_DATA=E, EST_SOURCE=RBC</stp>
        <stp>ACT_EST_MAPPING=PRECISE</stp>
        <stp>FS=MRC</stp>
        <stp>CURRENCY=USD</stp>
        <stp>XLFILL=b</stp>
        <tr r="AA107" s="2"/>
      </tp>
      <tp t="s">
        <v>#N/A Requesting Data...</v>
        <stp/>
        <stp>##V3_BQLV12</stp>
        <stp>[MODL_NOW_US1.xlsx]Single Period!R148C24</stp>
        <stp>NOW US Equity</stp>
        <stp>IS_AMORT_ACQD_INTANGIBLES_R_AND_D/1M</stp>
        <stp>FPR=2021Y</stp>
        <stp>FPT=A</stp>
        <stp>FA_ACT_EST_DATA=E, EST_SOURCE=CWN</stp>
        <stp>ACT_EST_MAPPING=PRECISE</stp>
        <stp>FS=MRC</stp>
        <stp>CURRENCY=USD</stp>
        <stp>XLFILL=b</stp>
        <tr r="X148" s="2"/>
      </tp>
      <tp t="s">
        <v>#N/A Requesting Data...</v>
        <stp/>
        <stp>##V3_BQLV12</stp>
        <stp>[MODL_NOW_US1.xlsx]Single Period!R63C25</stp>
        <stp>SEG0000230975 Segment</stp>
        <stp>CB_IS_GROSS_PROFIT/1M</stp>
        <stp>FPR=2021Y</stp>
        <stp>FPT=A</stp>
        <stp>FA_ACT_EST_DATA=E, EST_SOURCE=DBG</stp>
        <stp>ACT_EST_MAPPING=PRECISE</stp>
        <stp>FS=MRC</stp>
        <stp>CURRENCY=USD</stp>
        <stp>XLFILL=b</stp>
        <tr r="Y63" s="2"/>
      </tp>
      <tp t="s">
        <v>#N/A Requesting Data...</v>
        <stp/>
        <stp>##V3_BQLV12</stp>
        <stp>[MODL_NOW_US1.xlsx]Single Period!R148C39</stp>
        <stp>NOW US Equity</stp>
        <stp>IS_AMORT_ACQD_INTANGIBLES_R_AND_D/1M</stp>
        <stp>FPR=2021Y</stp>
        <stp>FPT=A</stp>
        <stp>FA_ACT_EST_DATA=E, EST_SOURCE=DZB</stp>
        <stp>ACT_EST_MAPPING=PRECISE</stp>
        <stp>FS=MRC</stp>
        <stp>CURRENCY=USD</stp>
        <stp>XLFILL=b</stp>
        <tr r="AM148" s="2"/>
      </tp>
      <tp t="s">
        <v>#N/A Requesting Data...</v>
        <stp/>
        <stp>##V3_BQLV12</stp>
        <stp>[MODL_NOW_US1.xlsx]Single Period!R148C37</stp>
        <stp>NOW US Equity</stp>
        <stp>IS_AMORT_ACQD_INTANGIBLES_R_AND_D/1M</stp>
        <stp>FPR=2021Y</stp>
        <stp>FPT=A</stp>
        <stp>FA_ACT_EST_DATA=E, EST_SOURCE=TTC</stp>
        <stp>ACT_EST_MAPPING=PRECISE</stp>
        <stp>FS=MRC</stp>
        <stp>CURRENCY=USD</stp>
        <stp>XLFILL=b</stp>
        <tr r="AK148" s="2"/>
      </tp>
      <tp t="s">
        <v>#N/A Requesting Data...</v>
        <stp/>
        <stp>##V3_BQLV12</stp>
        <stp>[MODL_NOW_US1.xlsx]Single Period!R225C40</stp>
        <stp>NOW US Equity</stp>
        <stp>CF_INCR_CAP_STOCK/1M</stp>
        <stp>FPR=2021Y</stp>
        <stp>FPT=A</stp>
        <stp>FA_ACT_EST_DATA=E, EST_SOURCE=DWI</stp>
        <stp>ACT_EST_MAPPING=PRECISE</stp>
        <stp>FS=MRC</stp>
        <stp>CURRENCY=USD</stp>
        <stp>XLFILL=b</stp>
        <tr r="AN225" s="2"/>
      </tp>
      <tp t="s">
        <v>#N/A Requesting Data...</v>
        <stp/>
        <stp>##V3_BQLV12</stp>
        <stp>[MODL_NOW_US1.xlsx]Single Period!R155C37</stp>
        <stp>NOW US Equity</stp>
        <stp>BS_CASH_CASH_EQUIVALENTS_AND_STI/1M</stp>
        <stp>FPR=2021Y</stp>
        <stp>FPT=A</stp>
        <stp>FA_ACT_EST_DATA=E, EST_SOURCE=TTC</stp>
        <stp>ACT_EST_MAPPING=PRECISE</stp>
        <stp>FS=MRC</stp>
        <stp>CURRENCY=USD</stp>
        <stp>XLFILL=b</stp>
        <tr r="AK155" s="2"/>
      </tp>
      <tp t="s">
        <v>#N/A Requesting Data...</v>
        <stp/>
        <stp>##V3_BQLV12</stp>
        <stp>[MODL_NOW_US1.xlsx]Single Period!R63C32</stp>
        <stp>SEG0000230975 Segment</stp>
        <stp>CB_IS_GROSS_PROFIT/1M</stp>
        <stp>FPR=2021Y</stp>
        <stp>FPT=A</stp>
        <stp>FA_ACT_EST_DATA=E, EST_SOURCE=FBC</stp>
        <stp>ACT_EST_MAPPING=PRECISE</stp>
        <stp>FS=MRC</stp>
        <stp>CURRENCY=USD</stp>
        <stp>XLFILL=b</stp>
        <tr r="AF63" s="2"/>
      </tp>
      <tp t="s">
        <v>#N/A Requesting Data...</v>
        <stp/>
        <stp>##V3_BQLV12</stp>
        <stp>[MODL_NOW_US1.xlsx]Single Period!R63C27</stp>
        <stp>SEG0000230975 Segment</stp>
        <stp>CB_IS_GROSS_PROFIT/1M</stp>
        <stp>FPR=2021Y</stp>
        <stp>FPT=A</stp>
        <stp>FA_ACT_EST_DATA=E, EST_SOURCE=RBC</stp>
        <stp>ACT_EST_MAPPING=PRECISE</stp>
        <stp>FS=MRC</stp>
        <stp>CURRENCY=USD</stp>
        <stp>XLFILL=b</stp>
        <tr r="AA63" s="2"/>
      </tp>
      <tp t="s">
        <v>#N/A Requesting Data...</v>
        <stp/>
        <stp>##V3_BQLV12</stp>
        <stp>[MODL_NOW_US1.xlsx]Single Period!R218C38</stp>
        <stp>NOW US Equity</stp>
        <stp>CF_ACQUISITION_OF_INTANG_ASSETS/1M</stp>
        <stp>FPR=2021Y</stp>
        <stp>FPT=A</stp>
        <stp>FA_ACT_EST_DATA=E, EST_SOURCE=RWB</stp>
        <stp>ACT_EST_MAPPING=PRECISE</stp>
        <stp>FS=MRC</stp>
        <stp>CURRENCY=USD</stp>
        <stp>XLFILL=b</stp>
        <tr r="AL218" s="2"/>
      </tp>
      <tp t="s">
        <v>#N/A Requesting Data...</v>
        <stp/>
        <stp>##V3_BQLV12</stp>
        <stp>[MODL_NOW_US1.xlsx]Single Period!R148C41</stp>
        <stp>NOW US Equity</stp>
        <stp>IS_AMORT_ACQD_INTANGIBLES_R_AND_D/1M</stp>
        <stp>FPR=2021Y</stp>
        <stp>FPT=A</stp>
        <stp>FA_ACT_EST_DATA=E, EST_SOURCE=ARG</stp>
        <stp>ACT_EST_MAPPING=PRECISE</stp>
        <stp>FS=MRC</stp>
        <stp>CURRENCY=USD</stp>
        <stp>XLFILL=b</stp>
        <tr r="AO148" s="2"/>
      </tp>
      <tp t="s">
        <v>#N/A Requesting Data...</v>
        <stp/>
        <stp>##V3_BQLV12</stp>
        <stp>[MODL_NOW_US1.xlsx]Single Period!R177C33</stp>
        <stp>NOW US Equity</stp>
        <stp>BS_ST_CPTL_LEA_AND_OP_LEA_LIABS/1M</stp>
        <stp>FPR=2021Y</stp>
        <stp>FPT=A</stp>
        <stp>FA_ACT_EST_DATA=E, EST_SOURCE=MAC</stp>
        <stp>ACT_EST_MAPPING=PRECISE</stp>
        <stp>FS=MRC</stp>
        <stp>CURRENCY=USD</stp>
        <stp>XLFILL=b</stp>
        <tr r="AG177" s="2"/>
      </tp>
      <tp t="s">
        <v>#N/A Requesting Data...</v>
        <stp/>
        <stp>##V3_BQLV12</stp>
        <stp>[MODL_NOW_US1.xlsx]Single Period!R107C43</stp>
        <stp>NOW US Equity</stp>
        <stp>CB_IS_ADJ_DILUTED_AVG_SHS/1M</stp>
        <stp>FPR=2021Y</stp>
        <stp>FPT=A</stp>
        <stp>FA_ACT_EST_DATA=E, EST_SOURCE=WFT</stp>
        <stp>ACT_EST_MAPPING=PRECISE</stp>
        <stp>FS=MRC</stp>
        <stp>CURRENCY=USD</stp>
        <stp>XLFILL=b</stp>
        <tr r="AQ107" s="2"/>
      </tp>
      <tp t="s">
        <v>#N/A Requesting Data...</v>
        <stp/>
        <stp>##V3_BQLV12</stp>
        <stp>[MODL_NOW_US1.xlsx]Single Period!R177C20</stp>
        <stp>NOW US Equity</stp>
        <stp>BS_ST_CPTL_LEA_AND_OP_LEA_LIABS/1M</stp>
        <stp>FPR=2021Y</stp>
        <stp>FPT=A</stp>
        <stp>FA_ACT_EST_DATA=E, EST_SOURCE=CAN</stp>
        <stp>ACT_EST_MAPPING=PRECISE</stp>
        <stp>FS=MRC</stp>
        <stp>CURRENCY=USD</stp>
        <stp>XLFILL=b</stp>
        <tr r="T177" s="2"/>
      </tp>
      <tp t="s">
        <v>#N/A Requesting Data...</v>
        <stp/>
        <stp>##V3_BQLV12</stp>
        <stp>[MODL_NOW_US1.xlsx]Single Period!R227C46</stp>
        <stp>NOW US Equity</stp>
        <stp>CF_NET_CSH_PROV_BY_FINANCING_ACT/1M</stp>
        <stp>FPR=2021Y</stp>
        <stp>FPT=A</stp>
        <stp>FA_ACT_EST_DATA=E, EST_SOURCE=MZS</stp>
        <stp>ACT_EST_MAPPING=PRECISE</stp>
        <stp>FS=MRC</stp>
        <stp>CURRENCY=USD</stp>
        <stp>XLFILL=b</stp>
        <tr r="AT227" s="2"/>
      </tp>
      <tp t="s">
        <v>#N/A Requesting Data...</v>
        <stp/>
        <stp>##V3_BQLV12</stp>
        <stp>[MODL_NOW_US1.xlsx]Single Period!R177C30</stp>
        <stp>NOW US Equity</stp>
        <stp>BS_ST_CPTL_LEA_AND_OP_LEA_LIABS/1M</stp>
        <stp>FPR=2021Y</stp>
        <stp>FPT=A</stp>
        <stp>FA_ACT_EST_DATA=E, EST_SOURCE=BAM</stp>
        <stp>ACT_EST_MAPPING=PRECISE</stp>
        <stp>FS=MRC</stp>
        <stp>CURRENCY=USD</stp>
        <stp>XLFILL=b</stp>
        <tr r="AD177" s="2"/>
      </tp>
      <tp t="s">
        <v>#N/A Requesting Data...</v>
        <stp/>
        <stp>##V3_BQLV12</stp>
        <stp>[MODL_NOW_US1.xlsx]Single Period!R175C36</stp>
        <stp>NOW US Equity</stp>
        <stp>BS_ACCRUD_EXPNSS_AND_OTHR/1M</stp>
        <stp>FPR=2021Y</stp>
        <stp>FPT=A</stp>
        <stp>FA_ACT_EST_DATA=E, EST_SOURCE=JEF</stp>
        <stp>ACT_EST_MAPPING=PRECISE</stp>
        <stp>FS=MRC</stp>
        <stp>CURRENCY=USD</stp>
        <stp>XLFILL=b</stp>
        <tr r="AJ175" s="2"/>
      </tp>
      <tp t="s">
        <v>#N/A Requesting Data...</v>
        <stp/>
        <stp>##V3_BQLV12</stp>
        <stp>[MODL_NOW_US1.xlsx]Single Period!R202C49</stp>
        <stp>NOW US Equity</stp>
        <stp>CF_AMORTIZATN_OF_DEFRRD_COMPNSTN/1M</stp>
        <stp>FPR=2021Y</stp>
        <stp>FPT=A</stp>
        <stp>FA_ACT_EST_DATA=E, EST_SOURCE=SCB</stp>
        <stp>ACT_EST_MAPPING=PRECISE</stp>
        <stp>FS=MRC</stp>
        <stp>CURRENCY=USD</stp>
        <stp>XLFILL=b</stp>
        <tr r="AW202" s="2"/>
      </tp>
      <tp t="s">
        <v>#N/A Requesting Data...</v>
        <stp/>
        <stp>##V3_BQLV12</stp>
        <stp>[MODL_NOW_US1.xlsx]Single Period!R63C26</stp>
        <stp>SEG0000230975 Segment</stp>
        <stp>CB_IS_GROSS_PROFIT/1M</stp>
        <stp>FPR=2021Y</stp>
        <stp>FPT=A</stp>
        <stp>FA_ACT_EST_DATA=E, EST_SOURCE=UBS</stp>
        <stp>ACT_EST_MAPPING=PRECISE</stp>
        <stp>FS=MRC</stp>
        <stp>CURRENCY=USD</stp>
        <stp>XLFILL=b</stp>
        <tr r="Z63" s="2"/>
      </tp>
      <tp t="s">
        <v>#N/A Requesting Data...</v>
        <stp/>
        <stp>##V3_BQLV12</stp>
        <stp>[MODL_NOW_US1.xlsx]Single Period!R121C26</stp>
        <stp>NOW US Equity</stp>
        <stp>CB_IS_GENL_AND_ADMIN_EXPN/1M</stp>
        <stp>FPR=2021Y</stp>
        <stp>FPT=A</stp>
        <stp>FA_ACT_EST_DATA=E, EST_SOURCE=UBS</stp>
        <stp>ACT_EST_MAPPING=PRECISE</stp>
        <stp>FS=MRC</stp>
        <stp>CURRENCY=USD</stp>
        <stp>XLFILL=b</stp>
        <tr r="Z121" s="2"/>
      </tp>
      <tp t="s">
        <v>#N/A Requesting Data...</v>
        <stp/>
        <stp>##V3_BQLV12</stp>
        <stp>[MODL_NOW_US1.xlsx]Single Period!R116C26</stp>
        <stp>NOW US Equity</stp>
        <stp>GROSS_MARGIN</stp>
        <stp>FPR=2021Y</stp>
        <stp>FPT=A</stp>
        <stp>FA_ACT_EST_DATA=E, EST_SOURCE=UBS</stp>
        <stp>ACT_EST_MAPPING=PRECISE</stp>
        <stp>FS=MRC</stp>
        <stp>CURRENCY=USD</stp>
        <stp>XLFILL=b</stp>
        <tr r="Z116" s="2"/>
      </tp>
      <tp t="s">
        <v>#N/A Requesting Data...</v>
        <stp/>
        <stp>##V3_BQLV12</stp>
        <stp>[MODL_NOW_US1.xlsx]Single Period!R239C35</stp>
        <stp>NOW US Equity</stp>
        <stp>CFO_TO_SALES</stp>
        <stp>FPR=2021Y</stp>
        <stp>FPT=A</stp>
        <stp>FA_ACT_EST_DATA=E, EST_SOURCE=MSR</stp>
        <stp>ACT_EST_MAPPING=PRECISE</stp>
        <stp>FS=MRC</stp>
        <stp>CURRENCY=USD</stp>
        <stp>XLFILL=b</stp>
        <tr r="AI239" s="2"/>
      </tp>
      <tp t="s">
        <v>#N/A Requesting Data...</v>
        <stp/>
        <stp>##V3_BQLV12</stp>
        <stp>[MODL_NOW_US1.xlsx]Single Period!R129C33</stp>
        <stp>NOW US Equity</stp>
        <stp>EFF_TAX_RATE</stp>
        <stp>FPR=2021Y</stp>
        <stp>FPT=A</stp>
        <stp>FA_ACT_EST_DATA=E, EST_SOURCE=MAC</stp>
        <stp>ACT_EST_MAPPING=PRECISE</stp>
        <stp>FS=MRC</stp>
        <stp>CURRENCY=USD</stp>
        <stp>XLFILL=b</stp>
        <tr r="AG129" s="2"/>
      </tp>
      <tp t="s">
        <v>#N/A Requesting Data...</v>
        <stp/>
        <stp>##V3_BQLV12</stp>
        <stp>[MODL_NOW_US1.xlsx]Single Period!R239C44</stp>
        <stp>NOW US Equity</stp>
        <stp>CFO_TO_SALES</stp>
        <stp>FPR=2021Y</stp>
        <stp>FPT=A</stp>
        <stp>FA_ACT_EST_DATA=E, EST_SOURCE=ARE</stp>
        <stp>ACT_EST_MAPPING=PRECISE</stp>
        <stp>FS=MRC</stp>
        <stp>CURRENCY=USD</stp>
        <stp>XLFILL=b</stp>
        <tr r="AR239" s="2"/>
      </tp>
      <tp t="s">
        <v>#N/A Requesting Data...</v>
        <stp/>
        <stp>##V3_BQLV12</stp>
        <stp>[MODL_NOW_US1.xlsx]Single Period!R239C42</stp>
        <stp>NOW US Equity</stp>
        <stp>CFO_TO_SALES</stp>
        <stp>FPR=2021Y</stp>
        <stp>FPT=A</stp>
        <stp>FA_ACT_EST_DATA=E, EST_SOURCE=CTI</stp>
        <stp>ACT_EST_MAPPING=PRECISE</stp>
        <stp>FS=MRC</stp>
        <stp>CURRENCY=USD</stp>
        <stp>XLFILL=b</stp>
        <tr r="AP239" s="2"/>
      </tp>
      <tp t="s">
        <v>#N/A Requesting Data...</v>
        <stp/>
        <stp>##V3_BQLV12</stp>
        <stp>[MODL_NOW_US1.xlsx]Single Period!R163C26</stp>
        <stp>NOW US Equity</stp>
        <stp>CB_BS_PP_AND_E_NET/1M</stp>
        <stp>FPR=2021Y</stp>
        <stp>FPT=A</stp>
        <stp>FA_ACT_EST_DATA=E, EST_SOURCE=UBS</stp>
        <stp>ACT_EST_MAPPING=PRECISE</stp>
        <stp>FS=MRC</stp>
        <stp>CURRENCY=USD</stp>
        <stp>XLFILL=b</stp>
        <tr r="Z163" s="2"/>
      </tp>
      <tp t="s">
        <v>#N/A Requesting Data...</v>
        <stp/>
        <stp>##V3_BQLV12</stp>
        <stp>[MODL_NOW_US1.xlsx]Single Period!R127C26</stp>
        <stp>NOW US Equity</stp>
        <stp>PRETAX_INC/1M</stp>
        <stp>FPR=2021Y</stp>
        <stp>FPT=A</stp>
        <stp>FA_ACT_EST_DATA=E, EST_SOURCE=UBS</stp>
        <stp>ACT_EST_MAPPING=PRECISE</stp>
        <stp>FS=MRC</stp>
        <stp>CURRENCY=USD</stp>
        <stp>XLFILL=b</stp>
        <tr r="Z127" s="2"/>
      </tp>
      <tp t="s">
        <v>#N/A Requesting Data...</v>
        <stp/>
        <stp>##V3_BQLV12</stp>
        <stp>[MODL_NOW_US1.xlsx]Single Period!R157C29</stp>
        <stp>NOW US Equity</stp>
        <stp>BS_MKT_SEC_OTHER_ST_INVEST/1M</stp>
        <stp>FPR=2021Y</stp>
        <stp>FPT=A</stp>
        <stp>FA_ACT_EST_DATA=E, EST_SOURCE=BNS</stp>
        <stp>ACT_EST_MAPPING=PRECISE</stp>
        <stp>FS=MRC</stp>
        <stp>CURRENCY=USD</stp>
        <stp>XLFILL=b</stp>
        <tr r="AC157" s="2"/>
      </tp>
      <tp t="s">
        <v>#N/A Requesting Data...</v>
        <stp/>
        <stp>##V3_BQLV12</stp>
        <stp>[MODL_NOW_US1.xlsx]Single Period!R157C18</stp>
        <stp>NOW US Equity</stp>
        <stp>BS_MKT_SEC_OTHER_ST_INVEST/1M</stp>
        <stp>FPR=2021Y</stp>
        <stp>FPT=A</stp>
        <stp>FA_ACT_EST_DATA=E, EST_SOURCE=SNR</stp>
        <stp>ACT_EST_MAPPING=PRECISE</stp>
        <stp>FS=MRC</stp>
        <stp>CURRENCY=USD</stp>
        <stp>XLFILL=b</stp>
        <tr r="R157" s="2"/>
      </tp>
      <tp t="s">
        <v>#N/A Requesting Data...</v>
        <stp/>
        <stp>##V3_BQLV12</stp>
        <stp>[MODL_NOW_US1.xlsx]Single Period!R91C48</stp>
        <stp>NOW US Equity</stp>
        <stp>ADJ_R_AND_D_TO_SALES</stp>
        <stp>FPR=2021Y</stp>
        <stp>FPT=A</stp>
        <stp>FA_ACT_EST_DATA=E, EST_SOURCE=CRC</stp>
        <stp>ACT_EST_MAPPING=PRECISE</stp>
        <stp>FS=MRC</stp>
        <stp>CURRENCY=USD</stp>
        <stp>XLFILL=b</stp>
        <tr r="AV91" s="2"/>
      </tp>
      <tp t="s">
        <v>#N/A Requesting Data...</v>
        <stp/>
        <stp>##V3_BQLV12</stp>
        <stp>[MODL_NOW_US1.xlsx]Single Period!R166C39</stp>
        <stp>NOW US Equity</stp>
        <stp>BS_OTHER_INTANGIBLE_ASSETS/1M</stp>
        <stp>FPR=2021Y</stp>
        <stp>FPT=A</stp>
        <stp>FA_ACT_EST_DATA=E, EST_SOURCE=DZB</stp>
        <stp>ACT_EST_MAPPING=PRECISE</stp>
        <stp>FS=MRC</stp>
        <stp>CURRENCY=USD</stp>
        <stp>XLFILL=b</stp>
        <tr r="AM166" s="2"/>
      </tp>
      <tp t="s">
        <v>#N/A Requesting Data...</v>
        <stp/>
        <stp>##V3_BQLV12</stp>
        <stp>[MODL_NOW_US1.xlsx]Single Period!R164C13</stp>
        <stp>NOW US Equity</stp>
        <stp>CB_BS_PP_AND_E_NET/1M</stp>
        <stp>FPR=2021Y</stp>
        <stp>FPT=A</stp>
        <stp>FA_ACT_EST_DATA=E, EST_SOURCE=KEY</stp>
        <stp>ACT_EST_MAPPING=PRECISE</stp>
        <stp>FS=MRC</stp>
        <stp>CURRENCY=USD</stp>
        <stp>XLFILL=b</stp>
        <tr r="M164" s="2"/>
      </tp>
      <tp t="s">
        <v>#N/A Requesting Data...</v>
        <stp/>
        <stp>##V3_BQLV12</stp>
        <stp>[MODL_NOW_US1.xlsx]Single Period!R111C11</stp>
        <stp>NOW US Equity</stp>
        <stp>IS_COGS_TO_FE_AND_PP_AND_G/1M</stp>
        <stp>FPR=2021Y</stp>
        <stp>FPT=A</stp>
        <stp>FA_ACT_EST_DATA=E, EST_SOURCE=JPM</stp>
        <stp>ACT_EST_MAPPING=PRECISE</stp>
        <stp>FS=MRC</stp>
        <stp>CURRENCY=USD</stp>
        <stp>XLFILL=b</stp>
        <tr r="K111" s="2"/>
      </tp>
      <tp t="s">
        <v>#N/A Requesting Data...</v>
        <stp/>
        <stp>##V3_BQLV12</stp>
        <stp>[MODL_NOW_US1.xlsx]Single Period!R185C5</stp>
        <stp>NOW US Equity</stp>
        <stp>BS_TOT_ASSET/1M</stp>
        <stp>FPR=2021Y</stp>
        <stp>FPT=A</stp>
        <stp>FA_ACT_EST_DATA=E</stp>
        <stp>ACT_EST_MAPPING=PRECISE</stp>
        <stp>FS=MRC</stp>
        <stp>CURRENCY=USD</stp>
        <stp>XLFILL=b</stp>
        <tr r="E185" s="2"/>
      </tp>
      <tp t="s">
        <v>#N/A Requesting Data...</v>
        <stp/>
        <stp>##V3_BQLV12</stp>
        <stp>[MODL_NOW_US1.xlsx]Single Period!R170C5</stp>
        <stp>NOW US Equity</stp>
        <stp>BS_TOT_ASSET/1M</stp>
        <stp>FPR=2021Y</stp>
        <stp>FPT=A</stp>
        <stp>FA_ACT_EST_DATA=E</stp>
        <stp>ACT_EST_MAPPING=PRECISE</stp>
        <stp>FS=MRC</stp>
        <stp>CURRENCY=USD</stp>
        <stp>XLFILL=b</stp>
        <tr r="E170" s="2"/>
      </tp>
      <tp t="s">
        <v>#N/A Requesting Data...</v>
        <stp/>
        <stp>##V3_BQLV12</stp>
        <stp>[MODL_NOW_US1.xlsx]Single Period!R159C43</stp>
        <stp>NOW US Equity</stp>
        <stp>CB_BS_OTHER_CURRENT_ASSETS/1M</stp>
        <stp>FPR=2021Y</stp>
        <stp>FPT=A</stp>
        <stp>FA_ACT_EST_DATA=E, EST_SOURCE=WFT</stp>
        <stp>ACT_EST_MAPPING=PRECISE</stp>
        <stp>FS=MRC</stp>
        <stp>CURRENCY=USD</stp>
        <stp>XLFILL=b</stp>
        <tr r="AQ159" s="2"/>
      </tp>
      <tp t="s">
        <v>#N/A Requesting Data...</v>
        <stp/>
        <stp>##V3_BQLV12</stp>
        <stp>[MODL_NOW_US1.xlsx]Single Period!R96C33</stp>
        <stp>NOW US Equity</stp>
        <stp>ADJ_OPERATING_MARGIN</stp>
        <stp>FPR=2021Y</stp>
        <stp>FPT=A</stp>
        <stp>FA_ACT_EST_DATA=E, EST_SOURCE=MAC</stp>
        <stp>ACT_EST_MAPPING=PRECISE</stp>
        <stp>FS=MRC</stp>
        <stp>CURRENCY=USD</stp>
        <stp>XLFILL=b</stp>
        <tr r="AG96" s="2"/>
      </tp>
      <tp t="s">
        <v>#N/A Requesting Data...</v>
        <stp/>
        <stp>##V3_BQLV12</stp>
        <stp>[MODL_NOW_US1.xlsx]Single Period!R127C25</stp>
        <stp>NOW US Equity</stp>
        <stp>PRETAX_INC/1M</stp>
        <stp>FPR=2021Y</stp>
        <stp>FPT=A</stp>
        <stp>FA_ACT_EST_DATA=E, EST_SOURCE=DBG</stp>
        <stp>ACT_EST_MAPPING=PRECISE</stp>
        <stp>FS=MRC</stp>
        <stp>CURRENCY=USD</stp>
        <stp>XLFILL=b</stp>
        <tr r="Y127" s="2"/>
      </tp>
      <tp t="s">
        <v>#N/A Requesting Data...</v>
        <stp/>
        <stp>##V3_BQLV12</stp>
        <stp>[MODL_NOW_US1.xlsx]Single Period!R163C32</stp>
        <stp>NOW US Equity</stp>
        <stp>CB_BS_PP_AND_E_NET/1M</stp>
        <stp>FPR=2021Y</stp>
        <stp>FPT=A</stp>
        <stp>FA_ACT_EST_DATA=E, EST_SOURCE=FBC</stp>
        <stp>ACT_EST_MAPPING=PRECISE</stp>
        <stp>FS=MRC</stp>
        <stp>CURRENCY=USD</stp>
        <stp>XLFILL=b</stp>
        <tr r="AF163" s="2"/>
      </tp>
      <tp t="s">
        <v>#N/A Requesting Data...</v>
        <stp/>
        <stp>##V3_BQLV12</stp>
        <stp>[MODL_NOW_US1.xlsx]Single Period!R163C27</stp>
        <stp>NOW US Equity</stp>
        <stp>CB_BS_PP_AND_E_NET/1M</stp>
        <stp>FPR=2021Y</stp>
        <stp>FPT=A</stp>
        <stp>FA_ACT_EST_DATA=E, EST_SOURCE=RBC</stp>
        <stp>ACT_EST_MAPPING=PRECISE</stp>
        <stp>FS=MRC</stp>
        <stp>CURRENCY=USD</stp>
        <stp>XLFILL=b</stp>
        <tr r="AA163" s="2"/>
      </tp>
      <tp t="s">
        <v>#N/A Requesting Data...</v>
        <stp/>
        <stp>##V3_BQLV12</stp>
        <stp>[MODL_NOW_US1.xlsx]Single Period!R28C14</stp>
        <stp>NOW US Equity</stp>
        <stp>ADJ_OPERATING_MARGIN</stp>
        <stp>FPR=2021Y</stp>
        <stp>FPT=A</stp>
        <stp>FA_ACT_EST_DATA=E, EST_SOURCE=BMO</stp>
        <stp>ACT_EST_MAPPING=PRECISE</stp>
        <stp>FS=MRC</stp>
        <stp>CURRENCY=USD</stp>
        <stp>XLFILL=b</stp>
        <tr r="N28" s="2"/>
      </tp>
      <tp t="s">
        <v>#N/A Requesting Data...</v>
        <stp/>
        <stp>##V3_BQLV12</stp>
        <stp>[MODL_NOW_US1.xlsx]Single Period!R127C27</stp>
        <stp>NOW US Equity</stp>
        <stp>PRETAX_INC/1M</stp>
        <stp>FPR=2021Y</stp>
        <stp>FPT=A</stp>
        <stp>FA_ACT_EST_DATA=E, EST_SOURCE=RBC</stp>
        <stp>ACT_EST_MAPPING=PRECISE</stp>
        <stp>FS=MRC</stp>
        <stp>CURRENCY=USD</stp>
        <stp>XLFILL=b</stp>
        <tr r="AA127" s="2"/>
      </tp>
      <tp t="s">
        <v>#N/A Requesting Data...</v>
        <stp/>
        <stp>##V3_BQLV12</stp>
        <stp>[MODL_NOW_US1.xlsx]Single Period!R127C32</stp>
        <stp>NOW US Equity</stp>
        <stp>PRETAX_INC/1M</stp>
        <stp>FPR=2021Y</stp>
        <stp>FPT=A</stp>
        <stp>FA_ACT_EST_DATA=E, EST_SOURCE=FBC</stp>
        <stp>ACT_EST_MAPPING=PRECISE</stp>
        <stp>FS=MRC</stp>
        <stp>CURRENCY=USD</stp>
        <stp>XLFILL=b</stp>
        <tr r="AF127" s="2"/>
      </tp>
      <tp t="s">
        <v>#N/A Requesting Data...</v>
        <stp/>
        <stp>##V3_BQLV12</stp>
        <stp>[MODL_NOW_US1.xlsx]Single Period!R163C25</stp>
        <stp>NOW US Equity</stp>
        <stp>CB_BS_PP_AND_E_NET/1M</stp>
        <stp>FPR=2021Y</stp>
        <stp>FPT=A</stp>
        <stp>FA_ACT_EST_DATA=E, EST_SOURCE=DBG</stp>
        <stp>ACT_EST_MAPPING=PRECISE</stp>
        <stp>FS=MRC</stp>
        <stp>CURRENCY=USD</stp>
        <stp>XLFILL=b</stp>
        <tr r="Y163" s="2"/>
      </tp>
      <tp t="s">
        <v>#N/A Requesting Data...</v>
        <stp/>
        <stp>##V3_BQLV12</stp>
        <stp>[MODL_NOW_US1.xlsx]Single Period!R164C36</stp>
        <stp>NOW US Equity</stp>
        <stp>CB_BS_PP_AND_E_NET/1M</stp>
        <stp>FPR=2021Y</stp>
        <stp>FPT=A</stp>
        <stp>FA_ACT_EST_DATA=E, EST_SOURCE=JEF</stp>
        <stp>ACT_EST_MAPPING=PRECISE</stp>
        <stp>FS=MRC</stp>
        <stp>CURRENCY=USD</stp>
        <stp>XLFILL=b</stp>
        <tr r="AJ164" s="2"/>
      </tp>
      <tp t="s">
        <v>#N/A Requesting Data...</v>
        <stp/>
        <stp>##V3_BQLV12</stp>
        <stp>[MODL_NOW_US1.xlsx]Single Period!R111C15</stp>
        <stp>NOW US Equity</stp>
        <stp>IS_COGS_TO_FE_AND_PP_AND_G/1M</stp>
        <stp>FPR=2021Y</stp>
        <stp>FPT=A</stp>
        <stp>FA_ACT_EST_DATA=E, EST_SOURCE=OPY</stp>
        <stp>ACT_EST_MAPPING=PRECISE</stp>
        <stp>FS=MRC</stp>
        <stp>CURRENCY=USD</stp>
        <stp>XLFILL=b</stp>
        <tr r="O111" s="2"/>
      </tp>
      <tp t="s">
        <v>#N/A Requesting Data...</v>
        <stp/>
        <stp>##V3_BQLV12</stp>
        <stp>[MODL_NOW_US1.xlsx]Single Period!R127C12</stp>
        <stp>NOW US Equity</stp>
        <stp>PRETAX_INC/1M</stp>
        <stp>FPR=2021Y</stp>
        <stp>FPT=A</stp>
        <stp>FA_ACT_EST_DATA=E, EST_SOURCE=WBL</stp>
        <stp>ACT_EST_MAPPING=PRECISE</stp>
        <stp>FS=MRC</stp>
        <stp>CURRENCY=USD</stp>
        <stp>XLFILL=b</stp>
        <tr r="L127" s="2"/>
      </tp>
      <tp t="s">
        <v>#N/A Requesting Data...</v>
        <stp/>
        <stp>##V3_BQLV12</stp>
        <stp>[MODL_NOW_US1.xlsx]Single Period!R166C46</stp>
        <stp>NOW US Equity</stp>
        <stp>BS_OTHER_INTANGIBLE_ASSETS/1M</stp>
        <stp>FPR=2021Y</stp>
        <stp>FPT=A</stp>
        <stp>FA_ACT_EST_DATA=E, EST_SOURCE=MZS</stp>
        <stp>ACT_EST_MAPPING=PRECISE</stp>
        <stp>FS=MRC</stp>
        <stp>CURRENCY=USD</stp>
        <stp>XLFILL=b</stp>
        <tr r="AT166" s="2"/>
      </tp>
      <tp t="s">
        <v>#N/A Requesting Data...</v>
        <stp/>
        <stp>##V3_BQLV12</stp>
        <stp>[MODL_NOW_US1.xlsx]Single Period!R91C19</stp>
        <stp>NOW US Equity</stp>
        <stp>ADJ_R_AND_D_TO_SALES</stp>
        <stp>FPR=2021Y</stp>
        <stp>FPT=A</stp>
        <stp>FA_ACT_EST_DATA=E, EST_SOURCE=MSV</stp>
        <stp>ACT_EST_MAPPING=PRECISE</stp>
        <stp>FS=MRC</stp>
        <stp>CURRENCY=USD</stp>
        <stp>XLFILL=b</stp>
        <tr r="S91" s="2"/>
      </tp>
      <tp t="s">
        <v>#N/A Requesting Data...</v>
        <stp/>
        <stp>##V3_BQLV12</stp>
        <stp>[MODL_NOW_US1.xlsx]Single Period!R163C12</stp>
        <stp>NOW US Equity</stp>
        <stp>CB_BS_PP_AND_E_NET/1M</stp>
        <stp>FPR=2021Y</stp>
        <stp>FPT=A</stp>
        <stp>FA_ACT_EST_DATA=E, EST_SOURCE=WBL</stp>
        <stp>ACT_EST_MAPPING=PRECISE</stp>
        <stp>FS=MRC</stp>
        <stp>CURRENCY=USD</stp>
        <stp>XLFILL=b</stp>
        <tr r="L163" s="2"/>
      </tp>
      <tp t="s">
        <v>#N/A Requesting Data...</v>
        <stp/>
        <stp>##V3_BQLV12</stp>
        <stp>[MODL_NOW_US1.xlsx]Single Period!R208C17</stp>
        <stp>NOW US Equity</stp>
        <stp>CF_CHANGE_IN_OTHR_ASSTS/1M</stp>
        <stp>FPR=2021Y</stp>
        <stp>FPT=A</stp>
        <stp>FA_ACT_EST_DATA=E, EST_SOURCE=RHR</stp>
        <stp>ACT_EST_MAPPING=PRECISE</stp>
        <stp>FS=MRC</stp>
        <stp>CURRENCY=USD</stp>
        <stp>XLFILL=b</stp>
        <tr r="Q208" s="2"/>
      </tp>
      <tp t="s">
        <v>#N/A Requesting Data...</v>
        <stp/>
        <stp>##V3_BQLV12</stp>
        <stp>[MODL_NOW_US1.xlsx]Single Period!R117C42</stp>
        <stp>NOW US Equity</stp>
        <stp>IS_TOT_OPER_EXP/1M</stp>
        <stp>FPR=2021Y</stp>
        <stp>FPT=A</stp>
        <stp>FA_ACT_EST_DATA=E, EST_SOURCE=CTI</stp>
        <stp>ACT_EST_MAPPING=PRECISE</stp>
        <stp>FS=MRC</stp>
        <stp>CURRENCY=USD</stp>
        <stp>XLFILL=b</stp>
        <tr r="AP117" s="2"/>
      </tp>
      <tp t="s">
        <v>#N/A Requesting Data...</v>
        <stp/>
        <stp>##V3_BQLV12</stp>
        <stp>[MODL_NOW_US1.xlsx]Single Period!R17C44</stp>
        <stp>SEG0000230975 Segment</stp>
        <stp>IS_BILLINGS/1M</stp>
        <stp>FPR=2021Y</stp>
        <stp>FPT=A</stp>
        <stp>FA_ACT_EST_DATA=E, EST_SOURCE=ARE</stp>
        <stp>ACT_EST_MAPPING=PRECISE</stp>
        <stp>FS=MRC</stp>
        <stp>CURRENCY=USD</stp>
        <stp>XLFILL=b</stp>
        <tr r="AR17" s="2"/>
      </tp>
      <tp t="s">
        <v>#N/A Requesting Data...</v>
        <stp/>
        <stp>##V3_BQLV12</stp>
        <stp>[MODL_NOW_US1.xlsx]Single Period!R42C44</stp>
        <stp>SEG0000230975 Segment</stp>
        <stp>IS_BILLINGS/1M</stp>
        <stp>FPR=2021Y</stp>
        <stp>FPT=A</stp>
        <stp>FA_ACT_EST_DATA=E, EST_SOURCE=ARE</stp>
        <stp>ACT_EST_MAPPING=PRECISE</stp>
        <stp>FS=MRC</stp>
        <stp>CURRENCY=USD</stp>
        <stp>XLFILL=b</stp>
        <tr r="AR42" s="2"/>
      </tp>
      <tp t="s">
        <v>#N/A Requesting Data...</v>
        <stp/>
        <stp>##V3_BQLV12</stp>
        <stp>[MODL_NOW_US1.xlsx]Single Period!R42C41</stp>
        <stp>SEG0000230975 Segment</stp>
        <stp>IS_BILLINGS/1M</stp>
        <stp>FPR=2021Y</stp>
        <stp>FPT=A</stp>
        <stp>FA_ACT_EST_DATA=E, EST_SOURCE=ARG</stp>
        <stp>ACT_EST_MAPPING=PRECISE</stp>
        <stp>FS=MRC</stp>
        <stp>CURRENCY=USD</stp>
        <stp>XLFILL=b</stp>
        <tr r="AO42" s="2"/>
      </tp>
      <tp t="s">
        <v>#N/A Requesting Data...</v>
        <stp/>
        <stp>##V3_BQLV12</stp>
        <stp>[MODL_NOW_US1.xlsx]Single Period!R17C41</stp>
        <stp>SEG0000230975 Segment</stp>
        <stp>IS_BILLINGS/1M</stp>
        <stp>FPR=2021Y</stp>
        <stp>FPT=A</stp>
        <stp>FA_ACT_EST_DATA=E, EST_SOURCE=ARG</stp>
        <stp>ACT_EST_MAPPING=PRECISE</stp>
        <stp>FS=MRC</stp>
        <stp>CURRENCY=USD</stp>
        <stp>XLFILL=b</stp>
        <tr r="AO17" s="2"/>
      </tp>
      <tp t="s">
        <v>#N/A Requesting Data...</v>
        <stp/>
        <stp>##V3_BQLV12</stp>
        <stp>[MODL_NOW_US1.xlsx]Single Period!R199C30</stp>
        <stp>NOW US Equity</stp>
        <stp>IS_COMP_NET_INCOME_GAAP/1M</stp>
        <stp>FPR=2021Y</stp>
        <stp>FPT=A</stp>
        <stp>FA_ACT_EST_DATA=E, EST_SOURCE=BAM</stp>
        <stp>ACT_EST_MAPPING=PRECISE</stp>
        <stp>FS=MRC</stp>
        <stp>CURRENCY=USD</stp>
        <stp>XLFILL=b</stp>
        <tr r="AD199" s="2"/>
      </tp>
      <tp t="s">
        <v>#N/A Requesting Data...</v>
        <stp/>
        <stp>##V3_BQLV12</stp>
        <stp>[MODL_NOW_US1.xlsx]Single Period!R90C5</stp>
        <stp>NOW US Equity</stp>
        <stp>IS_ADJ_R_AND_D_AS_REPORTED/1M</stp>
        <stp>FPR=2021Y</stp>
        <stp>FPT=A</stp>
        <stp>FA_ACT_EST_DATA=E</stp>
        <stp>ACT_EST_MAPPING=PRECISE</stp>
        <stp>FS=MRC</stp>
        <stp>CURRENCY=USD</stp>
        <stp>XLFILL=b</stp>
        <tr r="E90" s="2"/>
      </tp>
      <tp t="s">
        <v>#N/A Requesting Data...</v>
        <stp/>
        <stp>##V3_BQLV12</stp>
        <stp>[MODL_NOW_US1.xlsx]Single Period!R130C30</stp>
        <stp>NOW US Equity</stp>
        <stp>IS_COMP_NET_INCOME_GAAP/1M</stp>
        <stp>FPR=2021Y</stp>
        <stp>FPT=A</stp>
        <stp>FA_ACT_EST_DATA=E, EST_SOURCE=BAM</stp>
        <stp>ACT_EST_MAPPING=PRECISE</stp>
        <stp>FS=MRC</stp>
        <stp>CURRENCY=USD</stp>
        <stp>XLFILL=b</stp>
        <tr r="AD130" s="2"/>
      </tp>
      <tp t="s">
        <v>#N/A Requesting Data...</v>
        <stp/>
        <stp>##V3_BQLV12</stp>
        <stp>[MODL_NOW_US1.xlsx]Single Period!R181C38</stp>
        <stp>NOW US Equity</stp>
        <stp>BS_LONG_TERM_BORROWINGS/1M</stp>
        <stp>FPR=2021Y</stp>
        <stp>FPT=A</stp>
        <stp>FA_ACT_EST_DATA=E, EST_SOURCE=RWB</stp>
        <stp>ACT_EST_MAPPING=PRECISE</stp>
        <stp>FS=MRC</stp>
        <stp>CURRENCY=USD</stp>
        <stp>XLFILL=b</stp>
        <tr r="AL181" s="2"/>
      </tp>
      <tp t="s">
        <v>#N/A Requesting Data...</v>
        <stp/>
        <stp>##V3_BQLV12</stp>
        <stp>[MODL_NOW_US1.xlsx]Single Period!R199C20</stp>
        <stp>NOW US Equity</stp>
        <stp>IS_COMP_NET_INCOME_GAAP/1M</stp>
        <stp>FPR=2021Y</stp>
        <stp>FPT=A</stp>
        <stp>FA_ACT_EST_DATA=E, EST_SOURCE=CAN</stp>
        <stp>ACT_EST_MAPPING=PRECISE</stp>
        <stp>FS=MRC</stp>
        <stp>CURRENCY=USD</stp>
        <stp>XLFILL=b</stp>
        <tr r="T199" s="2"/>
      </tp>
      <tp t="s">
        <v>#N/A Requesting Data...</v>
        <stp/>
        <stp>##V3_BQLV12</stp>
        <stp>[MODL_NOW_US1.xlsx]Single Period!R130C20</stp>
        <stp>NOW US Equity</stp>
        <stp>IS_COMP_NET_INCOME_GAAP/1M</stp>
        <stp>FPR=2021Y</stp>
        <stp>FPT=A</stp>
        <stp>FA_ACT_EST_DATA=E, EST_SOURCE=CAN</stp>
        <stp>ACT_EST_MAPPING=PRECISE</stp>
        <stp>FS=MRC</stp>
        <stp>CURRENCY=USD</stp>
        <stp>XLFILL=b</stp>
        <tr r="T130" s="2"/>
      </tp>
      <tp t="s">
        <v>#N/A Requesting Data...</v>
        <stp/>
        <stp>##V3_BQLV12</stp>
        <stp>[MODL_NOW_US1.xlsx]Single Period!R42C48</stp>
        <stp>SEG0000230975 Segment</stp>
        <stp>IS_BILLINGS/1M</stp>
        <stp>FPR=2021Y</stp>
        <stp>FPT=A</stp>
        <stp>FA_ACT_EST_DATA=E, EST_SOURCE=CRC</stp>
        <stp>ACT_EST_MAPPING=PRECISE</stp>
        <stp>FS=MRC</stp>
        <stp>CURRENCY=USD</stp>
        <stp>XLFILL=b</stp>
        <tr r="AV42" s="2"/>
      </tp>
      <tp t="s">
        <v>#N/A Requesting Data...</v>
        <stp/>
        <stp>##V3_BQLV12</stp>
        <stp>[MODL_NOW_US1.xlsx]Single Period!R17C48</stp>
        <stp>SEG0000230975 Segment</stp>
        <stp>IS_BILLINGS/1M</stp>
        <stp>FPR=2021Y</stp>
        <stp>FPT=A</stp>
        <stp>FA_ACT_EST_DATA=E, EST_SOURCE=CRC</stp>
        <stp>ACT_EST_MAPPING=PRECISE</stp>
        <stp>FS=MRC</stp>
        <stp>CURRENCY=USD</stp>
        <stp>XLFILL=b</stp>
        <tr r="AV17" s="2"/>
      </tp>
      <tp t="s">
        <v>#N/A Requesting Data...</v>
        <stp/>
        <stp>##V3_BQLV12</stp>
        <stp>[MODL_NOW_US1.xlsx]Single Period!R47C39</stp>
        <stp>SEG0000230986 Segment</stp>
        <stp>CB_ADJ_BILLINGS_AMT/1M</stp>
        <stp>FPR=2021Y</stp>
        <stp>FPT=A</stp>
        <stp>FA_ACT_EST_DATA=E, EST_SOURCE=DZB</stp>
        <stp>ACT_EST_MAPPING=PRECISE</stp>
        <stp>FS=MRC</stp>
        <stp>CURRENCY=USD</stp>
        <stp>XLFILL=b</stp>
        <tr r="AM47" s="2"/>
      </tp>
      <tp t="s">
        <v>#N/A Requesting Data...</v>
        <stp/>
        <stp>##V3_BQLV12</stp>
        <stp>[MODL_NOW_US1.xlsx]Single Period!R160C47</stp>
        <stp>NOW US Equity</stp>
        <stp>PREPAID_EXPNSS_AND_OTHR/1M</stp>
        <stp>FPR=2021Y</stp>
        <stp>FPT=A</stp>
        <stp>FA_ACT_EST_DATA=E, EST_SOURCE=SUM</stp>
        <stp>ACT_EST_MAPPING=PRECISE</stp>
        <stp>FS=MRC</stp>
        <stp>CURRENCY=USD</stp>
        <stp>XLFILL=b</stp>
        <tr r="AU160" s="2"/>
      </tp>
      <tp t="s">
        <v>#N/A Requesting Data...</v>
        <stp/>
        <stp>##V3_BQLV12</stp>
        <stp>[MODL_NOW_US1.xlsx]Single Period!R181C24</stp>
        <stp>NOW US Equity</stp>
        <stp>BS_LONG_TERM_BORROWINGS/1M</stp>
        <stp>FPR=2021Y</stp>
        <stp>FPT=A</stp>
        <stp>FA_ACT_EST_DATA=E, EST_SOURCE=CWN</stp>
        <stp>ACT_EST_MAPPING=PRECISE</stp>
        <stp>FS=MRC</stp>
        <stp>CURRENCY=USD</stp>
        <stp>XLFILL=b</stp>
        <tr r="X181" s="2"/>
      </tp>
      <tp t="s">
        <v>#N/A Requesting Data...</v>
        <stp/>
        <stp>##V3_BQLV12</stp>
        <stp>[MODL_NOW_US1.xlsx]Single Period!R181C40</stp>
        <stp>NOW US Equity</stp>
        <stp>BS_LONG_TERM_BORROWINGS/1M</stp>
        <stp>FPR=2021Y</stp>
        <stp>FPT=A</stp>
        <stp>FA_ACT_EST_DATA=E, EST_SOURCE=DWI</stp>
        <stp>ACT_EST_MAPPING=PRECISE</stp>
        <stp>FS=MRC</stp>
        <stp>CURRENCY=USD</stp>
        <stp>XLFILL=b</stp>
        <tr r="AN181" s="2"/>
      </tp>
      <tp t="s">
        <v>#N/A Requesting Data...</v>
        <stp/>
        <stp>##V3_BQLV12</stp>
        <stp>[MODL_NOW_US1.xlsx]Single Period!R133C10</stp>
        <stp>NOW US Equity</stp>
        <stp>IS_SH_FOR_DILUTED_EPS/1M</stp>
        <stp>FPR=2021Y</stp>
        <stp>FPT=A</stp>
        <stp>FA_ACT_EST_DATA=E, EST_SOURCE=CMPY</stp>
        <stp>ACT_EST_MAPPING=PRECISE</stp>
        <stp>FS=MRC</stp>
        <stp>CURRENCY=USD</stp>
        <stp>XLFILL=b</stp>
        <tr r="J133" s="2"/>
      </tp>
      <tp t="s">
        <v>#N/A Requesting Data...</v>
        <stp/>
        <stp>##V3_BQLV12</stp>
        <stp>[MODL_NOW_US1.xlsx]Single Period!R199C33</stp>
        <stp>NOW US Equity</stp>
        <stp>IS_COMP_NET_INCOME_GAAP/1M</stp>
        <stp>FPR=2021Y</stp>
        <stp>FPT=A</stp>
        <stp>FA_ACT_EST_DATA=E, EST_SOURCE=MAC</stp>
        <stp>ACT_EST_MAPPING=PRECISE</stp>
        <stp>FS=MRC</stp>
        <stp>CURRENCY=USD</stp>
        <stp>XLFILL=b</stp>
        <tr r="AG199" s="2"/>
      </tp>
      <tp t="s">
        <v>#N/A Requesting Data...</v>
        <stp/>
        <stp>##V3_BQLV12</stp>
        <stp>[MODL_NOW_US1.xlsx]Single Period!R130C33</stp>
        <stp>NOW US Equity</stp>
        <stp>IS_COMP_NET_INCOME_GAAP/1M</stp>
        <stp>FPR=2021Y</stp>
        <stp>FPT=A</stp>
        <stp>FA_ACT_EST_DATA=E, EST_SOURCE=MAC</stp>
        <stp>ACT_EST_MAPPING=PRECISE</stp>
        <stp>FS=MRC</stp>
        <stp>CURRENCY=USD</stp>
        <stp>XLFILL=b</stp>
        <tr r="AG130" s="2"/>
      </tp>
      <tp t="s">
        <v>#N/A Requesting Data...</v>
        <stp/>
        <stp>##V3_BQLV12</stp>
        <stp>[MODL_NOW_US1.xlsx]Single Period!R236C43</stp>
        <stp>NOW US Equity</stp>
        <stp>FREE_CASH_FLOW_MARGIN</stp>
        <stp>FPR=2021Y</stp>
        <stp>FPT=A</stp>
        <stp>FA_ACT_EST_DATA=E, EST_SOURCE=WFT</stp>
        <stp>ACT_EST_MAPPING=PRECISE</stp>
        <stp>FS=MRC</stp>
        <stp>CURRENCY=USD</stp>
        <stp>XLFILL=b</stp>
        <tr r="AQ236" s="2"/>
      </tp>
      <tp t="s">
        <v>#N/A Requesting Data...</v>
        <stp/>
        <stp>##V3_BQLV12</stp>
        <stp>[MODL_NOW_US1.xlsx]Single Period!R117C37</stp>
        <stp>NOW US Equity</stp>
        <stp>IS_TOT_OPER_EXP/1M</stp>
        <stp>FPR=2021Y</stp>
        <stp>FPT=A</stp>
        <stp>FA_ACT_EST_DATA=E, EST_SOURCE=TTC</stp>
        <stp>ACT_EST_MAPPING=PRECISE</stp>
        <stp>FS=MRC</stp>
        <stp>CURRENCY=USD</stp>
        <stp>XLFILL=b</stp>
        <tr r="AK117" s="2"/>
      </tp>
      <tp t="s">
        <v>#N/A Requesting Data...</v>
        <stp/>
        <stp>##V3_BQLV12</stp>
        <stp>[MODL_NOW_US1.xlsx]Single Period!R138C39</stp>
        <stp>NOW US Equity</stp>
        <stp>SBC_NON_GAAP_TO_SALES</stp>
        <stp>FPR=2021Y</stp>
        <stp>FPT=A</stp>
        <stp>FA_ACT_EST_DATA=E, EST_SOURCE=DZB</stp>
        <stp>ACT_EST_MAPPING=PRECISE</stp>
        <stp>FS=MRC</stp>
        <stp>CURRENCY=USD</stp>
        <stp>XLFILL=b</stp>
        <tr r="AM138" s="2"/>
      </tp>
      <tp t="s">
        <v>#N/A Requesting Data...</v>
        <stp/>
        <stp>##V3_BQLV12</stp>
        <stp>[MODL_NOW_US1.xlsx]Single Period!R47C46</stp>
        <stp>SEG0000230986 Segment</stp>
        <stp>CB_ADJ_BILLINGS_AMT/1M</stp>
        <stp>FPR=2021Y</stp>
        <stp>FPT=A</stp>
        <stp>FA_ACT_EST_DATA=E, EST_SOURCE=MZS</stp>
        <stp>ACT_EST_MAPPING=PRECISE</stp>
        <stp>FS=MRC</stp>
        <stp>CURRENCY=USD</stp>
        <stp>XLFILL=b</stp>
        <tr r="AT47" s="2"/>
      </tp>
      <tp t="s">
        <v>#N/A Requesting Data...</v>
        <stp/>
        <stp>##V3_BQLV12</stp>
        <stp>[MODL_NOW_US1.xlsx]Single Period!R28C7</stp>
        <stp>NOW US Equity</stp>
        <stp>CONTRIBUTOR_STATS(ADJ_OPERATING_MARGIN, MAX)</stp>
        <stp>FPR=2021Y</stp>
        <stp>FPT=A</stp>
        <stp>FA_ACT_EST_DATA=E</stp>
        <stp>ACT_EST_MAPPING=PRECISE</stp>
        <stp>FS=MRC</stp>
        <stp>CURRENCY=USD</stp>
        <stp>XLFILL=b</stp>
        <tr r="G28" s="2"/>
      </tp>
      <tp t="s">
        <v>#N/A Requesting Data...</v>
        <stp/>
        <stp>##V3_BQLV12</stp>
        <stp>[MODL_NOW_US1.xlsx]Single Period!R174C33</stp>
        <stp>NOW US Equity</stp>
        <stp>BS_ACCT_PAYABLE/1M</stp>
        <stp>FPR=2021Y</stp>
        <stp>FPT=A</stp>
        <stp>FA_ACT_EST_DATA=E, EST_SOURCE=MAC</stp>
        <stp>ACT_EST_MAPPING=PRECISE</stp>
        <stp>FS=MRC</stp>
        <stp>CURRENCY=USD</stp>
        <stp>XLFILL=b</stp>
        <tr r="AG174" s="2"/>
      </tp>
      <tp t="s">
        <v>#N/A Requesting Data...</v>
        <stp/>
        <stp>##V3_BQLV12</stp>
        <stp>[MODL_NOW_US1.xlsx]Single Period!R96C7</stp>
        <stp>NOW US Equity</stp>
        <stp>CONTRIBUTOR_STATS(ADJ_OPERATING_MARGIN, MAX)</stp>
        <stp>FPR=2021Y</stp>
        <stp>FPT=A</stp>
        <stp>FA_ACT_EST_DATA=E</stp>
        <stp>ACT_EST_MAPPING=PRECISE</stp>
        <stp>FS=MRC</stp>
        <stp>CURRENCY=USD</stp>
        <stp>XLFILL=b</stp>
        <tr r="G96" s="2"/>
      </tp>
      <tp t="s">
        <v>#N/A Requesting Data...</v>
        <stp/>
        <stp>##V3_BQLV12</stp>
        <stp>[MODL_NOW_US1.xlsx]Single Period!R174C30</stp>
        <stp>NOW US Equity</stp>
        <stp>BS_ACCT_PAYABLE/1M</stp>
        <stp>FPR=2021Y</stp>
        <stp>FPT=A</stp>
        <stp>FA_ACT_EST_DATA=E, EST_SOURCE=BAM</stp>
        <stp>ACT_EST_MAPPING=PRECISE</stp>
        <stp>FS=MRC</stp>
        <stp>CURRENCY=USD</stp>
        <stp>XLFILL=b</stp>
        <tr r="AD174" s="2"/>
      </tp>
      <tp t="s">
        <v>#N/A Requesting Data...</v>
        <stp/>
        <stp>##V3_BQLV12</stp>
        <stp>[MODL_NOW_US1.xlsx]Single Period!R174C20</stp>
        <stp>NOW US Equity</stp>
        <stp>BS_ACCT_PAYABLE/1M</stp>
        <stp>FPR=2021Y</stp>
        <stp>FPT=A</stp>
        <stp>FA_ACT_EST_DATA=E, EST_SOURCE=CAN</stp>
        <stp>ACT_EST_MAPPING=PRECISE</stp>
        <stp>FS=MRC</stp>
        <stp>CURRENCY=USD</stp>
        <stp>XLFILL=b</stp>
        <tr r="T174" s="2"/>
      </tp>
      <tp t="s">
        <v>#N/A Requesting Data...</v>
        <stp/>
        <stp>##V3_BQLV12</stp>
        <stp>[MODL_NOW_US1.xlsx]Single Period!R138C46</stp>
        <stp>NOW US Equity</stp>
        <stp>SBC_NON_GAAP_TO_SALES</stp>
        <stp>FPR=2021Y</stp>
        <stp>FPT=A</stp>
        <stp>FA_ACT_EST_DATA=E, EST_SOURCE=MZS</stp>
        <stp>ACT_EST_MAPPING=PRECISE</stp>
        <stp>FS=MRC</stp>
        <stp>CURRENCY=USD</stp>
        <stp>XLFILL=b</stp>
        <tr r="AT138" s="2"/>
      </tp>
      <tp t="s">
        <v>#N/A Requesting Data...</v>
        <stp/>
        <stp>##V3_BQLV12</stp>
        <stp>[MODL_NOW_US1.xlsx]Single Period!R218C11</stp>
        <stp>NOW US Equity</stp>
        <stp>CF_ACQUISITION_OF_INTANG_ASSETS/1M</stp>
        <stp>FPR=2021Y</stp>
        <stp>FPT=A</stp>
        <stp>FA_ACT_EST_DATA=E, EST_SOURCE=JPM</stp>
        <stp>ACT_EST_MAPPING=PRECISE</stp>
        <stp>FS=MRC</stp>
        <stp>CURRENCY=USD</stp>
        <stp>XLFILL=b</stp>
        <tr r="K218" s="2"/>
      </tp>
      <tp t="s">
        <v>#N/A Requesting Data...</v>
        <stp/>
        <stp>##V3_BQLV12</stp>
        <stp>[MODL_NOW_US1.xlsx]Single Period!R155C42</stp>
        <stp>NOW US Equity</stp>
        <stp>BS_CASH_CASH_EQUIVALENTS_AND_STI/1M</stp>
        <stp>FPR=2021Y</stp>
        <stp>FPT=A</stp>
        <stp>FA_ACT_EST_DATA=E, EST_SOURCE=CTI</stp>
        <stp>ACT_EST_MAPPING=PRECISE</stp>
        <stp>FS=MRC</stp>
        <stp>CURRENCY=USD</stp>
        <stp>XLFILL=b</stp>
        <tr r="AP155" s="2"/>
      </tp>
      <tp t="s">
        <v>#N/A Requesting Data...</v>
        <stp/>
        <stp>##V3_BQLV12</stp>
        <stp>[MODL_NOW_US1.xlsx]Single Period!R202C26</stp>
        <stp>NOW US Equity</stp>
        <stp>CF_AMORTIZATN_OF_DEFRRD_COMPNSTN/1M</stp>
        <stp>FPR=2021Y</stp>
        <stp>FPT=A</stp>
        <stp>FA_ACT_EST_DATA=E, EST_SOURCE=UBS</stp>
        <stp>ACT_EST_MAPPING=PRECISE</stp>
        <stp>FS=MRC</stp>
        <stp>CURRENCY=USD</stp>
        <stp>XLFILL=b</stp>
        <tr r="Z202" s="2"/>
      </tp>
      <tp t="s">
        <v>#N/A Requesting Data...</v>
        <stp/>
        <stp>##V3_BQLV12</stp>
        <stp>[MODL_NOW_US1.xlsx]Single Period!R107C33</stp>
        <stp>NOW US Equity</stp>
        <stp>CB_IS_ADJ_DILUTED_AVG_SHS/1M</stp>
        <stp>FPR=2021Y</stp>
        <stp>FPT=A</stp>
        <stp>FA_ACT_EST_DATA=E, EST_SOURCE=MAC</stp>
        <stp>ACT_EST_MAPPING=PRECISE</stp>
        <stp>FS=MRC</stp>
        <stp>CURRENCY=USD</stp>
        <stp>XLFILL=b</stp>
        <tr r="AG107" s="2"/>
      </tp>
      <tp t="s">
        <v>#N/A Requesting Data...</v>
        <stp/>
        <stp>##V3_BQLV12</stp>
        <stp>[MODL_NOW_US1.xlsx]Single Period!R177C43</stp>
        <stp>NOW US Equity</stp>
        <stp>BS_ST_CPTL_LEA_AND_OP_LEA_LIABS/1M</stp>
        <stp>FPR=2021Y</stp>
        <stp>FPT=A</stp>
        <stp>FA_ACT_EST_DATA=E, EST_SOURCE=WFT</stp>
        <stp>ACT_EST_MAPPING=PRECISE</stp>
        <stp>FS=MRC</stp>
        <stp>CURRENCY=USD</stp>
        <stp>XLFILL=b</stp>
        <tr r="AQ177" s="2"/>
      </tp>
      <tp t="s">
        <v>#N/A Requesting Data...</v>
        <stp/>
        <stp>##V3_BQLV12</stp>
        <stp>[MODL_NOW_US1.xlsx]Single Period!R227C39</stp>
        <stp>NOW US Equity</stp>
        <stp>CF_NET_CSH_PROV_BY_FINANCING_ACT/1M</stp>
        <stp>FPR=2021Y</stp>
        <stp>FPT=A</stp>
        <stp>FA_ACT_EST_DATA=E, EST_SOURCE=DZB</stp>
        <stp>ACT_EST_MAPPING=PRECISE</stp>
        <stp>FS=MRC</stp>
        <stp>CURRENCY=USD</stp>
        <stp>XLFILL=b</stp>
        <tr r="AM227" s="2"/>
      </tp>
      <tp t="s">
        <v>#N/A Requesting Data...</v>
        <stp/>
        <stp>##V3_BQLV12</stp>
        <stp>[MODL_NOW_US1.xlsx]Single Period!R175C26</stp>
        <stp>NOW US Equity</stp>
        <stp>BS_ACCRUD_EXPNSS_AND_OTHR/1M</stp>
        <stp>FPR=2021Y</stp>
        <stp>FPT=A</stp>
        <stp>FA_ACT_EST_DATA=E, EST_SOURCE=UBS</stp>
        <stp>ACT_EST_MAPPING=PRECISE</stp>
        <stp>FS=MRC</stp>
        <stp>CURRENCY=USD</stp>
        <stp>XLFILL=b</stp>
        <tr r="Z175" s="2"/>
      </tp>
      <tp t="s">
        <v>#N/A Requesting Data...</v>
        <stp/>
        <stp>##V3_BQLV12</stp>
        <stp>[MODL_NOW_US1.xlsx]Single Period!R155C34</stp>
        <stp>NOW US Equity</stp>
        <stp>BS_CASH_CASH_EQUIVALENTS_AND_STI/1M</stp>
        <stp>FPR=2021Y</stp>
        <stp>FPT=A</stp>
        <stp>FA_ACT_EST_DATA=E, EST_SOURCE=PSG</stp>
        <stp>ACT_EST_MAPPING=PRECISE</stp>
        <stp>FS=MRC</stp>
        <stp>CURRENCY=USD</stp>
        <stp>XLFILL=b</stp>
        <tr r="AH155" s="2"/>
      </tp>
      <tp t="s">
        <v>#N/A Requesting Data...</v>
        <stp/>
        <stp>##V3_BQLV12</stp>
        <stp>[MODL_NOW_US1.xlsx]Single Period!R121C36</stp>
        <stp>NOW US Equity</stp>
        <stp>CB_IS_GENL_AND_ADMIN_EXPN/1M</stp>
        <stp>FPR=2021Y</stp>
        <stp>FPT=A</stp>
        <stp>FA_ACT_EST_DATA=E, EST_SOURCE=JEF</stp>
        <stp>ACT_EST_MAPPING=PRECISE</stp>
        <stp>FS=MRC</stp>
        <stp>CURRENCY=USD</stp>
        <stp>XLFILL=b</stp>
        <tr r="AJ121" s="2"/>
      </tp>
      <tp t="s">
        <v>#N/A Requesting Data...</v>
        <stp/>
        <stp>##V3_BQLV12</stp>
        <stp>[MODL_NOW_US1.xlsx]Single Period!R111C5</stp>
        <stp>NOW US Equity</stp>
        <stp>IS_COGS_TO_FE_AND_PP_AND_G/1M</stp>
        <stp>FPR=2021Y</stp>
        <stp>FPT=A</stp>
        <stp>FA_ACT_EST_DATA=E</stp>
        <stp>ACT_EST_MAPPING=PRECISE</stp>
        <stp>FS=MRC</stp>
        <stp>CURRENCY=USD</stp>
        <stp>XLFILL=b</stp>
        <tr r="E111" s="2"/>
      </tp>
      <tp t="s">
        <v>#N/A Requesting Data...</v>
        <stp/>
        <stp>##V3_BQLV12</stp>
        <stp>[MODL_NOW_US1.xlsx]Single Period!R63C36</stp>
        <stp>SEG0000230975 Segment</stp>
        <stp>CB_IS_GROSS_PROFIT/1M</stp>
        <stp>FPR=2021Y</stp>
        <stp>FPT=A</stp>
        <stp>FA_ACT_EST_DATA=E, EST_SOURCE=JEF</stp>
        <stp>ACT_EST_MAPPING=PRECISE</stp>
        <stp>FS=MRC</stp>
        <stp>CURRENCY=USD</stp>
        <stp>XLFILL=b</stp>
        <tr r="AJ63" s="2"/>
      </tp>
      <tp t="s">
        <v>#N/A Requesting Data...</v>
        <stp/>
        <stp>##V3_BQLV12</stp>
        <stp>[MODL_NOW_US1.xlsx]Single Period!R213C21</stp>
        <stp>NOW US Equity</stp>
        <stp>CF_CASH_FROM_OPER/1M</stp>
        <stp>FPR=2021Y</stp>
        <stp>FPT=A</stp>
        <stp>FA_ACT_EST_DATA=E, EST_SOURCE=JMP</stp>
        <stp>ACT_EST_MAPPING=PRECISE</stp>
        <stp>FS=MRC</stp>
        <stp>CURRENCY=USD</stp>
        <stp>XLFILL=b</stp>
        <tr r="U213" s="2"/>
      </tp>
      <tp t="s">
        <v>#N/A Requesting Data...</v>
        <stp/>
        <stp>##V3_BQLV12</stp>
        <stp>[MODL_NOW_US1.xlsx]Single Period!R202C27</stp>
        <stp>NOW US Equity</stp>
        <stp>CF_AMORTIZATN_OF_DEFRRD_COMPNSTN/1M</stp>
        <stp>FPR=2021Y</stp>
        <stp>FPT=A</stp>
        <stp>FA_ACT_EST_DATA=E, EST_SOURCE=RBC</stp>
        <stp>ACT_EST_MAPPING=PRECISE</stp>
        <stp>FS=MRC</stp>
        <stp>CURRENCY=USD</stp>
        <stp>XLFILL=b</stp>
        <tr r="AA202" s="2"/>
      </tp>
      <tp t="s">
        <v>#N/A Requesting Data...</v>
        <stp/>
        <stp>##V3_BQLV12</stp>
        <stp>[MODL_NOW_US1.xlsx]Single Period!R63C13</stp>
        <stp>SEG0000230975 Segment</stp>
        <stp>CB_IS_GROSS_PROFIT/1M</stp>
        <stp>FPR=2021Y</stp>
        <stp>FPT=A</stp>
        <stp>FA_ACT_EST_DATA=E, EST_SOURCE=KEY</stp>
        <stp>ACT_EST_MAPPING=PRECISE</stp>
        <stp>FS=MRC</stp>
        <stp>CURRENCY=USD</stp>
        <stp>XLFILL=b</stp>
        <tr r="M63" s="2"/>
      </tp>
      <tp t="s">
        <v>#N/A Requesting Data...</v>
        <stp/>
        <stp>##V3_BQLV12</stp>
        <stp>[MODL_NOW_US1.xlsx]Single Period!R202C25</stp>
        <stp>NOW US Equity</stp>
        <stp>CF_AMORTIZATN_OF_DEFRRD_COMPNSTN/1M</stp>
        <stp>FPR=2021Y</stp>
        <stp>FPT=A</stp>
        <stp>FA_ACT_EST_DATA=E, EST_SOURCE=DBG</stp>
        <stp>ACT_EST_MAPPING=PRECISE</stp>
        <stp>FS=MRC</stp>
        <stp>CURRENCY=USD</stp>
        <stp>XLFILL=b</stp>
        <tr r="Y202" s="2"/>
      </tp>
      <tp t="s">
        <v>#N/A Requesting Data...</v>
        <stp/>
        <stp>##V3_BQLV12</stp>
        <stp>[MODL_NOW_US1.xlsx]Single Period!R104C28</stp>
        <stp>NOW US Equity</stp>
        <stp>IS_COMP_NET_INC_EXCL_STOCK_COMP/1M</stp>
        <stp>FPR=2021Y</stp>
        <stp>FPT=A</stp>
        <stp>FA_ACT_EST_DATA=E, EST_SOURCE=EVR</stp>
        <stp>ACT_EST_MAPPING=PRECISE</stp>
        <stp>FS=MRC</stp>
        <stp>CURRENCY=USD</stp>
        <stp>XLFILL=b</stp>
        <tr r="AB104" s="2"/>
      </tp>
      <tp t="s">
        <v>#N/A Requesting Data...</v>
        <stp/>
        <stp>##V3_BQLV12</stp>
        <stp>[MODL_NOW_US1.xlsx]Single Period!R85C8</stp>
        <stp>NOW US Equity</stp>
        <stp>CONTRIBUTOR_STATS(IS_COMP_GROSS_MARGIN_PERCENTAGE, STD)</stp>
        <stp>FPR=2021Y</stp>
        <stp>FPT=A</stp>
        <stp>FA_ACT_EST_DATA=E</stp>
        <stp>ACT_EST_MAPPING=PRECISE</stp>
        <stp>FS=MRC</stp>
        <stp>CURRENCY=USD</stp>
        <stp>XLFILL=b</stp>
        <tr r="H85" s="2"/>
      </tp>
      <tp t="s">
        <v>#N/A Requesting Data...</v>
        <stp/>
        <stp>##V3_BQLV12</stp>
        <stp>[MODL_NOW_US1.xlsx]Single Period!R218C15</stp>
        <stp>NOW US Equity</stp>
        <stp>CF_ACQUISITION_OF_INTANG_ASSETS/1M</stp>
        <stp>FPR=2021Y</stp>
        <stp>FPT=A</stp>
        <stp>FA_ACT_EST_DATA=E, EST_SOURCE=OPY</stp>
        <stp>ACT_EST_MAPPING=PRECISE</stp>
        <stp>FS=MRC</stp>
        <stp>CURRENCY=USD</stp>
        <stp>XLFILL=b</stp>
        <tr r="O218" s="2"/>
      </tp>
      <tp t="s">
        <v>#N/A Requesting Data...</v>
        <stp/>
        <stp>##V3_BQLV12</stp>
        <stp>[MODL_NOW_US1.xlsx]Single Period!R25C8</stp>
        <stp>NOW US Equity</stp>
        <stp>CONTRIBUTOR_STATS(IS_COMP_GROSS_MARGIN_PERCENTAGE, STD)</stp>
        <stp>FPR=2021Y</stp>
        <stp>FPT=A</stp>
        <stp>FA_ACT_EST_DATA=E</stp>
        <stp>ACT_EST_MAPPING=PRECISE</stp>
        <stp>FS=MRC</stp>
        <stp>CURRENCY=USD</stp>
        <stp>XLFILL=b</stp>
        <tr r="H25" s="2"/>
      </tp>
      <tp t="s">
        <v>#N/A Requesting Data...</v>
        <stp/>
        <stp>##V3_BQLV12</stp>
        <stp>[MODL_NOW_US1.xlsx]Single Period!R9C9</stp>
        <stp>NOW US Equity</stp>
        <stp>CONTRIBUTOR_STATS(IS_BILLINGS, MEDIAN)/1M</stp>
        <stp>FPR=2021Y</stp>
        <stp>FPT=A</stp>
        <stp>FA_ACT_EST_DATA=E</stp>
        <stp>ACT_EST_MAPPING=PRECISE</stp>
        <stp>FS=MRC</stp>
        <stp>CURRENCY=USD</stp>
        <stp>XLFILL=b</stp>
        <tr r="I9" s="2"/>
      </tp>
      <tp t="s">
        <v>#N/A Requesting Data...</v>
        <stp/>
        <stp>##V3_BQLV12</stp>
        <stp>[MODL_NOW_US1.xlsx]Single Period!R155C31</stp>
        <stp>NOW US Equity</stp>
        <stp>BS_CASH_CASH_EQUIVALENTS_AND_STI/1M</stp>
        <stp>FPR=2021Y</stp>
        <stp>FPT=A</stp>
        <stp>FA_ACT_EST_DATA=E, EST_SOURCE=GSR</stp>
        <stp>ACT_EST_MAPPING=PRECISE</stp>
        <stp>FS=MRC</stp>
        <stp>CURRENCY=USD</stp>
        <stp>XLFILL=b</stp>
        <tr r="AE155" s="2"/>
      </tp>
      <tp t="s">
        <v>#N/A Requesting Data...</v>
        <stp/>
        <stp>##V3_BQLV12</stp>
        <stp>[MODL_NOW_US1.xlsx]Single Period!R71C17</stp>
        <stp>SEG0000230986 Segment</stp>
        <stp>CB_IS_GROSS_PROFIT/1M</stp>
        <stp>FPR=2021Y</stp>
        <stp>FPT=A</stp>
        <stp>FA_ACT_EST_DATA=E, EST_SOURCE=RHR</stp>
        <stp>ACT_EST_MAPPING=PRECISE</stp>
        <stp>FS=MRC</stp>
        <stp>CURRENCY=USD</stp>
        <stp>XLFILL=b</stp>
        <tr r="Q71" s="2"/>
      </tp>
      <tp t="s">
        <v>#N/A Requesting Data...</v>
        <stp/>
        <stp>##V3_BQLV12</stp>
        <stp>[MODL_NOW_US1.xlsx]Single Period!R221C23</stp>
        <stp>NOW US Equity</stp>
        <stp>CB_CF_OTHER_INVESTING_ACTIVITIES/1M</stp>
        <stp>FPR=2021Y</stp>
        <stp>FPT=A</stp>
        <stp>FA_ACT_EST_DATA=E, EST_SOURCE=ZXS</stp>
        <stp>ACT_EST_MAPPING=PRECISE</stp>
        <stp>FS=MRC</stp>
        <stp>CURRENCY=USD</stp>
        <stp>XLFILL=b</stp>
        <tr r="W221" s="2"/>
      </tp>
      <tp t="s">
        <v>#N/A Requesting Data...</v>
        <stp/>
        <stp>##V3_BQLV12</stp>
        <stp>[MODL_NOW_US1.xlsx]Single Period!R155C35</stp>
        <stp>NOW US Equity</stp>
        <stp>BS_CASH_CASH_EQUIVALENTS_AND_STI/1M</stp>
        <stp>FPR=2021Y</stp>
        <stp>FPT=A</stp>
        <stp>FA_ACT_EST_DATA=E, EST_SOURCE=MSR</stp>
        <stp>ACT_EST_MAPPING=PRECISE</stp>
        <stp>FS=MRC</stp>
        <stp>CURRENCY=USD</stp>
        <stp>XLFILL=b</stp>
        <tr r="AI155" s="2"/>
      </tp>
      <tp t="s">
        <v>#N/A Requesting Data...</v>
        <stp/>
        <stp>##V3_BQLV12</stp>
        <stp>[MODL_NOW_US1.xlsx]Single Period!R129C43</stp>
        <stp>NOW US Equity</stp>
        <stp>EFF_TAX_RATE</stp>
        <stp>FPR=2021Y</stp>
        <stp>FPT=A</stp>
        <stp>FA_ACT_EST_DATA=E, EST_SOURCE=WFT</stp>
        <stp>ACT_EST_MAPPING=PRECISE</stp>
        <stp>FS=MRC</stp>
        <stp>CURRENCY=USD</stp>
        <stp>XLFILL=b</stp>
        <tr r="AQ129" s="2"/>
      </tp>
      <tp t="s">
        <v>#N/A Requesting Data...</v>
        <stp/>
        <stp>##V3_BQLV12</stp>
        <stp>[MODL_NOW_US1.xlsx]Single Period!R129C16</stp>
        <stp>NOW US Equity</stp>
        <stp>EFF_TAX_RATE</stp>
        <stp>FPR=2021Y</stp>
        <stp>FPT=A</stp>
        <stp>FA_ACT_EST_DATA=E, EST_SOURCE=BCA</stp>
        <stp>ACT_EST_MAPPING=PRECISE</stp>
        <stp>FS=MRC</stp>
        <stp>CURRENCY=USD</stp>
        <stp>XLFILL=b</stp>
        <tr r="P129" s="2"/>
      </tp>
      <tp t="s">
        <v>#N/A Requesting Data...</v>
        <stp/>
        <stp>##V3_BQLV12</stp>
        <stp>[MODL_NOW_US1.xlsx]Single Period!R129C27</stp>
        <stp>NOW US Equity</stp>
        <stp>EFF_TAX_RATE</stp>
        <stp>FPR=2021Y</stp>
        <stp>FPT=A</stp>
        <stp>FA_ACT_EST_DATA=E, EST_SOURCE=RBC</stp>
        <stp>ACT_EST_MAPPING=PRECISE</stp>
        <stp>FS=MRC</stp>
        <stp>CURRENCY=USD</stp>
        <stp>XLFILL=b</stp>
        <tr r="AA129" s="2"/>
      </tp>
      <tp t="s">
        <v>#N/A Requesting Data...</v>
        <stp/>
        <stp>##V3_BQLV12</stp>
        <stp>[MODL_NOW_US1.xlsx]Single Period!R116C36</stp>
        <stp>NOW US Equity</stp>
        <stp>GROSS_MARGIN</stp>
        <stp>FPR=2021Y</stp>
        <stp>FPT=A</stp>
        <stp>FA_ACT_EST_DATA=E, EST_SOURCE=JEF</stp>
        <stp>ACT_EST_MAPPING=PRECISE</stp>
        <stp>FS=MRC</stp>
        <stp>CURRENCY=USD</stp>
        <stp>XLFILL=b</stp>
        <tr r="AJ116" s="2"/>
      </tp>
      <tp t="s">
        <v>#N/A Requesting Data...</v>
        <stp/>
        <stp>##V3_BQLV12</stp>
        <stp>[MODL_NOW_US1.xlsx]Single Period!R81C21</stp>
        <stp>NOW US Equity</stp>
        <stp>IS_ADJ_SALES_YOY_CHG_PCT_CC</stp>
        <stp>FPR=2021Y</stp>
        <stp>FPT=A</stp>
        <stp>FA_ACT_EST_DATA=E, EST_SOURCE=JMP</stp>
        <stp>ACT_EST_MAPPING=PRECISE</stp>
        <stp>FS=MRC</stp>
        <stp>CURRENCY=USD</stp>
        <stp>XLFILL=b</stp>
        <tr r="U81" s="2"/>
      </tp>
      <tp t="s">
        <v>#N/A Requesting Data...</v>
        <stp/>
        <stp>##V3_BQLV12</stp>
        <stp>[MODL_NOW_US1.xlsx]Single Period!R81C18</stp>
        <stp>NOW US Equity</stp>
        <stp>IS_ADJ_SALES_YOY_CHG_PCT_CC</stp>
        <stp>FPR=2021Y</stp>
        <stp>FPT=A</stp>
        <stp>FA_ACT_EST_DATA=E, EST_SOURCE=SNR</stp>
        <stp>ACT_EST_MAPPING=PRECISE</stp>
        <stp>FS=MRC</stp>
        <stp>CURRENCY=USD</stp>
        <stp>XLFILL=b</stp>
        <tr r="R81" s="2"/>
      </tp>
      <tp t="s">
        <v>#N/A Requesting Data...</v>
        <stp/>
        <stp>##V3_BQLV12</stp>
        <stp>[MODL_NOW_US1.xlsx]Single Period!R239C11</stp>
        <stp>NOW US Equity</stp>
        <stp>CFO_TO_SALES</stp>
        <stp>FPR=2021Y</stp>
        <stp>FPT=A</stp>
        <stp>FA_ACT_EST_DATA=E, EST_SOURCE=JPM</stp>
        <stp>ACT_EST_MAPPING=PRECISE</stp>
        <stp>FS=MRC</stp>
        <stp>CURRENCY=USD</stp>
        <stp>XLFILL=b</stp>
        <tr r="K239" s="2"/>
      </tp>
      <tp t="s">
        <v>#N/A Requesting Data...</v>
        <stp/>
        <stp>##V3_BQLV12</stp>
        <stp>[MODL_NOW_US1.xlsx]Single Period!R164C26</stp>
        <stp>NOW US Equity</stp>
        <stp>CB_BS_PP_AND_E_NET/1M</stp>
        <stp>FPR=2021Y</stp>
        <stp>FPT=A</stp>
        <stp>FA_ACT_EST_DATA=E, EST_SOURCE=UBS</stp>
        <stp>ACT_EST_MAPPING=PRECISE</stp>
        <stp>FS=MRC</stp>
        <stp>CURRENCY=USD</stp>
        <stp>XLFILL=b</stp>
        <tr r="Z164" s="2"/>
      </tp>
      <tp t="s">
        <v>#N/A Requesting Data...</v>
        <stp/>
        <stp>##V3_BQLV12</stp>
        <stp>[MODL_NOW_US1.xlsx]Single Period!R111C38</stp>
        <stp>NOW US Equity</stp>
        <stp>IS_COGS_TO_FE_AND_PP_AND_G/1M</stp>
        <stp>FPR=2021Y</stp>
        <stp>FPT=A</stp>
        <stp>FA_ACT_EST_DATA=E, EST_SOURCE=RWB</stp>
        <stp>ACT_EST_MAPPING=PRECISE</stp>
        <stp>FS=MRC</stp>
        <stp>CURRENCY=USD</stp>
        <stp>XLFILL=b</stp>
        <tr r="AL111" s="2"/>
      </tp>
      <tp t="s">
        <v>#N/A Requesting Data...</v>
        <stp/>
        <stp>##V3_BQLV12</stp>
        <stp>[MODL_NOW_US1.xlsx]Single Period!R96C43</stp>
        <stp>NOW US Equity</stp>
        <stp>ADJ_OPERATING_MARGIN</stp>
        <stp>FPR=2021Y</stp>
        <stp>FPT=A</stp>
        <stp>FA_ACT_EST_DATA=E, EST_SOURCE=WFT</stp>
        <stp>ACT_EST_MAPPING=PRECISE</stp>
        <stp>FS=MRC</stp>
        <stp>CURRENCY=USD</stp>
        <stp>XLFILL=b</stp>
        <tr r="AQ96" s="2"/>
      </tp>
      <tp t="s">
        <v>#N/A Requesting Data...</v>
        <stp/>
        <stp>##V3_BQLV12</stp>
        <stp>[MODL_NOW_US1.xlsx]Single Period!R111C40</stp>
        <stp>NOW US Equity</stp>
        <stp>IS_COGS_TO_FE_AND_PP_AND_G/1M</stp>
        <stp>FPR=2021Y</stp>
        <stp>FPT=A</stp>
        <stp>FA_ACT_EST_DATA=E, EST_SOURCE=DWI</stp>
        <stp>ACT_EST_MAPPING=PRECISE</stp>
        <stp>FS=MRC</stp>
        <stp>CURRENCY=USD</stp>
        <stp>XLFILL=b</stp>
        <tr r="AN111" s="2"/>
      </tp>
      <tp t="s">
        <v>#N/A Requesting Data...</v>
        <stp/>
        <stp>##V3_BQLV12</stp>
        <stp>[MODL_NOW_US1.xlsx]Single Period!R122C5</stp>
        <stp>NOW US Equity</stp>
        <stp>IS_MERGER_AND_ACQUIS_EXPN_OP/1M</stp>
        <stp>FPR=2021Y</stp>
        <stp>FPT=A</stp>
        <stp>FA_ACT_EST_DATA=E</stp>
        <stp>ACT_EST_MAPPING=PRECISE</stp>
        <stp>FS=MRC</stp>
        <stp>CURRENCY=USD</stp>
        <stp>XLFILL=b</stp>
        <tr r="E122" s="2"/>
      </tp>
      <tp t="s">
        <v>#N/A Requesting Data...</v>
        <stp/>
        <stp>##V3_BQLV12</stp>
        <stp>[MODL_NOW_US1.xlsx]Single Period!R163C13</stp>
        <stp>NOW US Equity</stp>
        <stp>CB_BS_PP_AND_E_NET/1M</stp>
        <stp>FPR=2021Y</stp>
        <stp>FPT=A</stp>
        <stp>FA_ACT_EST_DATA=E, EST_SOURCE=KEY</stp>
        <stp>ACT_EST_MAPPING=PRECISE</stp>
        <stp>FS=MRC</stp>
        <stp>CURRENCY=USD</stp>
        <stp>XLFILL=b</stp>
        <tr r="M163" s="2"/>
      </tp>
      <tp t="s">
        <v>#N/A Requesting Data...</v>
        <stp/>
        <stp>##V3_BQLV12</stp>
        <stp>[MODL_NOW_US1.xlsx]Single Period!R127C13</stp>
        <stp>NOW US Equity</stp>
        <stp>PRETAX_INC/1M</stp>
        <stp>FPR=2021Y</stp>
        <stp>FPT=A</stp>
        <stp>FA_ACT_EST_DATA=E, EST_SOURCE=KEY</stp>
        <stp>ACT_EST_MAPPING=PRECISE</stp>
        <stp>FS=MRC</stp>
        <stp>CURRENCY=USD</stp>
        <stp>XLFILL=b</stp>
        <tr r="M127" s="2"/>
      </tp>
      <tp t="s">
        <v>#N/A Requesting Data...</v>
        <stp/>
        <stp>##V3_BQLV12</stp>
        <stp>[MODL_NOW_US1.xlsx]Single Period!R111C24</stp>
        <stp>NOW US Equity</stp>
        <stp>IS_COGS_TO_FE_AND_PP_AND_G/1M</stp>
        <stp>FPR=2021Y</stp>
        <stp>FPT=A</stp>
        <stp>FA_ACT_EST_DATA=E, EST_SOURCE=CWN</stp>
        <stp>ACT_EST_MAPPING=PRECISE</stp>
        <stp>FS=MRC</stp>
        <stp>CURRENCY=USD</stp>
        <stp>XLFILL=b</stp>
        <tr r="X111" s="2"/>
      </tp>
      <tp t="s">
        <v>#N/A Requesting Data...</v>
        <stp/>
        <stp>##V3_BQLV12</stp>
        <stp>[MODL_NOW_US1.xlsx]Single Period!R96C27</stp>
        <stp>NOW US Equity</stp>
        <stp>ADJ_OPERATING_MARGIN</stp>
        <stp>FPR=2021Y</stp>
        <stp>FPT=A</stp>
        <stp>FA_ACT_EST_DATA=E, EST_SOURCE=RBC</stp>
        <stp>ACT_EST_MAPPING=PRECISE</stp>
        <stp>FS=MRC</stp>
        <stp>CURRENCY=USD</stp>
        <stp>XLFILL=b</stp>
        <tr r="AA96" s="2"/>
      </tp>
      <tp t="s">
        <v>#N/A Requesting Data...</v>
        <stp/>
        <stp>##V3_BQLV12</stp>
        <stp>[MODL_NOW_US1.xlsx]Single Period!R212C18</stp>
        <stp>NOW US Equity</stp>
        <stp>CF_CHANGE_IN_ACCRUD_EXPNSS/1M</stp>
        <stp>FPR=2021Y</stp>
        <stp>FPT=A</stp>
        <stp>FA_ACT_EST_DATA=E, EST_SOURCE=SNR</stp>
        <stp>ACT_EST_MAPPING=PRECISE</stp>
        <stp>FS=MRC</stp>
        <stp>CURRENCY=USD</stp>
        <stp>XLFILL=b</stp>
        <tr r="R212" s="2"/>
      </tp>
      <tp t="s">
        <v>#N/A Requesting Data...</v>
        <stp/>
        <stp>##V3_BQLV12</stp>
        <stp>[MODL_NOW_US1.xlsx]Single Period!R164C32</stp>
        <stp>NOW US Equity</stp>
        <stp>CB_BS_PP_AND_E_NET/1M</stp>
        <stp>FPR=2021Y</stp>
        <stp>FPT=A</stp>
        <stp>FA_ACT_EST_DATA=E, EST_SOURCE=FBC</stp>
        <stp>ACT_EST_MAPPING=PRECISE</stp>
        <stp>FS=MRC</stp>
        <stp>CURRENCY=USD</stp>
        <stp>XLFILL=b</stp>
        <tr r="AF164" s="2"/>
      </tp>
      <tp t="s">
        <v>#N/A Requesting Data...</v>
        <stp/>
        <stp>##V3_BQLV12</stp>
        <stp>[MODL_NOW_US1.xlsx]Single Period!R164C27</stp>
        <stp>NOW US Equity</stp>
        <stp>CB_BS_PP_AND_E_NET/1M</stp>
        <stp>FPR=2021Y</stp>
        <stp>FPT=A</stp>
        <stp>FA_ACT_EST_DATA=E, EST_SOURCE=RBC</stp>
        <stp>ACT_EST_MAPPING=PRECISE</stp>
        <stp>FS=MRC</stp>
        <stp>CURRENCY=USD</stp>
        <stp>XLFILL=b</stp>
        <tr r="AA164" s="2"/>
      </tp>
      <tp t="s">
        <v>#N/A Requesting Data...</v>
        <stp/>
        <stp>##V3_BQLV12</stp>
        <stp>[MODL_NOW_US1.xlsx]Single Period!R127C36</stp>
        <stp>NOW US Equity</stp>
        <stp>PRETAX_INC/1M</stp>
        <stp>FPR=2021Y</stp>
        <stp>FPT=A</stp>
        <stp>FA_ACT_EST_DATA=E, EST_SOURCE=JEF</stp>
        <stp>ACT_EST_MAPPING=PRECISE</stp>
        <stp>FS=MRC</stp>
        <stp>CURRENCY=USD</stp>
        <stp>XLFILL=b</stp>
        <tr r="AJ127" s="2"/>
      </tp>
      <tp t="s">
        <v>#N/A Requesting Data...</v>
        <stp/>
        <stp>##V3_BQLV12</stp>
        <stp>[MODL_NOW_US1.xlsx]Single Period!R212C29</stp>
        <stp>NOW US Equity</stp>
        <stp>CF_CHANGE_IN_ACCRUD_EXPNSS/1M</stp>
        <stp>FPR=2021Y</stp>
        <stp>FPT=A</stp>
        <stp>FA_ACT_EST_DATA=E, EST_SOURCE=BNS</stp>
        <stp>ACT_EST_MAPPING=PRECISE</stp>
        <stp>FS=MRC</stp>
        <stp>CURRENCY=USD</stp>
        <stp>XLFILL=b</stp>
        <tr r="AC212" s="2"/>
      </tp>
      <tp t="s">
        <v>#N/A Requesting Data...</v>
        <stp/>
        <stp>##V3_BQLV12</stp>
        <stp>[MODL_NOW_US1.xlsx]Single Period!R96C16</stp>
        <stp>NOW US Equity</stp>
        <stp>ADJ_OPERATING_MARGIN</stp>
        <stp>FPR=2021Y</stp>
        <stp>FPT=A</stp>
        <stp>FA_ACT_EST_DATA=E, EST_SOURCE=BCA</stp>
        <stp>ACT_EST_MAPPING=PRECISE</stp>
        <stp>FS=MRC</stp>
        <stp>CURRENCY=USD</stp>
        <stp>XLFILL=b</stp>
        <tr r="P96" s="2"/>
      </tp>
      <tp t="s">
        <v>#N/A Requesting Data...</v>
        <stp/>
        <stp>##V3_BQLV12</stp>
        <stp>[MODL_NOW_US1.xlsx]Single Period!R159C20</stp>
        <stp>NOW US Equity</stp>
        <stp>CB_BS_OTHER_CURRENT_ASSETS/1M</stp>
        <stp>FPR=2021Y</stp>
        <stp>FPT=A</stp>
        <stp>FA_ACT_EST_DATA=E, EST_SOURCE=CAN</stp>
        <stp>ACT_EST_MAPPING=PRECISE</stp>
        <stp>FS=MRC</stp>
        <stp>CURRENCY=USD</stp>
        <stp>XLFILL=b</stp>
        <tr r="T159" s="2"/>
      </tp>
      <tp t="s">
        <v>#N/A Requesting Data...</v>
        <stp/>
        <stp>##V3_BQLV12</stp>
        <stp>[MODL_NOW_US1.xlsx]Single Period!R164C25</stp>
        <stp>NOW US Equity</stp>
        <stp>CB_BS_PP_AND_E_NET/1M</stp>
        <stp>FPR=2021Y</stp>
        <stp>FPT=A</stp>
        <stp>FA_ACT_EST_DATA=E, EST_SOURCE=DBG</stp>
        <stp>ACT_EST_MAPPING=PRECISE</stp>
        <stp>FS=MRC</stp>
        <stp>CURRENCY=USD</stp>
        <stp>XLFILL=b</stp>
        <tr r="Y164" s="2"/>
      </tp>
      <tp t="s">
        <v>#N/A Requesting Data...</v>
        <stp/>
        <stp>##V3_BQLV12</stp>
        <stp>[MODL_NOW_US1.xlsx]Single Period!R163C36</stp>
        <stp>NOW US Equity</stp>
        <stp>CB_BS_PP_AND_E_NET/1M</stp>
        <stp>FPR=2021Y</stp>
        <stp>FPT=A</stp>
        <stp>FA_ACT_EST_DATA=E, EST_SOURCE=JEF</stp>
        <stp>ACT_EST_MAPPING=PRECISE</stp>
        <stp>FS=MRC</stp>
        <stp>CURRENCY=USD</stp>
        <stp>XLFILL=b</stp>
        <tr r="AJ163" s="2"/>
      </tp>
      <tp t="s">
        <v>#N/A Requesting Data...</v>
        <stp/>
        <stp>##V3_BQLV12</stp>
        <stp>[MODL_NOW_US1.xlsx]Single Period!R159C30</stp>
        <stp>NOW US Equity</stp>
        <stp>CB_BS_OTHER_CURRENT_ASSETS/1M</stp>
        <stp>FPR=2021Y</stp>
        <stp>FPT=A</stp>
        <stp>FA_ACT_EST_DATA=E, EST_SOURCE=BAM</stp>
        <stp>ACT_EST_MAPPING=PRECISE</stp>
        <stp>FS=MRC</stp>
        <stp>CURRENCY=USD</stp>
        <stp>XLFILL=b</stp>
        <tr r="AD159" s="2"/>
      </tp>
      <tp t="s">
        <v>#N/A Requesting Data...</v>
        <stp/>
        <stp>##V3_BQLV12</stp>
        <stp>[MODL_NOW_US1.xlsx]Single Period!R159C33</stp>
        <stp>NOW US Equity</stp>
        <stp>CB_BS_OTHER_CURRENT_ASSETS/1M</stp>
        <stp>FPR=2021Y</stp>
        <stp>FPT=A</stp>
        <stp>FA_ACT_EST_DATA=E, EST_SOURCE=MAC</stp>
        <stp>ACT_EST_MAPPING=PRECISE</stp>
        <stp>FS=MRC</stp>
        <stp>CURRENCY=USD</stp>
        <stp>XLFILL=b</stp>
        <tr r="AG159" s="2"/>
      </tp>
      <tp t="s">
        <v>#N/A Requesting Data...</v>
        <stp/>
        <stp>##V3_BQLV12</stp>
        <stp>[MODL_NOW_US1.xlsx]Single Period!R149C17</stp>
        <stp>NOW US Equity</stp>
        <stp>IS_AMORT_ACQD_INTANG_GEN_AND_ADMIN/1M</stp>
        <stp>FPR=2021Y</stp>
        <stp>FPT=A</stp>
        <stp>FA_ACT_EST_DATA=E, EST_SOURCE=RHR</stp>
        <stp>ACT_EST_MAPPING=PRECISE</stp>
        <stp>FS=MRC</stp>
        <stp>CURRENCY=USD</stp>
        <stp>XLFILL=b</stp>
        <tr r="Q149" s="2"/>
      </tp>
      <tp t="s">
        <v>#N/A Requesting Data...</v>
        <stp/>
        <stp>##V3_BQLV12</stp>
        <stp>[MODL_NOW_US1.xlsx]Single Period!R164C12</stp>
        <stp>NOW US Equity</stp>
        <stp>CB_BS_PP_AND_E_NET/1M</stp>
        <stp>FPR=2021Y</stp>
        <stp>FPT=A</stp>
        <stp>FA_ACT_EST_DATA=E, EST_SOURCE=WBL</stp>
        <stp>ACT_EST_MAPPING=PRECISE</stp>
        <stp>FS=MRC</stp>
        <stp>CURRENCY=USD</stp>
        <stp>XLFILL=b</stp>
        <tr r="L164" s="2"/>
      </tp>
      <tp t="s">
        <v>#N/A Requesting Data...</v>
        <stp/>
        <stp>##V3_BQLV12</stp>
        <stp>[MODL_NOW_US1.xlsx]Single Period!R91C10</stp>
        <stp>NOW US Equity</stp>
        <stp>ADJ_R_AND_D_TO_SALES</stp>
        <stp>FPR=2021Y</stp>
        <stp>FPT=A</stp>
        <stp>FA_ACT_EST_DATA=E, EST_SOURCE=CMPY</stp>
        <stp>ACT_EST_MAPPING=PRECISE</stp>
        <stp>FS=MRC</stp>
        <stp>CURRENCY=USD</stp>
        <stp>XLFILL=b</stp>
        <tr r="J91" s="2"/>
      </tp>
      <tp t="s">
        <v>#N/A Requesting Data...</v>
        <stp/>
        <stp>##V3_BQLV12</stp>
        <stp>[MODL_NOW_US1.xlsx]Single Period!R219C46</stp>
        <stp>NOW US Equity</stp>
        <stp>CF_PURCHSS_OF_INVSTMNTS/1M</stp>
        <stp>FPR=2021Y</stp>
        <stp>FPT=A</stp>
        <stp>FA_ACT_EST_DATA=E, EST_SOURCE=MZS</stp>
        <stp>ACT_EST_MAPPING=PRECISE</stp>
        <stp>FS=MRC</stp>
        <stp>CURRENCY=USD</stp>
        <stp>XLFILL=b</stp>
        <tr r="AT219" s="2"/>
      </tp>
      <tp t="s">
        <v>#N/A Requesting Data...</v>
        <stp/>
        <stp>##V3_BQLV12</stp>
        <stp>[MODL_NOW_US1.xlsx]Single Period!R209C10</stp>
        <stp>NOW US Equity</stp>
        <stp>CF_CHANGE_IN_ACCOUNTS_PAYABLE/1M</stp>
        <stp>FPR=2021Y</stp>
        <stp>FPT=A</stp>
        <stp>FA_ACT_EST_DATA=E, EST_SOURCE=CMPY</stp>
        <stp>ACT_EST_MAPPING=PRECISE</stp>
        <stp>FS=MRC</stp>
        <stp>CURRENCY=USD</stp>
        <stp>XLFILL=b</stp>
        <tr r="J209" s="2"/>
      </tp>
      <tp t="s">
        <v>#N/A Requesting Data...</v>
        <stp/>
        <stp>##V3_BQLV12</stp>
        <stp>[MODL_NOW_US1.xlsx]Single Period!R160C42</stp>
        <stp>NOW US Equity</stp>
        <stp>PREPAID_EXPNSS_AND_OTHR/1M</stp>
        <stp>FPR=2021Y</stp>
        <stp>FPT=A</stp>
        <stp>FA_ACT_EST_DATA=E, EST_SOURCE=CTI</stp>
        <stp>ACT_EST_MAPPING=PRECISE</stp>
        <stp>FS=MRC</stp>
        <stp>CURRENCY=USD</stp>
        <stp>XLFILL=b</stp>
        <tr r="AP160" s="2"/>
      </tp>
      <tp t="s">
        <v>#N/A Requesting Data...</v>
        <stp/>
        <stp>##V3_BQLV12</stp>
        <stp>[MODL_NOW_US1.xlsx]Single Period!R17C34</stp>
        <stp>SEG0000230975 Segment</stp>
        <stp>IS_BILLINGS/1M</stp>
        <stp>FPR=2021Y</stp>
        <stp>FPT=A</stp>
        <stp>FA_ACT_EST_DATA=E, EST_SOURCE=PSG</stp>
        <stp>ACT_EST_MAPPING=PRECISE</stp>
        <stp>FS=MRC</stp>
        <stp>CURRENCY=USD</stp>
        <stp>XLFILL=b</stp>
        <tr r="AH17" s="2"/>
      </tp>
      <tp t="s">
        <v>#N/A Requesting Data...</v>
        <stp/>
        <stp>##V3_BQLV12</stp>
        <stp>[MODL_NOW_US1.xlsx]Single Period!R42C34</stp>
        <stp>SEG0000230975 Segment</stp>
        <stp>IS_BILLINGS/1M</stp>
        <stp>FPR=2021Y</stp>
        <stp>FPT=A</stp>
        <stp>FA_ACT_EST_DATA=E, EST_SOURCE=PSG</stp>
        <stp>ACT_EST_MAPPING=PRECISE</stp>
        <stp>FS=MRC</stp>
        <stp>CURRENCY=USD</stp>
        <stp>XLFILL=b</stp>
        <tr r="AH42" s="2"/>
      </tp>
      <tp t="s">
        <v>#N/A Requesting Data...</v>
        <stp/>
        <stp>##V3_BQLV12</stp>
        <stp>[MODL_NOW_US1.xlsx]Single Period!R117C47</stp>
        <stp>NOW US Equity</stp>
        <stp>IS_TOT_OPER_EXP/1M</stp>
        <stp>FPR=2021Y</stp>
        <stp>FPT=A</stp>
        <stp>FA_ACT_EST_DATA=E, EST_SOURCE=SUM</stp>
        <stp>ACT_EST_MAPPING=PRECISE</stp>
        <stp>FS=MRC</stp>
        <stp>CURRENCY=USD</stp>
        <stp>XLFILL=b</stp>
        <tr r="AU117" s="2"/>
      </tp>
      <tp t="s">
        <v>#N/A Requesting Data...</v>
        <stp/>
        <stp>##V3_BQLV12</stp>
        <stp>[MODL_NOW_US1.xlsx]Single Period!R200C10</stp>
        <stp>NOW US Equity</stp>
        <stp>CF_DEPR_AMORT/1M</stp>
        <stp>FPR=2021Y</stp>
        <stp>FPT=A</stp>
        <stp>FA_ACT_EST_DATA=E, EST_SOURCE=CMPY</stp>
        <stp>ACT_EST_MAPPING=PRECISE</stp>
        <stp>FS=MRC</stp>
        <stp>CURRENCY=USD</stp>
        <stp>XLFILL=b</stp>
        <tr r="J200" s="2"/>
      </tp>
      <tp t="s">
        <v>#N/A Requesting Data...</v>
        <stp/>
        <stp>##V3_BQLV12</stp>
        <stp>[MODL_NOW_US1.xlsx]Single Period!R125C43</stp>
        <stp>NOW US Equity</stp>
        <stp>OPER_INC_TO_NET_SALES</stp>
        <stp>FPR=2021Y</stp>
        <stp>FPT=A</stp>
        <stp>FA_ACT_EST_DATA=E, EST_SOURCE=WFT</stp>
        <stp>ACT_EST_MAPPING=PRECISE</stp>
        <stp>FS=MRC</stp>
        <stp>CURRENCY=USD</stp>
        <stp>XLFILL=b</stp>
        <tr r="AQ125" s="2"/>
      </tp>
      <tp t="s">
        <v>#N/A Requesting Data...</v>
        <stp/>
        <stp>##V3_BQLV12</stp>
        <stp>[MODL_NOW_US1.xlsx]Single Period!R46C11</stp>
        <stp>SEG0000230986 Segment</stp>
        <stp>IS_BILLINGS/1M</stp>
        <stp>FPR=2021Y</stp>
        <stp>FPT=A</stp>
        <stp>FA_ACT_EST_DATA=E, EST_SOURCE=JPM</stp>
        <stp>ACT_EST_MAPPING=PRECISE</stp>
        <stp>FS=MRC</stp>
        <stp>CURRENCY=USD</stp>
        <stp>XLFILL=b</stp>
        <tr r="K46" s="2"/>
      </tp>
      <tp t="s">
        <v>#N/A Requesting Data...</v>
        <stp/>
        <stp>##V3_BQLV12</stp>
        <stp>[MODL_NOW_US1.xlsx]Single Period!R21C11</stp>
        <stp>SEG0000230986 Segment</stp>
        <stp>IS_BILLINGS/1M</stp>
        <stp>FPR=2021Y</stp>
        <stp>FPT=A</stp>
        <stp>FA_ACT_EST_DATA=E, EST_SOURCE=JPM</stp>
        <stp>ACT_EST_MAPPING=PRECISE</stp>
        <stp>FS=MRC</stp>
        <stp>CURRENCY=USD</stp>
        <stp>XLFILL=b</stp>
        <tr r="K21" s="2"/>
      </tp>
      <tp t="s">
        <v>#N/A Requesting Data...</v>
        <stp/>
        <stp>##V3_BQLV12</stp>
        <stp>[MODL_NOW_US1.xlsx]Single Period!R160C37</stp>
        <stp>NOW US Equity</stp>
        <stp>PREPAID_EXPNSS_AND_OTHR/1M</stp>
        <stp>FPR=2021Y</stp>
        <stp>FPT=A</stp>
        <stp>FA_ACT_EST_DATA=E, EST_SOURCE=TTC</stp>
        <stp>ACT_EST_MAPPING=PRECISE</stp>
        <stp>FS=MRC</stp>
        <stp>CURRENCY=USD</stp>
        <stp>XLFILL=b</stp>
        <tr r="AK160" s="2"/>
      </tp>
      <tp t="s">
        <v>#N/A Requesting Data...</v>
        <stp/>
        <stp>##V3_BQLV12</stp>
        <stp>[MODL_NOW_US1.xlsx]Single Period!R96C6</stp>
        <stp>NOW US Equity</stp>
        <stp>CONTRIBUTOR_STATS(ADJ_OPERATING_MARGIN, MIN)</stp>
        <stp>FPR=2021Y</stp>
        <stp>FPT=A</stp>
        <stp>FA_ACT_EST_DATA=E</stp>
        <stp>ACT_EST_MAPPING=PRECISE</stp>
        <stp>FS=MRC</stp>
        <stp>CURRENCY=USD</stp>
        <stp>XLFILL=b</stp>
        <tr r="F96" s="2"/>
      </tp>
      <tp t="s">
        <v>#N/A Requesting Data...</v>
        <stp/>
        <stp>##V3_BQLV12</stp>
        <stp>[MODL_NOW_US1.xlsx]Single Period!R205C20</stp>
        <stp>NOW US Equity</stp>
        <stp>CB_CF_OTHR_NONCSH_ITEMS/1M</stp>
        <stp>FPR=2021Y</stp>
        <stp>FPT=A</stp>
        <stp>FA_ACT_EST_DATA=E, EST_SOURCE=CAN</stp>
        <stp>ACT_EST_MAPPING=PRECISE</stp>
        <stp>FS=MRC</stp>
        <stp>CURRENCY=USD</stp>
        <stp>XLFILL=b</stp>
        <tr r="T205" s="2"/>
      </tp>
      <tp t="s">
        <v>#N/A Requesting Data...</v>
        <stp/>
        <stp>##V3_BQLV12</stp>
        <stp>[MODL_NOW_US1.xlsx]Single Period!R17C35</stp>
        <stp>SEG0000230975 Segment</stp>
        <stp>IS_BILLINGS/1M</stp>
        <stp>FPR=2021Y</stp>
        <stp>FPT=A</stp>
        <stp>FA_ACT_EST_DATA=E, EST_SOURCE=MSR</stp>
        <stp>ACT_EST_MAPPING=PRECISE</stp>
        <stp>FS=MRC</stp>
        <stp>CURRENCY=USD</stp>
        <stp>XLFILL=b</stp>
        <tr r="AI17" s="2"/>
      </tp>
      <tp t="s">
        <v>#N/A Requesting Data...</v>
        <stp/>
        <stp>##V3_BQLV12</stp>
        <stp>[MODL_NOW_US1.xlsx]Single Period!R42C31</stp>
        <stp>SEG0000230975 Segment</stp>
        <stp>IS_BILLINGS/1M</stp>
        <stp>FPR=2021Y</stp>
        <stp>FPT=A</stp>
        <stp>FA_ACT_EST_DATA=E, EST_SOURCE=GSR</stp>
        <stp>ACT_EST_MAPPING=PRECISE</stp>
        <stp>FS=MRC</stp>
        <stp>CURRENCY=USD</stp>
        <stp>XLFILL=b</stp>
        <tr r="AE42" s="2"/>
      </tp>
      <tp t="s">
        <v>#N/A Requesting Data...</v>
        <stp/>
        <stp>##V3_BQLV12</stp>
        <stp>[MODL_NOW_US1.xlsx]Single Period!R17C31</stp>
        <stp>SEG0000230975 Segment</stp>
        <stp>IS_BILLINGS/1M</stp>
        <stp>FPR=2021Y</stp>
        <stp>FPT=A</stp>
        <stp>FA_ACT_EST_DATA=E, EST_SOURCE=GSR</stp>
        <stp>ACT_EST_MAPPING=PRECISE</stp>
        <stp>FS=MRC</stp>
        <stp>CURRENCY=USD</stp>
        <stp>XLFILL=b</stp>
        <tr r="AE17" s="2"/>
      </tp>
      <tp t="s">
        <v>#N/A Requesting Data...</v>
        <stp/>
        <stp>##V3_BQLV12</stp>
        <stp>[MODL_NOW_US1.xlsx]Single Period!R42C35</stp>
        <stp>SEG0000230975 Segment</stp>
        <stp>IS_BILLINGS/1M</stp>
        <stp>FPR=2021Y</stp>
        <stp>FPT=A</stp>
        <stp>FA_ACT_EST_DATA=E, EST_SOURCE=MSR</stp>
        <stp>ACT_EST_MAPPING=PRECISE</stp>
        <stp>FS=MRC</stp>
        <stp>CURRENCY=USD</stp>
        <stp>XLFILL=b</stp>
        <tr r="AI42" s="2"/>
      </tp>
      <tp t="s">
        <v>#N/A Requesting Data...</v>
        <stp/>
        <stp>##V3_BQLV12</stp>
        <stp>[MODL_NOW_US1.xlsx]Single Period!R205C30</stp>
        <stp>NOW US Equity</stp>
        <stp>CB_CF_OTHR_NONCSH_ITEMS/1M</stp>
        <stp>FPR=2021Y</stp>
        <stp>FPT=A</stp>
        <stp>FA_ACT_EST_DATA=E, EST_SOURCE=BAM</stp>
        <stp>ACT_EST_MAPPING=PRECISE</stp>
        <stp>FS=MRC</stp>
        <stp>CURRENCY=USD</stp>
        <stp>XLFILL=b</stp>
        <tr r="AD205" s="2"/>
      </tp>
      <tp t="s">
        <v>#N/A Requesting Data...</v>
        <stp/>
        <stp>##V3_BQLV12</stp>
        <stp>[MODL_NOW_US1.xlsx]Single Period!R181C28</stp>
        <stp>NOW US Equity</stp>
        <stp>BS_LONG_TERM_BORROWINGS/1M</stp>
        <stp>FPR=2021Y</stp>
        <stp>FPT=A</stp>
        <stp>FA_ACT_EST_DATA=E, EST_SOURCE=EVR</stp>
        <stp>ACT_EST_MAPPING=PRECISE</stp>
        <stp>FS=MRC</stp>
        <stp>CURRENCY=USD</stp>
        <stp>XLFILL=b</stp>
        <tr r="AB181" s="2"/>
      </tp>
      <tp t="s">
        <v>#N/A Requesting Data...</v>
        <stp/>
        <stp>##V3_BQLV12</stp>
        <stp>[MODL_NOW_US1.xlsx]Single Period!R42C19</stp>
        <stp>SEG0000230975 Segment</stp>
        <stp>IS_BILLINGS/1M</stp>
        <stp>FPR=2021Y</stp>
        <stp>FPT=A</stp>
        <stp>FA_ACT_EST_DATA=E, EST_SOURCE=MSV</stp>
        <stp>ACT_EST_MAPPING=PRECISE</stp>
        <stp>FS=MRC</stp>
        <stp>CURRENCY=USD</stp>
        <stp>XLFILL=b</stp>
        <tr r="S42" s="2"/>
      </tp>
      <tp t="s">
        <v>#N/A Requesting Data...</v>
        <stp/>
        <stp>##V3_BQLV12</stp>
        <stp>[MODL_NOW_US1.xlsx]Single Period!R43C23</stp>
        <stp>SEG0000230975 Segment</stp>
        <stp>CB_ADJ_BILLINGS_AMT/1M</stp>
        <stp>FPR=2021Y</stp>
        <stp>FPT=A</stp>
        <stp>FA_ACT_EST_DATA=E, EST_SOURCE=ZXS</stp>
        <stp>ACT_EST_MAPPING=PRECISE</stp>
        <stp>FS=MRC</stp>
        <stp>CURRENCY=USD</stp>
        <stp>XLFILL=b</stp>
        <tr r="W43" s="2"/>
      </tp>
      <tp t="s">
        <v>#N/A Requesting Data...</v>
        <stp/>
        <stp>##V3_BQLV12</stp>
        <stp>[MODL_NOW_US1.xlsx]Single Period!R17C19</stp>
        <stp>SEG0000230975 Segment</stp>
        <stp>IS_BILLINGS/1M</stp>
        <stp>FPR=2021Y</stp>
        <stp>FPT=A</stp>
        <stp>FA_ACT_EST_DATA=E, EST_SOURCE=MSV</stp>
        <stp>ACT_EST_MAPPING=PRECISE</stp>
        <stp>FS=MRC</stp>
        <stp>CURRENCY=USD</stp>
        <stp>XLFILL=b</stp>
        <tr r="S17" s="2"/>
      </tp>
      <tp t="s">
        <v>#N/A Requesting Data...</v>
        <stp/>
        <stp>##V3_BQLV12</stp>
        <stp>[MODL_NOW_US1.xlsx]Single Period!R219C39</stp>
        <stp>NOW US Equity</stp>
        <stp>CF_PURCHSS_OF_INVSTMNTS/1M</stp>
        <stp>FPR=2021Y</stp>
        <stp>FPT=A</stp>
        <stp>FA_ACT_EST_DATA=E, EST_SOURCE=DZB</stp>
        <stp>ACT_EST_MAPPING=PRECISE</stp>
        <stp>FS=MRC</stp>
        <stp>CURRENCY=USD</stp>
        <stp>XLFILL=b</stp>
        <tr r="AM219" s="2"/>
      </tp>
      <tp t="s">
        <v>#N/A Requesting Data...</v>
        <stp/>
        <stp>##V3_BQLV12</stp>
        <stp>[MODL_NOW_US1.xlsx]Single Period!R21C15</stp>
        <stp>SEG0000230986 Segment</stp>
        <stp>IS_BILLINGS/1M</stp>
        <stp>FPR=2021Y</stp>
        <stp>FPT=A</stp>
        <stp>FA_ACT_EST_DATA=E, EST_SOURCE=OPY</stp>
        <stp>ACT_EST_MAPPING=PRECISE</stp>
        <stp>FS=MRC</stp>
        <stp>CURRENCY=USD</stp>
        <stp>XLFILL=b</stp>
        <tr r="O21" s="2"/>
      </tp>
      <tp t="s">
        <v>#N/A Requesting Data...</v>
        <stp/>
        <stp>##V3_BQLV12</stp>
        <stp>[MODL_NOW_US1.xlsx]Single Period!R46C15</stp>
        <stp>SEG0000230986 Segment</stp>
        <stp>IS_BILLINGS/1M</stp>
        <stp>FPR=2021Y</stp>
        <stp>FPT=A</stp>
        <stp>FA_ACT_EST_DATA=E, EST_SOURCE=OPY</stp>
        <stp>ACT_EST_MAPPING=PRECISE</stp>
        <stp>FS=MRC</stp>
        <stp>CURRENCY=USD</stp>
        <stp>XLFILL=b</stp>
        <tr r="O46" s="2"/>
      </tp>
      <tp t="s">
        <v>#N/A Requesting Data...</v>
        <stp/>
        <stp>##V3_BQLV12</stp>
        <stp>[MODL_NOW_US1.xlsx]Single Period!R28C6</stp>
        <stp>NOW US Equity</stp>
        <stp>CONTRIBUTOR_STATS(ADJ_OPERATING_MARGIN, MIN)</stp>
        <stp>FPR=2021Y</stp>
        <stp>FPT=A</stp>
        <stp>FA_ACT_EST_DATA=E</stp>
        <stp>ACT_EST_MAPPING=PRECISE</stp>
        <stp>FS=MRC</stp>
        <stp>CURRENCY=USD</stp>
        <stp>XLFILL=b</stp>
        <tr r="F28" s="2"/>
      </tp>
      <tp t="s">
        <v>#N/A Requesting Data...</v>
        <stp/>
        <stp>##V3_BQLV12</stp>
        <stp>[MODL_NOW_US1.xlsx]Single Period!R205C33</stp>
        <stp>NOW US Equity</stp>
        <stp>CB_CF_OTHR_NONCSH_ITEMS/1M</stp>
        <stp>FPR=2021Y</stp>
        <stp>FPT=A</stp>
        <stp>FA_ACT_EST_DATA=E, EST_SOURCE=MAC</stp>
        <stp>ACT_EST_MAPPING=PRECISE</stp>
        <stp>FS=MRC</stp>
        <stp>CURRENCY=USD</stp>
        <stp>XLFILL=b</stp>
        <tr r="AG205" s="2"/>
      </tp>
      <tp t="s">
        <v>#N/A Requesting Data...</v>
        <stp/>
        <stp>##V3_BQLV12</stp>
        <stp>[MODL_NOW_US1.xlsx]Single Period!R155C47</stp>
        <stp>NOW US Equity</stp>
        <stp>BS_CASH_CASH_EQUIVALENTS_AND_STI/1M</stp>
        <stp>FPR=2021Y</stp>
        <stp>FPT=A</stp>
        <stp>FA_ACT_EST_DATA=E, EST_SOURCE=SUM</stp>
        <stp>ACT_EST_MAPPING=PRECISE</stp>
        <stp>FS=MRC</stp>
        <stp>CURRENCY=USD</stp>
        <stp>XLFILL=b</stp>
        <tr r="AU155" s="2"/>
      </tp>
      <tp t="s">
        <v>#N/A Requesting Data...</v>
        <stp/>
        <stp>##V3_BQLV12</stp>
        <stp>[MODL_NOW_US1.xlsx]Single Period!R104C38</stp>
        <stp>NOW US Equity</stp>
        <stp>IS_COMP_NET_INC_EXCL_STOCK_COMP/1M</stp>
        <stp>FPR=2021Y</stp>
        <stp>FPT=A</stp>
        <stp>FA_ACT_EST_DATA=E, EST_SOURCE=RWB</stp>
        <stp>ACT_EST_MAPPING=PRECISE</stp>
        <stp>FS=MRC</stp>
        <stp>CURRENCY=USD</stp>
        <stp>XLFILL=b</stp>
        <tr r="AL104" s="2"/>
      </tp>
      <tp t="s">
        <v>#N/A Requesting Data...</v>
        <stp/>
        <stp>##V3_BQLV12</stp>
        <stp>[MODL_NOW_US1.xlsx]Single Period!R63C22</stp>
        <stp>SEG0000230975 Segment</stp>
        <stp>CB_IS_GROSS_PROFIT/1M</stp>
        <stp>FPR=2021Y</stp>
        <stp>FPT=A</stp>
        <stp>FA_ACT_EST_DATA=E, EST_SOURCE=NDH</stp>
        <stp>ACT_EST_MAPPING=PRECISE</stp>
        <stp>FS=MRC</stp>
        <stp>CURRENCY=USD</stp>
        <stp>XLFILL=b</stp>
        <tr r="V63" s="2"/>
      </tp>
      <tp t="s">
        <v>#N/A Requesting Data...</v>
        <stp/>
        <stp>##V3_BQLV12</stp>
        <stp>[MODL_NOW_US1.xlsx]Single Period!R155C11</stp>
        <stp>NOW US Equity</stp>
        <stp>BS_CASH_CASH_EQUIVALENTS_AND_STI/1M</stp>
        <stp>FPR=2021Y</stp>
        <stp>FPT=A</stp>
        <stp>FA_ACT_EST_DATA=E, EST_SOURCE=JPM</stp>
        <stp>ACT_EST_MAPPING=PRECISE</stp>
        <stp>FS=MRC</stp>
        <stp>CURRENCY=USD</stp>
        <stp>XLFILL=b</stp>
        <tr r="K155" s="2"/>
      </tp>
      <tp t="s">
        <v>#N/A Requesting Data...</v>
        <stp/>
        <stp>##V3_BQLV12</stp>
        <stp>[MODL_NOW_US1.xlsx]Single Period!R107C36</stp>
        <stp>NOW US Equity</stp>
        <stp>CB_IS_ADJ_DILUTED_AVG_SHS/1M</stp>
        <stp>FPR=2021Y</stp>
        <stp>FPT=A</stp>
        <stp>FA_ACT_EST_DATA=E, EST_SOURCE=JEF</stp>
        <stp>ACT_EST_MAPPING=PRECISE</stp>
        <stp>FS=MRC</stp>
        <stp>CURRENCY=USD</stp>
        <stp>XLFILL=b</stp>
        <tr r="AJ107" s="2"/>
      </tp>
      <tp t="s">
        <v>#N/A Requesting Data...</v>
        <stp/>
        <stp>##V3_BQLV12</stp>
        <stp>[MODL_NOW_US1.xlsx]Single Period!R104C40</stp>
        <stp>NOW US Equity</stp>
        <stp>IS_COMP_NET_INC_EXCL_STOCK_COMP/1M</stp>
        <stp>FPR=2021Y</stp>
        <stp>FPT=A</stp>
        <stp>FA_ACT_EST_DATA=E, EST_SOURCE=DWI</stp>
        <stp>ACT_EST_MAPPING=PRECISE</stp>
        <stp>FS=MRC</stp>
        <stp>CURRENCY=USD</stp>
        <stp>XLFILL=b</stp>
        <tr r="AN104" s="2"/>
      </tp>
      <tp t="s">
        <v>#N/A Requesting Data...</v>
        <stp/>
        <stp>##V3_BQLV12</stp>
        <stp>[MODL_NOW_US1.xlsx]Single Period!R225C11</stp>
        <stp>NOW US Equity</stp>
        <stp>CF_INCR_CAP_STOCK/1M</stp>
        <stp>FPR=2021Y</stp>
        <stp>FPT=A</stp>
        <stp>FA_ACT_EST_DATA=E, EST_SOURCE=JPM</stp>
        <stp>ACT_EST_MAPPING=PRECISE</stp>
        <stp>FS=MRC</stp>
        <stp>CURRENCY=USD</stp>
        <stp>XLFILL=b</stp>
        <tr r="K225" s="2"/>
      </tp>
      <tp t="s">
        <v>#N/A Requesting Data...</v>
        <stp/>
        <stp>##V3_BQLV12</stp>
        <stp>[MODL_NOW_US1.xlsx]Single Period!R104C24</stp>
        <stp>NOW US Equity</stp>
        <stp>IS_COMP_NET_INC_EXCL_STOCK_COMP/1M</stp>
        <stp>FPR=2021Y</stp>
        <stp>FPT=A</stp>
        <stp>FA_ACT_EST_DATA=E, EST_SOURCE=CWN</stp>
        <stp>ACT_EST_MAPPING=PRECISE</stp>
        <stp>FS=MRC</stp>
        <stp>CURRENCY=USD</stp>
        <stp>XLFILL=b</stp>
        <tr r="X104" s="2"/>
      </tp>
      <tp t="s">
        <v>#N/A Requesting Data...</v>
        <stp/>
        <stp>##V3_BQLV12</stp>
        <stp>[MODL_NOW_US1.xlsx]Single Period!R175C43</stp>
        <stp>NOW US Equity</stp>
        <stp>BS_ACCRUD_EXPNSS_AND_OTHR/1M</stp>
        <stp>FPR=2021Y</stp>
        <stp>FPT=A</stp>
        <stp>FA_ACT_EST_DATA=E, EST_SOURCE=WFT</stp>
        <stp>ACT_EST_MAPPING=PRECISE</stp>
        <stp>FS=MRC</stp>
        <stp>CURRENCY=USD</stp>
        <stp>XLFILL=b</stp>
        <tr r="AQ175" s="2"/>
      </tp>
      <tp t="s">
        <v>#N/A Requesting Data...</v>
        <stp/>
        <stp>##V3_BQLV12</stp>
        <stp>[MODL_NOW_US1.xlsx]Single Period!R121C33</stp>
        <stp>NOW US Equity</stp>
        <stp>CB_IS_GENL_AND_ADMIN_EXPN/1M</stp>
        <stp>FPR=2021Y</stp>
        <stp>FPT=A</stp>
        <stp>FA_ACT_EST_DATA=E, EST_SOURCE=MAC</stp>
        <stp>ACT_EST_MAPPING=PRECISE</stp>
        <stp>FS=MRC</stp>
        <stp>CURRENCY=USD</stp>
        <stp>XLFILL=b</stp>
        <tr r="AG121" s="2"/>
      </tp>
      <tp t="s">
        <v>#N/A Requesting Data...</v>
        <stp/>
        <stp>##V3_BQLV12</stp>
        <stp>[MODL_NOW_US1.xlsx]Single Period!R148C15</stp>
        <stp>NOW US Equity</stp>
        <stp>IS_AMORT_ACQD_INTANGIBLES_R_AND_D/1M</stp>
        <stp>FPR=2021Y</stp>
        <stp>FPT=A</stp>
        <stp>FA_ACT_EST_DATA=E, EST_SOURCE=OPY</stp>
        <stp>ACT_EST_MAPPING=PRECISE</stp>
        <stp>FS=MRC</stp>
        <stp>CURRENCY=USD</stp>
        <stp>XLFILL=b</stp>
        <tr r="O148" s="2"/>
      </tp>
      <tp t="s">
        <v>#N/A Requesting Data...</v>
        <stp/>
        <stp>##V3_BQLV12</stp>
        <stp>[MODL_NOW_US1.xlsx]Single Period!R155C15</stp>
        <stp>NOW US Equity</stp>
        <stp>BS_CASH_CASH_EQUIVALENTS_AND_STI/1M</stp>
        <stp>FPR=2021Y</stp>
        <stp>FPT=A</stp>
        <stp>FA_ACT_EST_DATA=E, EST_SOURCE=OPY</stp>
        <stp>ACT_EST_MAPPING=PRECISE</stp>
        <stp>FS=MRC</stp>
        <stp>CURRENCY=USD</stp>
        <stp>XLFILL=b</stp>
        <tr r="O155" s="2"/>
      </tp>
      <tp t="s">
        <v>#N/A Requesting Data...</v>
        <stp/>
        <stp>##V3_BQLV12</stp>
        <stp>[MODL_NOW_US1.xlsx]Single Period!R202C32</stp>
        <stp>NOW US Equity</stp>
        <stp>CF_AMORTIZATN_OF_DEFRRD_COMPNSTN/1M</stp>
        <stp>FPR=2021Y</stp>
        <stp>FPT=A</stp>
        <stp>FA_ACT_EST_DATA=E, EST_SOURCE=FBC</stp>
        <stp>ACT_EST_MAPPING=PRECISE</stp>
        <stp>FS=MRC</stp>
        <stp>CURRENCY=USD</stp>
        <stp>XLFILL=b</stp>
        <tr r="AF202" s="2"/>
      </tp>
      <tp t="s">
        <v>#N/A Requesting Data...</v>
        <stp/>
        <stp>##V3_BQLV12</stp>
        <stp>[MODL_NOW_US1.xlsx]Single Period!R175C27</stp>
        <stp>NOW US Equity</stp>
        <stp>BS_ACCRUD_EXPNSS_AND_OTHR/1M</stp>
        <stp>FPR=2021Y</stp>
        <stp>FPT=A</stp>
        <stp>FA_ACT_EST_DATA=E, EST_SOURCE=RBC</stp>
        <stp>ACT_EST_MAPPING=PRECISE</stp>
        <stp>FS=MRC</stp>
        <stp>CURRENCY=USD</stp>
        <stp>XLFILL=b</stp>
        <tr r="AA175" s="2"/>
      </tp>
      <tp t="s">
        <v>#N/A Requesting Data...</v>
        <stp/>
        <stp>##V3_BQLV12</stp>
        <stp>[MODL_NOW_US1.xlsx]Single Period!R175C16</stp>
        <stp>NOW US Equity</stp>
        <stp>BS_ACCRUD_EXPNSS_AND_OTHR/1M</stp>
        <stp>FPR=2021Y</stp>
        <stp>FPT=A</stp>
        <stp>FA_ACT_EST_DATA=E, EST_SOURCE=BCA</stp>
        <stp>ACT_EST_MAPPING=PRECISE</stp>
        <stp>FS=MRC</stp>
        <stp>CURRENCY=USD</stp>
        <stp>XLFILL=b</stp>
        <tr r="P175" s="2"/>
      </tp>
      <tp t="s">
        <v>#N/A Requesting Data...</v>
        <stp/>
        <stp>##V3_BQLV12</stp>
        <stp>[MODL_NOW_US1.xlsx]Single Period!R129C26</stp>
        <stp>NOW US Equity</stp>
        <stp>EFF_TAX_RATE</stp>
        <stp>FPR=2021Y</stp>
        <stp>FPT=A</stp>
        <stp>FA_ACT_EST_DATA=E, EST_SOURCE=UBS</stp>
        <stp>ACT_EST_MAPPING=PRECISE</stp>
        <stp>FS=MRC</stp>
        <stp>CURRENCY=USD</stp>
        <stp>XLFILL=b</stp>
        <tr r="Z129" s="2"/>
      </tp>
      <tp t="s">
        <v>#N/A Requesting Data...</v>
        <stp/>
        <stp>##V3_BQLV12</stp>
        <stp>[MODL_NOW_US1.xlsx]Single Period!R81C45</stp>
        <stp>NOW US Equity</stp>
        <stp>IS_ADJ_SALES_YOY_CHG_PCT_CC</stp>
        <stp>FPR=2021Y</stp>
        <stp>FPT=A</stp>
        <stp>FA_ACT_EST_DATA=E, EST_SOURCE=PJE</stp>
        <stp>ACT_EST_MAPPING=PRECISE</stp>
        <stp>FS=MRC</stp>
        <stp>CURRENCY=USD</stp>
        <stp>XLFILL=b</stp>
        <tr r="AS81" s="2"/>
      </tp>
      <tp t="s">
        <v>#N/A Requesting Data...</v>
        <stp/>
        <stp>##V3_BQLV12</stp>
        <stp>[MODL_NOW_US1.xlsx]Single Period!R54C8</stp>
        <stp>NOW US Equity</stp>
        <stp>CONTRIBUTOR_STATS(IS_FOREIGN_CURRENCY_TURNOVER, STD)/1M</stp>
        <stp>FPR=2021Y</stp>
        <stp>FPT=A</stp>
        <stp>FA_ACT_EST_DATA=E</stp>
        <stp>ACT_EST_MAPPING=PRECISE</stp>
        <stp>FS=MRC</stp>
        <stp>CURRENCY=USD</stp>
        <stp>XLFILL=b</stp>
        <tr r="H54" s="2"/>
      </tp>
      <tp t="s">
        <v>#N/A Requesting Data...</v>
        <stp/>
        <stp>##V3_BQLV12</stp>
        <stp>[MODL_NOW_US1.xlsx]Single Period!R116C33</stp>
        <stp>NOW US Equity</stp>
        <stp>GROSS_MARGIN</stp>
        <stp>FPR=2021Y</stp>
        <stp>FPT=A</stp>
        <stp>FA_ACT_EST_DATA=E, EST_SOURCE=MAC</stp>
        <stp>ACT_EST_MAPPING=PRECISE</stp>
        <stp>FS=MRC</stp>
        <stp>CURRENCY=USD</stp>
        <stp>XLFILL=b</stp>
        <tr r="AG116" s="2"/>
      </tp>
      <tp t="s">
        <v>#N/A Requesting Data...</v>
        <stp/>
        <stp>##V3_BQLV12</stp>
        <stp>[MODL_NOW_US1.xlsx]Single Period!R54C7</stp>
        <stp>NOW US Equity</stp>
        <stp>CONTRIBUTOR_STATS(IS_FOREIGN_CURRENCY_TURNOVER, MAX)/1M</stp>
        <stp>FPR=2021Y</stp>
        <stp>FPT=A</stp>
        <stp>FA_ACT_EST_DATA=E</stp>
        <stp>ACT_EST_MAPPING=PRECISE</stp>
        <stp>FS=MRC</stp>
        <stp>CURRENCY=USD</stp>
        <stp>XLFILL=b</stp>
        <tr r="G54" s="2"/>
      </tp>
      <tp t="s">
        <v>#N/A Requesting Data...</v>
        <stp/>
        <stp>##V3_BQLV12</stp>
        <stp>[MODL_NOW_US1.xlsx]Single Period!R54C6</stp>
        <stp>NOW US Equity</stp>
        <stp>CONTRIBUTOR_STATS(IS_FOREIGN_CURRENCY_TURNOVER, MIN)/1M</stp>
        <stp>FPR=2021Y</stp>
        <stp>FPT=A</stp>
        <stp>FA_ACT_EST_DATA=E</stp>
        <stp>ACT_EST_MAPPING=PRECISE</stp>
        <stp>FS=MRC</stp>
        <stp>CURRENCY=USD</stp>
        <stp>XLFILL=b</stp>
        <tr r="F54" s="2"/>
      </tp>
      <tp t="s">
        <v>#N/A Requesting Data...</v>
        <stp/>
        <stp>##V3_BQLV12</stp>
        <stp>[MODL_NOW_US1.xlsx]Single Period!R149C10</stp>
        <stp>NOW US Equity</stp>
        <stp>IS_AMORT_ACQD_INTANG_GEN_AND_ADMIN/1M</stp>
        <stp>FPR=2021Y</stp>
        <stp>FPT=A</stp>
        <stp>FA_ACT_EST_DATA=E, EST_SOURCE=CMPY</stp>
        <stp>ACT_EST_MAPPING=PRECISE</stp>
        <stp>FS=MRC</stp>
        <stp>CURRENCY=USD</stp>
        <stp>XLFILL=b</stp>
        <tr r="J149" s="2"/>
      </tp>
      <tp t="s">
        <v>#N/A Requesting Data...</v>
        <stp/>
        <stp>##V3_BQLV12</stp>
        <stp>[MODL_NOW_US1.xlsx]Single Period!R96C26</stp>
        <stp>NOW US Equity</stp>
        <stp>ADJ_OPERATING_MARGIN</stp>
        <stp>FPR=2021Y</stp>
        <stp>FPT=A</stp>
        <stp>FA_ACT_EST_DATA=E, EST_SOURCE=UBS</stp>
        <stp>ACT_EST_MAPPING=PRECISE</stp>
        <stp>FS=MRC</stp>
        <stp>CURRENCY=USD</stp>
        <stp>XLFILL=b</stp>
        <tr r="Z96" s="2"/>
      </tp>
      <tp t="s">
        <v>#N/A Requesting Data...</v>
        <stp/>
        <stp>##V3_BQLV12</stp>
        <stp>[MODL_NOW_US1.xlsx]Single Period!R157C17</stp>
        <stp>NOW US Equity</stp>
        <stp>BS_MKT_SEC_OTHER_ST_INVEST/1M</stp>
        <stp>FPR=2021Y</stp>
        <stp>FPT=A</stp>
        <stp>FA_ACT_EST_DATA=E, EST_SOURCE=RHR</stp>
        <stp>ACT_EST_MAPPING=PRECISE</stp>
        <stp>FS=MRC</stp>
        <stp>CURRENCY=USD</stp>
        <stp>XLFILL=b</stp>
        <tr r="Q157" s="2"/>
      </tp>
      <tp t="s">
        <v>#N/A Requesting Data...</v>
        <stp/>
        <stp>##V3_BQLV12</stp>
        <stp>[MODL_NOW_US1.xlsx]Single Period!R194C21</stp>
        <stp>NOW US Equity</stp>
        <stp>CB_BS_OTHER_CURRENT_ASSETS/1M</stp>
        <stp>FPR=2021Y</stp>
        <stp>FPT=A</stp>
        <stp>FA_ACT_EST_DATA=E, EST_SOURCE=JMP</stp>
        <stp>ACT_EST_MAPPING=PRECISE</stp>
        <stp>FS=MRC</stp>
        <stp>CURRENCY=USD</stp>
        <stp>XLFILL=b</stp>
        <tr r="U194" s="2"/>
      </tp>
      <tp t="s">
        <v>#N/A Requesting Data...</v>
        <stp/>
        <stp>##V3_BQLV12</stp>
        <stp>[MODL_NOW_US1.xlsx]Single Period!R28C17</stp>
        <stp>NOW US Equity</stp>
        <stp>ADJ_OPERATING_MARGIN</stp>
        <stp>FPR=2021Y</stp>
        <stp>FPT=A</stp>
        <stp>FA_ACT_EST_DATA=E, EST_SOURCE=RHR</stp>
        <stp>ACT_EST_MAPPING=PRECISE</stp>
        <stp>FS=MRC</stp>
        <stp>CURRENCY=USD</stp>
        <stp>XLFILL=b</stp>
        <tr r="Q28" s="2"/>
      </tp>
      <tp t="s">
        <v>#N/A Requesting Data...</v>
        <stp/>
        <stp>##V3_BQLV12</stp>
        <stp>[MODL_NOW_US1.xlsx]Single Period!R164C49</stp>
        <stp>NOW US Equity</stp>
        <stp>CB_BS_PP_AND_E_NET/1M</stp>
        <stp>FPR=2021Y</stp>
        <stp>FPT=A</stp>
        <stp>FA_ACT_EST_DATA=E, EST_SOURCE=SCB</stp>
        <stp>ACT_EST_MAPPING=PRECISE</stp>
        <stp>FS=MRC</stp>
        <stp>CURRENCY=USD</stp>
        <stp>XLFILL=b</stp>
        <tr r="AW164" s="2"/>
      </tp>
      <tp t="s">
        <v>#N/A Requesting Data...</v>
        <stp/>
        <stp>##V3_BQLV12</stp>
        <stp>[MODL_NOW_US1.xlsx]Single Period!R164C16</stp>
        <stp>NOW US Equity</stp>
        <stp>CB_BS_PP_AND_E_NET/1M</stp>
        <stp>FPR=2021Y</stp>
        <stp>FPT=A</stp>
        <stp>FA_ACT_EST_DATA=E, EST_SOURCE=BCA</stp>
        <stp>ACT_EST_MAPPING=PRECISE</stp>
        <stp>FS=MRC</stp>
        <stp>CURRENCY=USD</stp>
        <stp>XLFILL=b</stp>
        <tr r="P164" s="2"/>
      </tp>
      <tp t="s">
        <v>#N/A Requesting Data...</v>
        <stp/>
        <stp>##V3_BQLV12</stp>
        <stp>[MODL_NOW_US1.xlsx]Single Period!R111C28</stp>
        <stp>NOW US Equity</stp>
        <stp>IS_COGS_TO_FE_AND_PP_AND_G/1M</stp>
        <stp>FPR=2021Y</stp>
        <stp>FPT=A</stp>
        <stp>FA_ACT_EST_DATA=E, EST_SOURCE=EVR</stp>
        <stp>ACT_EST_MAPPING=PRECISE</stp>
        <stp>FS=MRC</stp>
        <stp>CURRENCY=USD</stp>
        <stp>XLFILL=b</stp>
        <tr r="AB111" s="2"/>
      </tp>
      <tp t="s">
        <v>#N/A Requesting Data...</v>
        <stp/>
        <stp>##V3_BQLV12</stp>
        <stp>[MODL_NOW_US1.xlsx]Single Period!R26C9</stp>
        <stp>NOW US Equity</stp>
        <stp>CONTRIBUTOR_STATS(IS_ADJ_SELLING_AND_MRKTG_EXPN_AR, MEDIAN)/1M</stp>
        <stp>FPR=2021Y</stp>
        <stp>FPT=A</stp>
        <stp>FA_ACT_EST_DATA=E</stp>
        <stp>ACT_EST_MAPPING=PRECISE</stp>
        <stp>FS=MRC</stp>
        <stp>CURRENCY=USD</stp>
        <stp>XLFILL=b</stp>
        <tr r="I26" s="2"/>
      </tp>
      <tp t="s">
        <v>#N/A Requesting Data...</v>
        <stp/>
        <stp>##V3_BQLV12</stp>
        <stp>[MODL_NOW_US1.xlsx]Single Period!R194C14</stp>
        <stp>NOW US Equity</stp>
        <stp>CB_BS_OTHER_CURRENT_ASSETS/1M</stp>
        <stp>FPR=2021Y</stp>
        <stp>FPT=A</stp>
        <stp>FA_ACT_EST_DATA=E, EST_SOURCE=BMO</stp>
        <stp>ACT_EST_MAPPING=PRECISE</stp>
        <stp>FS=MRC</stp>
        <stp>CURRENCY=USD</stp>
        <stp>XLFILL=b</stp>
        <tr r="N194" s="2"/>
      </tp>
      <tp t="s">
        <v>#N/A Requesting Data...</v>
        <stp/>
        <stp>##V3_BQLV12</stp>
        <stp>[MODL_NOW_US1.xlsx]Single Period!R91C46</stp>
        <stp>NOW US Equity</stp>
        <stp>ADJ_R_AND_D_TO_SALES</stp>
        <stp>FPR=2021Y</stp>
        <stp>FPT=A</stp>
        <stp>FA_ACT_EST_DATA=E, EST_SOURCE=MZS</stp>
        <stp>ACT_EST_MAPPING=PRECISE</stp>
        <stp>FS=MRC</stp>
        <stp>CURRENCY=USD</stp>
        <stp>XLFILL=b</stp>
        <tr r="AT91" s="2"/>
      </tp>
      <tp t="s">
        <v>#N/A Requesting Data...</v>
        <stp/>
        <stp>##V3_BQLV12</stp>
        <stp>[MODL_NOW_US1.xlsx]Single Period!R28C45</stp>
        <stp>NOW US Equity</stp>
        <stp>ADJ_OPERATING_MARGIN</stp>
        <stp>FPR=2021Y</stp>
        <stp>FPT=A</stp>
        <stp>FA_ACT_EST_DATA=E, EST_SOURCE=PJE</stp>
        <stp>ACT_EST_MAPPING=PRECISE</stp>
        <stp>FS=MRC</stp>
        <stp>CURRENCY=USD</stp>
        <stp>XLFILL=b</stp>
        <tr r="AS28" s="2"/>
      </tp>
      <tp t="s">
        <v>#N/A Requesting Data...</v>
        <stp/>
        <stp>##V3_BQLV12</stp>
        <stp>[MODL_NOW_US1.xlsx]Single Period!R163C22</stp>
        <stp>NOW US Equity</stp>
        <stp>CB_BS_PP_AND_E_NET/1M</stp>
        <stp>FPR=2021Y</stp>
        <stp>FPT=A</stp>
        <stp>FA_ACT_EST_DATA=E, EST_SOURCE=NDH</stp>
        <stp>ACT_EST_MAPPING=PRECISE</stp>
        <stp>FS=MRC</stp>
        <stp>CURRENCY=USD</stp>
        <stp>XLFILL=b</stp>
        <tr r="V163" s="2"/>
      </tp>
      <tp t="s">
        <v>#N/A Requesting Data...</v>
        <stp/>
        <stp>##V3_BQLV12</stp>
        <stp>[MODL_NOW_US1.xlsx]Single Period!R144C23</stp>
        <stp>NOW US Equity</stp>
        <stp>IS_SBC_ATT_TO_GENL_AND_ADMIN_PRETX/1M</stp>
        <stp>FPR=2021Y</stp>
        <stp>FPT=A</stp>
        <stp>FA_ACT_EST_DATA=E, EST_SOURCE=ZXS</stp>
        <stp>ACT_EST_MAPPING=PRECISE</stp>
        <stp>FS=MRC</stp>
        <stp>CURRENCY=USD</stp>
        <stp>XLFILL=b</stp>
        <tr r="W144" s="2"/>
      </tp>
      <tp t="s">
        <v>#N/A Requesting Data...</v>
        <stp/>
        <stp>##V3_BQLV12</stp>
        <stp>[MODL_NOW_US1.xlsx]Single Period!R127C22</stp>
        <stp>NOW US Equity</stp>
        <stp>PRETAX_INC/1M</stp>
        <stp>FPR=2021Y</stp>
        <stp>FPT=A</stp>
        <stp>FA_ACT_EST_DATA=E, EST_SOURCE=NDH</stp>
        <stp>ACT_EST_MAPPING=PRECISE</stp>
        <stp>FS=MRC</stp>
        <stp>CURRENCY=USD</stp>
        <stp>XLFILL=b</stp>
        <tr r="V127" s="2"/>
      </tp>
      <tp t="s">
        <v>#N/A Requesting Data...</v>
        <stp/>
        <stp>##V3_BQLV12</stp>
        <stp>[MODL_NOW_US1.xlsx]Single Period!R160C24</stp>
        <stp>NOW US Equity</stp>
        <stp>PREPAID_EXPNSS_AND_OTHR/1M</stp>
        <stp>FPR=2021Y</stp>
        <stp>FPT=A</stp>
        <stp>FA_ACT_EST_DATA=E, EST_SOURCE=CWN</stp>
        <stp>ACT_EST_MAPPING=PRECISE</stp>
        <stp>FS=MRC</stp>
        <stp>CURRENCY=USD</stp>
        <stp>XLFILL=b</stp>
        <tr r="X160" s="2"/>
      </tp>
      <tp t="s">
        <v>#N/A Requesting Data...</v>
        <stp/>
        <stp>##V3_BQLV12</stp>
        <stp>[MODL_NOW_US1.xlsx]Single Period!R160C40</stp>
        <stp>NOW US Equity</stp>
        <stp>PREPAID_EXPNSS_AND_OTHR/1M</stp>
        <stp>FPR=2021Y</stp>
        <stp>FPT=A</stp>
        <stp>FA_ACT_EST_DATA=E, EST_SOURCE=DWI</stp>
        <stp>ACT_EST_MAPPING=PRECISE</stp>
        <stp>FS=MRC</stp>
        <stp>CURRENCY=USD</stp>
        <stp>XLFILL=b</stp>
        <tr r="AN160" s="2"/>
      </tp>
      <tp t="s">
        <v>#N/A Requesting Data...</v>
        <stp/>
        <stp>##V3_BQLV12</stp>
        <stp>[MODL_NOW_US1.xlsx]Single Period!R21C34</stp>
        <stp>SEG0000230986 Segment</stp>
        <stp>IS_BILLINGS/1M</stp>
        <stp>FPR=2021Y</stp>
        <stp>FPT=A</stp>
        <stp>FA_ACT_EST_DATA=E, EST_SOURCE=PSG</stp>
        <stp>ACT_EST_MAPPING=PRECISE</stp>
        <stp>FS=MRC</stp>
        <stp>CURRENCY=USD</stp>
        <stp>XLFILL=b</stp>
        <tr r="AH21" s="2"/>
      </tp>
      <tp t="s">
        <v>#N/A Requesting Data...</v>
        <stp/>
        <stp>##V3_BQLV12</stp>
        <stp>[MODL_NOW_US1.xlsx]Single Period!R46C34</stp>
        <stp>SEG0000230986 Segment</stp>
        <stp>IS_BILLINGS/1M</stp>
        <stp>FPR=2021Y</stp>
        <stp>FPT=A</stp>
        <stp>FA_ACT_EST_DATA=E, EST_SOURCE=PSG</stp>
        <stp>ACT_EST_MAPPING=PRECISE</stp>
        <stp>FS=MRC</stp>
        <stp>CURRENCY=USD</stp>
        <stp>XLFILL=b</stp>
        <tr r="AH46" s="2"/>
      </tp>
      <tp t="s">
        <v>#N/A Requesting Data...</v>
        <stp/>
        <stp>##V3_BQLV12</stp>
        <stp>[MODL_NOW_US1.xlsx]Single Period!R125C13</stp>
        <stp>NOW US Equity</stp>
        <stp>OPER_INC_TO_NET_SALES</stp>
        <stp>FPR=2021Y</stp>
        <stp>FPT=A</stp>
        <stp>FA_ACT_EST_DATA=E, EST_SOURCE=KEY</stp>
        <stp>ACT_EST_MAPPING=PRECISE</stp>
        <stp>FS=MRC</stp>
        <stp>CURRENCY=USD</stp>
        <stp>XLFILL=b</stp>
        <tr r="M125" s="2"/>
      </tp>
      <tp t="s">
        <v>#N/A Requesting Data...</v>
        <stp/>
        <stp>##V3_BQLV12</stp>
        <stp>[MODL_NOW_US1.xlsx]Single Period!R199C16</stp>
        <stp>NOW US Equity</stp>
        <stp>IS_COMP_NET_INCOME_GAAP/1M</stp>
        <stp>FPR=2021Y</stp>
        <stp>FPT=A</stp>
        <stp>FA_ACT_EST_DATA=E, EST_SOURCE=BCA</stp>
        <stp>ACT_EST_MAPPING=PRECISE</stp>
        <stp>FS=MRC</stp>
        <stp>CURRENCY=USD</stp>
        <stp>XLFILL=b</stp>
        <tr r="P199" s="2"/>
      </tp>
      <tp t="s">
        <v>#N/A Requesting Data...</v>
        <stp/>
        <stp>##V3_BQLV12</stp>
        <stp>[MODL_NOW_US1.xlsx]Single Period!R130C16</stp>
        <stp>NOW US Equity</stp>
        <stp>IS_COMP_NET_INCOME_GAAP/1M</stp>
        <stp>FPR=2021Y</stp>
        <stp>FPT=A</stp>
        <stp>FA_ACT_EST_DATA=E, EST_SOURCE=BCA</stp>
        <stp>ACT_EST_MAPPING=PRECISE</stp>
        <stp>FS=MRC</stp>
        <stp>CURRENCY=USD</stp>
        <stp>XLFILL=b</stp>
        <tr r="P130" s="2"/>
      </tp>
      <tp t="s">
        <v>#N/A Requesting Data...</v>
        <stp/>
        <stp>##V3_BQLV12</stp>
        <stp>[MODL_NOW_US1.xlsx]Single Period!R42C11</stp>
        <stp>SEG0000230975 Segment</stp>
        <stp>IS_BILLINGS/1M</stp>
        <stp>FPR=2021Y</stp>
        <stp>FPT=A</stp>
        <stp>FA_ACT_EST_DATA=E, EST_SOURCE=JPM</stp>
        <stp>ACT_EST_MAPPING=PRECISE</stp>
        <stp>FS=MRC</stp>
        <stp>CURRENCY=USD</stp>
        <stp>XLFILL=b</stp>
        <tr r="K42" s="2"/>
      </tp>
      <tp t="s">
        <v>#N/A Requesting Data...</v>
        <stp/>
        <stp>##V3_BQLV12</stp>
        <stp>[MODL_NOW_US1.xlsx]Single Period!R17C11</stp>
        <stp>SEG0000230975 Segment</stp>
        <stp>IS_BILLINGS/1M</stp>
        <stp>FPR=2021Y</stp>
        <stp>FPT=A</stp>
        <stp>FA_ACT_EST_DATA=E, EST_SOURCE=JPM</stp>
        <stp>ACT_EST_MAPPING=PRECISE</stp>
        <stp>FS=MRC</stp>
        <stp>CURRENCY=USD</stp>
        <stp>XLFILL=b</stp>
        <tr r="K17" s="2"/>
      </tp>
      <tp t="s">
        <v>#N/A Requesting Data...</v>
        <stp/>
        <stp>##V3_BQLV12</stp>
        <stp>[MODL_NOW_US1.xlsx]Single Period!R130C49</stp>
        <stp>NOW US Equity</stp>
        <stp>IS_COMP_NET_INCOME_GAAP/1M</stp>
        <stp>FPR=2021Y</stp>
        <stp>FPT=A</stp>
        <stp>FA_ACT_EST_DATA=E, EST_SOURCE=SCB</stp>
        <stp>ACT_EST_MAPPING=PRECISE</stp>
        <stp>FS=MRC</stp>
        <stp>CURRENCY=USD</stp>
        <stp>XLFILL=b</stp>
        <tr r="AW130" s="2"/>
      </tp>
      <tp t="s">
        <v>#N/A Requesting Data...</v>
        <stp/>
        <stp>##V3_BQLV12</stp>
        <stp>[MODL_NOW_US1.xlsx]Single Period!R199C49</stp>
        <stp>NOW US Equity</stp>
        <stp>IS_COMP_NET_INCOME_GAAP/1M</stp>
        <stp>FPR=2021Y</stp>
        <stp>FPT=A</stp>
        <stp>FA_ACT_EST_DATA=E, EST_SOURCE=SCB</stp>
        <stp>ACT_EST_MAPPING=PRECISE</stp>
        <stp>FS=MRC</stp>
        <stp>CURRENCY=USD</stp>
        <stp>XLFILL=b</stp>
        <tr r="AW199" s="2"/>
      </tp>
      <tp t="s">
        <v>#N/A Requesting Data...</v>
        <stp/>
        <stp>##V3_BQLV12</stp>
        <stp>[MODL_NOW_US1.xlsx]Single Period!R181C47</stp>
        <stp>NOW US Equity</stp>
        <stp>BS_LONG_TERM_BORROWINGS/1M</stp>
        <stp>FPR=2021Y</stp>
        <stp>FPT=A</stp>
        <stp>FA_ACT_EST_DATA=E, EST_SOURCE=SUM</stp>
        <stp>ACT_EST_MAPPING=PRECISE</stp>
        <stp>FS=MRC</stp>
        <stp>CURRENCY=USD</stp>
        <stp>XLFILL=b</stp>
        <tr r="AU181" s="2"/>
      </tp>
      <tp t="s">
        <v>#N/A Requesting Data...</v>
        <stp/>
        <stp>##V3_BQLV12</stp>
        <stp>[MODL_NOW_US1.xlsx]Single Period!R205C26</stp>
        <stp>NOW US Equity</stp>
        <stp>CB_CF_OTHR_NONCSH_ITEMS/1M</stp>
        <stp>FPR=2021Y</stp>
        <stp>FPT=A</stp>
        <stp>FA_ACT_EST_DATA=E, EST_SOURCE=UBS</stp>
        <stp>ACT_EST_MAPPING=PRECISE</stp>
        <stp>FS=MRC</stp>
        <stp>CURRENCY=USD</stp>
        <stp>XLFILL=b</stp>
        <tr r="Z205" s="2"/>
      </tp>
      <tp t="s">
        <v>#N/A Requesting Data...</v>
        <stp/>
        <stp>##V3_BQLV12</stp>
        <stp>[MODL_NOW_US1.xlsx]Single Period!R160C38</stp>
        <stp>NOW US Equity</stp>
        <stp>PREPAID_EXPNSS_AND_OTHR/1M</stp>
        <stp>FPR=2021Y</stp>
        <stp>FPT=A</stp>
        <stp>FA_ACT_EST_DATA=E, EST_SOURCE=RWB</stp>
        <stp>ACT_EST_MAPPING=PRECISE</stp>
        <stp>FS=MRC</stp>
        <stp>CURRENCY=USD</stp>
        <stp>XLFILL=b</stp>
        <tr r="AL160" s="2"/>
      </tp>
      <tp t="s">
        <v>#N/A Requesting Data...</v>
        <stp/>
        <stp>##V3_BQLV12</stp>
        <stp>[MODL_NOW_US1.xlsx]Single Period!R236C22</stp>
        <stp>NOW US Equity</stp>
        <stp>FREE_CASH_FLOW_MARGIN</stp>
        <stp>FPR=2021Y</stp>
        <stp>FPT=A</stp>
        <stp>FA_ACT_EST_DATA=E, EST_SOURCE=NDH</stp>
        <stp>ACT_EST_MAPPING=PRECISE</stp>
        <stp>FS=MRC</stp>
        <stp>CURRENCY=USD</stp>
        <stp>XLFILL=b</stp>
        <tr r="V236" s="2"/>
      </tp>
      <tp t="s">
        <v>#N/A Requesting Data...</v>
        <stp/>
        <stp>##V3_BQLV12</stp>
        <stp>[MODL_NOW_US1.xlsx]Single Period!R174C49</stp>
        <stp>NOW US Equity</stp>
        <stp>BS_ACCT_PAYABLE/1M</stp>
        <stp>FPR=2021Y</stp>
        <stp>FPT=A</stp>
        <stp>FA_ACT_EST_DATA=E, EST_SOURCE=SCB</stp>
        <stp>ACT_EST_MAPPING=PRECISE</stp>
        <stp>FS=MRC</stp>
        <stp>CURRENCY=USD</stp>
        <stp>XLFILL=b</stp>
        <tr r="AW174" s="2"/>
      </tp>
      <tp t="s">
        <v>#N/A Requesting Data...</v>
        <stp/>
        <stp>##V3_BQLV12</stp>
        <stp>[MODL_NOW_US1.xlsx]Single Period!R46C31</stp>
        <stp>SEG0000230986 Segment</stp>
        <stp>IS_BILLINGS/1M</stp>
        <stp>FPR=2021Y</stp>
        <stp>FPT=A</stp>
        <stp>FA_ACT_EST_DATA=E, EST_SOURCE=GSR</stp>
        <stp>ACT_EST_MAPPING=PRECISE</stp>
        <stp>FS=MRC</stp>
        <stp>CURRENCY=USD</stp>
        <stp>XLFILL=b</stp>
        <tr r="AE46" s="2"/>
      </tp>
      <tp t="s">
        <v>#N/A Requesting Data...</v>
        <stp/>
        <stp>##V3_BQLV12</stp>
        <stp>[MODL_NOW_US1.xlsx]Single Period!R21C35</stp>
        <stp>SEG0000230986 Segment</stp>
        <stp>IS_BILLINGS/1M</stp>
        <stp>FPR=2021Y</stp>
        <stp>FPT=A</stp>
        <stp>FA_ACT_EST_DATA=E, EST_SOURCE=MSR</stp>
        <stp>ACT_EST_MAPPING=PRECISE</stp>
        <stp>FS=MRC</stp>
        <stp>CURRENCY=USD</stp>
        <stp>XLFILL=b</stp>
        <tr r="AI21" s="2"/>
      </tp>
      <tp t="s">
        <v>#N/A Requesting Data...</v>
        <stp/>
        <stp>##V3_BQLV12</stp>
        <stp>[MODL_NOW_US1.xlsx]Single Period!R46C35</stp>
        <stp>SEG0000230986 Segment</stp>
        <stp>IS_BILLINGS/1M</stp>
        <stp>FPR=2021Y</stp>
        <stp>FPT=A</stp>
        <stp>FA_ACT_EST_DATA=E, EST_SOURCE=MSR</stp>
        <stp>ACT_EST_MAPPING=PRECISE</stp>
        <stp>FS=MRC</stp>
        <stp>CURRENCY=USD</stp>
        <stp>XLFILL=b</stp>
        <tr r="AI46" s="2"/>
      </tp>
      <tp t="s">
        <v>#N/A Requesting Data...</v>
        <stp/>
        <stp>##V3_BQLV12</stp>
        <stp>[MODL_NOW_US1.xlsx]Single Period!R21C31</stp>
        <stp>SEG0000230986 Segment</stp>
        <stp>IS_BILLINGS/1M</stp>
        <stp>FPR=2021Y</stp>
        <stp>FPT=A</stp>
        <stp>FA_ACT_EST_DATA=E, EST_SOURCE=GSR</stp>
        <stp>ACT_EST_MAPPING=PRECISE</stp>
        <stp>FS=MRC</stp>
        <stp>CURRENCY=USD</stp>
        <stp>XLFILL=b</stp>
        <tr r="AE21" s="2"/>
      </tp>
      <tp t="s">
        <v>#N/A Requesting Data...</v>
        <stp/>
        <stp>##V3_BQLV12</stp>
        <stp>[MODL_NOW_US1.xlsx]Single Period!R205C12</stp>
        <stp>NOW US Equity</stp>
        <stp>CB_CF_OTHR_NONCSH_ITEMS/1M</stp>
        <stp>FPR=2021Y</stp>
        <stp>FPT=A</stp>
        <stp>FA_ACT_EST_DATA=E, EST_SOURCE=WBL</stp>
        <stp>ACT_EST_MAPPING=PRECISE</stp>
        <stp>FS=MRC</stp>
        <stp>CURRENCY=USD</stp>
        <stp>XLFILL=b</stp>
        <tr r="L205" s="2"/>
      </tp>
      <tp t="s">
        <v>#N/A Requesting Data...</v>
        <stp/>
        <stp>##V3_BQLV12</stp>
        <stp>[MODL_NOW_US1.xlsx]Single Period!R208C45</stp>
        <stp>NOW US Equity</stp>
        <stp>CF_CHANGE_IN_OTHR_ASSTS/1M</stp>
        <stp>FPR=2021Y</stp>
        <stp>FPT=A</stp>
        <stp>FA_ACT_EST_DATA=E, EST_SOURCE=PJE</stp>
        <stp>ACT_EST_MAPPING=PRECISE</stp>
        <stp>FS=MRC</stp>
        <stp>CURRENCY=USD</stp>
        <stp>XLFILL=b</stp>
        <tr r="AS208" s="2"/>
      </tp>
      <tp t="s">
        <v>#N/A Requesting Data...</v>
        <stp/>
        <stp>##V3_BQLV12</stp>
        <stp>[MODL_NOW_US1.xlsx]Single Period!R174C16</stp>
        <stp>NOW US Equity</stp>
        <stp>BS_ACCT_PAYABLE/1M</stp>
        <stp>FPR=2021Y</stp>
        <stp>FPT=A</stp>
        <stp>FA_ACT_EST_DATA=E, EST_SOURCE=BCA</stp>
        <stp>ACT_EST_MAPPING=PRECISE</stp>
        <stp>FS=MRC</stp>
        <stp>CURRENCY=USD</stp>
        <stp>XLFILL=b</stp>
        <tr r="P174" s="2"/>
      </tp>
      <tp t="s">
        <v>#N/A Requesting Data...</v>
        <stp/>
        <stp>##V3_BQLV12</stp>
        <stp>[MODL_NOW_US1.xlsx]Single Period!R46C19</stp>
        <stp>SEG0000230986 Segment</stp>
        <stp>IS_BILLINGS/1M</stp>
        <stp>FPR=2021Y</stp>
        <stp>FPT=A</stp>
        <stp>FA_ACT_EST_DATA=E, EST_SOURCE=MSV</stp>
        <stp>ACT_EST_MAPPING=PRECISE</stp>
        <stp>FS=MRC</stp>
        <stp>CURRENCY=USD</stp>
        <stp>XLFILL=b</stp>
        <tr r="S46" s="2"/>
      </tp>
      <tp t="s">
        <v>#N/A Requesting Data...</v>
        <stp/>
        <stp>##V3_BQLV12</stp>
        <stp>[MODL_NOW_US1.xlsx]Single Period!R47C23</stp>
        <stp>SEG0000230986 Segment</stp>
        <stp>CB_ADJ_BILLINGS_AMT/1M</stp>
        <stp>FPR=2021Y</stp>
        <stp>FPT=A</stp>
        <stp>FA_ACT_EST_DATA=E, EST_SOURCE=ZXS</stp>
        <stp>ACT_EST_MAPPING=PRECISE</stp>
        <stp>FS=MRC</stp>
        <stp>CURRENCY=USD</stp>
        <stp>XLFILL=b</stp>
        <tr r="W47" s="2"/>
      </tp>
      <tp t="s">
        <v>#N/A Requesting Data...</v>
        <stp/>
        <stp>##V3_BQLV12</stp>
        <stp>[MODL_NOW_US1.xlsx]Single Period!R21C19</stp>
        <stp>SEG0000230986 Segment</stp>
        <stp>IS_BILLINGS/1M</stp>
        <stp>FPR=2021Y</stp>
        <stp>FPT=A</stp>
        <stp>FA_ACT_EST_DATA=E, EST_SOURCE=MSV</stp>
        <stp>ACT_EST_MAPPING=PRECISE</stp>
        <stp>FS=MRC</stp>
        <stp>CURRENCY=USD</stp>
        <stp>XLFILL=b</stp>
        <tr r="S21" s="2"/>
      </tp>
      <tp t="s">
        <v>#N/A Requesting Data...</v>
        <stp/>
        <stp>##V3_BQLV12</stp>
        <stp>[MODL_NOW_US1.xlsx]Single Period!R17C15</stp>
        <stp>SEG0000230975 Segment</stp>
        <stp>IS_BILLINGS/1M</stp>
        <stp>FPR=2021Y</stp>
        <stp>FPT=A</stp>
        <stp>FA_ACT_EST_DATA=E, EST_SOURCE=OPY</stp>
        <stp>ACT_EST_MAPPING=PRECISE</stp>
        <stp>FS=MRC</stp>
        <stp>CURRENCY=USD</stp>
        <stp>XLFILL=b</stp>
        <tr r="O17" s="2"/>
      </tp>
      <tp t="s">
        <v>#N/A Requesting Data...</v>
        <stp/>
        <stp>##V3_BQLV12</stp>
        <stp>[MODL_NOW_US1.xlsx]Single Period!R42C15</stp>
        <stp>SEG0000230975 Segment</stp>
        <stp>IS_BILLINGS/1M</stp>
        <stp>FPR=2021Y</stp>
        <stp>FPT=A</stp>
        <stp>FA_ACT_EST_DATA=E, EST_SOURCE=OPY</stp>
        <stp>ACT_EST_MAPPING=PRECISE</stp>
        <stp>FS=MRC</stp>
        <stp>CURRENCY=USD</stp>
        <stp>XLFILL=b</stp>
        <tr r="O42" s="2"/>
      </tp>
      <tp t="s">
        <v>#N/A Requesting Data...</v>
        <stp/>
        <stp>##V3_BQLV12</stp>
        <stp>[MODL_NOW_US1.xlsx]Single Period!R125C36</stp>
        <stp>NOW US Equity</stp>
        <stp>OPER_INC_TO_NET_SALES</stp>
        <stp>FPR=2021Y</stp>
        <stp>FPT=A</stp>
        <stp>FA_ACT_EST_DATA=E, EST_SOURCE=JEF</stp>
        <stp>ACT_EST_MAPPING=PRECISE</stp>
        <stp>FS=MRC</stp>
        <stp>CURRENCY=USD</stp>
        <stp>XLFILL=b</stp>
        <tr r="AJ125" s="2"/>
      </tp>
      <tp t="s">
        <v>#N/A Requesting Data...</v>
        <stp/>
        <stp>##V3_BQLV12</stp>
        <stp>[MODL_NOW_US1.xlsx]Single Period!R205C25</stp>
        <stp>NOW US Equity</stp>
        <stp>CB_CF_OTHR_NONCSH_ITEMS/1M</stp>
        <stp>FPR=2021Y</stp>
        <stp>FPT=A</stp>
        <stp>FA_ACT_EST_DATA=E, EST_SOURCE=DBG</stp>
        <stp>ACT_EST_MAPPING=PRECISE</stp>
        <stp>FS=MRC</stp>
        <stp>CURRENCY=USD</stp>
        <stp>XLFILL=b</stp>
        <tr r="Y205" s="2"/>
      </tp>
      <tp t="s">
        <v>#N/A Requesting Data...</v>
        <stp/>
        <stp>##V3_BQLV12</stp>
        <stp>[MODL_NOW_US1.xlsx]Single Period!R131C10</stp>
        <stp>NOW US Equity</stp>
        <stp>IS_AVG_NUM_SH_FOR_EPS/1M</stp>
        <stp>FPR=2021Y</stp>
        <stp>FPT=A</stp>
        <stp>FA_ACT_EST_DATA=E, EST_SOURCE=CMPY</stp>
        <stp>ACT_EST_MAPPING=PRECISE</stp>
        <stp>FS=MRC</stp>
        <stp>CURRENCY=USD</stp>
        <stp>XLFILL=b</stp>
        <tr r="J131" s="2"/>
      </tp>
      <tp t="s">
        <v>#N/A Requesting Data...</v>
        <stp/>
        <stp>##V3_BQLV12</stp>
        <stp>[MODL_NOW_US1.xlsx]Single Period!R205C32</stp>
        <stp>NOW US Equity</stp>
        <stp>CB_CF_OTHR_NONCSH_ITEMS/1M</stp>
        <stp>FPR=2021Y</stp>
        <stp>FPT=A</stp>
        <stp>FA_ACT_EST_DATA=E, EST_SOURCE=FBC</stp>
        <stp>ACT_EST_MAPPING=PRECISE</stp>
        <stp>FS=MRC</stp>
        <stp>CURRENCY=USD</stp>
        <stp>XLFILL=b</stp>
        <tr r="AF205" s="2"/>
      </tp>
      <tp t="s">
        <v>#N/A Requesting Data...</v>
        <stp/>
        <stp>##V3_BQLV12</stp>
        <stp>[MODL_NOW_US1.xlsx]Single Period!R117C28</stp>
        <stp>NOW US Equity</stp>
        <stp>IS_TOT_OPER_EXP/1M</stp>
        <stp>FPR=2021Y</stp>
        <stp>FPT=A</stp>
        <stp>FA_ACT_EST_DATA=E, EST_SOURCE=EVR</stp>
        <stp>ACT_EST_MAPPING=PRECISE</stp>
        <stp>FS=MRC</stp>
        <stp>CURRENCY=USD</stp>
        <stp>XLFILL=b</stp>
        <tr r="AB117" s="2"/>
      </tp>
      <tp t="s">
        <v>#N/A Requesting Data...</v>
        <stp/>
        <stp>##V3_BQLV12</stp>
        <stp>[MODL_NOW_US1.xlsx]Single Period!R205C27</stp>
        <stp>NOW US Equity</stp>
        <stp>CB_CF_OTHR_NONCSH_ITEMS/1M</stp>
        <stp>FPR=2021Y</stp>
        <stp>FPT=A</stp>
        <stp>FA_ACT_EST_DATA=E, EST_SOURCE=RBC</stp>
        <stp>ACT_EST_MAPPING=PRECISE</stp>
        <stp>FS=MRC</stp>
        <stp>CURRENCY=USD</stp>
        <stp>XLFILL=b</stp>
        <tr r="AA205" s="2"/>
      </tp>
      <tp t="s">
        <v>#N/A Requesting Data...</v>
        <stp/>
        <stp>##V3_BQLV12</stp>
        <stp>[MODL_NOW_US1.xlsx]Single Period!R138C23</stp>
        <stp>NOW US Equity</stp>
        <stp>SBC_NON_GAAP_TO_SALES</stp>
        <stp>FPR=2021Y</stp>
        <stp>FPT=A</stp>
        <stp>FA_ACT_EST_DATA=E, EST_SOURCE=ZXS</stp>
        <stp>ACT_EST_MAPPING=PRECISE</stp>
        <stp>FS=MRC</stp>
        <stp>CURRENCY=USD</stp>
        <stp>XLFILL=b</stp>
        <tr r="W138" s="2"/>
      </tp>
      <tp t="s">
        <v>#N/A Requesting Data...</v>
        <stp/>
        <stp>##V3_BQLV12</stp>
        <stp>[MODL_NOW_US1.xlsx]Single Period!R202C43</stp>
        <stp>NOW US Equity</stp>
        <stp>CF_AMORTIZATN_OF_DEFRRD_COMPNSTN/1M</stp>
        <stp>FPR=2021Y</stp>
        <stp>FPT=A</stp>
        <stp>FA_ACT_EST_DATA=E, EST_SOURCE=WFT</stp>
        <stp>ACT_EST_MAPPING=PRECISE</stp>
        <stp>FS=MRC</stp>
        <stp>CURRENCY=USD</stp>
        <stp>XLFILL=b</stp>
        <tr r="AQ202" s="2"/>
      </tp>
      <tp t="s">
        <v>#N/A Requesting Data...</v>
        <stp/>
        <stp>##V3_BQLV12</stp>
        <stp>[MODL_NOW_US1.xlsx]Single Period!R121C30</stp>
        <stp>NOW US Equity</stp>
        <stp>CB_IS_GENL_AND_ADMIN_EXPN/1M</stp>
        <stp>FPR=2021Y</stp>
        <stp>FPT=A</stp>
        <stp>FA_ACT_EST_DATA=E, EST_SOURCE=BAM</stp>
        <stp>ACT_EST_MAPPING=PRECISE</stp>
        <stp>FS=MRC</stp>
        <stp>CURRENCY=USD</stp>
        <stp>XLFILL=b</stp>
        <tr r="AD121" s="2"/>
      </tp>
      <tp t="s">
        <v>#N/A Requesting Data...</v>
        <stp/>
        <stp>##V3_BQLV12</stp>
        <stp>[MODL_NOW_US1.xlsx]Single Period!R148C42</stp>
        <stp>NOW US Equity</stp>
        <stp>IS_AMORT_ACQD_INTANGIBLES_R_AND_D/1M</stp>
        <stp>FPR=2021Y</stp>
        <stp>FPT=A</stp>
        <stp>FA_ACT_EST_DATA=E, EST_SOURCE=CTI</stp>
        <stp>ACT_EST_MAPPING=PRECISE</stp>
        <stp>FS=MRC</stp>
        <stp>CURRENCY=USD</stp>
        <stp>XLFILL=b</stp>
        <tr r="AP148" s="2"/>
      </tp>
      <tp t="s">
        <v>#N/A Requesting Data...</v>
        <stp/>
        <stp>##V3_BQLV12</stp>
        <stp>[MODL_NOW_US1.xlsx]Single Period!R121C20</stp>
        <stp>NOW US Equity</stp>
        <stp>CB_IS_GENL_AND_ADMIN_EXPN/1M</stp>
        <stp>FPR=2021Y</stp>
        <stp>FPT=A</stp>
        <stp>FA_ACT_EST_DATA=E, EST_SOURCE=CAN</stp>
        <stp>ACT_EST_MAPPING=PRECISE</stp>
        <stp>FS=MRC</stp>
        <stp>CURRENCY=USD</stp>
        <stp>XLFILL=b</stp>
        <tr r="T121" s="2"/>
      </tp>
      <tp t="s">
        <v>#N/A Requesting Data...</v>
        <stp/>
        <stp>##V3_BQLV12</stp>
        <stp>[MODL_NOW_US1.xlsx]Single Period!R175C13</stp>
        <stp>NOW US Equity</stp>
        <stp>BS_ACCRUD_EXPNSS_AND_OTHR/1M</stp>
        <stp>FPR=2021Y</stp>
        <stp>FPT=A</stp>
        <stp>FA_ACT_EST_DATA=E, EST_SOURCE=KEY</stp>
        <stp>ACT_EST_MAPPING=PRECISE</stp>
        <stp>FS=MRC</stp>
        <stp>CURRENCY=USD</stp>
        <stp>XLFILL=b</stp>
        <tr r="M175" s="2"/>
      </tp>
      <tp t="s">
        <v>#N/A Requesting Data...</v>
        <stp/>
        <stp>##V3_BQLV12</stp>
        <stp>[MODL_NOW_US1.xlsx]Single Period!R107C32</stp>
        <stp>NOW US Equity</stp>
        <stp>CB_IS_ADJ_DILUTED_AVG_SHS/1M</stp>
        <stp>FPR=2021Y</stp>
        <stp>FPT=A</stp>
        <stp>FA_ACT_EST_DATA=E, EST_SOURCE=FBC</stp>
        <stp>ACT_EST_MAPPING=PRECISE</stp>
        <stp>FS=MRC</stp>
        <stp>CURRENCY=USD</stp>
        <stp>XLFILL=b</stp>
        <tr r="AF107" s="2"/>
      </tp>
      <tp t="s">
        <v>#N/A Requesting Data...</v>
        <stp/>
        <stp>##V3_BQLV12</stp>
        <stp>[MODL_NOW_US1.xlsx]Single Period!R104C37</stp>
        <stp>NOW US Equity</stp>
        <stp>IS_COMP_NET_INC_EXCL_STOCK_COMP/1M</stp>
        <stp>FPR=2021Y</stp>
        <stp>FPT=A</stp>
        <stp>FA_ACT_EST_DATA=E, EST_SOURCE=TTC</stp>
        <stp>ACT_EST_MAPPING=PRECISE</stp>
        <stp>FS=MRC</stp>
        <stp>CURRENCY=USD</stp>
        <stp>XLFILL=b</stp>
        <tr r="AK104" s="2"/>
      </tp>
      <tp t="s">
        <v>#N/A Requesting Data...</v>
        <stp/>
        <stp>##V3_BQLV12</stp>
        <stp>[MODL_NOW_US1.xlsx]Single Period!R104C42</stp>
        <stp>NOW US Equity</stp>
        <stp>IS_COMP_NET_INC_EXCL_STOCK_COMP/1M</stp>
        <stp>FPR=2021Y</stp>
        <stp>FPT=A</stp>
        <stp>FA_ACT_EST_DATA=E, EST_SOURCE=CTI</stp>
        <stp>ACT_EST_MAPPING=PRECISE</stp>
        <stp>FS=MRC</stp>
        <stp>CURRENCY=USD</stp>
        <stp>XLFILL=b</stp>
        <tr r="AP104" s="2"/>
      </tp>
      <tp t="s">
        <v>#N/A Requesting Data...</v>
        <stp/>
        <stp>##V3_BQLV12</stp>
        <stp>[MODL_NOW_US1.xlsx]Single Period!R175C18</stp>
        <stp>NOW US Equity</stp>
        <stp>BS_ACCRUD_EXPNSS_AND_OTHR/1M</stp>
        <stp>FPR=2021Y</stp>
        <stp>FPT=A</stp>
        <stp>FA_ACT_EST_DATA=E, EST_SOURCE=SNR</stp>
        <stp>ACT_EST_MAPPING=PRECISE</stp>
        <stp>FS=MRC</stp>
        <stp>CURRENCY=USD</stp>
        <stp>XLFILL=b</stp>
        <tr r="R175" s="2"/>
      </tp>
      <tp t="s">
        <v>#N/A Requesting Data...</v>
        <stp/>
        <stp>##V3_BQLV12</stp>
        <stp>[MODL_NOW_US1.xlsx]Single Period!R225C47</stp>
        <stp>NOW US Equity</stp>
        <stp>CF_INCR_CAP_STOCK/1M</stp>
        <stp>FPR=2021Y</stp>
        <stp>FPT=A</stp>
        <stp>FA_ACT_EST_DATA=E, EST_SOURCE=SUM</stp>
        <stp>ACT_EST_MAPPING=PRECISE</stp>
        <stp>FS=MRC</stp>
        <stp>CURRENCY=USD</stp>
        <stp>XLFILL=b</stp>
        <tr r="AU225" s="2"/>
      </tp>
      <tp t="s">
        <v>#N/A Requesting Data...</v>
        <stp/>
        <stp>##V3_BQLV12</stp>
        <stp>[MODL_NOW_US1.xlsx]Single Period!R218C48</stp>
        <stp>NOW US Equity</stp>
        <stp>CF_ACQUISITION_OF_INTANG_ASSETS/1M</stp>
        <stp>FPR=2021Y</stp>
        <stp>FPT=A</stp>
        <stp>FA_ACT_EST_DATA=E, EST_SOURCE=CRC</stp>
        <stp>ACT_EST_MAPPING=PRECISE</stp>
        <stp>FS=MRC</stp>
        <stp>CURRENCY=USD</stp>
        <stp>XLFILL=b</stp>
        <tr r="AV218" s="2"/>
      </tp>
      <tp t="s">
        <v>#N/A Requesting Data...</v>
        <stp/>
        <stp>##V3_BQLV12</stp>
        <stp>[MODL_NOW_US1.xlsx]Single Period!R71C45</stp>
        <stp>SEG0000230986 Segment</stp>
        <stp>CB_IS_GROSS_PROFIT/1M</stp>
        <stp>FPR=2021Y</stp>
        <stp>FPT=A</stp>
        <stp>FA_ACT_EST_DATA=E, EST_SOURCE=PJE</stp>
        <stp>ACT_EST_MAPPING=PRECISE</stp>
        <stp>FS=MRC</stp>
        <stp>CURRENCY=USD</stp>
        <stp>XLFILL=b</stp>
        <tr r="AS71" s="2"/>
      </tp>
      <tp t="s">
        <v>#N/A Requesting Data...</v>
        <stp/>
        <stp>##V3_BQLV12</stp>
        <stp>[MODL_NOW_US1.xlsx]Single Period!R107C12</stp>
        <stp>NOW US Equity</stp>
        <stp>CB_IS_ADJ_DILUTED_AVG_SHS/1M</stp>
        <stp>FPR=2021Y</stp>
        <stp>FPT=A</stp>
        <stp>FA_ACT_EST_DATA=E, EST_SOURCE=WBL</stp>
        <stp>ACT_EST_MAPPING=PRECISE</stp>
        <stp>FS=MRC</stp>
        <stp>CURRENCY=USD</stp>
        <stp>XLFILL=b</stp>
        <tr r="L107" s="2"/>
      </tp>
      <tp t="s">
        <v>#N/A Requesting Data...</v>
        <stp/>
        <stp>##V3_BQLV12</stp>
        <stp>[MODL_NOW_US1.xlsx]Single Period!R218C41</stp>
        <stp>NOW US Equity</stp>
        <stp>CF_ACQUISITION_OF_INTANG_ASSETS/1M</stp>
        <stp>FPR=2021Y</stp>
        <stp>FPT=A</stp>
        <stp>FA_ACT_EST_DATA=E, EST_SOURCE=ARG</stp>
        <stp>ACT_EST_MAPPING=PRECISE</stp>
        <stp>FS=MRC</stp>
        <stp>CURRENCY=USD</stp>
        <stp>XLFILL=b</stp>
        <tr r="AO218" s="2"/>
      </tp>
      <tp t="s">
        <v>#N/A Requesting Data...</v>
        <stp/>
        <stp>##V3_BQLV12</stp>
        <stp>[MODL_NOW_US1.xlsx]Single Period!R148C44</stp>
        <stp>NOW US Equity</stp>
        <stp>IS_AMORT_ACQD_INTANGIBLES_R_AND_D/1M</stp>
        <stp>FPR=2021Y</stp>
        <stp>FPT=A</stp>
        <stp>FA_ACT_EST_DATA=E, EST_SOURCE=ARE</stp>
        <stp>ACT_EST_MAPPING=PRECISE</stp>
        <stp>FS=MRC</stp>
        <stp>CURRENCY=USD</stp>
        <stp>XLFILL=b</stp>
        <tr r="AR148" s="2"/>
      </tp>
      <tp t="s">
        <v>#N/A Requesting Data...</v>
        <stp/>
        <stp>##V3_BQLV12</stp>
        <stp>[MODL_NOW_US1.xlsx]Single Period!R218C44</stp>
        <stp>NOW US Equity</stp>
        <stp>CF_ACQUISITION_OF_INTANG_ASSETS/1M</stp>
        <stp>FPR=2021Y</stp>
        <stp>FPT=A</stp>
        <stp>FA_ACT_EST_DATA=E, EST_SOURCE=ARE</stp>
        <stp>ACT_EST_MAPPING=PRECISE</stp>
        <stp>FS=MRC</stp>
        <stp>CURRENCY=USD</stp>
        <stp>XLFILL=b</stp>
        <tr r="AR218" s="2"/>
      </tp>
      <tp t="s">
        <v>#N/A Requesting Data...</v>
        <stp/>
        <stp>##V3_BQLV12</stp>
        <stp>[MODL_NOW_US1.xlsx]Single Period!R202C16</stp>
        <stp>NOW US Equity</stp>
        <stp>CF_AMORTIZATN_OF_DEFRRD_COMPNSTN/1M</stp>
        <stp>FPR=2021Y</stp>
        <stp>FPT=A</stp>
        <stp>FA_ACT_EST_DATA=E, EST_SOURCE=BCA</stp>
        <stp>ACT_EST_MAPPING=PRECISE</stp>
        <stp>FS=MRC</stp>
        <stp>CURRENCY=USD</stp>
        <stp>XLFILL=b</stp>
        <tr r="P202" s="2"/>
      </tp>
      <tp t="s">
        <v>#N/A Requesting Data...</v>
        <stp/>
        <stp>##V3_BQLV12</stp>
        <stp>[MODL_NOW_US1.xlsx]Single Period!R175C22</stp>
        <stp>NOW US Equity</stp>
        <stp>BS_ACCRUD_EXPNSS_AND_OTHR/1M</stp>
        <stp>FPR=2021Y</stp>
        <stp>FPT=A</stp>
        <stp>FA_ACT_EST_DATA=E, EST_SOURCE=NDH</stp>
        <stp>ACT_EST_MAPPING=PRECISE</stp>
        <stp>FS=MRC</stp>
        <stp>CURRENCY=USD</stp>
        <stp>XLFILL=b</stp>
        <tr r="V175" s="2"/>
      </tp>
      <tp t="s">
        <v>#N/A Requesting Data...</v>
        <stp/>
        <stp>##V3_BQLV12</stp>
        <stp>[MODL_NOW_US1.xlsx]Single Period!R155C19</stp>
        <stp>NOW US Equity</stp>
        <stp>BS_CASH_CASH_EQUIVALENTS_AND_STI/1M</stp>
        <stp>FPR=2021Y</stp>
        <stp>FPT=A</stp>
        <stp>FA_ACT_EST_DATA=E, EST_SOURCE=MSV</stp>
        <stp>ACT_EST_MAPPING=PRECISE</stp>
        <stp>FS=MRC</stp>
        <stp>CURRENCY=USD</stp>
        <stp>XLFILL=b</stp>
        <tr r="S155" s="2"/>
      </tp>
      <tp t="s">
        <v>#N/A Requesting Data...</v>
        <stp/>
        <stp>##V3_BQLV12</stp>
        <stp>[MODL_NOW_US1.xlsx]Single Period!R202C33</stp>
        <stp>NOW US Equity</stp>
        <stp>CF_AMORTIZATN_OF_DEFRRD_COMPNSTN/1M</stp>
        <stp>FPR=2021Y</stp>
        <stp>FPT=A</stp>
        <stp>FA_ACT_EST_DATA=E, EST_SOURCE=MAC</stp>
        <stp>ACT_EST_MAPPING=PRECISE</stp>
        <stp>FS=MRC</stp>
        <stp>CURRENCY=USD</stp>
        <stp>XLFILL=b</stp>
        <tr r="AG202" s="2"/>
      </tp>
      <tp t="s">
        <v>#N/A Requesting Data...</v>
        <stp/>
        <stp>##V3_BQLV12</stp>
        <stp>[MODL_NOW_US1.xlsx]Single Period!R225C31</stp>
        <stp>NOW US Equity</stp>
        <stp>CF_INCR_CAP_STOCK/1M</stp>
        <stp>FPR=2021Y</stp>
        <stp>FPT=A</stp>
        <stp>FA_ACT_EST_DATA=E, EST_SOURCE=GSR</stp>
        <stp>ACT_EST_MAPPING=PRECISE</stp>
        <stp>FS=MRC</stp>
        <stp>CURRENCY=USD</stp>
        <stp>XLFILL=b</stp>
        <tr r="AE225" s="2"/>
      </tp>
      <tp t="s">
        <v>#N/A Requesting Data...</v>
        <stp/>
        <stp>##V3_BQLV12</stp>
        <stp>[MODL_NOW_US1.xlsx]Single Period!R148C35</stp>
        <stp>NOW US Equity</stp>
        <stp>IS_AMORT_ACQD_INTANGIBLES_R_AND_D/1M</stp>
        <stp>FPR=2021Y</stp>
        <stp>FPT=A</stp>
        <stp>FA_ACT_EST_DATA=E, EST_SOURCE=MSR</stp>
        <stp>ACT_EST_MAPPING=PRECISE</stp>
        <stp>FS=MRC</stp>
        <stp>CURRENCY=USD</stp>
        <stp>XLFILL=b</stp>
        <tr r="AI148" s="2"/>
      </tp>
      <tp t="s">
        <v>#N/A Requesting Data...</v>
        <stp/>
        <stp>##V3_BQLV12</stp>
        <stp>[MODL_NOW_US1.xlsx]Single Period!R202C30</stp>
        <stp>NOW US Equity</stp>
        <stp>CF_AMORTIZATN_OF_DEFRRD_COMPNSTN/1M</stp>
        <stp>FPR=2021Y</stp>
        <stp>FPT=A</stp>
        <stp>FA_ACT_EST_DATA=E, EST_SOURCE=BAM</stp>
        <stp>ACT_EST_MAPPING=PRECISE</stp>
        <stp>FS=MRC</stp>
        <stp>CURRENCY=USD</stp>
        <stp>XLFILL=b</stp>
        <tr r="AD202" s="2"/>
      </tp>
      <tp t="s">
        <v>#N/A Requesting Data...</v>
        <stp/>
        <stp>##V3_BQLV12</stp>
        <stp>[MODL_NOW_US1.xlsx]Single Period!R177C22</stp>
        <stp>NOW US Equity</stp>
        <stp>BS_ST_CPTL_LEA_AND_OP_LEA_LIABS/1M</stp>
        <stp>FPR=2021Y</stp>
        <stp>FPT=A</stp>
        <stp>FA_ACT_EST_DATA=E, EST_SOURCE=NDH</stp>
        <stp>ACT_EST_MAPPING=PRECISE</stp>
        <stp>FS=MRC</stp>
        <stp>CURRENCY=USD</stp>
        <stp>XLFILL=b</stp>
        <tr r="V177" s="2"/>
      </tp>
      <tp t="s">
        <v>#N/A Requesting Data...</v>
        <stp/>
        <stp>##V3_BQLV12</stp>
        <stp>[MODL_NOW_US1.xlsx]Single Period!R201C9</stp>
        <stp>NOW US Equity</stp>
        <stp>CONTRIBUTOR_STATS(D_AND_A_TO_SALES, MEDIAN)</stp>
        <stp>FPR=2021Y</stp>
        <stp>FPT=A</stp>
        <stp>FA_ACT_EST_DATA=E</stp>
        <stp>ACT_EST_MAPPING=PRECISE</stp>
        <stp>FS=MRC</stp>
        <stp>CURRENCY=USD</stp>
        <stp>XLFILL=b</stp>
        <tr r="I201" s="2"/>
      </tp>
      <tp t="s">
        <v>#N/A Requesting Data...</v>
        <stp/>
        <stp>##V3_BQLV12</stp>
        <stp>[MODL_NOW_US1.xlsx]Single Period!R129C29</stp>
        <stp>NOW US Equity</stp>
        <stp>EFF_TAX_RATE</stp>
        <stp>FPR=2021Y</stp>
        <stp>FPT=A</stp>
        <stp>FA_ACT_EST_DATA=E, EST_SOURCE=BNS</stp>
        <stp>ACT_EST_MAPPING=PRECISE</stp>
        <stp>FS=MRC</stp>
        <stp>CURRENCY=USD</stp>
        <stp>XLFILL=b</stp>
        <tr r="AC129" s="2"/>
      </tp>
      <tp t="s">
        <v>#N/A Requesting Data...</v>
        <stp/>
        <stp>##V3_BQLV12</stp>
        <stp>[MODL_NOW_US1.xlsx]Single Period!R46C9</stp>
        <stp>SEG0000230986 Segment</stp>
        <stp>CONTRIBUTOR_STATS(IS_BILLINGS, MEDIAN)/1M</stp>
        <stp>FPR=2021Y</stp>
        <stp>FPT=A</stp>
        <stp>FA_ACT_EST_DATA=E</stp>
        <stp>ACT_EST_MAPPING=PRECISE</stp>
        <stp>FS=MRC</stp>
        <stp>CURRENCY=USD</stp>
        <stp>XLFILL=b</stp>
        <tr r="I46" s="2"/>
      </tp>
      <tp t="s">
        <v>#N/A Requesting Data...</v>
        <stp/>
        <stp>##V3_BQLV12</stp>
        <stp>[MODL_NOW_US1.xlsx]Single Period!R239C37</stp>
        <stp>NOW US Equity</stp>
        <stp>CFO_TO_SALES</stp>
        <stp>FPR=2021Y</stp>
        <stp>FPT=A</stp>
        <stp>FA_ACT_EST_DATA=E, EST_SOURCE=TTC</stp>
        <stp>ACT_EST_MAPPING=PRECISE</stp>
        <stp>FS=MRC</stp>
        <stp>CURRENCY=USD</stp>
        <stp>XLFILL=b</stp>
        <tr r="AK239" s="2"/>
      </tp>
      <tp t="s">
        <v>#N/A Requesting Data...</v>
        <stp/>
        <stp>##V3_BQLV12</stp>
        <stp>[MODL_NOW_US1.xlsx]Single Period!R239C39</stp>
        <stp>NOW US Equity</stp>
        <stp>CFO_TO_SALES</stp>
        <stp>FPR=2021Y</stp>
        <stp>FPT=A</stp>
        <stp>FA_ACT_EST_DATA=E, EST_SOURCE=DZB</stp>
        <stp>ACT_EST_MAPPING=PRECISE</stp>
        <stp>FS=MRC</stp>
        <stp>CURRENCY=USD</stp>
        <stp>XLFILL=b</stp>
        <tr r="AM239" s="2"/>
      </tp>
      <tp t="s">
        <v>#N/A Requesting Data...</v>
        <stp/>
        <stp>##V3_BQLV12</stp>
        <stp>[MODL_NOW_US1.xlsx]Single Period!R239C41</stp>
        <stp>NOW US Equity</stp>
        <stp>CFO_TO_SALES</stp>
        <stp>FPR=2021Y</stp>
        <stp>FPT=A</stp>
        <stp>FA_ACT_EST_DATA=E, EST_SOURCE=ARG</stp>
        <stp>ACT_EST_MAPPING=PRECISE</stp>
        <stp>FS=MRC</stp>
        <stp>CURRENCY=USD</stp>
        <stp>XLFILL=b</stp>
        <tr r="AO239" s="2"/>
      </tp>
      <tp t="s">
        <v>#N/A Requesting Data...</v>
        <stp/>
        <stp>##V3_BQLV12</stp>
        <stp>[MODL_NOW_US1.xlsx]Single Period!R129C25</stp>
        <stp>NOW US Equity</stp>
        <stp>EFF_TAX_RATE</stp>
        <stp>FPR=2021Y</stp>
        <stp>FPT=A</stp>
        <stp>FA_ACT_EST_DATA=E, EST_SOURCE=DBG</stp>
        <stp>ACT_EST_MAPPING=PRECISE</stp>
        <stp>FS=MRC</stp>
        <stp>CURRENCY=USD</stp>
        <stp>XLFILL=b</stp>
        <tr r="Y129" s="2"/>
      </tp>
      <tp t="s">
        <v>#N/A Requesting Data...</v>
        <stp/>
        <stp>##V3_BQLV12</stp>
        <stp>[MODL_NOW_US1.xlsx]Single Period!R239C24</stp>
        <stp>NOW US Equity</stp>
        <stp>CFO_TO_SALES</stp>
        <stp>FPR=2021Y</stp>
        <stp>FPT=A</stp>
        <stp>FA_ACT_EST_DATA=E, EST_SOURCE=CWN</stp>
        <stp>ACT_EST_MAPPING=PRECISE</stp>
        <stp>FS=MRC</stp>
        <stp>CURRENCY=USD</stp>
        <stp>XLFILL=b</stp>
        <tr r="X239" s="2"/>
      </tp>
      <tp t="s">
        <v>#N/A Requesting Data...</v>
        <stp/>
        <stp>##V3_BQLV12</stp>
        <stp>[MODL_NOW_US1.xlsx]Single Period!R116C20</stp>
        <stp>NOW US Equity</stp>
        <stp>GROSS_MARGIN</stp>
        <stp>FPR=2021Y</stp>
        <stp>FPT=A</stp>
        <stp>FA_ACT_EST_DATA=E, EST_SOURCE=CAN</stp>
        <stp>ACT_EST_MAPPING=PRECISE</stp>
        <stp>FS=MRC</stp>
        <stp>CURRENCY=USD</stp>
        <stp>XLFILL=b</stp>
        <tr r="T116" s="2"/>
      </tp>
      <tp t="s">
        <v>#N/A Requesting Data...</v>
        <stp/>
        <stp>##V3_BQLV12</stp>
        <stp>[MODL_NOW_US1.xlsx]Single Period!R116C30</stp>
        <stp>NOW US Equity</stp>
        <stp>GROSS_MARGIN</stp>
        <stp>FPR=2021Y</stp>
        <stp>FPT=A</stp>
        <stp>FA_ACT_EST_DATA=E, EST_SOURCE=BAM</stp>
        <stp>ACT_EST_MAPPING=PRECISE</stp>
        <stp>FS=MRC</stp>
        <stp>CURRENCY=USD</stp>
        <stp>XLFILL=b</stp>
        <tr r="AD116" s="2"/>
      </tp>
      <tp t="s">
        <v>#N/A Requesting Data...</v>
        <stp/>
        <stp>##V3_BQLV12</stp>
        <stp>[MODL_NOW_US1.xlsx]Single Period!R96C29</stp>
        <stp>NOW US Equity</stp>
        <stp>ADJ_OPERATING_MARGIN</stp>
        <stp>FPR=2021Y</stp>
        <stp>FPT=A</stp>
        <stp>FA_ACT_EST_DATA=E, EST_SOURCE=BNS</stp>
        <stp>ACT_EST_MAPPING=PRECISE</stp>
        <stp>FS=MRC</stp>
        <stp>CURRENCY=USD</stp>
        <stp>XLFILL=b</stp>
        <tr r="AC96" s="2"/>
      </tp>
      <tp t="s">
        <v>#N/A Requesting Data...</v>
        <stp/>
        <stp>##V3_BQLV12</stp>
        <stp>[MODL_NOW_US1.xlsx]Single Period!R194C18</stp>
        <stp>NOW US Equity</stp>
        <stp>CB_BS_OTHER_CURRENT_ASSETS/1M</stp>
        <stp>FPR=2021Y</stp>
        <stp>FPT=A</stp>
        <stp>FA_ACT_EST_DATA=E, EST_SOURCE=SNR</stp>
        <stp>ACT_EST_MAPPING=PRECISE</stp>
        <stp>FS=MRC</stp>
        <stp>CURRENCY=USD</stp>
        <stp>XLFILL=b</stp>
        <tr r="R194" s="2"/>
      </tp>
      <tp t="s">
        <v>#N/A Requesting Data...</v>
        <stp/>
        <stp>##V3_BQLV12</stp>
        <stp>[MODL_NOW_US1.xlsx]Single Period!R91C38</stp>
        <stp>NOW US Equity</stp>
        <stp>ADJ_R_AND_D_TO_SALES</stp>
        <stp>FPR=2021Y</stp>
        <stp>FPT=A</stp>
        <stp>FA_ACT_EST_DATA=E, EST_SOURCE=RWB</stp>
        <stp>ACT_EST_MAPPING=PRECISE</stp>
        <stp>FS=MRC</stp>
        <stp>CURRENCY=USD</stp>
        <stp>XLFILL=b</stp>
        <tr r="AL91" s="2"/>
      </tp>
      <tp t="s">
        <v>#N/A Requesting Data...</v>
        <stp/>
        <stp>##V3_BQLV12</stp>
        <stp>[MODL_NOW_US1.xlsx]Single Period!R194C29</stp>
        <stp>NOW US Equity</stp>
        <stp>CB_BS_OTHER_CURRENT_ASSETS/1M</stp>
        <stp>FPR=2021Y</stp>
        <stp>FPT=A</stp>
        <stp>FA_ACT_EST_DATA=E, EST_SOURCE=BNS</stp>
        <stp>ACT_EST_MAPPING=PRECISE</stp>
        <stp>FS=MRC</stp>
        <stp>CURRENCY=USD</stp>
        <stp>XLFILL=b</stp>
        <tr r="AC194" s="2"/>
      </tp>
      <tp t="s">
        <v>#N/A Requesting Data...</v>
        <stp/>
        <stp>##V3_BQLV12</stp>
        <stp>[MODL_NOW_US1.xlsx]Single Period!R111C47</stp>
        <stp>NOW US Equity</stp>
        <stp>IS_COGS_TO_FE_AND_PP_AND_G/1M</stp>
        <stp>FPR=2021Y</stp>
        <stp>FPT=A</stp>
        <stp>FA_ACT_EST_DATA=E, EST_SOURCE=SUM</stp>
        <stp>ACT_EST_MAPPING=PRECISE</stp>
        <stp>FS=MRC</stp>
        <stp>CURRENCY=USD</stp>
        <stp>XLFILL=b</stp>
        <tr r="AU111" s="2"/>
      </tp>
      <tp t="s">
        <v>#N/A Requesting Data...</v>
        <stp/>
        <stp>##V3_BQLV12</stp>
        <stp>[MODL_NOW_US1.xlsx]Single Period!R28C21</stp>
        <stp>NOW US Equity</stp>
        <stp>ADJ_OPERATING_MARGIN</stp>
        <stp>FPR=2021Y</stp>
        <stp>FPT=A</stp>
        <stp>FA_ACT_EST_DATA=E, EST_SOURCE=JMP</stp>
        <stp>ACT_EST_MAPPING=PRECISE</stp>
        <stp>FS=MRC</stp>
        <stp>CURRENCY=USD</stp>
        <stp>XLFILL=b</stp>
        <tr r="U28" s="2"/>
      </tp>
      <tp t="s">
        <v>#N/A Requesting Data...</v>
        <stp/>
        <stp>##V3_BQLV12</stp>
        <stp>[MODL_NOW_US1.xlsx]Single Period!R149C45</stp>
        <stp>NOW US Equity</stp>
        <stp>IS_AMORT_ACQD_INTANG_GEN_AND_ADMIN/1M</stp>
        <stp>FPR=2021Y</stp>
        <stp>FPT=A</stp>
        <stp>FA_ACT_EST_DATA=E, EST_SOURCE=PJE</stp>
        <stp>ACT_EST_MAPPING=PRECISE</stp>
        <stp>FS=MRC</stp>
        <stp>CURRENCY=USD</stp>
        <stp>XLFILL=b</stp>
        <tr r="AS149" s="2"/>
      </tp>
      <tp t="s">
        <v>#N/A Requesting Data...</v>
        <stp/>
        <stp>##V3_BQLV12</stp>
        <stp>[MODL_NOW_US1.xlsx]Single Period!R96C25</stp>
        <stp>NOW US Equity</stp>
        <stp>ADJ_OPERATING_MARGIN</stp>
        <stp>FPR=2021Y</stp>
        <stp>FPT=A</stp>
        <stp>FA_ACT_EST_DATA=E, EST_SOURCE=DBG</stp>
        <stp>ACT_EST_MAPPING=PRECISE</stp>
        <stp>FS=MRC</stp>
        <stp>CURRENCY=USD</stp>
        <stp>XLFILL=b</stp>
        <tr r="Y96" s="2"/>
      </tp>
      <tp t="s">
        <v>#N/A Requesting Data...</v>
        <stp/>
        <stp>##V3_BQLV12</stp>
        <stp>[MODL_NOW_US1.xlsx]Single Period!R166C10</stp>
        <stp>NOW US Equity</stp>
        <stp>BS_OTHER_INTANGIBLE_ASSETS/1M</stp>
        <stp>FPR=2021Y</stp>
        <stp>FPT=A</stp>
        <stp>FA_ACT_EST_DATA=E, EST_SOURCE=CMPY</stp>
        <stp>ACT_EST_MAPPING=PRECISE</stp>
        <stp>FS=MRC</stp>
        <stp>CURRENCY=USD</stp>
        <stp>XLFILL=b</stp>
        <tr r="J166" s="2"/>
      </tp>
      <tp t="s">
        <v>#N/A Requesting Data...</v>
        <stp/>
        <stp>##V3_BQLV12</stp>
        <stp>[MODL_NOW_US1.xlsx]Single Period!R159C49</stp>
        <stp>NOW US Equity</stp>
        <stp>CB_BS_OTHER_CURRENT_ASSETS/1M</stp>
        <stp>FPR=2021Y</stp>
        <stp>FPT=A</stp>
        <stp>FA_ACT_EST_DATA=E, EST_SOURCE=SCB</stp>
        <stp>ACT_EST_MAPPING=PRECISE</stp>
        <stp>FS=MRC</stp>
        <stp>CURRENCY=USD</stp>
        <stp>XLFILL=b</stp>
        <tr r="AW159" s="2"/>
      </tp>
      <tp t="s">
        <v>#N/A Requesting Data...</v>
        <stp/>
        <stp>##V3_BQLV12</stp>
        <stp>[MODL_NOW_US1.xlsx]Single Period!R159C16</stp>
        <stp>NOW US Equity</stp>
        <stp>CB_BS_OTHER_CURRENT_ASSETS/1M</stp>
        <stp>FPR=2021Y</stp>
        <stp>FPT=A</stp>
        <stp>FA_ACT_EST_DATA=E, EST_SOURCE=BCA</stp>
        <stp>ACT_EST_MAPPING=PRECISE</stp>
        <stp>FS=MRC</stp>
        <stp>CURRENCY=USD</stp>
        <stp>XLFILL=b</stp>
        <tr r="P159" s="2"/>
      </tp>
      <tp t="s">
        <v>#N/A Requesting Data...</v>
        <stp/>
        <stp>##V3_BQLV12</stp>
        <stp>[MODL_NOW_US1.xlsx]Single Period!R117C40</stp>
        <stp>NOW US Equity</stp>
        <stp>IS_TOT_OPER_EXP/1M</stp>
        <stp>FPR=2021Y</stp>
        <stp>FPT=A</stp>
        <stp>FA_ACT_EST_DATA=E, EST_SOURCE=DWI</stp>
        <stp>ACT_EST_MAPPING=PRECISE</stp>
        <stp>FS=MRC</stp>
        <stp>CURRENCY=USD</stp>
        <stp>XLFILL=b</stp>
        <tr r="AN117" s="2"/>
      </tp>
      <tp t="s">
        <v>#N/A Requesting Data...</v>
        <stp/>
        <stp>##V3_BQLV12</stp>
        <stp>[MODL_NOW_US1.xlsx]Single Period!R21C44</stp>
        <stp>SEG0000230986 Segment</stp>
        <stp>IS_BILLINGS/1M</stp>
        <stp>FPR=2021Y</stp>
        <stp>FPT=A</stp>
        <stp>FA_ACT_EST_DATA=E, EST_SOURCE=ARE</stp>
        <stp>ACT_EST_MAPPING=PRECISE</stp>
        <stp>FS=MRC</stp>
        <stp>CURRENCY=USD</stp>
        <stp>XLFILL=b</stp>
        <tr r="AR21" s="2"/>
      </tp>
      <tp t="s">
        <v>#N/A Requesting Data...</v>
        <stp/>
        <stp>##V3_BQLV12</stp>
        <stp>[MODL_NOW_US1.xlsx]Single Period!R46C44</stp>
        <stp>SEG0000230986 Segment</stp>
        <stp>IS_BILLINGS/1M</stp>
        <stp>FPR=2021Y</stp>
        <stp>FPT=A</stp>
        <stp>FA_ACT_EST_DATA=E, EST_SOURCE=ARE</stp>
        <stp>ACT_EST_MAPPING=PRECISE</stp>
        <stp>FS=MRC</stp>
        <stp>CURRENCY=USD</stp>
        <stp>XLFILL=b</stp>
        <tr r="AR46" s="2"/>
      </tp>
      <tp t="s">
        <v>#N/A Requesting Data...</v>
        <stp/>
        <stp>##V3_BQLV12</stp>
        <stp>[MODL_NOW_US1.xlsx]Single Period!R117C24</stp>
        <stp>NOW US Equity</stp>
        <stp>IS_TOT_OPER_EXP/1M</stp>
        <stp>FPR=2021Y</stp>
        <stp>FPT=A</stp>
        <stp>FA_ACT_EST_DATA=E, EST_SOURCE=CWN</stp>
        <stp>ACT_EST_MAPPING=PRECISE</stp>
        <stp>FS=MRC</stp>
        <stp>CURRENCY=USD</stp>
        <stp>XLFILL=b</stp>
        <tr r="X117" s="2"/>
      </tp>
      <tp t="s">
        <v>#N/A Requesting Data...</v>
        <stp/>
        <stp>##V3_BQLV12</stp>
        <stp>[MODL_NOW_US1.xlsx]Single Period!R236C13</stp>
        <stp>NOW US Equity</stp>
        <stp>FREE_CASH_FLOW_MARGIN</stp>
        <stp>FPR=2021Y</stp>
        <stp>FPT=A</stp>
        <stp>FA_ACT_EST_DATA=E, EST_SOURCE=KEY</stp>
        <stp>ACT_EST_MAPPING=PRECISE</stp>
        <stp>FS=MRC</stp>
        <stp>CURRENCY=USD</stp>
        <stp>XLFILL=b</stp>
        <tr r="M236" s="2"/>
      </tp>
      <tp t="s">
        <v>#N/A Requesting Data...</v>
        <stp/>
        <stp>##V3_BQLV12</stp>
        <stp>[MODL_NOW_US1.xlsx]Single Period!R46C41</stp>
        <stp>SEG0000230986 Segment</stp>
        <stp>IS_BILLINGS/1M</stp>
        <stp>FPR=2021Y</stp>
        <stp>FPT=A</stp>
        <stp>FA_ACT_EST_DATA=E, EST_SOURCE=ARG</stp>
        <stp>ACT_EST_MAPPING=PRECISE</stp>
        <stp>FS=MRC</stp>
        <stp>CURRENCY=USD</stp>
        <stp>XLFILL=b</stp>
        <tr r="AO46" s="2"/>
      </tp>
      <tp t="s">
        <v>#N/A Requesting Data...</v>
        <stp/>
        <stp>##V3_BQLV12</stp>
        <stp>[MODL_NOW_US1.xlsx]Single Period!R21C41</stp>
        <stp>SEG0000230986 Segment</stp>
        <stp>IS_BILLINGS/1M</stp>
        <stp>FPR=2021Y</stp>
        <stp>FPT=A</stp>
        <stp>FA_ACT_EST_DATA=E, EST_SOURCE=ARG</stp>
        <stp>ACT_EST_MAPPING=PRECISE</stp>
        <stp>FS=MRC</stp>
        <stp>CURRENCY=USD</stp>
        <stp>XLFILL=b</stp>
        <tr r="AO21" s="2"/>
      </tp>
      <tp t="s">
        <v>#N/A Requesting Data...</v>
        <stp/>
        <stp>##V3_BQLV12</stp>
        <stp>[MODL_NOW_US1.xlsx]Single Period!R132C5</stp>
        <stp>NOW US Equity</stp>
        <stp>CONT_INC_PER_SH</stp>
        <stp>FPR=2021Y</stp>
        <stp>FPT=A</stp>
        <stp>FA_ACT_EST_DATA=E</stp>
        <stp>ACT_EST_MAPPING=PRECISE</stp>
        <stp>FS=MRC</stp>
        <stp>CURRENCY=USD</stp>
        <stp>XLFILL=b</stp>
        <tr r="E132" s="2"/>
      </tp>
      <tp t="s">
        <v>#N/A Requesting Data...</v>
        <stp/>
        <stp>##V3_BQLV12</stp>
        <stp>[MODL_NOW_US1.xlsx]Single Period!R181C37</stp>
        <stp>NOW US Equity</stp>
        <stp>BS_LONG_TERM_BORROWINGS/1M</stp>
        <stp>FPR=2021Y</stp>
        <stp>FPT=A</stp>
        <stp>FA_ACT_EST_DATA=E, EST_SOURCE=TTC</stp>
        <stp>ACT_EST_MAPPING=PRECISE</stp>
        <stp>FS=MRC</stp>
        <stp>CURRENCY=USD</stp>
        <stp>XLFILL=b</stp>
        <tr r="AK181" s="2"/>
      </tp>
      <tp t="s">
        <v>#N/A Requesting Data...</v>
        <stp/>
        <stp>##V3_BQLV12</stp>
        <stp>[MODL_NOW_US1.xlsx]Single Period!R46C48</stp>
        <stp>SEG0000230986 Segment</stp>
        <stp>IS_BILLINGS/1M</stp>
        <stp>FPR=2021Y</stp>
        <stp>FPT=A</stp>
        <stp>FA_ACT_EST_DATA=E, EST_SOURCE=CRC</stp>
        <stp>ACT_EST_MAPPING=PRECISE</stp>
        <stp>FS=MRC</stp>
        <stp>CURRENCY=USD</stp>
        <stp>XLFILL=b</stp>
        <tr r="AV46" s="2"/>
      </tp>
      <tp t="s">
        <v>#N/A Requesting Data...</v>
        <stp/>
        <stp>##V3_BQLV12</stp>
        <stp>[MODL_NOW_US1.xlsx]Single Period!R21C48</stp>
        <stp>SEG0000230986 Segment</stp>
        <stp>IS_BILLINGS/1M</stp>
        <stp>FPR=2021Y</stp>
        <stp>FPT=A</stp>
        <stp>FA_ACT_EST_DATA=E, EST_SOURCE=CRC</stp>
        <stp>ACT_EST_MAPPING=PRECISE</stp>
        <stp>FS=MRC</stp>
        <stp>CURRENCY=USD</stp>
        <stp>XLFILL=b</stp>
        <tr r="AV21" s="2"/>
      </tp>
      <tp t="s">
        <v>#N/A Requesting Data...</v>
        <stp/>
        <stp>##V3_BQLV12</stp>
        <stp>[MODL_NOW_US1.xlsx]Single Period!R43C39</stp>
        <stp>SEG0000230975 Segment</stp>
        <stp>CB_ADJ_BILLINGS_AMT/1M</stp>
        <stp>FPR=2021Y</stp>
        <stp>FPT=A</stp>
        <stp>FA_ACT_EST_DATA=E, EST_SOURCE=DZB</stp>
        <stp>ACT_EST_MAPPING=PRECISE</stp>
        <stp>FS=MRC</stp>
        <stp>CURRENCY=USD</stp>
        <stp>XLFILL=b</stp>
        <tr r="AM43" s="2"/>
      </tp>
      <tp t="s">
        <v>#N/A Requesting Data...</v>
        <stp/>
        <stp>##V3_BQLV12</stp>
        <stp>[MODL_NOW_US1.xlsx]Single Period!R174C26</stp>
        <stp>NOW US Equity</stp>
        <stp>BS_ACCT_PAYABLE/1M</stp>
        <stp>FPR=2021Y</stp>
        <stp>FPT=A</stp>
        <stp>FA_ACT_EST_DATA=E, EST_SOURCE=UBS</stp>
        <stp>ACT_EST_MAPPING=PRECISE</stp>
        <stp>FS=MRC</stp>
        <stp>CURRENCY=USD</stp>
        <stp>XLFILL=b</stp>
        <tr r="Z174" s="2"/>
      </tp>
      <tp t="s">
        <v>#N/A Requesting Data...</v>
        <stp/>
        <stp>##V3_BQLV12</stp>
        <stp>[MODL_NOW_US1.xlsx]Single Period!R219C23</stp>
        <stp>NOW US Equity</stp>
        <stp>CF_PURCHSS_OF_INVSTMNTS/1M</stp>
        <stp>FPR=2021Y</stp>
        <stp>FPT=A</stp>
        <stp>FA_ACT_EST_DATA=E, EST_SOURCE=ZXS</stp>
        <stp>ACT_EST_MAPPING=PRECISE</stp>
        <stp>FS=MRC</stp>
        <stp>CURRENCY=USD</stp>
        <stp>XLFILL=b</stp>
        <tr r="W219" s="2"/>
      </tp>
      <tp t="s">
        <v>#N/A Requesting Data...</v>
        <stp/>
        <stp>##V3_BQLV12</stp>
        <stp>[MODL_NOW_US1.xlsx]Single Period!R199C12</stp>
        <stp>NOW US Equity</stp>
        <stp>IS_COMP_NET_INCOME_GAAP/1M</stp>
        <stp>FPR=2021Y</stp>
        <stp>FPT=A</stp>
        <stp>FA_ACT_EST_DATA=E, EST_SOURCE=WBL</stp>
        <stp>ACT_EST_MAPPING=PRECISE</stp>
        <stp>FS=MRC</stp>
        <stp>CURRENCY=USD</stp>
        <stp>XLFILL=b</stp>
        <tr r="L199" s="2"/>
      </tp>
      <tp t="s">
        <v>#N/A Requesting Data...</v>
        <stp/>
        <stp>##V3_BQLV12</stp>
        <stp>[MODL_NOW_US1.xlsx]Single Period!R130C12</stp>
        <stp>NOW US Equity</stp>
        <stp>IS_COMP_NET_INCOME_GAAP/1M</stp>
        <stp>FPR=2021Y</stp>
        <stp>FPT=A</stp>
        <stp>FA_ACT_EST_DATA=E, EST_SOURCE=WBL</stp>
        <stp>ACT_EST_MAPPING=PRECISE</stp>
        <stp>FS=MRC</stp>
        <stp>CURRENCY=USD</stp>
        <stp>XLFILL=b</stp>
        <tr r="L130" s="2"/>
      </tp>
      <tp t="s">
        <v>#N/A Requesting Data...</v>
        <stp/>
        <stp>##V3_BQLV12</stp>
        <stp>[MODL_NOW_US1.xlsx]Single Period!R39C8</stp>
        <stp>NOW US Equity</stp>
        <stp>CONTRIBUTOR_STATS(IS_BILLINGS, STD)/1M</stp>
        <stp>FPR=2021Y</stp>
        <stp>FPT=A</stp>
        <stp>FA_ACT_EST_DATA=E</stp>
        <stp>ACT_EST_MAPPING=PRECISE</stp>
        <stp>FS=MRC</stp>
        <stp>CURRENCY=USD</stp>
        <stp>XLFILL=b</stp>
        <tr r="H39" s="2"/>
      </tp>
      <tp t="s">
        <v>#N/A Requesting Data...</v>
        <stp/>
        <stp>##V3_BQLV12</stp>
        <stp>[MODL_NOW_US1.xlsx]Single Period!R181C42</stp>
        <stp>NOW US Equity</stp>
        <stp>BS_LONG_TERM_BORROWINGS/1M</stp>
        <stp>FPR=2021Y</stp>
        <stp>FPT=A</stp>
        <stp>FA_ACT_EST_DATA=E, EST_SOURCE=CTI</stp>
        <stp>ACT_EST_MAPPING=PRECISE</stp>
        <stp>FS=MRC</stp>
        <stp>CURRENCY=USD</stp>
        <stp>XLFILL=b</stp>
        <tr r="AP181" s="2"/>
      </tp>
      <tp t="s">
        <v>#N/A Requesting Data...</v>
        <stp/>
        <stp>##V3_BQLV12</stp>
        <stp>[MODL_NOW_US1.xlsx]Single Period!R199C32</stp>
        <stp>NOW US Equity</stp>
        <stp>IS_COMP_NET_INCOME_GAAP/1M</stp>
        <stp>FPR=2021Y</stp>
        <stp>FPT=A</stp>
        <stp>FA_ACT_EST_DATA=E, EST_SOURCE=FBC</stp>
        <stp>ACT_EST_MAPPING=PRECISE</stp>
        <stp>FS=MRC</stp>
        <stp>CURRENCY=USD</stp>
        <stp>XLFILL=b</stp>
        <tr r="AF199" s="2"/>
      </tp>
      <tp t="s">
        <v>#N/A Requesting Data...</v>
        <stp/>
        <stp>##V3_BQLV12</stp>
        <stp>[MODL_NOW_US1.xlsx]Single Period!R130C32</stp>
        <stp>NOW US Equity</stp>
        <stp>IS_COMP_NET_INCOME_GAAP/1M</stp>
        <stp>FPR=2021Y</stp>
        <stp>FPT=A</stp>
        <stp>FA_ACT_EST_DATA=E, EST_SOURCE=FBC</stp>
        <stp>ACT_EST_MAPPING=PRECISE</stp>
        <stp>FS=MRC</stp>
        <stp>CURRENCY=USD</stp>
        <stp>XLFILL=b</stp>
        <tr r="AF130" s="2"/>
      </tp>
      <tp t="s">
        <v>#N/A Requesting Data...</v>
        <stp/>
        <stp>##V3_BQLV12</stp>
        <stp>[MODL_NOW_US1.xlsx]Single Period!R199C27</stp>
        <stp>NOW US Equity</stp>
        <stp>IS_COMP_NET_INCOME_GAAP/1M</stp>
        <stp>FPR=2021Y</stp>
        <stp>FPT=A</stp>
        <stp>FA_ACT_EST_DATA=E, EST_SOURCE=RBC</stp>
        <stp>ACT_EST_MAPPING=PRECISE</stp>
        <stp>FS=MRC</stp>
        <stp>CURRENCY=USD</stp>
        <stp>XLFILL=b</stp>
        <tr r="AA199" s="2"/>
      </tp>
      <tp t="s">
        <v>#N/A Requesting Data...</v>
        <stp/>
        <stp>##V3_BQLV12</stp>
        <stp>[MODL_NOW_US1.xlsx]Single Period!R130C27</stp>
        <stp>NOW US Equity</stp>
        <stp>IS_COMP_NET_INCOME_GAAP/1M</stp>
        <stp>FPR=2021Y</stp>
        <stp>FPT=A</stp>
        <stp>FA_ACT_EST_DATA=E, EST_SOURCE=RBC</stp>
        <stp>ACT_EST_MAPPING=PRECISE</stp>
        <stp>FS=MRC</stp>
        <stp>CURRENCY=USD</stp>
        <stp>XLFILL=b</stp>
        <tr r="AA130" s="2"/>
      </tp>
      <tp t="s">
        <v>#N/A Requesting Data...</v>
        <stp/>
        <stp>##V3_BQLV12</stp>
        <stp>[MODL_NOW_US1.xlsx]Single Period!R117C38</stp>
        <stp>NOW US Equity</stp>
        <stp>IS_TOT_OPER_EXP/1M</stp>
        <stp>FPR=2021Y</stp>
        <stp>FPT=A</stp>
        <stp>FA_ACT_EST_DATA=E, EST_SOURCE=RWB</stp>
        <stp>ACT_EST_MAPPING=PRECISE</stp>
        <stp>FS=MRC</stp>
        <stp>CURRENCY=USD</stp>
        <stp>XLFILL=b</stp>
        <tr r="AL117" s="2"/>
      </tp>
      <tp t="s">
        <v>#N/A Requesting Data...</v>
        <stp/>
        <stp>##V3_BQLV12</stp>
        <stp>[MODL_NOW_US1.xlsx]Single Period!R199C25</stp>
        <stp>NOW US Equity</stp>
        <stp>IS_COMP_NET_INCOME_GAAP/1M</stp>
        <stp>FPR=2021Y</stp>
        <stp>FPT=A</stp>
        <stp>FA_ACT_EST_DATA=E, EST_SOURCE=DBG</stp>
        <stp>ACT_EST_MAPPING=PRECISE</stp>
        <stp>FS=MRC</stp>
        <stp>CURRENCY=USD</stp>
        <stp>XLFILL=b</stp>
        <tr r="Y199" s="2"/>
      </tp>
      <tp t="s">
        <v>#N/A Requesting Data...</v>
        <stp/>
        <stp>##V3_BQLV12</stp>
        <stp>[MODL_NOW_US1.xlsx]Single Period!R130C25</stp>
        <stp>NOW US Equity</stp>
        <stp>IS_COMP_NET_INCOME_GAAP/1M</stp>
        <stp>FPR=2021Y</stp>
        <stp>FPT=A</stp>
        <stp>FA_ACT_EST_DATA=E, EST_SOURCE=DBG</stp>
        <stp>ACT_EST_MAPPING=PRECISE</stp>
        <stp>FS=MRC</stp>
        <stp>CURRENCY=USD</stp>
        <stp>XLFILL=b</stp>
        <tr r="Y130" s="2"/>
      </tp>
      <tp t="s">
        <v>#N/A Requesting Data...</v>
        <stp/>
        <stp>##V3_BQLV12</stp>
        <stp>[MODL_NOW_US1.xlsx]Single Period!R43C46</stp>
        <stp>SEG0000230975 Segment</stp>
        <stp>CB_ADJ_BILLINGS_AMT/1M</stp>
        <stp>FPR=2021Y</stp>
        <stp>FPT=A</stp>
        <stp>FA_ACT_EST_DATA=E, EST_SOURCE=MZS</stp>
        <stp>ACT_EST_MAPPING=PRECISE</stp>
        <stp>FS=MRC</stp>
        <stp>CURRENCY=USD</stp>
        <stp>XLFILL=b</stp>
        <tr r="AT43" s="2"/>
      </tp>
      <tp t="s">
        <v>#N/A Requesting Data...</v>
        <stp/>
        <stp>##V3_BQLV12</stp>
        <stp>[MODL_NOW_US1.xlsx]Single Period!R174C25</stp>
        <stp>NOW US Equity</stp>
        <stp>BS_ACCT_PAYABLE/1M</stp>
        <stp>FPR=2021Y</stp>
        <stp>FPT=A</stp>
        <stp>FA_ACT_EST_DATA=E, EST_SOURCE=DBG</stp>
        <stp>ACT_EST_MAPPING=PRECISE</stp>
        <stp>FS=MRC</stp>
        <stp>CURRENCY=USD</stp>
        <stp>XLFILL=b</stp>
        <tr r="Y174" s="2"/>
      </tp>
      <tp t="s">
        <v>#N/A Requesting Data...</v>
        <stp/>
        <stp>##V3_BQLV12</stp>
        <stp>[MODL_NOW_US1.xlsx]Single Period!R174C32</stp>
        <stp>NOW US Equity</stp>
        <stp>BS_ACCT_PAYABLE/1M</stp>
        <stp>FPR=2021Y</stp>
        <stp>FPT=A</stp>
        <stp>FA_ACT_EST_DATA=E, EST_SOURCE=FBC</stp>
        <stp>ACT_EST_MAPPING=PRECISE</stp>
        <stp>FS=MRC</stp>
        <stp>CURRENCY=USD</stp>
        <stp>XLFILL=b</stp>
        <tr r="AF174" s="2"/>
      </tp>
      <tp t="s">
        <v>#N/A Requesting Data...</v>
        <stp/>
        <stp>##V3_BQLV12</stp>
        <stp>[MODL_NOW_US1.xlsx]Single Period!R125C22</stp>
        <stp>NOW US Equity</stp>
        <stp>OPER_INC_TO_NET_SALES</stp>
        <stp>FPR=2021Y</stp>
        <stp>FPT=A</stp>
        <stp>FA_ACT_EST_DATA=E, EST_SOURCE=NDH</stp>
        <stp>ACT_EST_MAPPING=PRECISE</stp>
        <stp>FS=MRC</stp>
        <stp>CURRENCY=USD</stp>
        <stp>XLFILL=b</stp>
        <tr r="V125" s="2"/>
      </tp>
      <tp t="s">
        <v>#N/A Requesting Data...</v>
        <stp/>
        <stp>##V3_BQLV12</stp>
        <stp>[MODL_NOW_US1.xlsx]Single Period!R39C6</stp>
        <stp>NOW US Equity</stp>
        <stp>CONTRIBUTOR_STATS(IS_BILLINGS, MIN)/1M</stp>
        <stp>FPR=2021Y</stp>
        <stp>FPT=A</stp>
        <stp>FA_ACT_EST_DATA=E</stp>
        <stp>ACT_EST_MAPPING=PRECISE</stp>
        <stp>FS=MRC</stp>
        <stp>CURRENCY=USD</stp>
        <stp>XLFILL=b</stp>
        <tr r="F39" s="2"/>
      </tp>
      <tp t="s">
        <v>#N/A Requesting Data...</v>
        <stp/>
        <stp>##V3_BQLV12</stp>
        <stp>[MODL_NOW_US1.xlsx]Single Period!R39C7</stp>
        <stp>NOW US Equity</stp>
        <stp>CONTRIBUTOR_STATS(IS_BILLINGS, MAX)/1M</stp>
        <stp>FPR=2021Y</stp>
        <stp>FPT=A</stp>
        <stp>FA_ACT_EST_DATA=E</stp>
        <stp>ACT_EST_MAPPING=PRECISE</stp>
        <stp>FS=MRC</stp>
        <stp>CURRENCY=USD</stp>
        <stp>XLFILL=b</stp>
        <tr r="G39" s="2"/>
      </tp>
      <tp t="s">
        <v>#N/A Requesting Data...</v>
        <stp/>
        <stp>##V3_BQLV12</stp>
        <stp>[MODL_NOW_US1.xlsx]Single Period!R174C27</stp>
        <stp>NOW US Equity</stp>
        <stp>BS_ACCT_PAYABLE/1M</stp>
        <stp>FPR=2021Y</stp>
        <stp>FPT=A</stp>
        <stp>FA_ACT_EST_DATA=E, EST_SOURCE=RBC</stp>
        <stp>ACT_EST_MAPPING=PRECISE</stp>
        <stp>FS=MRC</stp>
        <stp>CURRENCY=USD</stp>
        <stp>XLFILL=b</stp>
        <tr r="AA174" s="2"/>
      </tp>
      <tp t="s">
        <v>#N/A Requesting Data...</v>
        <stp/>
        <stp>##V3_BQLV12</stp>
        <stp>[MODL_NOW_US1.xlsx]Single Period!R205C49</stp>
        <stp>NOW US Equity</stp>
        <stp>CB_CF_OTHR_NONCSH_ITEMS/1M</stp>
        <stp>FPR=2021Y</stp>
        <stp>FPT=A</stp>
        <stp>FA_ACT_EST_DATA=E, EST_SOURCE=SCB</stp>
        <stp>ACT_EST_MAPPING=PRECISE</stp>
        <stp>FS=MRC</stp>
        <stp>CURRENCY=USD</stp>
        <stp>XLFILL=b</stp>
        <tr r="AW205" s="2"/>
      </tp>
      <tp t="s">
        <v>#N/A Requesting Data...</v>
        <stp/>
        <stp>##V3_BQLV12</stp>
        <stp>[MODL_NOW_US1.xlsx]Single Period!R174C12</stp>
        <stp>NOW US Equity</stp>
        <stp>BS_ACCT_PAYABLE/1M</stp>
        <stp>FPR=2021Y</stp>
        <stp>FPT=A</stp>
        <stp>FA_ACT_EST_DATA=E, EST_SOURCE=WBL</stp>
        <stp>ACT_EST_MAPPING=PRECISE</stp>
        <stp>FS=MRC</stp>
        <stp>CURRENCY=USD</stp>
        <stp>XLFILL=b</stp>
        <tr r="L174" s="2"/>
      </tp>
      <tp t="s">
        <v>#N/A Requesting Data...</v>
        <stp/>
        <stp>##V3_BQLV12</stp>
        <stp>[MODL_NOW_US1.xlsx]Single Period!R199C26</stp>
        <stp>NOW US Equity</stp>
        <stp>IS_COMP_NET_INCOME_GAAP/1M</stp>
        <stp>FPR=2021Y</stp>
        <stp>FPT=A</stp>
        <stp>FA_ACT_EST_DATA=E, EST_SOURCE=UBS</stp>
        <stp>ACT_EST_MAPPING=PRECISE</stp>
        <stp>FS=MRC</stp>
        <stp>CURRENCY=USD</stp>
        <stp>XLFILL=b</stp>
        <tr r="Z199" s="2"/>
      </tp>
      <tp t="s">
        <v>#N/A Requesting Data...</v>
        <stp/>
        <stp>##V3_BQLV12</stp>
        <stp>[MODL_NOW_US1.xlsx]Single Period!R130C26</stp>
        <stp>NOW US Equity</stp>
        <stp>IS_COMP_NET_INCOME_GAAP/1M</stp>
        <stp>FPR=2021Y</stp>
        <stp>FPT=A</stp>
        <stp>FA_ACT_EST_DATA=E, EST_SOURCE=UBS</stp>
        <stp>ACT_EST_MAPPING=PRECISE</stp>
        <stp>FS=MRC</stp>
        <stp>CURRENCY=USD</stp>
        <stp>XLFILL=b</stp>
        <tr r="Z130" s="2"/>
      </tp>
      <tp t="s">
        <v>#N/A Requesting Data...</v>
        <stp/>
        <stp>##V3_BQLV12</stp>
        <stp>[MODL_NOW_US1.xlsx]Single Period!R205C16</stp>
        <stp>NOW US Equity</stp>
        <stp>CB_CF_OTHR_NONCSH_ITEMS/1M</stp>
        <stp>FPR=2021Y</stp>
        <stp>FPT=A</stp>
        <stp>FA_ACT_EST_DATA=E, EST_SOURCE=BCA</stp>
        <stp>ACT_EST_MAPPING=PRECISE</stp>
        <stp>FS=MRC</stp>
        <stp>CURRENCY=USD</stp>
        <stp>XLFILL=b</stp>
        <tr r="P205" s="2"/>
      </tp>
      <tp t="s">
        <v>#N/A Requesting Data...</v>
        <stp/>
        <stp>##V3_BQLV12</stp>
        <stp>[MODL_NOW_US1.xlsx]Single Period!R160C28</stp>
        <stp>NOW US Equity</stp>
        <stp>PREPAID_EXPNSS_AND_OTHR/1M</stp>
        <stp>FPR=2021Y</stp>
        <stp>FPT=A</stp>
        <stp>FA_ACT_EST_DATA=E, EST_SOURCE=EVR</stp>
        <stp>ACT_EST_MAPPING=PRECISE</stp>
        <stp>FS=MRC</stp>
        <stp>CURRENCY=USD</stp>
        <stp>XLFILL=b</stp>
        <tr r="AB160" s="2"/>
      </tp>
      <tp t="s">
        <v>#N/A Requesting Data...</v>
        <stp/>
        <stp>##V3_BQLV12</stp>
        <stp>[MODL_NOW_US1.xlsx]Single Period!R236C36</stp>
        <stp>NOW US Equity</stp>
        <stp>FREE_CASH_FLOW_MARGIN</stp>
        <stp>FPR=2021Y</stp>
        <stp>FPT=A</stp>
        <stp>FA_ACT_EST_DATA=E, EST_SOURCE=JEF</stp>
        <stp>ACT_EST_MAPPING=PRECISE</stp>
        <stp>FS=MRC</stp>
        <stp>CURRENCY=USD</stp>
        <stp>XLFILL=b</stp>
        <tr r="AJ236" s="2"/>
      </tp>
      <tp t="s">
        <v>#N/A Requesting Data...</v>
        <stp/>
        <stp>##V3_BQLV12</stp>
        <stp>[MODL_NOW_US1.xlsx]Single Period!R155C40</stp>
        <stp>NOW US Equity</stp>
        <stp>BS_CASH_CASH_EQUIVALENTS_AND_STI/1M</stp>
        <stp>FPR=2021Y</stp>
        <stp>FPT=A</stp>
        <stp>FA_ACT_EST_DATA=E, EST_SOURCE=DWI</stp>
        <stp>ACT_EST_MAPPING=PRECISE</stp>
        <stp>FS=MRC</stp>
        <stp>CURRENCY=USD</stp>
        <stp>XLFILL=b</stp>
        <tr r="AN155" s="2"/>
      </tp>
      <tp t="s">
        <v>#N/A Requesting Data...</v>
        <stp/>
        <stp>##V3_BQLV12</stp>
        <stp>[MODL_NOW_US1.xlsx]Single Period!R121C12</stp>
        <stp>NOW US Equity</stp>
        <stp>CB_IS_GENL_AND_ADMIN_EXPN/1M</stp>
        <stp>FPR=2021Y</stp>
        <stp>FPT=A</stp>
        <stp>FA_ACT_EST_DATA=E, EST_SOURCE=WBL</stp>
        <stp>ACT_EST_MAPPING=PRECISE</stp>
        <stp>FS=MRC</stp>
        <stp>CURRENCY=USD</stp>
        <stp>XLFILL=b</stp>
        <tr r="L121" s="2"/>
      </tp>
      <tp t="s">
        <v>#N/A Requesting Data...</v>
        <stp/>
        <stp>##V3_BQLV12</stp>
        <stp>[MODL_NOW_US1.xlsx]Single Period!R148C40</stp>
        <stp>NOW US Equity</stp>
        <stp>IS_AMORT_ACQD_INTANGIBLES_R_AND_D/1M</stp>
        <stp>FPR=2021Y</stp>
        <stp>FPT=A</stp>
        <stp>FA_ACT_EST_DATA=E, EST_SOURCE=DWI</stp>
        <stp>ACT_EST_MAPPING=PRECISE</stp>
        <stp>FS=MRC</stp>
        <stp>CURRENCY=USD</stp>
        <stp>XLFILL=b</stp>
        <tr r="AN148" s="2"/>
      </tp>
      <tp t="s">
        <v>#N/A Requesting Data...</v>
        <stp/>
        <stp>##V3_BQLV12</stp>
        <stp>[MODL_NOW_US1.xlsx]Single Period!R225C41</stp>
        <stp>NOW US Equity</stp>
        <stp>CF_INCR_CAP_STOCK/1M</stp>
        <stp>FPR=2021Y</stp>
        <stp>FPT=A</stp>
        <stp>FA_ACT_EST_DATA=E, EST_SOURCE=ARG</stp>
        <stp>ACT_EST_MAPPING=PRECISE</stp>
        <stp>FS=MRC</stp>
        <stp>CURRENCY=USD</stp>
        <stp>XLFILL=b</stp>
        <tr r="AO225" s="2"/>
      </tp>
      <tp t="s">
        <v>#N/A Requesting Data...</v>
        <stp/>
        <stp>##V3_BQLV12</stp>
        <stp>[MODL_NOW_US1.xlsx]Single Period!R221C39</stp>
        <stp>NOW US Equity</stp>
        <stp>CB_CF_OTHER_INVESTING_ACTIVITIES/1M</stp>
        <stp>FPR=2021Y</stp>
        <stp>FPT=A</stp>
        <stp>FA_ACT_EST_DATA=E, EST_SOURCE=DZB</stp>
        <stp>ACT_EST_MAPPING=PRECISE</stp>
        <stp>FS=MRC</stp>
        <stp>CURRENCY=USD</stp>
        <stp>XLFILL=b</stp>
        <tr r="AM221" s="2"/>
      </tp>
      <tp t="s">
        <v>#N/A Requesting Data...</v>
        <stp/>
        <stp>##V3_BQLV12</stp>
        <stp>[MODL_NOW_US1.xlsx]Single Period!R225C37</stp>
        <stp>NOW US Equity</stp>
        <stp>CF_INCR_CAP_STOCK/1M</stp>
        <stp>FPR=2021Y</stp>
        <stp>FPT=A</stp>
        <stp>FA_ACT_EST_DATA=E, EST_SOURCE=TTC</stp>
        <stp>ACT_EST_MAPPING=PRECISE</stp>
        <stp>FS=MRC</stp>
        <stp>CURRENCY=USD</stp>
        <stp>XLFILL=b</stp>
        <tr r="AK225" s="2"/>
      </tp>
      <tp t="s">
        <v>#N/A Requesting Data...</v>
        <stp/>
        <stp>##V3_BQLV12</stp>
        <stp>[MODL_NOW_US1.xlsx]Single Period!R225C39</stp>
        <stp>NOW US Equity</stp>
        <stp>CF_INCR_CAP_STOCK/1M</stp>
        <stp>FPR=2021Y</stp>
        <stp>FPT=A</stp>
        <stp>FA_ACT_EST_DATA=E, EST_SOURCE=DZB</stp>
        <stp>ACT_EST_MAPPING=PRECISE</stp>
        <stp>FS=MRC</stp>
        <stp>CURRENCY=USD</stp>
        <stp>XLFILL=b</stp>
        <tr r="AM225" s="2"/>
      </tp>
      <tp t="s">
        <v>#N/A Requesting Data...</v>
        <stp/>
        <stp>##V3_BQLV12</stp>
        <stp>[MODL_NOW_US1.xlsx]Single Period!R175C29</stp>
        <stp>NOW US Equity</stp>
        <stp>BS_ACCRUD_EXPNSS_AND_OTHR/1M</stp>
        <stp>FPR=2021Y</stp>
        <stp>FPT=A</stp>
        <stp>FA_ACT_EST_DATA=E, EST_SOURCE=BNS</stp>
        <stp>ACT_EST_MAPPING=PRECISE</stp>
        <stp>FS=MRC</stp>
        <stp>CURRENCY=USD</stp>
        <stp>XLFILL=b</stp>
        <tr r="AC175" s="2"/>
      </tp>
      <tp t="s">
        <v>#N/A Requesting Data...</v>
        <stp/>
        <stp>##V3_BQLV12</stp>
        <stp>[MODL_NOW_US1.xlsx]Single Period!R213C17</stp>
        <stp>NOW US Equity</stp>
        <stp>CF_CASH_FROM_OPER/1M</stp>
        <stp>FPR=2021Y</stp>
        <stp>FPT=A</stp>
        <stp>FA_ACT_EST_DATA=E, EST_SOURCE=RHR</stp>
        <stp>ACT_EST_MAPPING=PRECISE</stp>
        <stp>FS=MRC</stp>
        <stp>CURRENCY=USD</stp>
        <stp>XLFILL=b</stp>
        <tr r="Q213" s="2"/>
      </tp>
      <tp t="s">
        <v>#N/A Requesting Data...</v>
        <stp/>
        <stp>##V3_BQLV12</stp>
        <stp>[MODL_NOW_US1.xlsx]Single Period!R218C34</stp>
        <stp>NOW US Equity</stp>
        <stp>CF_ACQUISITION_OF_INTANG_ASSETS/1M</stp>
        <stp>FPR=2021Y</stp>
        <stp>FPT=A</stp>
        <stp>FA_ACT_EST_DATA=E, EST_SOURCE=PSG</stp>
        <stp>ACT_EST_MAPPING=PRECISE</stp>
        <stp>FS=MRC</stp>
        <stp>CURRENCY=USD</stp>
        <stp>XLFILL=b</stp>
        <tr r="AH218" s="2"/>
      </tp>
      <tp t="s">
        <v>#N/A Requesting Data...</v>
        <stp/>
        <stp>##V3_BQLV12</stp>
        <stp>[MODL_NOW_US1.xlsx]Single Period!R225C24</stp>
        <stp>NOW US Equity</stp>
        <stp>CF_INCR_CAP_STOCK/1M</stp>
        <stp>FPR=2021Y</stp>
        <stp>FPT=A</stp>
        <stp>FA_ACT_EST_DATA=E, EST_SOURCE=CWN</stp>
        <stp>ACT_EST_MAPPING=PRECISE</stp>
        <stp>FS=MRC</stp>
        <stp>CURRENCY=USD</stp>
        <stp>XLFILL=b</stp>
        <tr r="X225" s="2"/>
      </tp>
      <tp t="s">
        <v>#N/A Requesting Data...</v>
        <stp/>
        <stp>##V3_BQLV12</stp>
        <stp>[MODL_NOW_US1.xlsx]Single Period!R104C47</stp>
        <stp>NOW US Equity</stp>
        <stp>IS_COMP_NET_INC_EXCL_STOCK_COMP/1M</stp>
        <stp>FPR=2021Y</stp>
        <stp>FPT=A</stp>
        <stp>FA_ACT_EST_DATA=E, EST_SOURCE=SUM</stp>
        <stp>ACT_EST_MAPPING=PRECISE</stp>
        <stp>FS=MRC</stp>
        <stp>CURRENCY=USD</stp>
        <stp>XLFILL=b</stp>
        <tr r="AU104" s="2"/>
      </tp>
      <tp t="s">
        <v>#N/A Requesting Data...</v>
        <stp/>
        <stp>##V3_BQLV12</stp>
        <stp>[MODL_NOW_US1.xlsx]Single Period!R177C13</stp>
        <stp>NOW US Equity</stp>
        <stp>BS_ST_CPTL_LEA_AND_OP_LEA_LIABS/1M</stp>
        <stp>FPR=2021Y</stp>
        <stp>FPT=A</stp>
        <stp>FA_ACT_EST_DATA=E, EST_SOURCE=KEY</stp>
        <stp>ACT_EST_MAPPING=PRECISE</stp>
        <stp>FS=MRC</stp>
        <stp>CURRENCY=USD</stp>
        <stp>XLFILL=b</stp>
        <tr r="M177" s="2"/>
      </tp>
      <tp t="s">
        <v>#N/A Requesting Data...</v>
        <stp/>
        <stp>##V3_BQLV12</stp>
        <stp>[MODL_NOW_US1.xlsx]Single Period!R107C30</stp>
        <stp>NOW US Equity</stp>
        <stp>CB_IS_ADJ_DILUTED_AVG_SHS/1M</stp>
        <stp>FPR=2021Y</stp>
        <stp>FPT=A</stp>
        <stp>FA_ACT_EST_DATA=E, EST_SOURCE=BAM</stp>
        <stp>ACT_EST_MAPPING=PRECISE</stp>
        <stp>FS=MRC</stp>
        <stp>CURRENCY=USD</stp>
        <stp>XLFILL=b</stp>
        <tr r="AD107" s="2"/>
      </tp>
      <tp t="s">
        <v>#N/A Requesting Data...</v>
        <stp/>
        <stp>##V3_BQLV12</stp>
        <stp>[MODL_NOW_US1.xlsx]Single Period!R107C20</stp>
        <stp>NOW US Equity</stp>
        <stp>CB_IS_ADJ_DILUTED_AVG_SHS/1M</stp>
        <stp>FPR=2021Y</stp>
        <stp>FPT=A</stp>
        <stp>FA_ACT_EST_DATA=E, EST_SOURCE=CAN</stp>
        <stp>ACT_EST_MAPPING=PRECISE</stp>
        <stp>FS=MRC</stp>
        <stp>CURRENCY=USD</stp>
        <stp>XLFILL=b</stp>
        <tr r="T107" s="2"/>
      </tp>
      <tp t="s">
        <v>#N/A Requesting Data...</v>
        <stp/>
        <stp>##V3_BQLV12</stp>
        <stp>[MODL_NOW_US1.xlsx]Single Period!R121C32</stp>
        <stp>NOW US Equity</stp>
        <stp>CB_IS_GENL_AND_ADMIN_EXPN/1M</stp>
        <stp>FPR=2021Y</stp>
        <stp>FPT=A</stp>
        <stp>FA_ACT_EST_DATA=E, EST_SOURCE=FBC</stp>
        <stp>ACT_EST_MAPPING=PRECISE</stp>
        <stp>FS=MRC</stp>
        <stp>CURRENCY=USD</stp>
        <stp>XLFILL=b</stp>
        <tr r="AF121" s="2"/>
      </tp>
      <tp t="s">
        <v>#N/A Requesting Data...</v>
        <stp/>
        <stp>##V3_BQLV12</stp>
        <stp>[MODL_NOW_US1.xlsx]Single Period!R148C34</stp>
        <stp>NOW US Equity</stp>
        <stp>IS_AMORT_ACQD_INTANGIBLES_R_AND_D/1M</stp>
        <stp>FPR=2021Y</stp>
        <stp>FPT=A</stp>
        <stp>FA_ACT_EST_DATA=E, EST_SOURCE=PSG</stp>
        <stp>ACT_EST_MAPPING=PRECISE</stp>
        <stp>FS=MRC</stp>
        <stp>CURRENCY=USD</stp>
        <stp>XLFILL=b</stp>
        <tr r="AH148" s="2"/>
      </tp>
      <tp t="s">
        <v>#N/A Requesting Data...</v>
        <stp/>
        <stp>##V3_BQLV12</stp>
        <stp>[MODL_NOW_US1.xlsx]Single Period!R177C36</stp>
        <stp>NOW US Equity</stp>
        <stp>BS_ST_CPTL_LEA_AND_OP_LEA_LIABS/1M</stp>
        <stp>FPR=2021Y</stp>
        <stp>FPT=A</stp>
        <stp>FA_ACT_EST_DATA=E, EST_SOURCE=JEF</stp>
        <stp>ACT_EST_MAPPING=PRECISE</stp>
        <stp>FS=MRC</stp>
        <stp>CURRENCY=USD</stp>
        <stp>XLFILL=b</stp>
        <tr r="AJ177" s="2"/>
      </tp>
      <tp t="s">
        <v>#N/A Requesting Data...</v>
        <stp/>
        <stp>##V3_BQLV12</stp>
        <stp>[MODL_NOW_US1.xlsx]Single Period!R216C17</stp>
        <stp>NOW US Equity</stp>
        <stp>CF_PURCHASE_OF_FIXED_PROD_ASSETS/1M</stp>
        <stp>FPR=2021Y</stp>
        <stp>FPT=A</stp>
        <stp>FA_ACT_EST_DATA=E, EST_SOURCE=RHR</stp>
        <stp>ACT_EST_MAPPING=PRECISE</stp>
        <stp>FS=MRC</stp>
        <stp>CURRENCY=USD</stp>
        <stp>XLFILL=b</stp>
        <tr r="Q216" s="2"/>
      </tp>
      <tp t="s">
        <v>#N/A Requesting Data...</v>
        <stp/>
        <stp>##V3_BQLV12</stp>
        <stp>[MODL_NOW_US1.xlsx]Single Period!R202C12</stp>
        <stp>NOW US Equity</stp>
        <stp>CF_AMORTIZATN_OF_DEFRRD_COMPNSTN/1M</stp>
        <stp>FPR=2021Y</stp>
        <stp>FPT=A</stp>
        <stp>FA_ACT_EST_DATA=E, EST_SOURCE=WBL</stp>
        <stp>ACT_EST_MAPPING=PRECISE</stp>
        <stp>FS=MRC</stp>
        <stp>CURRENCY=USD</stp>
        <stp>XLFILL=b</stp>
        <tr r="L202" s="2"/>
      </tp>
      <tp t="s">
        <v>#N/A Requesting Data...</v>
        <stp/>
        <stp>##V3_BQLV12</stp>
        <stp>[MODL_NOW_US1.xlsx]Single Period!R202C20</stp>
        <stp>NOW US Equity</stp>
        <stp>CF_AMORTIZATN_OF_DEFRRD_COMPNSTN/1M</stp>
        <stp>FPR=2021Y</stp>
        <stp>FPT=A</stp>
        <stp>FA_ACT_EST_DATA=E, EST_SOURCE=CAN</stp>
        <stp>ACT_EST_MAPPING=PRECISE</stp>
        <stp>FS=MRC</stp>
        <stp>CURRENCY=USD</stp>
        <stp>XLFILL=b</stp>
        <tr r="T202" s="2"/>
      </tp>
      <tp t="s">
        <v>#N/A Requesting Data...</v>
        <stp/>
        <stp>##V3_BQLV12</stp>
        <stp>[MODL_NOW_US1.xlsx]Single Period!R63C43</stp>
        <stp>SEG0000230975 Segment</stp>
        <stp>CB_IS_GROSS_PROFIT/1M</stp>
        <stp>FPR=2021Y</stp>
        <stp>FPT=A</stp>
        <stp>FA_ACT_EST_DATA=E, EST_SOURCE=WFT</stp>
        <stp>ACT_EST_MAPPING=PRECISE</stp>
        <stp>FS=MRC</stp>
        <stp>CURRENCY=USD</stp>
        <stp>XLFILL=b</stp>
        <tr r="AQ63" s="2"/>
      </tp>
      <tp t="s">
        <v>#N/A Requesting Data...</v>
        <stp/>
        <stp>##V3_BQLV12</stp>
        <stp>[MODL_NOW_US1.xlsx]Single Period!R218C19</stp>
        <stp>NOW US Equity</stp>
        <stp>CF_ACQUISITION_OF_INTANG_ASSETS/1M</stp>
        <stp>FPR=2021Y</stp>
        <stp>FPT=A</stp>
        <stp>FA_ACT_EST_DATA=E, EST_SOURCE=MSV</stp>
        <stp>ACT_EST_MAPPING=PRECISE</stp>
        <stp>FS=MRC</stp>
        <stp>CURRENCY=USD</stp>
        <stp>XLFILL=b</stp>
        <tr r="S218" s="2"/>
      </tp>
      <tp t="s">
        <v>#N/A Requesting Data...</v>
        <stp/>
        <stp>##V3_BQLV12</stp>
        <stp>[MODL_NOW_US1.xlsx]Single Period!R227C23</stp>
        <stp>NOW US Equity</stp>
        <stp>CF_NET_CSH_PROV_BY_FINANCING_ACT/1M</stp>
        <stp>FPR=2021Y</stp>
        <stp>FPT=A</stp>
        <stp>FA_ACT_EST_DATA=E, EST_SOURCE=ZXS</stp>
        <stp>ACT_EST_MAPPING=PRECISE</stp>
        <stp>FS=MRC</stp>
        <stp>CURRENCY=USD</stp>
        <stp>XLFILL=b</stp>
        <tr r="W227" s="2"/>
      </tp>
      <tp t="s">
        <v>#N/A Requesting Data...</v>
        <stp/>
        <stp>##V3_BQLV12</stp>
        <stp>[MODL_NOW_US1.xlsx]Single Period!R175C25</stp>
        <stp>NOW US Equity</stp>
        <stp>BS_ACCRUD_EXPNSS_AND_OTHR/1M</stp>
        <stp>FPR=2021Y</stp>
        <stp>FPT=A</stp>
        <stp>FA_ACT_EST_DATA=E, EST_SOURCE=DBG</stp>
        <stp>ACT_EST_MAPPING=PRECISE</stp>
        <stp>FS=MRC</stp>
        <stp>CURRENCY=USD</stp>
        <stp>XLFILL=b</stp>
        <tr r="Y175" s="2"/>
      </tp>
      <tp t="s">
        <v>#N/A Requesting Data...</v>
        <stp/>
        <stp>##V3_BQLV12</stp>
        <stp>[MODL_NOW_US1.xlsx]Single Period!R213C45</stp>
        <stp>NOW US Equity</stp>
        <stp>CF_CASH_FROM_OPER/1M</stp>
        <stp>FPR=2021Y</stp>
        <stp>FPT=A</stp>
        <stp>FA_ACT_EST_DATA=E, EST_SOURCE=PJE</stp>
        <stp>ACT_EST_MAPPING=PRECISE</stp>
        <stp>FS=MRC</stp>
        <stp>CURRENCY=USD</stp>
        <stp>XLFILL=b</stp>
        <tr r="AS213" s="2"/>
      </tp>
      <tp t="s">
        <v>#N/A Requesting Data...</v>
        <stp/>
        <stp>##V3_BQLV12</stp>
        <stp>[MODL_NOW_US1.xlsx]Single Period!R218C31</stp>
        <stp>NOW US Equity</stp>
        <stp>CF_ACQUISITION_OF_INTANG_ASSETS/1M</stp>
        <stp>FPR=2021Y</stp>
        <stp>FPT=A</stp>
        <stp>FA_ACT_EST_DATA=E, EST_SOURCE=GSR</stp>
        <stp>ACT_EST_MAPPING=PRECISE</stp>
        <stp>FS=MRC</stp>
        <stp>CURRENCY=USD</stp>
        <stp>XLFILL=b</stp>
        <tr r="AE218" s="2"/>
      </tp>
      <tp t="s">
        <v>#N/A Requesting Data...</v>
        <stp/>
        <stp>##V3_BQLV12</stp>
        <stp>[MODL_NOW_US1.xlsx]Single Period!R218C35</stp>
        <stp>NOW US Equity</stp>
        <stp>CF_ACQUISITION_OF_INTANG_ASSETS/1M</stp>
        <stp>FPR=2021Y</stp>
        <stp>FPT=A</stp>
        <stp>FA_ACT_EST_DATA=E, EST_SOURCE=MSR</stp>
        <stp>ACT_EST_MAPPING=PRECISE</stp>
        <stp>FS=MRC</stp>
        <stp>CURRENCY=USD</stp>
        <stp>XLFILL=b</stp>
        <tr r="AI218" s="2"/>
      </tp>
      <tp t="s">
        <v>#N/A Requesting Data...</v>
        <stp/>
        <stp>##V3_BQLV12</stp>
        <stp>[MODL_NOW_US1.xlsx]Single Period!R239C31</stp>
        <stp>NOW US Equity</stp>
        <stp>CFO_TO_SALES</stp>
        <stp>FPR=2021Y</stp>
        <stp>FPT=A</stp>
        <stp>FA_ACT_EST_DATA=E, EST_SOURCE=GSR</stp>
        <stp>ACT_EST_MAPPING=PRECISE</stp>
        <stp>FS=MRC</stp>
        <stp>CURRENCY=USD</stp>
        <stp>XLFILL=b</stp>
        <tr r="AE239" s="2"/>
      </tp>
      <tp t="s">
        <v>#N/A Requesting Data...</v>
        <stp/>
        <stp>##V3_BQLV12</stp>
        <stp>[MODL_NOW_US1.xlsx]Single Period!R129C18</stp>
        <stp>NOW US Equity</stp>
        <stp>EFF_TAX_RATE</stp>
        <stp>FPR=2021Y</stp>
        <stp>FPT=A</stp>
        <stp>FA_ACT_EST_DATA=E, EST_SOURCE=SNR</stp>
        <stp>ACT_EST_MAPPING=PRECISE</stp>
        <stp>FS=MRC</stp>
        <stp>CURRENCY=USD</stp>
        <stp>XLFILL=b</stp>
        <tr r="R129" s="2"/>
      </tp>
      <tp t="s">
        <v>#N/A Requesting Data...</v>
        <stp/>
        <stp>##V3_BQLV12</stp>
        <stp>[MODL_NOW_US1.xlsx]Single Period!R6C10</stp>
        <stp>NOW US Equity</stp>
        <stp>IS_COMP_EPS_EXCL_STOCK_COMP</stp>
        <stp>FPR=2021Y</stp>
        <stp>FPT=A</stp>
        <stp>FA_ACT_EST_DATA=E, EST_SOURCE=CMPY</stp>
        <stp>ACT_EST_MAPPING=PRECISE</stp>
        <stp>FS=MRC</stp>
        <stp>CURRENCY=USD</stp>
        <stp>XLFILL=b</stp>
        <tr r="J6" s="2"/>
      </tp>
      <tp t="s">
        <v>#N/A Requesting Data...</v>
        <stp/>
        <stp>##V3_BQLV12</stp>
        <stp>[MODL_NOW_US1.xlsx]Single Period!R185C10</stp>
        <stp>NOW US Equity</stp>
        <stp>BS_TOT_ASSET/1M</stp>
        <stp>FPR=2021Y</stp>
        <stp>FPT=A</stp>
        <stp>FA_ACT_EST_DATA=E, EST_SOURCE=CMPY</stp>
        <stp>ACT_EST_MAPPING=PRECISE</stp>
        <stp>FS=MRC</stp>
        <stp>CURRENCY=USD</stp>
        <stp>XLFILL=b</stp>
        <tr r="J185" s="2"/>
      </tp>
      <tp t="s">
        <v>#N/A Requesting Data...</v>
        <stp/>
        <stp>##V3_BQLV12</stp>
        <stp>[MODL_NOW_US1.xlsx]Single Period!R129C13</stp>
        <stp>NOW US Equity</stp>
        <stp>EFF_TAX_RATE</stp>
        <stp>FPR=2021Y</stp>
        <stp>FPT=A</stp>
        <stp>FA_ACT_EST_DATA=E, EST_SOURCE=KEY</stp>
        <stp>ACT_EST_MAPPING=PRECISE</stp>
        <stp>FS=MRC</stp>
        <stp>CURRENCY=USD</stp>
        <stp>XLFILL=b</stp>
        <tr r="M129" s="2"/>
      </tp>
      <tp t="s">
        <v>#N/A Requesting Data...</v>
        <stp/>
        <stp>##V3_BQLV12</stp>
        <stp>[MODL_NOW_US1.xlsx]Single Period!R81C14</stp>
        <stp>NOW US Equity</stp>
        <stp>IS_ADJ_SALES_YOY_CHG_PCT_CC</stp>
        <stp>FPR=2021Y</stp>
        <stp>FPT=A</stp>
        <stp>FA_ACT_EST_DATA=E, EST_SOURCE=BMO</stp>
        <stp>ACT_EST_MAPPING=PRECISE</stp>
        <stp>FS=MRC</stp>
        <stp>CURRENCY=USD</stp>
        <stp>XLFILL=b</stp>
        <tr r="N81" s="2"/>
      </tp>
      <tp t="s">
        <v>#N/A Requesting Data...</v>
        <stp/>
        <stp>##V3_BQLV12</stp>
        <stp>[MODL_NOW_US1.xlsx]Single Period!R116C32</stp>
        <stp>NOW US Equity</stp>
        <stp>GROSS_MARGIN</stp>
        <stp>FPR=2021Y</stp>
        <stp>FPT=A</stp>
        <stp>FA_ACT_EST_DATA=E, EST_SOURCE=FBC</stp>
        <stp>ACT_EST_MAPPING=PRECISE</stp>
        <stp>FS=MRC</stp>
        <stp>CURRENCY=USD</stp>
        <stp>XLFILL=b</stp>
        <tr r="AF116" s="2"/>
      </tp>
      <tp t="s">
        <v>#N/A Requesting Data...</v>
        <stp/>
        <stp>##V3_BQLV12</stp>
        <stp>[MODL_NOW_US1.xlsx]Single Period!R129C22</stp>
        <stp>NOW US Equity</stp>
        <stp>EFF_TAX_RATE</stp>
        <stp>FPR=2021Y</stp>
        <stp>FPT=A</stp>
        <stp>FA_ACT_EST_DATA=E, EST_SOURCE=NDH</stp>
        <stp>ACT_EST_MAPPING=PRECISE</stp>
        <stp>FS=MRC</stp>
        <stp>CURRENCY=USD</stp>
        <stp>XLFILL=b</stp>
        <tr r="V129" s="2"/>
      </tp>
      <tp t="s">
        <v>#N/A Requesting Data...</v>
        <stp/>
        <stp>##V3_BQLV12</stp>
        <stp>[MODL_NOW_US1.xlsx]Single Period!R81C29</stp>
        <stp>NOW US Equity</stp>
        <stp>IS_ADJ_SALES_YOY_CHG_PCT_CC</stp>
        <stp>FPR=2021Y</stp>
        <stp>FPT=A</stp>
        <stp>FA_ACT_EST_DATA=E, EST_SOURCE=BNS</stp>
        <stp>ACT_EST_MAPPING=PRECISE</stp>
        <stp>FS=MRC</stp>
        <stp>CURRENCY=USD</stp>
        <stp>XLFILL=b</stp>
        <tr r="AC81" s="2"/>
      </tp>
      <tp t="s">
        <v>#N/A Requesting Data...</v>
        <stp/>
        <stp>##V3_BQLV12</stp>
        <stp>[MODL_NOW_US1.xlsx]Single Period!R239C47</stp>
        <stp>NOW US Equity</stp>
        <stp>CFO_TO_SALES</stp>
        <stp>FPR=2021Y</stp>
        <stp>FPT=A</stp>
        <stp>FA_ACT_EST_DATA=E, EST_SOURCE=SUM</stp>
        <stp>ACT_EST_MAPPING=PRECISE</stp>
        <stp>FS=MRC</stp>
        <stp>CURRENCY=USD</stp>
        <stp>XLFILL=b</stp>
        <tr r="AU239" s="2"/>
      </tp>
      <tp t="s">
        <v>#N/A Requesting Data...</v>
        <stp/>
        <stp>##V3_BQLV12</stp>
        <stp>[MODL_NOW_US1.xlsx]Single Period!R116C12</stp>
        <stp>NOW US Equity</stp>
        <stp>GROSS_MARGIN</stp>
        <stp>FPR=2021Y</stp>
        <stp>FPT=A</stp>
        <stp>FA_ACT_EST_DATA=E, EST_SOURCE=WBL</stp>
        <stp>ACT_EST_MAPPING=PRECISE</stp>
        <stp>FS=MRC</stp>
        <stp>CURRENCY=USD</stp>
        <stp>XLFILL=b</stp>
        <tr r="L116" s="2"/>
      </tp>
      <tp t="s">
        <v>#N/A Requesting Data...</v>
        <stp/>
        <stp>##V3_BQLV12</stp>
        <stp>[MODL_NOW_US1.xlsx]Single Period!R96C18</stp>
        <stp>NOW US Equity</stp>
        <stp>ADJ_OPERATING_MARGIN</stp>
        <stp>FPR=2021Y</stp>
        <stp>FPT=A</stp>
        <stp>FA_ACT_EST_DATA=E, EST_SOURCE=SNR</stp>
        <stp>ACT_EST_MAPPING=PRECISE</stp>
        <stp>FS=MRC</stp>
        <stp>CURRENCY=USD</stp>
        <stp>XLFILL=b</stp>
        <tr r="R96" s="2"/>
      </tp>
      <tp t="s">
        <v>#N/A Requesting Data...</v>
        <stp/>
        <stp>##V3_BQLV12</stp>
        <stp>[MODL_NOW_US1.xlsx]Single Period!R111C37</stp>
        <stp>NOW US Equity</stp>
        <stp>IS_COGS_TO_FE_AND_PP_AND_G/1M</stp>
        <stp>FPR=2021Y</stp>
        <stp>FPT=A</stp>
        <stp>FA_ACT_EST_DATA=E, EST_SOURCE=TTC</stp>
        <stp>ACT_EST_MAPPING=PRECISE</stp>
        <stp>FS=MRC</stp>
        <stp>CURRENCY=USD</stp>
        <stp>XLFILL=b</stp>
        <tr r="AK111" s="2"/>
      </tp>
      <tp t="s">
        <v>#N/A Requesting Data...</v>
        <stp/>
        <stp>##V3_BQLV12</stp>
        <stp>[MODL_NOW_US1.xlsx]Single Period!R127C43</stp>
        <stp>NOW US Equity</stp>
        <stp>PRETAX_INC/1M</stp>
        <stp>FPR=2021Y</stp>
        <stp>FPT=A</stp>
        <stp>FA_ACT_EST_DATA=E, EST_SOURCE=WFT</stp>
        <stp>ACT_EST_MAPPING=PRECISE</stp>
        <stp>FS=MRC</stp>
        <stp>CURRENCY=USD</stp>
        <stp>XLFILL=b</stp>
        <tr r="AQ127" s="2"/>
      </tp>
      <tp t="s">
        <v>#N/A Requesting Data...</v>
        <stp/>
        <stp>##V3_BQLV12</stp>
        <stp>[MODL_NOW_US1.xlsx]Single Period!R163C43</stp>
        <stp>NOW US Equity</stp>
        <stp>CB_BS_PP_AND_E_NET/1M</stp>
        <stp>FPR=2021Y</stp>
        <stp>FPT=A</stp>
        <stp>FA_ACT_EST_DATA=E, EST_SOURCE=WFT</stp>
        <stp>ACT_EST_MAPPING=PRECISE</stp>
        <stp>FS=MRC</stp>
        <stp>CURRENCY=USD</stp>
        <stp>XLFILL=b</stp>
        <tr r="AQ163" s="2"/>
      </tp>
      <tp t="s">
        <v>#N/A Requesting Data...</v>
        <stp/>
        <stp>##V3_BQLV12</stp>
        <stp>[MODL_NOW_US1.xlsx]Single Period!R111C42</stp>
        <stp>NOW US Equity</stp>
        <stp>IS_COGS_TO_FE_AND_PP_AND_G/1M</stp>
        <stp>FPR=2021Y</stp>
        <stp>FPT=A</stp>
        <stp>FA_ACT_EST_DATA=E, EST_SOURCE=CTI</stp>
        <stp>ACT_EST_MAPPING=PRECISE</stp>
        <stp>FS=MRC</stp>
        <stp>CURRENCY=USD</stp>
        <stp>XLFILL=b</stp>
        <tr r="AP111" s="2"/>
      </tp>
      <tp t="s">
        <v>#N/A Requesting Data...</v>
        <stp/>
        <stp>##V3_BQLV12</stp>
        <stp>[MODL_NOW_US1.xlsx]Single Period!R159C26</stp>
        <stp>NOW US Equity</stp>
        <stp>CB_BS_OTHER_CURRENT_ASSETS/1M</stp>
        <stp>FPR=2021Y</stp>
        <stp>FPT=A</stp>
        <stp>FA_ACT_EST_DATA=E, EST_SOURCE=UBS</stp>
        <stp>ACT_EST_MAPPING=PRECISE</stp>
        <stp>FS=MRC</stp>
        <stp>CURRENCY=USD</stp>
        <stp>XLFILL=b</stp>
        <tr r="Z159" s="2"/>
      </tp>
      <tp t="s">
        <v>#N/A Requesting Data...</v>
        <stp/>
        <stp>##V3_BQLV12</stp>
        <stp>[MODL_NOW_US1.xlsx]Single Period!R96C13</stp>
        <stp>NOW US Equity</stp>
        <stp>ADJ_OPERATING_MARGIN</stp>
        <stp>FPR=2021Y</stp>
        <stp>FPT=A</stp>
        <stp>FA_ACT_EST_DATA=E, EST_SOURCE=KEY</stp>
        <stp>ACT_EST_MAPPING=PRECISE</stp>
        <stp>FS=MRC</stp>
        <stp>CURRENCY=USD</stp>
        <stp>XLFILL=b</stp>
        <tr r="M96" s="2"/>
      </tp>
      <tp t="s">
        <v>#N/A Requesting Data...</v>
        <stp/>
        <stp>##V3_BQLV12</stp>
        <stp>[MODL_NOW_US1.xlsx]Single Period!R144C39</stp>
        <stp>NOW US Equity</stp>
        <stp>IS_SBC_ATT_TO_GENL_AND_ADMIN_PRETX/1M</stp>
        <stp>FPR=2021Y</stp>
        <stp>FPT=A</stp>
        <stp>FA_ACT_EST_DATA=E, EST_SOURCE=DZB</stp>
        <stp>ACT_EST_MAPPING=PRECISE</stp>
        <stp>FS=MRC</stp>
        <stp>CURRENCY=USD</stp>
        <stp>XLFILL=b</stp>
        <tr r="AM144" s="2"/>
      </tp>
      <tp t="s">
        <v>#N/A Requesting Data...</v>
        <stp/>
        <stp>##V3_BQLV12</stp>
        <stp>[MODL_NOW_US1.xlsx]Single Period!R212C14</stp>
        <stp>NOW US Equity</stp>
        <stp>CF_CHANGE_IN_ACCRUD_EXPNSS/1M</stp>
        <stp>FPR=2021Y</stp>
        <stp>FPT=A</stp>
        <stp>FA_ACT_EST_DATA=E, EST_SOURCE=BMO</stp>
        <stp>ACT_EST_MAPPING=PRECISE</stp>
        <stp>FS=MRC</stp>
        <stp>CURRENCY=USD</stp>
        <stp>XLFILL=b</stp>
        <tr r="N212" s="2"/>
      </tp>
      <tp t="s">
        <v>#N/A Requesting Data...</v>
        <stp/>
        <stp>##V3_BQLV12</stp>
        <stp>[MODL_NOW_US1.xlsx]Single Period!R157C45</stp>
        <stp>NOW US Equity</stp>
        <stp>BS_MKT_SEC_OTHER_ST_INVEST/1M</stp>
        <stp>FPR=2021Y</stp>
        <stp>FPT=A</stp>
        <stp>FA_ACT_EST_DATA=E, EST_SOURCE=PJE</stp>
        <stp>ACT_EST_MAPPING=PRECISE</stp>
        <stp>FS=MRC</stp>
        <stp>CURRENCY=USD</stp>
        <stp>XLFILL=b</stp>
        <tr r="AS157" s="2"/>
      </tp>
      <tp t="s">
        <v>#N/A Requesting Data...</v>
        <stp/>
        <stp>##V3_BQLV12</stp>
        <stp>[MODL_NOW_US1.xlsx]Single Period!R164C33</stp>
        <stp>NOW US Equity</stp>
        <stp>CB_BS_PP_AND_E_NET/1M</stp>
        <stp>FPR=2021Y</stp>
        <stp>FPT=A</stp>
        <stp>FA_ACT_EST_DATA=E, EST_SOURCE=MAC</stp>
        <stp>ACT_EST_MAPPING=PRECISE</stp>
        <stp>FS=MRC</stp>
        <stp>CURRENCY=USD</stp>
        <stp>XLFILL=b</stp>
        <tr r="AG164" s="2"/>
      </tp>
      <tp t="s">
        <v>#N/A Requesting Data...</v>
        <stp/>
        <stp>##V3_BQLV12</stp>
        <stp>[MODL_NOW_US1.xlsx]Single Period!R212C21</stp>
        <stp>NOW US Equity</stp>
        <stp>CF_CHANGE_IN_ACCRUD_EXPNSS/1M</stp>
        <stp>FPR=2021Y</stp>
        <stp>FPT=A</stp>
        <stp>FA_ACT_EST_DATA=E, EST_SOURCE=JMP</stp>
        <stp>ACT_EST_MAPPING=PRECISE</stp>
        <stp>FS=MRC</stp>
        <stp>CURRENCY=USD</stp>
        <stp>XLFILL=b</stp>
        <tr r="U212" s="2"/>
      </tp>
      <tp t="s">
        <v>#N/A Requesting Data...</v>
        <stp/>
        <stp>##V3_BQLV12</stp>
        <stp>[MODL_NOW_US1.xlsx]Single Period!R54C10</stp>
        <stp>NOW US Equity</stp>
        <stp>IS_FOREIGN_CURRENCY_TURNOVER/1M</stp>
        <stp>FPR=2021Y</stp>
        <stp>FPT=A</stp>
        <stp>FA_ACT_EST_DATA=E, EST_SOURCE=CMPY</stp>
        <stp>ACT_EST_MAPPING=PRECISE</stp>
        <stp>FS=MRC</stp>
        <stp>CURRENCY=USD</stp>
        <stp>XLFILL=b</stp>
        <tr r="J54" s="2"/>
      </tp>
      <tp t="s">
        <v>#N/A Requesting Data...</v>
        <stp/>
        <stp>##V3_BQLV12</stp>
        <stp>[MODL_NOW_US1.xlsx]Single Period!R159C12</stp>
        <stp>NOW US Equity</stp>
        <stp>CB_BS_OTHER_CURRENT_ASSETS/1M</stp>
        <stp>FPR=2021Y</stp>
        <stp>FPT=A</stp>
        <stp>FA_ACT_EST_DATA=E, EST_SOURCE=WBL</stp>
        <stp>ACT_EST_MAPPING=PRECISE</stp>
        <stp>FS=MRC</stp>
        <stp>CURRENCY=USD</stp>
        <stp>XLFILL=b</stp>
        <tr r="L159" s="2"/>
      </tp>
      <tp t="s">
        <v>#N/A Requesting Data...</v>
        <stp/>
        <stp>##V3_BQLV12</stp>
        <stp>[MODL_NOW_US1.xlsx]Single Period!R91C28</stp>
        <stp>NOW US Equity</stp>
        <stp>ADJ_R_AND_D_TO_SALES</stp>
        <stp>FPR=2021Y</stp>
        <stp>FPT=A</stp>
        <stp>FA_ACT_EST_DATA=E, EST_SOURCE=EVR</stp>
        <stp>ACT_EST_MAPPING=PRECISE</stp>
        <stp>FS=MRC</stp>
        <stp>CURRENCY=USD</stp>
        <stp>XLFILL=b</stp>
        <tr r="AB91" s="2"/>
      </tp>
      <tp t="s">
        <v>#N/A Requesting Data...</v>
        <stp/>
        <stp>##V3_BQLV12</stp>
        <stp>[MODL_NOW_US1.xlsx]Single Period!R159C27</stp>
        <stp>NOW US Equity</stp>
        <stp>CB_BS_OTHER_CURRENT_ASSETS/1M</stp>
        <stp>FPR=2021Y</stp>
        <stp>FPT=A</stp>
        <stp>FA_ACT_EST_DATA=E, EST_SOURCE=RBC</stp>
        <stp>ACT_EST_MAPPING=PRECISE</stp>
        <stp>FS=MRC</stp>
        <stp>CURRENCY=USD</stp>
        <stp>XLFILL=b</stp>
        <tr r="AA159" s="2"/>
      </tp>
      <tp t="s">
        <v>#N/A Requesting Data...</v>
        <stp/>
        <stp>##V3_BQLV12</stp>
        <stp>[MODL_NOW_US1.xlsx]Single Period!R159C32</stp>
        <stp>NOW US Equity</stp>
        <stp>CB_BS_OTHER_CURRENT_ASSETS/1M</stp>
        <stp>FPR=2021Y</stp>
        <stp>FPT=A</stp>
        <stp>FA_ACT_EST_DATA=E, EST_SOURCE=FBC</stp>
        <stp>ACT_EST_MAPPING=PRECISE</stp>
        <stp>FS=MRC</stp>
        <stp>CURRENCY=USD</stp>
        <stp>XLFILL=b</stp>
        <tr r="AF159" s="2"/>
      </tp>
      <tp t="s">
        <v>#N/A Requesting Data...</v>
        <stp/>
        <stp>##V3_BQLV12</stp>
        <stp>[MODL_NOW_US1.xlsx]Single Period!R96C22</stp>
        <stp>NOW US Equity</stp>
        <stp>ADJ_OPERATING_MARGIN</stp>
        <stp>FPR=2021Y</stp>
        <stp>FPT=A</stp>
        <stp>FA_ACT_EST_DATA=E, EST_SOURCE=NDH</stp>
        <stp>ACT_EST_MAPPING=PRECISE</stp>
        <stp>FS=MRC</stp>
        <stp>CURRENCY=USD</stp>
        <stp>XLFILL=b</stp>
        <tr r="V96" s="2"/>
      </tp>
      <tp t="s">
        <v>#N/A Requesting Data...</v>
        <stp/>
        <stp>##V3_BQLV12</stp>
        <stp>[MODL_NOW_US1.xlsx]Single Period!R159C25</stp>
        <stp>NOW US Equity</stp>
        <stp>CB_BS_OTHER_CURRENT_ASSETS/1M</stp>
        <stp>FPR=2021Y</stp>
        <stp>FPT=A</stp>
        <stp>FA_ACT_EST_DATA=E, EST_SOURCE=DBG</stp>
        <stp>ACT_EST_MAPPING=PRECISE</stp>
        <stp>FS=MRC</stp>
        <stp>CURRENCY=USD</stp>
        <stp>XLFILL=b</stp>
        <tr r="Y159" s="2"/>
      </tp>
      <tp t="s">
        <v>#N/A Requesting Data...</v>
        <stp/>
        <stp>##V3_BQLV12</stp>
        <stp>[MODL_NOW_US1.xlsx]Single Period!R164C20</stp>
        <stp>NOW US Equity</stp>
        <stp>CB_BS_PP_AND_E_NET/1M</stp>
        <stp>FPR=2021Y</stp>
        <stp>FPT=A</stp>
        <stp>FA_ACT_EST_DATA=E, EST_SOURCE=CAN</stp>
        <stp>ACT_EST_MAPPING=PRECISE</stp>
        <stp>FS=MRC</stp>
        <stp>CURRENCY=USD</stp>
        <stp>XLFILL=b</stp>
        <tr r="T164" s="2"/>
      </tp>
      <tp t="s">
        <v>#N/A Requesting Data...</v>
        <stp/>
        <stp>##V3_BQLV12</stp>
        <stp>[MODL_NOW_US1.xlsx]Single Period!R144C46</stp>
        <stp>NOW US Equity</stp>
        <stp>IS_SBC_ATT_TO_GENL_AND_ADMIN_PRETX/1M</stp>
        <stp>FPR=2021Y</stp>
        <stp>FPT=A</stp>
        <stp>FA_ACT_EST_DATA=E, EST_SOURCE=MZS</stp>
        <stp>ACT_EST_MAPPING=PRECISE</stp>
        <stp>FS=MRC</stp>
        <stp>CURRENCY=USD</stp>
        <stp>XLFILL=b</stp>
        <tr r="AT144" s="2"/>
      </tp>
      <tp t="s">
        <v>#N/A Requesting Data...</v>
        <stp/>
        <stp>##V3_BQLV12</stp>
        <stp>[MODL_NOW_US1.xlsx]Single Period!R164C30</stp>
        <stp>NOW US Equity</stp>
        <stp>CB_BS_PP_AND_E_NET/1M</stp>
        <stp>FPR=2021Y</stp>
        <stp>FPT=A</stp>
        <stp>FA_ACT_EST_DATA=E, EST_SOURCE=BAM</stp>
        <stp>ACT_EST_MAPPING=PRECISE</stp>
        <stp>FS=MRC</stp>
        <stp>CURRENCY=USD</stp>
        <stp>XLFILL=b</stp>
        <tr r="AD164" s="2"/>
      </tp>
      <tp t="s">
        <v>#N/A Requesting Data...</v>
        <stp/>
        <stp>##V3_BQLV12</stp>
        <stp>[MODL_NOW_US1.xlsx]Single Period!R174C21</stp>
        <stp>NOW US Equity</stp>
        <stp>BS_ACCT_PAYABLE/1M</stp>
        <stp>FPR=2021Y</stp>
        <stp>FPT=A</stp>
        <stp>FA_ACT_EST_DATA=E, EST_SOURCE=JMP</stp>
        <stp>ACT_EST_MAPPING=PRECISE</stp>
        <stp>FS=MRC</stp>
        <stp>CURRENCY=USD</stp>
        <stp>XLFILL=b</stp>
        <tr r="U174" s="2"/>
      </tp>
      <tp t="s">
        <v>#N/A Requesting Data...</v>
        <stp/>
        <stp>##V3_BQLV12</stp>
        <stp>[MODL_NOW_US1.xlsx]Single Period!R199C14</stp>
        <stp>NOW US Equity</stp>
        <stp>IS_COMP_NET_INCOME_GAAP/1M</stp>
        <stp>FPR=2021Y</stp>
        <stp>FPT=A</stp>
        <stp>FA_ACT_EST_DATA=E, EST_SOURCE=BMO</stp>
        <stp>ACT_EST_MAPPING=PRECISE</stp>
        <stp>FS=MRC</stp>
        <stp>CURRENCY=USD</stp>
        <stp>XLFILL=b</stp>
        <tr r="N199" s="2"/>
      </tp>
      <tp t="s">
        <v>#N/A Requesting Data...</v>
        <stp/>
        <stp>##V3_BQLV12</stp>
        <stp>[MODL_NOW_US1.xlsx]Single Period!R130C14</stp>
        <stp>NOW US Equity</stp>
        <stp>IS_COMP_NET_INCOME_GAAP/1M</stp>
        <stp>FPR=2021Y</stp>
        <stp>FPT=A</stp>
        <stp>FA_ACT_EST_DATA=E, EST_SOURCE=BMO</stp>
        <stp>ACT_EST_MAPPING=PRECISE</stp>
        <stp>FS=MRC</stp>
        <stp>CURRENCY=USD</stp>
        <stp>XLFILL=b</stp>
        <tr r="N130" s="2"/>
      </tp>
      <tp t="s">
        <v>#N/A Requesting Data...</v>
        <stp/>
        <stp>##V3_BQLV12</stp>
        <stp>[MODL_NOW_US1.xlsx]Single Period!R43C47</stp>
        <stp>SEG0000230975 Segment</stp>
        <stp>CB_ADJ_BILLINGS_AMT/1M</stp>
        <stp>FPR=2021Y</stp>
        <stp>FPT=A</stp>
        <stp>FA_ACT_EST_DATA=E, EST_SOURCE=SUM</stp>
        <stp>ACT_EST_MAPPING=PRECISE</stp>
        <stp>FS=MRC</stp>
        <stp>CURRENCY=USD</stp>
        <stp>XLFILL=b</stp>
        <tr r="AU43" s="2"/>
      </tp>
      <tp t="s">
        <v>#N/A Requesting Data...</v>
        <stp/>
        <stp>##V3_BQLV12</stp>
        <stp>[MODL_NOW_US1.xlsx]Single Period!R87C7</stp>
        <stp>NOW US Equity</stp>
        <stp>CONTRIBUTOR_STATS(CB_IS_ADJUSTED_OPEX, MAX)/1M</stp>
        <stp>FPR=2021Y</stp>
        <stp>FPT=A</stp>
        <stp>FA_ACT_EST_DATA=E</stp>
        <stp>ACT_EST_MAPPING=PRECISE</stp>
        <stp>FS=MRC</stp>
        <stp>CURRENCY=USD</stp>
        <stp>XLFILL=b</stp>
        <tr r="G87" s="2"/>
      </tp>
      <tp t="s">
        <v>#N/A Requesting Data...</v>
        <stp/>
        <stp>##V3_BQLV12</stp>
        <stp>[MODL_NOW_US1.xlsx]Single Period!R87C6</stp>
        <stp>NOW US Equity</stp>
        <stp>CONTRIBUTOR_STATS(CB_IS_ADJUSTED_OPEX, MIN)/1M</stp>
        <stp>FPR=2021Y</stp>
        <stp>FPT=A</stp>
        <stp>FA_ACT_EST_DATA=E</stp>
        <stp>ACT_EST_MAPPING=PRECISE</stp>
        <stp>FS=MRC</stp>
        <stp>CURRENCY=USD</stp>
        <stp>XLFILL=b</stp>
        <tr r="F87" s="2"/>
      </tp>
      <tp t="s">
        <v>#N/A Requesting Data...</v>
        <stp/>
        <stp>##V3_BQLV12</stp>
        <stp>[MODL_NOW_US1.xlsx]Single Period!R87C8</stp>
        <stp>NOW US Equity</stp>
        <stp>CONTRIBUTOR_STATS(CB_IS_ADJUSTED_OPEX, STD)/1M</stp>
        <stp>FPR=2021Y</stp>
        <stp>FPT=A</stp>
        <stp>FA_ACT_EST_DATA=E</stp>
        <stp>ACT_EST_MAPPING=PRECISE</stp>
        <stp>FS=MRC</stp>
        <stp>CURRENCY=USD</stp>
        <stp>XLFILL=b</stp>
        <tr r="H87" s="2"/>
      </tp>
      <tp t="s">
        <v>#N/A Requesting Data...</v>
        <stp/>
        <stp>##V3_BQLV12</stp>
        <stp>[MODL_NOW_US1.xlsx]Single Period!R47C28</stp>
        <stp>SEG0000230986 Segment</stp>
        <stp>CB_ADJ_BILLINGS_AMT/1M</stp>
        <stp>FPR=2021Y</stp>
        <stp>FPT=A</stp>
        <stp>FA_ACT_EST_DATA=E, EST_SOURCE=EVR</stp>
        <stp>ACT_EST_MAPPING=PRECISE</stp>
        <stp>FS=MRC</stp>
        <stp>CURRENCY=USD</stp>
        <stp>XLFILL=b</stp>
        <tr r="AB47" s="2"/>
      </tp>
      <tp t="s">
        <v>#N/A Requesting Data...</v>
        <stp/>
        <stp>##V3_BQLV12</stp>
        <stp>[MODL_NOW_US1.xlsx]Single Period!R219C38</stp>
        <stp>NOW US Equity</stp>
        <stp>CF_PURCHSS_OF_INVSTMNTS/1M</stp>
        <stp>FPR=2021Y</stp>
        <stp>FPT=A</stp>
        <stp>FA_ACT_EST_DATA=E, EST_SOURCE=RWB</stp>
        <stp>ACT_EST_MAPPING=PRECISE</stp>
        <stp>FS=MRC</stp>
        <stp>CURRENCY=USD</stp>
        <stp>XLFILL=b</stp>
        <tr r="AL219" s="2"/>
      </tp>
      <tp t="s">
        <v>#N/A Requesting Data...</v>
        <stp/>
        <stp>##V3_BQLV12</stp>
        <stp>[MODL_NOW_US1.xlsx]Single Period!R174C14</stp>
        <stp>NOW US Equity</stp>
        <stp>BS_ACCT_PAYABLE/1M</stp>
        <stp>FPR=2021Y</stp>
        <stp>FPT=A</stp>
        <stp>FA_ACT_EST_DATA=E, EST_SOURCE=BMO</stp>
        <stp>ACT_EST_MAPPING=PRECISE</stp>
        <stp>FS=MRC</stp>
        <stp>CURRENCY=USD</stp>
        <stp>XLFILL=b</stp>
        <tr r="N174" s="2"/>
      </tp>
      <tp t="s">
        <v>#N/A Requesting Data...</v>
        <stp/>
        <stp>##V3_BQLV12</stp>
        <stp>[MODL_NOW_US1.xlsx]Single Period!R199C21</stp>
        <stp>NOW US Equity</stp>
        <stp>IS_COMP_NET_INCOME_GAAP/1M</stp>
        <stp>FPR=2021Y</stp>
        <stp>FPT=A</stp>
        <stp>FA_ACT_EST_DATA=E, EST_SOURCE=JMP</stp>
        <stp>ACT_EST_MAPPING=PRECISE</stp>
        <stp>FS=MRC</stp>
        <stp>CURRENCY=USD</stp>
        <stp>XLFILL=b</stp>
        <tr r="U199" s="2"/>
      </tp>
      <tp t="s">
        <v>#N/A Requesting Data...</v>
        <stp/>
        <stp>##V3_BQLV12</stp>
        <stp>[MODL_NOW_US1.xlsx]Single Period!R130C21</stp>
        <stp>NOW US Equity</stp>
        <stp>IS_COMP_NET_INCOME_GAAP/1M</stp>
        <stp>FPR=2021Y</stp>
        <stp>FPT=A</stp>
        <stp>FA_ACT_EST_DATA=E, EST_SOURCE=JMP</stp>
        <stp>ACT_EST_MAPPING=PRECISE</stp>
        <stp>FS=MRC</stp>
        <stp>CURRENCY=USD</stp>
        <stp>XLFILL=b</stp>
        <tr r="U130" s="2"/>
      </tp>
      <tp t="s">
        <v>#N/A Requesting Data...</v>
        <stp/>
        <stp>##V3_BQLV12</stp>
        <stp>[MODL_NOW_US1.xlsx]Single Period!R208C22</stp>
        <stp>NOW US Equity</stp>
        <stp>CF_CHANGE_IN_OTHR_ASSTS/1M</stp>
        <stp>FPR=2021Y</stp>
        <stp>FPT=A</stp>
        <stp>FA_ACT_EST_DATA=E, EST_SOURCE=NDH</stp>
        <stp>ACT_EST_MAPPING=PRECISE</stp>
        <stp>FS=MRC</stp>
        <stp>CURRENCY=USD</stp>
        <stp>XLFILL=b</stp>
        <tr r="V208" s="2"/>
      </tp>
      <tp t="s">
        <v>#N/A Requesting Data...</v>
        <stp/>
        <stp>##V3_BQLV12</stp>
        <stp>[MODL_NOW_US1.xlsx]Single Period!R219C24</stp>
        <stp>NOW US Equity</stp>
        <stp>CF_PURCHSS_OF_INVSTMNTS/1M</stp>
        <stp>FPR=2021Y</stp>
        <stp>FPT=A</stp>
        <stp>FA_ACT_EST_DATA=E, EST_SOURCE=CWN</stp>
        <stp>ACT_EST_MAPPING=PRECISE</stp>
        <stp>FS=MRC</stp>
        <stp>CURRENCY=USD</stp>
        <stp>XLFILL=b</stp>
        <tr r="X219" s="2"/>
      </tp>
      <tp t="s">
        <v>#N/A Requesting Data...</v>
        <stp/>
        <stp>##V3_BQLV12</stp>
        <stp>[MODL_NOW_US1.xlsx]Single Period!R219C40</stp>
        <stp>NOW US Equity</stp>
        <stp>CF_PURCHSS_OF_INVSTMNTS/1M</stp>
        <stp>FPR=2021Y</stp>
        <stp>FPT=A</stp>
        <stp>FA_ACT_EST_DATA=E, EST_SOURCE=DWI</stp>
        <stp>ACT_EST_MAPPING=PRECISE</stp>
        <stp>FS=MRC</stp>
        <stp>CURRENCY=USD</stp>
        <stp>XLFILL=b</stp>
        <tr r="AN219" s="2"/>
      </tp>
      <tp t="s">
        <v>#N/A Requesting Data...</v>
        <stp/>
        <stp>##V3_BQLV12</stp>
        <stp>[MODL_NOW_US1.xlsx]Single Period!R117C23</stp>
        <stp>NOW US Equity</stp>
        <stp>IS_TOT_OPER_EXP/1M</stp>
        <stp>FPR=2021Y</stp>
        <stp>FPT=A</stp>
        <stp>FA_ACT_EST_DATA=E, EST_SOURCE=ZXS</stp>
        <stp>ACT_EST_MAPPING=PRECISE</stp>
        <stp>FS=MRC</stp>
        <stp>CURRENCY=USD</stp>
        <stp>XLFILL=b</stp>
        <tr r="W117" s="2"/>
      </tp>
      <tp t="s">
        <v>#N/A Requesting Data...</v>
        <stp/>
        <stp>##V3_BQLV12</stp>
        <stp>[MODL_NOW_US1.xlsx]Single Period!R236C45</stp>
        <stp>NOW US Equity</stp>
        <stp>FREE_CASH_FLOW_MARGIN</stp>
        <stp>FPR=2021Y</stp>
        <stp>FPT=A</stp>
        <stp>FA_ACT_EST_DATA=E, EST_SOURCE=PJE</stp>
        <stp>ACT_EST_MAPPING=PRECISE</stp>
        <stp>FS=MRC</stp>
        <stp>CURRENCY=USD</stp>
        <stp>XLFILL=b</stp>
        <tr r="AS236" s="2"/>
      </tp>
      <tp t="s">
        <v>#N/A Requesting Data...</v>
        <stp/>
        <stp>##V3_BQLV12</stp>
        <stp>[MODL_NOW_US1.xlsx]Single Period!R138C28</stp>
        <stp>NOW US Equity</stp>
        <stp>SBC_NON_GAAP_TO_SALES</stp>
        <stp>FPR=2021Y</stp>
        <stp>FPT=A</stp>
        <stp>FA_ACT_EST_DATA=E, EST_SOURCE=EVR</stp>
        <stp>ACT_EST_MAPPING=PRECISE</stp>
        <stp>FS=MRC</stp>
        <stp>CURRENCY=USD</stp>
        <stp>XLFILL=b</stp>
        <tr r="AB138" s="2"/>
      </tp>
      <tp t="s">
        <v>#N/A Requesting Data...</v>
        <stp/>
        <stp>##V3_BQLV12</stp>
        <stp>[MODL_NOW_US1.xlsx]Single Period!R104C39</stp>
        <stp>NOW US Equity</stp>
        <stp>IS_COMP_NET_INC_EXCL_STOCK_COMP/1M</stp>
        <stp>FPR=2021Y</stp>
        <stp>FPT=A</stp>
        <stp>FA_ACT_EST_DATA=E, EST_SOURCE=DZB</stp>
        <stp>ACT_EST_MAPPING=PRECISE</stp>
        <stp>FS=MRC</stp>
        <stp>CURRENCY=USD</stp>
        <stp>XLFILL=b</stp>
        <tr r="AM104" s="2"/>
      </tp>
      <tp t="s">
        <v>#N/A Requesting Data...</v>
        <stp/>
        <stp>##V3_BQLV12</stp>
        <stp>[MODL_NOW_US1.xlsx]Single Period!R71C22</stp>
        <stp>SEG0000230986 Segment</stp>
        <stp>CB_IS_GROSS_PROFIT/1M</stp>
        <stp>FPR=2021Y</stp>
        <stp>FPT=A</stp>
        <stp>FA_ACT_EST_DATA=E, EST_SOURCE=NDH</stp>
        <stp>ACT_EST_MAPPING=PRECISE</stp>
        <stp>FS=MRC</stp>
        <stp>CURRENCY=USD</stp>
        <stp>XLFILL=b</stp>
        <tr r="V71" s="2"/>
      </tp>
      <tp t="s">
        <v>#N/A Requesting Data...</v>
        <stp/>
        <stp>##V3_BQLV12</stp>
        <stp>[MODL_NOW_US1.xlsx]Single Period!R221C48</stp>
        <stp>NOW US Equity</stp>
        <stp>CB_CF_OTHER_INVESTING_ACTIVITIES/1M</stp>
        <stp>FPR=2021Y</stp>
        <stp>FPT=A</stp>
        <stp>FA_ACT_EST_DATA=E, EST_SOURCE=CRC</stp>
        <stp>ACT_EST_MAPPING=PRECISE</stp>
        <stp>FS=MRC</stp>
        <stp>CURRENCY=USD</stp>
        <stp>XLFILL=b</stp>
        <tr r="AV221" s="2"/>
      </tp>
      <tp t="s">
        <v>#N/A Requesting Data...</v>
        <stp/>
        <stp>##V3_BQLV12</stp>
        <stp>[MODL_NOW_US1.xlsx]Single Period!R216C36</stp>
        <stp>NOW US Equity</stp>
        <stp>CF_PURCHASE_OF_FIXED_PROD_ASSETS/1M</stp>
        <stp>FPR=2021Y</stp>
        <stp>FPT=A</stp>
        <stp>FA_ACT_EST_DATA=E, EST_SOURCE=JEF</stp>
        <stp>ACT_EST_MAPPING=PRECISE</stp>
        <stp>FS=MRC</stp>
        <stp>CURRENCY=USD</stp>
        <stp>XLFILL=b</stp>
        <tr r="AJ216" s="2"/>
      </tp>
      <tp t="s">
        <v>#N/A Requesting Data...</v>
        <stp/>
        <stp>##V3_BQLV12</stp>
        <stp>[MODL_NOW_US1.xlsx]Single Period!R227C24</stp>
        <stp>NOW US Equity</stp>
        <stp>CF_NET_CSH_PROV_BY_FINANCING_ACT/1M</stp>
        <stp>FPR=2021Y</stp>
        <stp>FPT=A</stp>
        <stp>FA_ACT_EST_DATA=E, EST_SOURCE=CWN</stp>
        <stp>ACT_EST_MAPPING=PRECISE</stp>
        <stp>FS=MRC</stp>
        <stp>CURRENCY=USD</stp>
        <stp>XLFILL=b</stp>
        <tr r="X227" s="2"/>
      </tp>
      <tp t="s">
        <v>#N/A Requesting Data...</v>
        <stp/>
        <stp>##V3_BQLV12</stp>
        <stp>[MODL_NOW_US1.xlsx]Single Period!R121C45</stp>
        <stp>NOW US Equity</stp>
        <stp>CB_IS_GENL_AND_ADMIN_EXPN/1M</stp>
        <stp>FPR=2021Y</stp>
        <stp>FPT=A</stp>
        <stp>FA_ACT_EST_DATA=E, EST_SOURCE=PJE</stp>
        <stp>ACT_EST_MAPPING=PRECISE</stp>
        <stp>FS=MRC</stp>
        <stp>CURRENCY=USD</stp>
        <stp>XLFILL=b</stp>
        <tr r="AS121" s="2"/>
      </tp>
      <tp t="s">
        <v>#N/A Requesting Data...</v>
        <stp/>
        <stp>##V3_BQLV12</stp>
        <stp>[MODL_NOW_US1.xlsx]Single Period!R221C41</stp>
        <stp>NOW US Equity</stp>
        <stp>CB_CF_OTHER_INVESTING_ACTIVITIES/1M</stp>
        <stp>FPR=2021Y</stp>
        <stp>FPT=A</stp>
        <stp>FA_ACT_EST_DATA=E, EST_SOURCE=ARG</stp>
        <stp>ACT_EST_MAPPING=PRECISE</stp>
        <stp>FS=MRC</stp>
        <stp>CURRENCY=USD</stp>
        <stp>XLFILL=b</stp>
        <tr r="AO221" s="2"/>
      </tp>
      <tp t="s">
        <v>#N/A Requesting Data...</v>
        <stp/>
        <stp>##V3_BQLV12</stp>
        <stp>[MODL_NOW_US1.xlsx]Single Period!R221C44</stp>
        <stp>NOW US Equity</stp>
        <stp>CB_CF_OTHER_INVESTING_ACTIVITIES/1M</stp>
        <stp>FPR=2021Y</stp>
        <stp>FPT=A</stp>
        <stp>FA_ACT_EST_DATA=E, EST_SOURCE=ARE</stp>
        <stp>ACT_EST_MAPPING=PRECISE</stp>
        <stp>FS=MRC</stp>
        <stp>CURRENCY=USD</stp>
        <stp>XLFILL=b</stp>
        <tr r="AR221" s="2"/>
      </tp>
      <tp t="s">
        <v>#N/A Requesting Data...</v>
        <stp/>
        <stp>##V3_BQLV12</stp>
        <stp>[MODL_NOW_US1.xlsx]Single Period!R202C29</stp>
        <stp>NOW US Equity</stp>
        <stp>CF_AMORTIZATN_OF_DEFRRD_COMPNSTN/1M</stp>
        <stp>FPR=2021Y</stp>
        <stp>FPT=A</stp>
        <stp>FA_ACT_EST_DATA=E, EST_SOURCE=BNS</stp>
        <stp>ACT_EST_MAPPING=PRECISE</stp>
        <stp>FS=MRC</stp>
        <stp>CURRENCY=USD</stp>
        <stp>XLFILL=b</stp>
        <tr r="AC202" s="2"/>
      </tp>
      <tp t="s">
        <v>#N/A Requesting Data...</v>
        <stp/>
        <stp>##V3_BQLV12</stp>
        <stp>[MODL_NOW_US1.xlsx]Single Period!R216C22</stp>
        <stp>NOW US Equity</stp>
        <stp>CF_PURCHASE_OF_FIXED_PROD_ASSETS/1M</stp>
        <stp>FPR=2021Y</stp>
        <stp>FPT=A</stp>
        <stp>FA_ACT_EST_DATA=E, EST_SOURCE=NDH</stp>
        <stp>ACT_EST_MAPPING=PRECISE</stp>
        <stp>FS=MRC</stp>
        <stp>CURRENCY=USD</stp>
        <stp>XLFILL=b</stp>
        <tr r="V216" s="2"/>
      </tp>
      <tp t="s">
        <v>#N/A Requesting Data...</v>
        <stp/>
        <stp>##V3_BQLV12</stp>
        <stp>[MODL_NOW_US1.xlsx]Single Period!R182C44</stp>
        <stp>NOW US Equity</stp>
        <stp>BS_OTHER_NONCURRENT_LIABILITIES/1M</stp>
        <stp>FPR=2021Y</stp>
        <stp>FPT=A</stp>
        <stp>FA_ACT_EST_DATA=E, EST_SOURCE=ARE</stp>
        <stp>ACT_EST_MAPPING=PRECISE</stp>
        <stp>FS=MRC</stp>
        <stp>CURRENCY=USD</stp>
        <stp>XLFILL=b</stp>
        <tr r="AR182" s="2"/>
      </tp>
      <tp t="s">
        <v>#N/A Requesting Data...</v>
        <stp/>
        <stp>##V3_BQLV12</stp>
        <stp>[MODL_NOW_US1.xlsx]Single Period!R104C46</stp>
        <stp>NOW US Equity</stp>
        <stp>IS_COMP_NET_INC_EXCL_STOCK_COMP/1M</stp>
        <stp>FPR=2021Y</stp>
        <stp>FPT=A</stp>
        <stp>FA_ACT_EST_DATA=E, EST_SOURCE=MZS</stp>
        <stp>ACT_EST_MAPPING=PRECISE</stp>
        <stp>FS=MRC</stp>
        <stp>CURRENCY=USD</stp>
        <stp>XLFILL=b</stp>
        <tr r="AT104" s="2"/>
      </tp>
      <tp t="s">
        <v>#N/A Requesting Data...</v>
        <stp/>
        <stp>##V3_BQLV12</stp>
        <stp>[MODL_NOW_US1.xlsx]Single Period!R182C41</stp>
        <stp>NOW US Equity</stp>
        <stp>BS_OTHER_NONCURRENT_LIABILITIES/1M</stp>
        <stp>FPR=2021Y</stp>
        <stp>FPT=A</stp>
        <stp>FA_ACT_EST_DATA=E, EST_SOURCE=ARG</stp>
        <stp>ACT_EST_MAPPING=PRECISE</stp>
        <stp>FS=MRC</stp>
        <stp>CURRENCY=USD</stp>
        <stp>XLFILL=b</stp>
        <tr r="AO182" s="2"/>
      </tp>
      <tp t="s">
        <v>#N/A Requesting Data...</v>
        <stp/>
        <stp>##V3_BQLV12</stp>
        <stp>[MODL_NOW_US1.xlsx]Single Period!R177C45</stp>
        <stp>NOW US Equity</stp>
        <stp>BS_ST_CPTL_LEA_AND_OP_LEA_LIABS/1M</stp>
        <stp>FPR=2021Y</stp>
        <stp>FPT=A</stp>
        <stp>FA_ACT_EST_DATA=E, EST_SOURCE=PJE</stp>
        <stp>ACT_EST_MAPPING=PRECISE</stp>
        <stp>FS=MRC</stp>
        <stp>CURRENCY=USD</stp>
        <stp>XLFILL=b</stp>
        <tr r="AS177" s="2"/>
      </tp>
      <tp t="s">
        <v>#N/A Requesting Data...</v>
        <stp/>
        <stp>##V3_BQLV12</stp>
        <stp>[MODL_NOW_US1.xlsx]Single Period!R182C48</stp>
        <stp>NOW US Equity</stp>
        <stp>BS_OTHER_NONCURRENT_LIABILITIES/1M</stp>
        <stp>FPR=2021Y</stp>
        <stp>FPT=A</stp>
        <stp>FA_ACT_EST_DATA=E, EST_SOURCE=CRC</stp>
        <stp>ACT_EST_MAPPING=PRECISE</stp>
        <stp>FS=MRC</stp>
        <stp>CURRENCY=USD</stp>
        <stp>XLFILL=b</stp>
        <tr r="AV182" s="2"/>
      </tp>
      <tp t="s">
        <v>#N/A Requesting Data...</v>
        <stp/>
        <stp>##V3_BQLV12</stp>
        <stp>[MODL_NOW_US1.xlsx]Single Period!R225C46</stp>
        <stp>NOW US Equity</stp>
        <stp>CF_INCR_CAP_STOCK/1M</stp>
        <stp>FPR=2021Y</stp>
        <stp>FPT=A</stp>
        <stp>FA_ACT_EST_DATA=E, EST_SOURCE=MZS</stp>
        <stp>ACT_EST_MAPPING=PRECISE</stp>
        <stp>FS=MRC</stp>
        <stp>CURRENCY=USD</stp>
        <stp>XLFILL=b</stp>
        <tr r="AT225" s="2"/>
      </tp>
      <tp t="s">
        <v>#N/A Requesting Data...</v>
        <stp/>
        <stp>##V3_BQLV12</stp>
        <stp>[MODL_NOW_US1.xlsx]Single Period!R213C12</stp>
        <stp>NOW US Equity</stp>
        <stp>CF_CASH_FROM_OPER/1M</stp>
        <stp>FPR=2021Y</stp>
        <stp>FPT=A</stp>
        <stp>FA_ACT_EST_DATA=E, EST_SOURCE=WBL</stp>
        <stp>ACT_EST_MAPPING=PRECISE</stp>
        <stp>FS=MRC</stp>
        <stp>CURRENCY=USD</stp>
        <stp>XLFILL=b</stp>
        <tr r="L213" s="2"/>
      </tp>
      <tp t="s">
        <v>#N/A Requesting Data...</v>
        <stp/>
        <stp>##V3_BQLV12</stp>
        <stp>[MODL_NOW_US1.xlsx]Single Period!R213C32</stp>
        <stp>NOW US Equity</stp>
        <stp>CF_CASH_FROM_OPER/1M</stp>
        <stp>FPR=2021Y</stp>
        <stp>FPT=A</stp>
        <stp>FA_ACT_EST_DATA=E, EST_SOURCE=FBC</stp>
        <stp>ACT_EST_MAPPING=PRECISE</stp>
        <stp>FS=MRC</stp>
        <stp>CURRENCY=USD</stp>
        <stp>XLFILL=b</stp>
        <tr r="AF213" s="2"/>
      </tp>
      <tp t="s">
        <v>#N/A Requesting Data...</v>
        <stp/>
        <stp>##V3_BQLV12</stp>
        <stp>[MODL_NOW_US1.xlsx]Single Period!R202C14</stp>
        <stp>NOW US Equity</stp>
        <stp>CF_AMORTIZATN_OF_DEFRRD_COMPNSTN/1M</stp>
        <stp>FPR=2021Y</stp>
        <stp>FPT=A</stp>
        <stp>FA_ACT_EST_DATA=E, EST_SOURCE=BMO</stp>
        <stp>ACT_EST_MAPPING=PRECISE</stp>
        <stp>FS=MRC</stp>
        <stp>CURRENCY=USD</stp>
        <stp>XLFILL=b</stp>
        <tr r="N202" s="2"/>
      </tp>
      <tp t="s">
        <v>#N/A Requesting Data...</v>
        <stp/>
        <stp>##V3_BQLV12</stp>
        <stp>[MODL_NOW_US1.xlsx]Single Period!R121C17</stp>
        <stp>NOW US Equity</stp>
        <stp>CB_IS_GENL_AND_ADMIN_EXPN/1M</stp>
        <stp>FPR=2021Y</stp>
        <stp>FPT=A</stp>
        <stp>FA_ACT_EST_DATA=E, EST_SOURCE=RHR</stp>
        <stp>ACT_EST_MAPPING=PRECISE</stp>
        <stp>FS=MRC</stp>
        <stp>CURRENCY=USD</stp>
        <stp>XLFILL=b</stp>
        <tr r="Q121" s="2"/>
      </tp>
      <tp t="s">
        <v>#N/A Requesting Data...</v>
        <stp/>
        <stp>##V3_BQLV12</stp>
        <stp>[MODL_NOW_US1.xlsx]Single Period!R116C17</stp>
        <stp>NOW US Equity</stp>
        <stp>GROSS_MARGIN</stp>
        <stp>FPR=2021Y</stp>
        <stp>FPT=A</stp>
        <stp>FA_ACT_EST_DATA=E, EST_SOURCE=RHR</stp>
        <stp>ACT_EST_MAPPING=PRECISE</stp>
        <stp>FS=MRC</stp>
        <stp>CURRENCY=USD</stp>
        <stp>XLFILL=b</stp>
        <tr r="Q116" s="2"/>
      </tp>
      <tp t="s">
        <v>#N/A Requesting Data...</v>
        <stp/>
        <stp>##V3_BQLV12</stp>
        <stp>[MODL_NOW_US1.xlsx]Single Period!R81C20</stp>
        <stp>NOW US Equity</stp>
        <stp>IS_ADJ_SALES_YOY_CHG_PCT_CC</stp>
        <stp>FPR=2021Y</stp>
        <stp>FPT=A</stp>
        <stp>FA_ACT_EST_DATA=E, EST_SOURCE=CAN</stp>
        <stp>ACT_EST_MAPPING=PRECISE</stp>
        <stp>FS=MRC</stp>
        <stp>CURRENCY=USD</stp>
        <stp>XLFILL=b</stp>
        <tr r="T81" s="2"/>
      </tp>
      <tp t="s">
        <v>#N/A Requesting Data...</v>
        <stp/>
        <stp>##V3_BQLV12</stp>
        <stp>[MODL_NOW_US1.xlsx]Single Period!R81C12</stp>
        <stp>NOW US Equity</stp>
        <stp>IS_ADJ_SALES_YOY_CHG_PCT_CC</stp>
        <stp>FPR=2021Y</stp>
        <stp>FPT=A</stp>
        <stp>FA_ACT_EST_DATA=E, EST_SOURCE=WBL</stp>
        <stp>ACT_EST_MAPPING=PRECISE</stp>
        <stp>FS=MRC</stp>
        <stp>CURRENCY=USD</stp>
        <stp>XLFILL=b</stp>
        <tr r="L81" s="2"/>
      </tp>
      <tp t="s">
        <v>#N/A Requesting Data...</v>
        <stp/>
        <stp>##V3_BQLV12</stp>
        <stp>[MODL_NOW_US1.xlsx]Single Period!R170C10</stp>
        <stp>NOW US Equity</stp>
        <stp>BS_TOT_ASSET/1M</stp>
        <stp>FPR=2021Y</stp>
        <stp>FPT=A</stp>
        <stp>FA_ACT_EST_DATA=E, EST_SOURCE=CMPY</stp>
        <stp>ACT_EST_MAPPING=PRECISE</stp>
        <stp>FS=MRC</stp>
        <stp>CURRENCY=USD</stp>
        <stp>XLFILL=b</stp>
        <tr r="J170" s="2"/>
      </tp>
      <tp t="s">
        <v>#N/A Requesting Data...</v>
        <stp/>
        <stp>##V3_BQLV12</stp>
        <stp>[MODL_NOW_US1.xlsx]Single Period!R116C45</stp>
        <stp>NOW US Equity</stp>
        <stp>GROSS_MARGIN</stp>
        <stp>FPR=2021Y</stp>
        <stp>FPT=A</stp>
        <stp>FA_ACT_EST_DATA=E, EST_SOURCE=PJE</stp>
        <stp>ACT_EST_MAPPING=PRECISE</stp>
        <stp>FS=MRC</stp>
        <stp>CURRENCY=USD</stp>
        <stp>XLFILL=b</stp>
        <tr r="AS116" s="2"/>
      </tp>
      <tp t="s">
        <v>#N/A Requesting Data...</v>
        <stp/>
        <stp>##V3_BQLV12</stp>
        <stp>[MODL_NOW_US1.xlsx]Single Period!R129C14</stp>
        <stp>NOW US Equity</stp>
        <stp>EFF_TAX_RATE</stp>
        <stp>FPR=2021Y</stp>
        <stp>FPT=A</stp>
        <stp>FA_ACT_EST_DATA=E, EST_SOURCE=BMO</stp>
        <stp>ACT_EST_MAPPING=PRECISE</stp>
        <stp>FS=MRC</stp>
        <stp>CURRENCY=USD</stp>
        <stp>XLFILL=b</stp>
        <tr r="N129" s="2"/>
      </tp>
      <tp t="s">
        <v>#N/A Requesting Data...</v>
        <stp/>
        <stp>##V3_BQLV12</stp>
        <stp>[MODL_NOW_US1.xlsx]Single Period!R164C29</stp>
        <stp>NOW US Equity</stp>
        <stp>CB_BS_PP_AND_E_NET/1M</stp>
        <stp>FPR=2021Y</stp>
        <stp>FPT=A</stp>
        <stp>FA_ACT_EST_DATA=E, EST_SOURCE=BNS</stp>
        <stp>ACT_EST_MAPPING=PRECISE</stp>
        <stp>FS=MRC</stp>
        <stp>CURRENCY=USD</stp>
        <stp>XLFILL=b</stp>
        <tr r="AC164" s="2"/>
      </tp>
      <tp t="s">
        <v>#N/A Requesting Data...</v>
        <stp/>
        <stp>##V3_BQLV12</stp>
        <stp>[MODL_NOW_US1.xlsx]Single Period!R212C27</stp>
        <stp>NOW US Equity</stp>
        <stp>CF_CHANGE_IN_ACCRUD_EXPNSS/1M</stp>
        <stp>FPR=2021Y</stp>
        <stp>FPT=A</stp>
        <stp>FA_ACT_EST_DATA=E, EST_SOURCE=RBC</stp>
        <stp>ACT_EST_MAPPING=PRECISE</stp>
        <stp>FS=MRC</stp>
        <stp>CURRENCY=USD</stp>
        <stp>XLFILL=b</stp>
        <tr r="AA212" s="2"/>
      </tp>
      <tp t="s">
        <v>#N/A Requesting Data...</v>
        <stp/>
        <stp>##V3_BQLV12</stp>
        <stp>[MODL_NOW_US1.xlsx]Single Period!R212C32</stp>
        <stp>NOW US Equity</stp>
        <stp>CF_CHANGE_IN_ACCRUD_EXPNSS/1M</stp>
        <stp>FPR=2021Y</stp>
        <stp>FPT=A</stp>
        <stp>FA_ACT_EST_DATA=E, EST_SOURCE=FBC</stp>
        <stp>ACT_EST_MAPPING=PRECISE</stp>
        <stp>FS=MRC</stp>
        <stp>CURRENCY=USD</stp>
        <stp>XLFILL=b</stp>
        <tr r="AF212" s="2"/>
      </tp>
      <tp t="s">
        <v>#N/A Requesting Data...</v>
        <stp/>
        <stp>##V3_BQLV12</stp>
        <stp>[MODL_NOW_US1.xlsx]Single Period!R164C18</stp>
        <stp>NOW US Equity</stp>
        <stp>CB_BS_PP_AND_E_NET/1M</stp>
        <stp>FPR=2021Y</stp>
        <stp>FPT=A</stp>
        <stp>FA_ACT_EST_DATA=E, EST_SOURCE=SNR</stp>
        <stp>ACT_EST_MAPPING=PRECISE</stp>
        <stp>FS=MRC</stp>
        <stp>CURRENCY=USD</stp>
        <stp>XLFILL=b</stp>
        <tr r="R164" s="2"/>
      </tp>
      <tp t="s">
        <v>#N/A Requesting Data...</v>
        <stp/>
        <stp>##V3_BQLV12</stp>
        <stp>[MODL_NOW_US1.xlsx]Single Period!R144C47</stp>
        <stp>NOW US Equity</stp>
        <stp>IS_SBC_ATT_TO_GENL_AND_ADMIN_PRETX/1M</stp>
        <stp>FPR=2021Y</stp>
        <stp>FPT=A</stp>
        <stp>FA_ACT_EST_DATA=E, EST_SOURCE=SUM</stp>
        <stp>ACT_EST_MAPPING=PRECISE</stp>
        <stp>FS=MRC</stp>
        <stp>CURRENCY=USD</stp>
        <stp>XLFILL=b</stp>
        <tr r="AU144" s="2"/>
      </tp>
      <tp t="s">
        <v>#N/A Requesting Data...</v>
        <stp/>
        <stp>##V3_BQLV12</stp>
        <stp>[MODL_NOW_US1.xlsx]Single Period!R149C22</stp>
        <stp>NOW US Equity</stp>
        <stp>IS_AMORT_ACQD_INTANG_GEN_AND_ADMIN/1M</stp>
        <stp>FPR=2021Y</stp>
        <stp>FPT=A</stp>
        <stp>FA_ACT_EST_DATA=E, EST_SOURCE=NDH</stp>
        <stp>ACT_EST_MAPPING=PRECISE</stp>
        <stp>FS=MRC</stp>
        <stp>CURRENCY=USD</stp>
        <stp>XLFILL=b</stp>
        <tr r="V149" s="2"/>
      </tp>
      <tp t="s">
        <v>#N/A Requesting Data...</v>
        <stp/>
        <stp>##V3_BQLV12</stp>
        <stp>[MODL_NOW_US1.xlsx]Single Period!R212C25</stp>
        <stp>NOW US Equity</stp>
        <stp>CF_CHANGE_IN_ACCRUD_EXPNSS/1M</stp>
        <stp>FPR=2021Y</stp>
        <stp>FPT=A</stp>
        <stp>FA_ACT_EST_DATA=E, EST_SOURCE=DBG</stp>
        <stp>ACT_EST_MAPPING=PRECISE</stp>
        <stp>FS=MRC</stp>
        <stp>CURRENCY=USD</stp>
        <stp>XLFILL=b</stp>
        <tr r="Y212" s="2"/>
      </tp>
      <tp t="s">
        <v>#N/A Requesting Data...</v>
        <stp/>
        <stp>##V3_BQLV12</stp>
        <stp>[MODL_NOW_US1.xlsx]Single Period!R91C11</stp>
        <stp>NOW US Equity</stp>
        <stp>ADJ_R_AND_D_TO_SALES</stp>
        <stp>FPR=2021Y</stp>
        <stp>FPT=A</stp>
        <stp>FA_ACT_EST_DATA=E, EST_SOURCE=JPM</stp>
        <stp>ACT_EST_MAPPING=PRECISE</stp>
        <stp>FS=MRC</stp>
        <stp>CURRENCY=USD</stp>
        <stp>XLFILL=b</stp>
        <tr r="K91" s="2"/>
      </tp>
      <tp t="s">
        <v>#N/A Requesting Data...</v>
        <stp/>
        <stp>##V3_BQLV12</stp>
        <stp>[MODL_NOW_US1.xlsx]Single Period!R159C21</stp>
        <stp>NOW US Equity</stp>
        <stp>CB_BS_OTHER_CURRENT_ASSETS/1M</stp>
        <stp>FPR=2021Y</stp>
        <stp>FPT=A</stp>
        <stp>FA_ACT_EST_DATA=E, EST_SOURCE=JMP</stp>
        <stp>ACT_EST_MAPPING=PRECISE</stp>
        <stp>FS=MRC</stp>
        <stp>CURRENCY=USD</stp>
        <stp>XLFILL=b</stp>
        <tr r="U159" s="2"/>
      </tp>
      <tp t="s">
        <v>#N/A Requesting Data...</v>
        <stp/>
        <stp>##V3_BQLV12</stp>
        <stp>[MODL_NOW_US1.xlsx]Single Period!R157C13</stp>
        <stp>NOW US Equity</stp>
        <stp>BS_MKT_SEC_OTHER_ST_INVEST/1M</stp>
        <stp>FPR=2021Y</stp>
        <stp>FPT=A</stp>
        <stp>FA_ACT_EST_DATA=E, EST_SOURCE=KEY</stp>
        <stp>ACT_EST_MAPPING=PRECISE</stp>
        <stp>FS=MRC</stp>
        <stp>CURRENCY=USD</stp>
        <stp>XLFILL=b</stp>
        <tr r="M157" s="2"/>
      </tp>
      <tp t="s">
        <v>#N/A Requesting Data...</v>
        <stp/>
        <stp>##V3_BQLV12</stp>
        <stp>[MODL_NOW_US1.xlsx]Single Period!R212C12</stp>
        <stp>NOW US Equity</stp>
        <stp>CF_CHANGE_IN_ACCRUD_EXPNSS/1M</stp>
        <stp>FPR=2021Y</stp>
        <stp>FPT=A</stp>
        <stp>FA_ACT_EST_DATA=E, EST_SOURCE=WBL</stp>
        <stp>ACT_EST_MAPPING=PRECISE</stp>
        <stp>FS=MRC</stp>
        <stp>CURRENCY=USD</stp>
        <stp>XLFILL=b</stp>
        <tr r="L212" s="2"/>
      </tp>
      <tp t="s">
        <v>#N/A Requesting Data...</v>
        <stp/>
        <stp>##V3_BQLV12</stp>
        <stp>[MODL_NOW_US1.xlsx]Single Period!R212C26</stp>
        <stp>NOW US Equity</stp>
        <stp>CF_CHANGE_IN_ACCRUD_EXPNSS/1M</stp>
        <stp>FPR=2021Y</stp>
        <stp>FPT=A</stp>
        <stp>FA_ACT_EST_DATA=E, EST_SOURCE=UBS</stp>
        <stp>ACT_EST_MAPPING=PRECISE</stp>
        <stp>FS=MRC</stp>
        <stp>CURRENCY=USD</stp>
        <stp>XLFILL=b</stp>
        <tr r="Z212" s="2"/>
      </tp>
      <tp t="s">
        <v>#N/A Requesting Data...</v>
        <stp/>
        <stp>##V3_BQLV12</stp>
        <stp>[MODL_NOW_US1.xlsx]Single Period!R157C36</stp>
        <stp>NOW US Equity</stp>
        <stp>BS_MKT_SEC_OTHER_ST_INVEST/1M</stp>
        <stp>FPR=2021Y</stp>
        <stp>FPT=A</stp>
        <stp>FA_ACT_EST_DATA=E, EST_SOURCE=JEF</stp>
        <stp>ACT_EST_MAPPING=PRECISE</stp>
        <stp>FS=MRC</stp>
        <stp>CURRENCY=USD</stp>
        <stp>XLFILL=b</stp>
        <tr r="AJ157" s="2"/>
      </tp>
      <tp t="s">
        <v>#N/A Requesting Data...</v>
        <stp/>
        <stp>##V3_BQLV12</stp>
        <stp>[MODL_NOW_US1.xlsx]Single Period!R159C14</stp>
        <stp>NOW US Equity</stp>
        <stp>CB_BS_OTHER_CURRENT_ASSETS/1M</stp>
        <stp>FPR=2021Y</stp>
        <stp>FPT=A</stp>
        <stp>FA_ACT_EST_DATA=E, EST_SOURCE=BMO</stp>
        <stp>ACT_EST_MAPPING=PRECISE</stp>
        <stp>FS=MRC</stp>
        <stp>CURRENCY=USD</stp>
        <stp>XLFILL=b</stp>
        <tr r="N159" s="2"/>
      </tp>
      <tp t="s">
        <v>#N/A Requesting Data...</v>
        <stp/>
        <stp>##V3_BQLV12</stp>
        <stp>[MODL_NOW_US1.xlsx]Single Period!R96C14</stp>
        <stp>NOW US Equity</stp>
        <stp>ADJ_OPERATING_MARGIN</stp>
        <stp>FPR=2021Y</stp>
        <stp>FPT=A</stp>
        <stp>FA_ACT_EST_DATA=E, EST_SOURCE=BMO</stp>
        <stp>ACT_EST_MAPPING=PRECISE</stp>
        <stp>FS=MRC</stp>
        <stp>CURRENCY=USD</stp>
        <stp>XLFILL=b</stp>
        <tr r="N96" s="2"/>
      </tp>
      <tp t="s">
        <v>#N/A Requesting Data...</v>
        <stp/>
        <stp>##V3_BQLV12</stp>
        <stp>[MODL_NOW_US1.xlsx]Single Period!R28C33</stp>
        <stp>NOW US Equity</stp>
        <stp>ADJ_OPERATING_MARGIN</stp>
        <stp>FPR=2021Y</stp>
        <stp>FPT=A</stp>
        <stp>FA_ACT_EST_DATA=E, EST_SOURCE=MAC</stp>
        <stp>ACT_EST_MAPPING=PRECISE</stp>
        <stp>FS=MRC</stp>
        <stp>CURRENCY=USD</stp>
        <stp>XLFILL=b</stp>
        <tr r="AG28" s="2"/>
      </tp>
      <tp t="s">
        <v>#N/A Requesting Data...</v>
        <stp/>
        <stp>##V3_BQLV12</stp>
        <stp>[MODL_NOW_US1.xlsx]Single Period!R138C24</stp>
        <stp>NOW US Equity</stp>
        <stp>SBC_NON_GAAP_TO_SALES</stp>
        <stp>FPR=2021Y</stp>
        <stp>FPT=A</stp>
        <stp>FA_ACT_EST_DATA=E, EST_SOURCE=CWN</stp>
        <stp>ACT_EST_MAPPING=PRECISE</stp>
        <stp>FS=MRC</stp>
        <stp>CURRENCY=USD</stp>
        <stp>XLFILL=b</stp>
        <tr r="X138" s="2"/>
      </tp>
      <tp t="s">
        <v>#N/A Requesting Data...</v>
        <stp/>
        <stp>##V3_BQLV12</stp>
        <stp>[MODL_NOW_US1.xlsx]Single Period!R138C40</stp>
        <stp>NOW US Equity</stp>
        <stp>SBC_NON_GAAP_TO_SALES</stp>
        <stp>FPR=2021Y</stp>
        <stp>FPT=A</stp>
        <stp>FA_ACT_EST_DATA=E, EST_SOURCE=DWI</stp>
        <stp>ACT_EST_MAPPING=PRECISE</stp>
        <stp>FS=MRC</stp>
        <stp>CURRENCY=USD</stp>
        <stp>XLFILL=b</stp>
        <tr r="AN138" s="2"/>
      </tp>
      <tp t="s">
        <v>#N/A Requesting Data...</v>
        <stp/>
        <stp>##V3_BQLV12</stp>
        <stp>[MODL_NOW_US1.xlsx]Single Period!R181C39</stp>
        <stp>NOW US Equity</stp>
        <stp>BS_LONG_TERM_BORROWINGS/1M</stp>
        <stp>FPR=2021Y</stp>
        <stp>FPT=A</stp>
        <stp>FA_ACT_EST_DATA=E, EST_SOURCE=DZB</stp>
        <stp>ACT_EST_MAPPING=PRECISE</stp>
        <stp>FS=MRC</stp>
        <stp>CURRENCY=USD</stp>
        <stp>XLFILL=b</stp>
        <tr r="AM181" s="2"/>
      </tp>
      <tp t="s">
        <v>#N/A Requesting Data...</v>
        <stp/>
        <stp>##V3_BQLV12</stp>
        <stp>[MODL_NOW_US1.xlsx]Single Period!R43C37</stp>
        <stp>SEG0000230975 Segment</stp>
        <stp>CB_ADJ_BILLINGS_AMT/1M</stp>
        <stp>FPR=2021Y</stp>
        <stp>FPT=A</stp>
        <stp>FA_ACT_EST_DATA=E, EST_SOURCE=TTC</stp>
        <stp>ACT_EST_MAPPING=PRECISE</stp>
        <stp>FS=MRC</stp>
        <stp>CURRENCY=USD</stp>
        <stp>XLFILL=b</stp>
        <tr r="AK43" s="2"/>
      </tp>
      <tp t="s">
        <v>#N/A Requesting Data...</v>
        <stp/>
        <stp>##V3_BQLV12</stp>
        <stp>[MODL_NOW_US1.xlsx]Single Period!R219C28</stp>
        <stp>NOW US Equity</stp>
        <stp>CF_PURCHSS_OF_INVSTMNTS/1M</stp>
        <stp>FPR=2021Y</stp>
        <stp>FPT=A</stp>
        <stp>FA_ACT_EST_DATA=E, EST_SOURCE=EVR</stp>
        <stp>ACT_EST_MAPPING=PRECISE</stp>
        <stp>FS=MRC</stp>
        <stp>CURRENCY=USD</stp>
        <stp>XLFILL=b</stp>
        <tr r="AB219" s="2"/>
      </tp>
      <tp t="s">
        <v>#N/A Requesting Data...</v>
        <stp/>
        <stp>##V3_BQLV12</stp>
        <stp>[MODL_NOW_US1.xlsx]Single Period!R47C38</stp>
        <stp>SEG0000230986 Segment</stp>
        <stp>CB_ADJ_BILLINGS_AMT/1M</stp>
        <stp>FPR=2021Y</stp>
        <stp>FPT=A</stp>
        <stp>FA_ACT_EST_DATA=E, EST_SOURCE=RWB</stp>
        <stp>ACT_EST_MAPPING=PRECISE</stp>
        <stp>FS=MRC</stp>
        <stp>CURRENCY=USD</stp>
        <stp>XLFILL=b</stp>
        <tr r="AL47" s="2"/>
      </tp>
      <tp t="s">
        <v>#N/A Requesting Data...</v>
        <stp/>
        <stp>##V3_BQLV12</stp>
        <stp>[MODL_NOW_US1.xlsx]Single Period!R47C24</stp>
        <stp>SEG0000230986 Segment</stp>
        <stp>CB_ADJ_BILLINGS_AMT/1M</stp>
        <stp>FPR=2021Y</stp>
        <stp>FPT=A</stp>
        <stp>FA_ACT_EST_DATA=E, EST_SOURCE=CWN</stp>
        <stp>ACT_EST_MAPPING=PRECISE</stp>
        <stp>FS=MRC</stp>
        <stp>CURRENCY=USD</stp>
        <stp>XLFILL=b</stp>
        <tr r="X47" s="2"/>
      </tp>
      <tp t="s">
        <v>#N/A Requesting Data...</v>
        <stp/>
        <stp>##V3_BQLV12</stp>
        <stp>[MODL_NOW_US1.xlsx]Single Period!R43C42</stp>
        <stp>SEG0000230975 Segment</stp>
        <stp>CB_ADJ_BILLINGS_AMT/1M</stp>
        <stp>FPR=2021Y</stp>
        <stp>FPT=A</stp>
        <stp>FA_ACT_EST_DATA=E, EST_SOURCE=CTI</stp>
        <stp>ACT_EST_MAPPING=PRECISE</stp>
        <stp>FS=MRC</stp>
        <stp>CURRENCY=USD</stp>
        <stp>XLFILL=b</stp>
        <tr r="AP43" s="2"/>
      </tp>
      <tp t="s">
        <v>#N/A Requesting Data...</v>
        <stp/>
        <stp>##V3_BQLV12</stp>
        <stp>[MODL_NOW_US1.xlsx]Single Period!R47C40</stp>
        <stp>SEG0000230986 Segment</stp>
        <stp>CB_ADJ_BILLINGS_AMT/1M</stp>
        <stp>FPR=2021Y</stp>
        <stp>FPT=A</stp>
        <stp>FA_ACT_EST_DATA=E, EST_SOURCE=DWI</stp>
        <stp>ACT_EST_MAPPING=PRECISE</stp>
        <stp>FS=MRC</stp>
        <stp>CURRENCY=USD</stp>
        <stp>XLFILL=b</stp>
        <tr r="AN47" s="2"/>
      </tp>
      <tp t="s">
        <v>#N/A Requesting Data...</v>
        <stp/>
        <stp>##V3_BQLV12</stp>
        <stp>[MODL_NOW_US1.xlsx]Single Period!R208C13</stp>
        <stp>NOW US Equity</stp>
        <stp>CF_CHANGE_IN_OTHR_ASSTS/1M</stp>
        <stp>FPR=2021Y</stp>
        <stp>FPT=A</stp>
        <stp>FA_ACT_EST_DATA=E, EST_SOURCE=KEY</stp>
        <stp>ACT_EST_MAPPING=PRECISE</stp>
        <stp>FS=MRC</stp>
        <stp>CURRENCY=USD</stp>
        <stp>XLFILL=b</stp>
        <tr r="M208" s="2"/>
      </tp>
      <tp t="s">
        <v>#N/A Requesting Data...</v>
        <stp/>
        <stp>##V3_BQLV12</stp>
        <stp>[MODL_NOW_US1.xlsx]Single Period!R205C21</stp>
        <stp>NOW US Equity</stp>
        <stp>CB_CF_OTHR_NONCSH_ITEMS/1M</stp>
        <stp>FPR=2021Y</stp>
        <stp>FPT=A</stp>
        <stp>FA_ACT_EST_DATA=E, EST_SOURCE=JMP</stp>
        <stp>ACT_EST_MAPPING=PRECISE</stp>
        <stp>FS=MRC</stp>
        <stp>CURRENCY=USD</stp>
        <stp>XLFILL=b</stp>
        <tr r="U205" s="2"/>
      </tp>
      <tp t="s">
        <v>#N/A Requesting Data...</v>
        <stp/>
        <stp>##V3_BQLV12</stp>
        <stp>[MODL_NOW_US1.xlsx]Single Period!R138C38</stp>
        <stp>NOW US Equity</stp>
        <stp>SBC_NON_GAAP_TO_SALES</stp>
        <stp>FPR=2021Y</stp>
        <stp>FPT=A</stp>
        <stp>FA_ACT_EST_DATA=E, EST_SOURCE=RWB</stp>
        <stp>ACT_EST_MAPPING=PRECISE</stp>
        <stp>FS=MRC</stp>
        <stp>CURRENCY=USD</stp>
        <stp>XLFILL=b</stp>
        <tr r="AL138" s="2"/>
      </tp>
      <tp t="s">
        <v>#N/A Requesting Data...</v>
        <stp/>
        <stp>##V3_BQLV12</stp>
        <stp>[MODL_NOW_US1.xlsx]Single Period!R205C14</stp>
        <stp>NOW US Equity</stp>
        <stp>CB_CF_OTHR_NONCSH_ITEMS/1M</stp>
        <stp>FPR=2021Y</stp>
        <stp>FPT=A</stp>
        <stp>FA_ACT_EST_DATA=E, EST_SOURCE=BMO</stp>
        <stp>ACT_EST_MAPPING=PRECISE</stp>
        <stp>FS=MRC</stp>
        <stp>CURRENCY=USD</stp>
        <stp>XLFILL=b</stp>
        <tr r="N205" s="2"/>
      </tp>
      <tp t="s">
        <v>#N/A Requesting Data...</v>
        <stp/>
        <stp>##V3_BQLV12</stp>
        <stp>[MODL_NOW_US1.xlsx]Single Period!R181C46</stp>
        <stp>NOW US Equity</stp>
        <stp>BS_LONG_TERM_BORROWINGS/1M</stp>
        <stp>FPR=2021Y</stp>
        <stp>FPT=A</stp>
        <stp>FA_ACT_EST_DATA=E, EST_SOURCE=MZS</stp>
        <stp>ACT_EST_MAPPING=PRECISE</stp>
        <stp>FS=MRC</stp>
        <stp>CURRENCY=USD</stp>
        <stp>XLFILL=b</stp>
        <tr r="AT181" s="2"/>
      </tp>
      <tp t="s">
        <v>#N/A Requesting Data...</v>
        <stp/>
        <stp>##V3_BQLV12</stp>
        <stp>[MODL_NOW_US1.xlsx]Single Period!R208C36</stp>
        <stp>NOW US Equity</stp>
        <stp>CF_CHANGE_IN_OTHR_ASSTS/1M</stp>
        <stp>FPR=2021Y</stp>
        <stp>FPT=A</stp>
        <stp>FA_ACT_EST_DATA=E, EST_SOURCE=JEF</stp>
        <stp>ACT_EST_MAPPING=PRECISE</stp>
        <stp>FS=MRC</stp>
        <stp>CURRENCY=USD</stp>
        <stp>XLFILL=b</stp>
        <tr r="AJ208" s="2"/>
      </tp>
      <tp t="s">
        <v>#N/A Requesting Data...</v>
        <stp/>
        <stp>##V3_BQLV12</stp>
        <stp>[MODL_NOW_US1.xlsx]Single Period!R125C45</stp>
        <stp>NOW US Equity</stp>
        <stp>OPER_INC_TO_NET_SALES</stp>
        <stp>FPR=2021Y</stp>
        <stp>FPT=A</stp>
        <stp>FA_ACT_EST_DATA=E, EST_SOURCE=PJE</stp>
        <stp>ACT_EST_MAPPING=PRECISE</stp>
        <stp>FS=MRC</stp>
        <stp>CURRENCY=USD</stp>
        <stp>XLFILL=b</stp>
        <tr r="AS125" s="2"/>
      </tp>
      <tp t="s">
        <v>#N/A Requesting Data...</v>
        <stp/>
        <stp>##V3_BQLV12</stp>
        <stp>[MODL_NOW_US1.xlsx]Single Period!R160C23</stp>
        <stp>NOW US Equity</stp>
        <stp>PREPAID_EXPNSS_AND_OTHR/1M</stp>
        <stp>FPR=2021Y</stp>
        <stp>FPT=A</stp>
        <stp>FA_ACT_EST_DATA=E, EST_SOURCE=ZXS</stp>
        <stp>ACT_EST_MAPPING=PRECISE</stp>
        <stp>FS=MRC</stp>
        <stp>CURRENCY=USD</stp>
        <stp>XLFILL=b</stp>
        <tr r="W160" s="2"/>
      </tp>
      <tp t="s">
        <v>#N/A Requesting Data...</v>
        <stp/>
        <stp>##V3_BQLV12</stp>
        <stp>[MODL_NOW_US1.xlsx]Single Period!R182C35</stp>
        <stp>NOW US Equity</stp>
        <stp>BS_OTHER_NONCURRENT_LIABILITIES/1M</stp>
        <stp>FPR=2021Y</stp>
        <stp>FPT=A</stp>
        <stp>FA_ACT_EST_DATA=E, EST_SOURCE=MSR</stp>
        <stp>ACT_EST_MAPPING=PRECISE</stp>
        <stp>FS=MRC</stp>
        <stp>CURRENCY=USD</stp>
        <stp>XLFILL=b</stp>
        <tr r="AI182" s="2"/>
      </tp>
      <tp t="s">
        <v>#N/A Requesting Data...</v>
        <stp/>
        <stp>##V3_BQLV12</stp>
        <stp>[MODL_NOW_US1.xlsx]Single Period!R182C31</stp>
        <stp>NOW US Equity</stp>
        <stp>BS_OTHER_NONCURRENT_LIABILITIES/1M</stp>
        <stp>FPR=2021Y</stp>
        <stp>FPT=A</stp>
        <stp>FA_ACT_EST_DATA=E, EST_SOURCE=GSR</stp>
        <stp>ACT_EST_MAPPING=PRECISE</stp>
        <stp>FS=MRC</stp>
        <stp>CURRENCY=USD</stp>
        <stp>XLFILL=b</stp>
        <tr r="AE182" s="2"/>
      </tp>
      <tp t="s">
        <v>#N/A Requesting Data...</v>
        <stp/>
        <stp>##V3_BQLV12</stp>
        <stp>[MODL_NOW_US1.xlsx]Single Period!R107C45</stp>
        <stp>NOW US Equity</stp>
        <stp>CB_IS_ADJ_DILUTED_AVG_SHS/1M</stp>
        <stp>FPR=2021Y</stp>
        <stp>FPT=A</stp>
        <stp>FA_ACT_EST_DATA=E, EST_SOURCE=PJE</stp>
        <stp>ACT_EST_MAPPING=PRECISE</stp>
        <stp>FS=MRC</stp>
        <stp>CURRENCY=USD</stp>
        <stp>XLFILL=b</stp>
        <tr r="AS107" s="2"/>
      </tp>
      <tp t="s">
        <v>#N/A Requesting Data...</v>
        <stp/>
        <stp>##V3_BQLV12</stp>
        <stp>[MODL_NOW_US1.xlsx]Single Period!R182C19</stp>
        <stp>NOW US Equity</stp>
        <stp>BS_OTHER_NONCURRENT_LIABILITIES/1M</stp>
        <stp>FPR=2021Y</stp>
        <stp>FPT=A</stp>
        <stp>FA_ACT_EST_DATA=E, EST_SOURCE=MSV</stp>
        <stp>ACT_EST_MAPPING=PRECISE</stp>
        <stp>FS=MRC</stp>
        <stp>CURRENCY=USD</stp>
        <stp>XLFILL=b</stp>
        <tr r="S182" s="2"/>
      </tp>
      <tp t="s">
        <v>#N/A Requesting Data...</v>
        <stp/>
        <stp>##V3_BQLV12</stp>
        <stp>[MODL_NOW_US1.xlsx]Single Period!R227C38</stp>
        <stp>NOW US Equity</stp>
        <stp>CF_NET_CSH_PROV_BY_FINANCING_ACT/1M</stp>
        <stp>FPR=2021Y</stp>
        <stp>FPT=A</stp>
        <stp>FA_ACT_EST_DATA=E, EST_SOURCE=RWB</stp>
        <stp>ACT_EST_MAPPING=PRECISE</stp>
        <stp>FS=MRC</stp>
        <stp>CURRENCY=USD</stp>
        <stp>XLFILL=b</stp>
        <tr r="AL227" s="2"/>
      </tp>
      <tp t="s">
        <v>#N/A Requesting Data...</v>
        <stp/>
        <stp>##V3_BQLV12</stp>
        <stp>[MODL_NOW_US1.xlsx]Single Period!R71C36</stp>
        <stp>SEG0000230986 Segment</stp>
        <stp>CB_IS_GROSS_PROFIT/1M</stp>
        <stp>FPR=2021Y</stp>
        <stp>FPT=A</stp>
        <stp>FA_ACT_EST_DATA=E, EST_SOURCE=JEF</stp>
        <stp>ACT_EST_MAPPING=PRECISE</stp>
        <stp>FS=MRC</stp>
        <stp>CURRENCY=USD</stp>
        <stp>XLFILL=b</stp>
        <tr r="AJ71" s="2"/>
      </tp>
      <tp t="s">
        <v>#N/A Requesting Data...</v>
        <stp/>
        <stp>##V3_BQLV12</stp>
        <stp>[MODL_NOW_US1.xlsx]Single Period!R221C37</stp>
        <stp>NOW US Equity</stp>
        <stp>CB_CF_OTHER_INVESTING_ACTIVITIES/1M</stp>
        <stp>FPR=2021Y</stp>
        <stp>FPT=A</stp>
        <stp>FA_ACT_EST_DATA=E, EST_SOURCE=TTC</stp>
        <stp>ACT_EST_MAPPING=PRECISE</stp>
        <stp>FS=MRC</stp>
        <stp>CURRENCY=USD</stp>
        <stp>XLFILL=b</stp>
        <tr r="AK221" s="2"/>
      </tp>
      <tp t="s">
        <v>#N/A Requesting Data...</v>
        <stp/>
        <stp>##V3_BQLV12</stp>
        <stp>[MODL_NOW_US1.xlsx]Single Period!R216C49</stp>
        <stp>NOW US Equity</stp>
        <stp>CF_PURCHASE_OF_FIXED_PROD_ASSETS/1M</stp>
        <stp>FPR=2021Y</stp>
        <stp>FPT=A</stp>
        <stp>FA_ACT_EST_DATA=E, EST_SOURCE=SCB</stp>
        <stp>ACT_EST_MAPPING=PRECISE</stp>
        <stp>FS=MRC</stp>
        <stp>CURRENCY=USD</stp>
        <stp>XLFILL=b</stp>
        <tr r="AW216" s="2"/>
      </tp>
      <tp t="s">
        <v>#N/A Requesting Data...</v>
        <stp/>
        <stp>##V3_BQLV12</stp>
        <stp>[MODL_NOW_US1.xlsx]Single Period!R107C17</stp>
        <stp>NOW US Equity</stp>
        <stp>CB_IS_ADJ_DILUTED_AVG_SHS/1M</stp>
        <stp>FPR=2021Y</stp>
        <stp>FPT=A</stp>
        <stp>FA_ACT_EST_DATA=E, EST_SOURCE=RHR</stp>
        <stp>ACT_EST_MAPPING=PRECISE</stp>
        <stp>FS=MRC</stp>
        <stp>CURRENCY=USD</stp>
        <stp>XLFILL=b</stp>
        <tr r="Q107" s="2"/>
      </tp>
      <tp t="s">
        <v>#N/A Requesting Data...</v>
        <stp/>
        <stp>##V3_BQLV12</stp>
        <stp>[MODL_NOW_US1.xlsx]Single Period!R182C34</stp>
        <stp>NOW US Equity</stp>
        <stp>BS_OTHER_NONCURRENT_LIABILITIES/1M</stp>
        <stp>FPR=2021Y</stp>
        <stp>FPT=A</stp>
        <stp>FA_ACT_EST_DATA=E, EST_SOURCE=PSG</stp>
        <stp>ACT_EST_MAPPING=PRECISE</stp>
        <stp>FS=MRC</stp>
        <stp>CURRENCY=USD</stp>
        <stp>XLFILL=b</stp>
        <tr r="AH182" s="2"/>
      </tp>
      <tp t="s">
        <v>#N/A Requesting Data...</v>
        <stp/>
        <stp>##V3_BQLV12</stp>
        <stp>[MODL_NOW_US1.xlsx]Single Period!R175C14</stp>
        <stp>NOW US Equity</stp>
        <stp>BS_ACCRUD_EXPNSS_AND_OTHR/1M</stp>
        <stp>FPR=2021Y</stp>
        <stp>FPT=A</stp>
        <stp>FA_ACT_EST_DATA=E, EST_SOURCE=BMO</stp>
        <stp>ACT_EST_MAPPING=PRECISE</stp>
        <stp>FS=MRC</stp>
        <stp>CURRENCY=USD</stp>
        <stp>XLFILL=b</stp>
        <tr r="N175" s="2"/>
      </tp>
      <tp t="s">
        <v>#N/A Requesting Data...</v>
        <stp/>
        <stp>##V3_BQLV12</stp>
        <stp>[MODL_NOW_US1.xlsx]Single Period!R213C20</stp>
        <stp>NOW US Equity</stp>
        <stp>CF_CASH_FROM_OPER/1M</stp>
        <stp>FPR=2021Y</stp>
        <stp>FPT=A</stp>
        <stp>FA_ACT_EST_DATA=E, EST_SOURCE=CAN</stp>
        <stp>ACT_EST_MAPPING=PRECISE</stp>
        <stp>FS=MRC</stp>
        <stp>CURRENCY=USD</stp>
        <stp>XLFILL=b</stp>
        <tr r="T213" s="2"/>
      </tp>
      <tp t="s">
        <v>#N/A Requesting Data...</v>
        <stp/>
        <stp>##V3_BQLV12</stp>
        <stp>[MODL_NOW_US1.xlsx]Single Period!R213C30</stp>
        <stp>NOW US Equity</stp>
        <stp>CF_CASH_FROM_OPER/1M</stp>
        <stp>FPR=2021Y</stp>
        <stp>FPT=A</stp>
        <stp>FA_ACT_EST_DATA=E, EST_SOURCE=BAM</stp>
        <stp>ACT_EST_MAPPING=PRECISE</stp>
        <stp>FS=MRC</stp>
        <stp>CURRENCY=USD</stp>
        <stp>XLFILL=b</stp>
        <tr r="AD213" s="2"/>
      </tp>
      <tp t="s">
        <v>#N/A Requesting Data...</v>
        <stp/>
        <stp>##V3_BQLV12</stp>
        <stp>[MODL_NOW_US1.xlsx]Single Period!R71C13</stp>
        <stp>SEG0000230986 Segment</stp>
        <stp>CB_IS_GROSS_PROFIT/1M</stp>
        <stp>FPR=2021Y</stp>
        <stp>FPT=A</stp>
        <stp>FA_ACT_EST_DATA=E, EST_SOURCE=KEY</stp>
        <stp>ACT_EST_MAPPING=PRECISE</stp>
        <stp>FS=MRC</stp>
        <stp>CURRENCY=USD</stp>
        <stp>XLFILL=b</stp>
        <tr r="M71" s="2"/>
      </tp>
      <tp t="s">
        <v>#N/A Requesting Data...</v>
        <stp/>
        <stp>##V3_BQLV12</stp>
        <stp>[MODL_NOW_US1.xlsx]Single Period!R227C28</stp>
        <stp>NOW US Equity</stp>
        <stp>CF_NET_CSH_PROV_BY_FINANCING_ACT/1M</stp>
        <stp>FPR=2021Y</stp>
        <stp>FPT=A</stp>
        <stp>FA_ACT_EST_DATA=E, EST_SOURCE=EVR</stp>
        <stp>ACT_EST_MAPPING=PRECISE</stp>
        <stp>FS=MRC</stp>
        <stp>CURRENCY=USD</stp>
        <stp>XLFILL=b</stp>
        <tr r="AB227" s="2"/>
      </tp>
      <tp t="s">
        <v>#N/A Requesting Data...</v>
        <stp/>
        <stp>##V3_BQLV12</stp>
        <stp>[MODL_NOW_US1.xlsx]Single Period!R63C17</stp>
        <stp>SEG0000230975 Segment</stp>
        <stp>CB_IS_GROSS_PROFIT/1M</stp>
        <stp>FPR=2021Y</stp>
        <stp>FPT=A</stp>
        <stp>FA_ACT_EST_DATA=E, EST_SOURCE=RHR</stp>
        <stp>ACT_EST_MAPPING=PRECISE</stp>
        <stp>FS=MRC</stp>
        <stp>CURRENCY=USD</stp>
        <stp>XLFILL=b</stp>
        <tr r="Q63" s="2"/>
      </tp>
      <tp t="s">
        <v>#N/A Requesting Data...</v>
        <stp/>
        <stp>##V3_BQLV12</stp>
        <stp>[MODL_NOW_US1.xlsx]Single Period!R239C46</stp>
        <stp>NOW US Equity</stp>
        <stp>CFO_TO_SALES</stp>
        <stp>FPR=2021Y</stp>
        <stp>FPT=A</stp>
        <stp>FA_ACT_EST_DATA=E, EST_SOURCE=MZS</stp>
        <stp>ACT_EST_MAPPING=PRECISE</stp>
        <stp>FS=MRC</stp>
        <stp>CURRENCY=USD</stp>
        <stp>XLFILL=b</stp>
        <tr r="AT239" s="2"/>
      </tp>
      <tp t="s">
        <v>#N/A Requesting Data...</v>
        <stp/>
        <stp>##V3_BQLV12</stp>
        <stp>[MODL_NOW_US1.xlsx]Single Period!R81C16</stp>
        <stp>NOW US Equity</stp>
        <stp>IS_ADJ_SALES_YOY_CHG_PCT_CC</stp>
        <stp>FPR=2021Y</stp>
        <stp>FPT=A</stp>
        <stp>FA_ACT_EST_DATA=E, EST_SOURCE=BCA</stp>
        <stp>ACT_EST_MAPPING=PRECISE</stp>
        <stp>FS=MRC</stp>
        <stp>CURRENCY=USD</stp>
        <stp>XLFILL=b</stp>
        <tr r="P81" s="2"/>
      </tp>
      <tp t="s">
        <v>#N/A Requesting Data...</v>
        <stp/>
        <stp>##V3_BQLV12</stp>
        <stp>[MODL_NOW_US1.xlsx]Single Period!R81C33</stp>
        <stp>NOW US Equity</stp>
        <stp>IS_ADJ_SALES_YOY_CHG_PCT_CC</stp>
        <stp>FPR=2021Y</stp>
        <stp>FPT=A</stp>
        <stp>FA_ACT_EST_DATA=E, EST_SOURCE=MAC</stp>
        <stp>ACT_EST_MAPPING=PRECISE</stp>
        <stp>FS=MRC</stp>
        <stp>CURRENCY=USD</stp>
        <stp>XLFILL=b</stp>
        <tr r="AG81" s="2"/>
      </tp>
      <tp t="s">
        <v>#N/A Requesting Data...</v>
        <stp/>
        <stp>##V3_BQLV12</stp>
        <stp>[MODL_NOW_US1.xlsx]Single Period!R42C9</stp>
        <stp>SEG0000230975 Segment</stp>
        <stp>CONTRIBUTOR_STATS(IS_BILLINGS, MEDIAN)/1M</stp>
        <stp>FPR=2021Y</stp>
        <stp>FPT=A</stp>
        <stp>FA_ACT_EST_DATA=E</stp>
        <stp>ACT_EST_MAPPING=PRECISE</stp>
        <stp>FS=MRC</stp>
        <stp>CURRENCY=USD</stp>
        <stp>XLFILL=b</stp>
        <tr r="I42" s="2"/>
      </tp>
      <tp t="s">
        <v>#N/A Requesting Data...</v>
        <stp/>
        <stp>##V3_BQLV12</stp>
        <stp>[MODL_NOW_US1.xlsx]Single Period!R81C30</stp>
        <stp>NOW US Equity</stp>
        <stp>IS_ADJ_SALES_YOY_CHG_PCT_CC</stp>
        <stp>FPR=2021Y</stp>
        <stp>FPT=A</stp>
        <stp>FA_ACT_EST_DATA=E, EST_SOURCE=BAM</stp>
        <stp>ACT_EST_MAPPING=PRECISE</stp>
        <stp>FS=MRC</stp>
        <stp>CURRENCY=USD</stp>
        <stp>XLFILL=b</stp>
        <tr r="AD81" s="2"/>
      </tp>
      <tp t="s">
        <v>#N/A Requesting Data...</v>
        <stp/>
        <stp>##V3_BQLV12</stp>
        <stp>[MODL_NOW_US1.xlsx]Single Period!R81C43</stp>
        <stp>NOW US Equity</stp>
        <stp>IS_ADJ_SALES_YOY_CHG_PCT_CC</stp>
        <stp>FPR=2021Y</stp>
        <stp>FPT=A</stp>
        <stp>FA_ACT_EST_DATA=E, EST_SOURCE=WFT</stp>
        <stp>ACT_EST_MAPPING=PRECISE</stp>
        <stp>FS=MRC</stp>
        <stp>CURRENCY=USD</stp>
        <stp>XLFILL=b</stp>
        <tr r="AQ81" s="2"/>
      </tp>
      <tp t="s">
        <v>#N/A Requesting Data...</v>
        <stp/>
        <stp>##V3_BQLV12</stp>
        <stp>[MODL_NOW_US1.xlsx]Single Period!R122C10</stp>
        <stp>NOW US Equity</stp>
        <stp>IS_MERGER_AND_ACQUIS_EXPN_OP/1M</stp>
        <stp>FPR=2021Y</stp>
        <stp>FPT=A</stp>
        <stp>FA_ACT_EST_DATA=E, EST_SOURCE=CMPY</stp>
        <stp>ACT_EST_MAPPING=PRECISE</stp>
        <stp>FS=MRC</stp>
        <stp>CURRENCY=USD</stp>
        <stp>XLFILL=b</stp>
        <tr r="J122" s="2"/>
      </tp>
      <tp t="s">
        <v>#N/A Requesting Data...</v>
        <stp/>
        <stp>##V3_BQLV12</stp>
        <stp>[MODL_NOW_US1.xlsx]Single Period!R212C49</stp>
        <stp>NOW US Equity</stp>
        <stp>CF_CHANGE_IN_ACCRUD_EXPNSS/1M</stp>
        <stp>FPR=2021Y</stp>
        <stp>FPT=A</stp>
        <stp>FA_ACT_EST_DATA=E, EST_SOURCE=SCB</stp>
        <stp>ACT_EST_MAPPING=PRECISE</stp>
        <stp>FS=MRC</stp>
        <stp>CURRENCY=USD</stp>
        <stp>XLFILL=b</stp>
        <tr r="AW212" s="2"/>
      </tp>
      <tp t="s">
        <v>#N/A Requesting Data...</v>
        <stp/>
        <stp>##V3_BQLV12</stp>
        <stp>[MODL_NOW_US1.xlsx]Single Period!R163C17</stp>
        <stp>NOW US Equity</stp>
        <stp>CB_BS_PP_AND_E_NET/1M</stp>
        <stp>FPR=2021Y</stp>
        <stp>FPT=A</stp>
        <stp>FA_ACT_EST_DATA=E, EST_SOURCE=RHR</stp>
        <stp>ACT_EST_MAPPING=PRECISE</stp>
        <stp>FS=MRC</stp>
        <stp>CURRENCY=USD</stp>
        <stp>XLFILL=b</stp>
        <tr r="Q163" s="2"/>
      </tp>
      <tp t="s">
        <v>#N/A Requesting Data...</v>
        <stp/>
        <stp>##V3_BQLV12</stp>
        <stp>[MODL_NOW_US1.xlsx]Single Period!R111C39</stp>
        <stp>NOW US Equity</stp>
        <stp>IS_COGS_TO_FE_AND_PP_AND_G/1M</stp>
        <stp>FPR=2021Y</stp>
        <stp>FPT=A</stp>
        <stp>FA_ACT_EST_DATA=E, EST_SOURCE=DZB</stp>
        <stp>ACT_EST_MAPPING=PRECISE</stp>
        <stp>FS=MRC</stp>
        <stp>CURRENCY=USD</stp>
        <stp>XLFILL=b</stp>
        <tr r="AM111" s="2"/>
      </tp>
      <tp t="s">
        <v>#N/A Requesting Data...</v>
        <stp/>
        <stp>##V3_BQLV12</stp>
        <stp>[MODL_NOW_US1.xlsx]Single Period!R212C16</stp>
        <stp>NOW US Equity</stp>
        <stp>CF_CHANGE_IN_ACCRUD_EXPNSS/1M</stp>
        <stp>FPR=2021Y</stp>
        <stp>FPT=A</stp>
        <stp>FA_ACT_EST_DATA=E, EST_SOURCE=BCA</stp>
        <stp>ACT_EST_MAPPING=PRECISE</stp>
        <stp>FS=MRC</stp>
        <stp>CURRENCY=USD</stp>
        <stp>XLFILL=b</stp>
        <tr r="P212" s="2"/>
      </tp>
      <tp t="s">
        <v>#N/A Requesting Data...</v>
        <stp/>
        <stp>##V3_BQLV12</stp>
        <stp>[MODL_NOW_US1.xlsx]Single Period!R127C17</stp>
        <stp>NOW US Equity</stp>
        <stp>PRETAX_INC/1M</stp>
        <stp>FPR=2021Y</stp>
        <stp>FPT=A</stp>
        <stp>FA_ACT_EST_DATA=E, EST_SOURCE=RHR</stp>
        <stp>ACT_EST_MAPPING=PRECISE</stp>
        <stp>FS=MRC</stp>
        <stp>CURRENCY=USD</stp>
        <stp>XLFILL=b</stp>
        <tr r="Q127" s="2"/>
      </tp>
      <tp t="s">
        <v>#N/A Requesting Data...</v>
        <stp/>
        <stp>##V3_BQLV12</stp>
        <stp>[MODL_NOW_US1.xlsx]Single Period!R166C11</stp>
        <stp>NOW US Equity</stp>
        <stp>BS_OTHER_INTANGIBLE_ASSETS/1M</stp>
        <stp>FPR=2021Y</stp>
        <stp>FPT=A</stp>
        <stp>FA_ACT_EST_DATA=E, EST_SOURCE=JPM</stp>
        <stp>ACT_EST_MAPPING=PRECISE</stp>
        <stp>FS=MRC</stp>
        <stp>CURRENCY=USD</stp>
        <stp>XLFILL=b</stp>
        <tr r="K166" s="2"/>
      </tp>
      <tp t="s">
        <v>#N/A Requesting Data...</v>
        <stp/>
        <stp>##V3_BQLV12</stp>
        <stp>[MODL_NOW_US1.xlsx]Single Period!R144C42</stp>
        <stp>NOW US Equity</stp>
        <stp>IS_SBC_ATT_TO_GENL_AND_ADMIN_PRETX/1M</stp>
        <stp>FPR=2021Y</stp>
        <stp>FPT=A</stp>
        <stp>FA_ACT_EST_DATA=E, EST_SOURCE=CTI</stp>
        <stp>ACT_EST_MAPPING=PRECISE</stp>
        <stp>FS=MRC</stp>
        <stp>CURRENCY=USD</stp>
        <stp>XLFILL=b</stp>
        <tr r="AP144" s="2"/>
      </tp>
      <tp t="s">
        <v>#N/A Requesting Data...</v>
        <stp/>
        <stp>##V3_BQLV12</stp>
        <stp>[MODL_NOW_US1.xlsx]Single Period!R144C37</stp>
        <stp>NOW US Equity</stp>
        <stp>IS_SBC_ATT_TO_GENL_AND_ADMIN_PRETX/1M</stp>
        <stp>FPR=2021Y</stp>
        <stp>FPT=A</stp>
        <stp>FA_ACT_EST_DATA=E, EST_SOURCE=TTC</stp>
        <stp>ACT_EST_MAPPING=PRECISE</stp>
        <stp>FS=MRC</stp>
        <stp>CURRENCY=USD</stp>
        <stp>XLFILL=b</stp>
        <tr r="AK144" s="2"/>
      </tp>
      <tp t="s">
        <v>#N/A Requesting Data...</v>
        <stp/>
        <stp>##V3_BQLV12</stp>
        <stp>[MODL_NOW_US1.xlsx]Single Period!R149C36</stp>
        <stp>NOW US Equity</stp>
        <stp>IS_AMORT_ACQD_INTANG_GEN_AND_ADMIN/1M</stp>
        <stp>FPR=2021Y</stp>
        <stp>FPT=A</stp>
        <stp>FA_ACT_EST_DATA=E, EST_SOURCE=JEF</stp>
        <stp>ACT_EST_MAPPING=PRECISE</stp>
        <stp>FS=MRC</stp>
        <stp>CURRENCY=USD</stp>
        <stp>XLFILL=b</stp>
        <tr r="AJ149" s="2"/>
      </tp>
      <tp t="s">
        <v>#N/A Requesting Data...</v>
        <stp/>
        <stp>##V3_BQLV12</stp>
        <stp>[MODL_NOW_US1.xlsx]Single Period!R166C15</stp>
        <stp>NOW US Equity</stp>
        <stp>BS_OTHER_INTANGIBLE_ASSETS/1M</stp>
        <stp>FPR=2021Y</stp>
        <stp>FPT=A</stp>
        <stp>FA_ACT_EST_DATA=E, EST_SOURCE=OPY</stp>
        <stp>ACT_EST_MAPPING=PRECISE</stp>
        <stp>FS=MRC</stp>
        <stp>CURRENCY=USD</stp>
        <stp>XLFILL=b</stp>
        <tr r="O166" s="2"/>
      </tp>
      <tp t="s">
        <v>#N/A Requesting Data...</v>
        <stp/>
        <stp>##V3_BQLV12</stp>
        <stp>[MODL_NOW_US1.xlsx]Single Period!R111C46</stp>
        <stp>NOW US Equity</stp>
        <stp>IS_COGS_TO_FE_AND_PP_AND_G/1M</stp>
        <stp>FPR=2021Y</stp>
        <stp>FPT=A</stp>
        <stp>FA_ACT_EST_DATA=E, EST_SOURCE=MZS</stp>
        <stp>ACT_EST_MAPPING=PRECISE</stp>
        <stp>FS=MRC</stp>
        <stp>CURRENCY=USD</stp>
        <stp>XLFILL=b</stp>
        <tr r="AT111" s="2"/>
      </tp>
      <tp t="s">
        <v>#N/A Requesting Data...</v>
        <stp/>
        <stp>##V3_BQLV12</stp>
        <stp>[MODL_NOW_US1.xlsx]Single Period!R149C13</stp>
        <stp>NOW US Equity</stp>
        <stp>IS_AMORT_ACQD_INTANG_GEN_AND_ADMIN/1M</stp>
        <stp>FPR=2021Y</stp>
        <stp>FPT=A</stp>
        <stp>FA_ACT_EST_DATA=E, EST_SOURCE=KEY</stp>
        <stp>ACT_EST_MAPPING=PRECISE</stp>
        <stp>FS=MRC</stp>
        <stp>CURRENCY=USD</stp>
        <stp>XLFILL=b</stp>
        <tr r="M149" s="2"/>
      </tp>
      <tp t="s">
        <v>#N/A Requesting Data...</v>
        <stp/>
        <stp>##V3_BQLV12</stp>
        <stp>[MODL_NOW_US1.xlsx]Single Period!R194C20</stp>
        <stp>NOW US Equity</stp>
        <stp>CB_BS_OTHER_CURRENT_ASSETS/1M</stp>
        <stp>FPR=2021Y</stp>
        <stp>FPT=A</stp>
        <stp>FA_ACT_EST_DATA=E, EST_SOURCE=CAN</stp>
        <stp>ACT_EST_MAPPING=PRECISE</stp>
        <stp>FS=MRC</stp>
        <stp>CURRENCY=USD</stp>
        <stp>XLFILL=b</stp>
        <tr r="T194" s="2"/>
      </tp>
      <tp t="s">
        <v>#N/A Requesting Data...</v>
        <stp/>
        <stp>##V3_BQLV12</stp>
        <stp>[MODL_NOW_US1.xlsx]Single Period!R194C30</stp>
        <stp>NOW US Equity</stp>
        <stp>CB_BS_OTHER_CURRENT_ASSETS/1M</stp>
        <stp>FPR=2021Y</stp>
        <stp>FPT=A</stp>
        <stp>FA_ACT_EST_DATA=E, EST_SOURCE=BAM</stp>
        <stp>ACT_EST_MAPPING=PRECISE</stp>
        <stp>FS=MRC</stp>
        <stp>CURRENCY=USD</stp>
        <stp>XLFILL=b</stp>
        <tr r="AD194" s="2"/>
      </tp>
      <tp t="s">
        <v>#N/A Requesting Data...</v>
        <stp/>
        <stp>##V3_BQLV12</stp>
        <stp>[MODL_NOW_US1.xlsx]Single Period!R222C5</stp>
        <stp>NOW US Equity</stp>
        <stp>CF_CASH_FROM_INV_ACT/1M</stp>
        <stp>FPR=2021Y</stp>
        <stp>FPT=A</stp>
        <stp>FA_ACT_EST_DATA=E</stp>
        <stp>ACT_EST_MAPPING=PRECISE</stp>
        <stp>FS=MRC</stp>
        <stp>CURRENCY=USD</stp>
        <stp>XLFILL=b</stp>
        <tr r="E222" s="2"/>
      </tp>
      <tp t="s">
        <v>#N/A Requesting Data...</v>
        <stp/>
        <stp>##V3_BQLV12</stp>
        <stp>[MODL_NOW_US1.xlsx]Single Period!R194C33</stp>
        <stp>NOW US Equity</stp>
        <stp>CB_BS_OTHER_CURRENT_ASSETS/1M</stp>
        <stp>FPR=2021Y</stp>
        <stp>FPT=A</stp>
        <stp>FA_ACT_EST_DATA=E, EST_SOURCE=MAC</stp>
        <stp>ACT_EST_MAPPING=PRECISE</stp>
        <stp>FS=MRC</stp>
        <stp>CURRENCY=USD</stp>
        <stp>XLFILL=b</stp>
        <tr r="AG194" s="2"/>
      </tp>
      <tp t="s">
        <v>#N/A Requesting Data...</v>
        <stp/>
        <stp>##V3_BQLV12</stp>
        <stp>[MODL_NOW_US1.xlsx]Single Period!R28C36</stp>
        <stp>NOW US Equity</stp>
        <stp>ADJ_OPERATING_MARGIN</stp>
        <stp>FPR=2021Y</stp>
        <stp>FPT=A</stp>
        <stp>FA_ACT_EST_DATA=E, EST_SOURCE=JEF</stp>
        <stp>ACT_EST_MAPPING=PRECISE</stp>
        <stp>FS=MRC</stp>
        <stp>CURRENCY=USD</stp>
        <stp>XLFILL=b</stp>
        <tr r="AJ28" s="2"/>
      </tp>
      <tp t="s">
        <v>#N/A Requesting Data...</v>
        <stp/>
        <stp>##V3_BQLV12</stp>
        <stp>[MODL_NOW_US1.xlsx]Single Period!R157C22</stp>
        <stp>NOW US Equity</stp>
        <stp>BS_MKT_SEC_OTHER_ST_INVEST/1M</stp>
        <stp>FPR=2021Y</stp>
        <stp>FPT=A</stp>
        <stp>FA_ACT_EST_DATA=E, EST_SOURCE=NDH</stp>
        <stp>ACT_EST_MAPPING=PRECISE</stp>
        <stp>FS=MRC</stp>
        <stp>CURRENCY=USD</stp>
        <stp>XLFILL=b</stp>
        <tr r="V157" s="2"/>
      </tp>
      <tp t="s">
        <v>#N/A Requesting Data...</v>
        <stp/>
        <stp>##V3_BQLV12</stp>
        <stp>[MODL_NOW_US1.xlsx]Single Period!R208C43</stp>
        <stp>NOW US Equity</stp>
        <stp>CF_CHANGE_IN_OTHR_ASSTS/1M</stp>
        <stp>FPR=2021Y</stp>
        <stp>FPT=A</stp>
        <stp>FA_ACT_EST_DATA=E, EST_SOURCE=WFT</stp>
        <stp>ACT_EST_MAPPING=PRECISE</stp>
        <stp>FS=MRC</stp>
        <stp>CURRENCY=USD</stp>
        <stp>XLFILL=b</stp>
        <tr r="AQ208" s="2"/>
      </tp>
      <tp t="s">
        <v>#N/A Requesting Data...</v>
        <stp/>
        <stp>##V3_BQLV12</stp>
        <stp>[MODL_NOW_US1.xlsx]Single Period!R138C42</stp>
        <stp>NOW US Equity</stp>
        <stp>SBC_NON_GAAP_TO_SALES</stp>
        <stp>FPR=2021Y</stp>
        <stp>FPT=A</stp>
        <stp>FA_ACT_EST_DATA=E, EST_SOURCE=CTI</stp>
        <stp>ACT_EST_MAPPING=PRECISE</stp>
        <stp>FS=MRC</stp>
        <stp>CURRENCY=USD</stp>
        <stp>XLFILL=b</stp>
        <tr r="AP138" s="2"/>
      </tp>
      <tp t="s">
        <v>#N/A Requesting Data...</v>
        <stp/>
        <stp>##V3_BQLV12</stp>
        <stp>[MODL_NOW_US1.xlsx]Single Period!R47C37</stp>
        <stp>SEG0000230986 Segment</stp>
        <stp>CB_ADJ_BILLINGS_AMT/1M</stp>
        <stp>FPR=2021Y</stp>
        <stp>FPT=A</stp>
        <stp>FA_ACT_EST_DATA=E, EST_SOURCE=TTC</stp>
        <stp>ACT_EST_MAPPING=PRECISE</stp>
        <stp>FS=MRC</stp>
        <stp>CURRENCY=USD</stp>
        <stp>XLFILL=b</stp>
        <tr r="AK47" s="2"/>
      </tp>
      <tp t="s">
        <v>#N/A Requesting Data...</v>
        <stp/>
        <stp>##V3_BQLV12</stp>
        <stp>[MODL_NOW_US1.xlsx]Single Period!R43C38</stp>
        <stp>SEG0000230975 Segment</stp>
        <stp>CB_ADJ_BILLINGS_AMT/1M</stp>
        <stp>FPR=2021Y</stp>
        <stp>FPT=A</stp>
        <stp>FA_ACT_EST_DATA=E, EST_SOURCE=RWB</stp>
        <stp>ACT_EST_MAPPING=PRECISE</stp>
        <stp>FS=MRC</stp>
        <stp>CURRENCY=USD</stp>
        <stp>XLFILL=b</stp>
        <tr r="AL43" s="2"/>
      </tp>
      <tp t="s">
        <v>#N/A Requesting Data...</v>
        <stp/>
        <stp>##V3_BQLV12</stp>
        <stp>[MODL_NOW_US1.xlsx]Single Period!R43C24</stp>
        <stp>SEG0000230975 Segment</stp>
        <stp>CB_ADJ_BILLINGS_AMT/1M</stp>
        <stp>FPR=2021Y</stp>
        <stp>FPT=A</stp>
        <stp>FA_ACT_EST_DATA=E, EST_SOURCE=CWN</stp>
        <stp>ACT_EST_MAPPING=PRECISE</stp>
        <stp>FS=MRC</stp>
        <stp>CURRENCY=USD</stp>
        <stp>XLFILL=b</stp>
        <tr r="X43" s="2"/>
      </tp>
      <tp t="s">
        <v>#N/A Requesting Data...</v>
        <stp/>
        <stp>##V3_BQLV12</stp>
        <stp>[MODL_NOW_US1.xlsx]Single Period!R236C17</stp>
        <stp>NOW US Equity</stp>
        <stp>FREE_CASH_FLOW_MARGIN</stp>
        <stp>FPR=2021Y</stp>
        <stp>FPT=A</stp>
        <stp>FA_ACT_EST_DATA=E, EST_SOURCE=RHR</stp>
        <stp>ACT_EST_MAPPING=PRECISE</stp>
        <stp>FS=MRC</stp>
        <stp>CURRENCY=USD</stp>
        <stp>XLFILL=b</stp>
        <tr r="Q236" s="2"/>
      </tp>
      <tp t="s">
        <v>#N/A Requesting Data...</v>
        <stp/>
        <stp>##V3_BQLV12</stp>
        <stp>[MODL_NOW_US1.xlsx]Single Period!R47C42</stp>
        <stp>SEG0000230986 Segment</stp>
        <stp>CB_ADJ_BILLINGS_AMT/1M</stp>
        <stp>FPR=2021Y</stp>
        <stp>FPT=A</stp>
        <stp>FA_ACT_EST_DATA=E, EST_SOURCE=CTI</stp>
        <stp>ACT_EST_MAPPING=PRECISE</stp>
        <stp>FS=MRC</stp>
        <stp>CURRENCY=USD</stp>
        <stp>XLFILL=b</stp>
        <tr r="AP47" s="2"/>
      </tp>
      <tp t="s">
        <v>#N/A Requesting Data...</v>
        <stp/>
        <stp>##V3_BQLV12</stp>
        <stp>[MODL_NOW_US1.xlsx]Single Period!R43C40</stp>
        <stp>SEG0000230975 Segment</stp>
        <stp>CB_ADJ_BILLINGS_AMT/1M</stp>
        <stp>FPR=2021Y</stp>
        <stp>FPT=A</stp>
        <stp>FA_ACT_EST_DATA=E, EST_SOURCE=DWI</stp>
        <stp>ACT_EST_MAPPING=PRECISE</stp>
        <stp>FS=MRC</stp>
        <stp>CURRENCY=USD</stp>
        <stp>XLFILL=b</stp>
        <tr r="AN43" s="2"/>
      </tp>
      <tp t="s">
        <v>#N/A Requesting Data...</v>
        <stp/>
        <stp>##V3_BQLV12</stp>
        <stp>[MODL_NOW_US1.xlsx]Single Period!R117C39</stp>
        <stp>NOW US Equity</stp>
        <stp>IS_TOT_OPER_EXP/1M</stp>
        <stp>FPR=2021Y</stp>
        <stp>FPT=A</stp>
        <stp>FA_ACT_EST_DATA=E, EST_SOURCE=DZB</stp>
        <stp>ACT_EST_MAPPING=PRECISE</stp>
        <stp>FS=MRC</stp>
        <stp>CURRENCY=USD</stp>
        <stp>XLFILL=b</stp>
        <tr r="AM117" s="2"/>
      </tp>
      <tp t="s">
        <v>#N/A Requesting Data...</v>
        <stp/>
        <stp>##V3_BQLV12</stp>
        <stp>[MODL_NOW_US1.xlsx]Single Period!R205C29</stp>
        <stp>NOW US Equity</stp>
        <stp>CB_CF_OTHR_NONCSH_ITEMS/1M</stp>
        <stp>FPR=2021Y</stp>
        <stp>FPT=A</stp>
        <stp>FA_ACT_EST_DATA=E, EST_SOURCE=BNS</stp>
        <stp>ACT_EST_MAPPING=PRECISE</stp>
        <stp>FS=MRC</stp>
        <stp>CURRENCY=USD</stp>
        <stp>XLFILL=b</stp>
        <tr r="AC205" s="2"/>
      </tp>
      <tp t="s">
        <v>#N/A Requesting Data...</v>
        <stp/>
        <stp>##V3_BQLV12</stp>
        <stp>[MODL_NOW_US1.xlsx]Single Period!R138C37</stp>
        <stp>NOW US Equity</stp>
        <stp>SBC_NON_GAAP_TO_SALES</stp>
        <stp>FPR=2021Y</stp>
        <stp>FPT=A</stp>
        <stp>FA_ACT_EST_DATA=E, EST_SOURCE=TTC</stp>
        <stp>ACT_EST_MAPPING=PRECISE</stp>
        <stp>FS=MRC</stp>
        <stp>CURRENCY=USD</stp>
        <stp>XLFILL=b</stp>
        <tr r="AK138" s="2"/>
      </tp>
      <tp t="s">
        <v>#N/A Requesting Data...</v>
        <stp/>
        <stp>##V3_BQLV12</stp>
        <stp>[MODL_NOW_US1.xlsx]Single Period!R205C18</stp>
        <stp>NOW US Equity</stp>
        <stp>CB_CF_OTHR_NONCSH_ITEMS/1M</stp>
        <stp>FPR=2021Y</stp>
        <stp>FPT=A</stp>
        <stp>FA_ACT_EST_DATA=E, EST_SOURCE=SNR</stp>
        <stp>ACT_EST_MAPPING=PRECISE</stp>
        <stp>FS=MRC</stp>
        <stp>CURRENCY=USD</stp>
        <stp>XLFILL=b</stp>
        <tr r="R205" s="2"/>
      </tp>
      <tp t="s">
        <v>#N/A Requesting Data...</v>
        <stp/>
        <stp>##V3_BQLV12</stp>
        <stp>[MODL_NOW_US1.xlsx]Single Period!R117C46</stp>
        <stp>NOW US Equity</stp>
        <stp>IS_TOT_OPER_EXP/1M</stp>
        <stp>FPR=2021Y</stp>
        <stp>FPT=A</stp>
        <stp>FA_ACT_EST_DATA=E, EST_SOURCE=MZS</stp>
        <stp>ACT_EST_MAPPING=PRECISE</stp>
        <stp>FS=MRC</stp>
        <stp>CURRENCY=USD</stp>
        <stp>XLFILL=b</stp>
        <tr r="AT117" s="2"/>
      </tp>
      <tp t="s">
        <v>#N/A Requesting Data...</v>
        <stp/>
        <stp>##V3_BQLV12</stp>
        <stp>[MODL_NOW_US1.xlsx]Single Period!R219C47</stp>
        <stp>NOW US Equity</stp>
        <stp>CF_PURCHSS_OF_INVSTMNTS/1M</stp>
        <stp>FPR=2021Y</stp>
        <stp>FPT=A</stp>
        <stp>FA_ACT_EST_DATA=E, EST_SOURCE=SUM</stp>
        <stp>ACT_EST_MAPPING=PRECISE</stp>
        <stp>FS=MRC</stp>
        <stp>CURRENCY=USD</stp>
        <stp>XLFILL=b</stp>
        <tr r="AU219" s="2"/>
      </tp>
      <tp t="s">
        <v>#N/A Requesting Data...</v>
        <stp/>
        <stp>##V3_BQLV12</stp>
        <stp>[MODL_NOW_US1.xlsx]Single Period!R144C5</stp>
        <stp>NOW US Equity</stp>
        <stp>IS_SBC_ATT_TO_GENL_AND_ADMIN_PRETX/1M</stp>
        <stp>FPR=2021Y</stp>
        <stp>FPT=A</stp>
        <stp>FA_ACT_EST_DATA=E</stp>
        <stp>ACT_EST_MAPPING=PRECISE</stp>
        <stp>FS=MRC</stp>
        <stp>CURRENCY=USD</stp>
        <stp>XLFILL=b</stp>
        <tr r="E144" s="2"/>
      </tp>
      <tp t="s">
        <v>#N/A Requesting Data...</v>
        <stp/>
        <stp>##V3_BQLV12</stp>
        <stp>[MODL_NOW_US1.xlsx]Single Period!R221C38</stp>
        <stp>NOW US Equity</stp>
        <stp>CB_CF_OTHER_INVESTING_ACTIVITIES/1M</stp>
        <stp>FPR=2021Y</stp>
        <stp>FPT=A</stp>
        <stp>FA_ACT_EST_DATA=E, EST_SOURCE=RWB</stp>
        <stp>ACT_EST_MAPPING=PRECISE</stp>
        <stp>FS=MRC</stp>
        <stp>CURRENCY=USD</stp>
        <stp>XLFILL=b</stp>
        <tr r="AL221" s="2"/>
      </tp>
      <tp t="s">
        <v>#N/A Requesting Data...</v>
        <stp/>
        <stp>##V3_BQLV12</stp>
        <stp>[MODL_NOW_US1.xlsx]Single Period!R177C17</stp>
        <stp>NOW US Equity</stp>
        <stp>BS_ST_CPTL_LEA_AND_OP_LEA_LIABS/1M</stp>
        <stp>FPR=2021Y</stp>
        <stp>FPT=A</stp>
        <stp>FA_ACT_EST_DATA=E, EST_SOURCE=RHR</stp>
        <stp>ACT_EST_MAPPING=PRECISE</stp>
        <stp>FS=MRC</stp>
        <stp>CURRENCY=USD</stp>
        <stp>XLFILL=b</stp>
        <tr r="Q177" s="2"/>
      </tp>
      <tp t="s">
        <v>#N/A Requesting Data...</v>
        <stp/>
        <stp>##V3_BQLV12</stp>
        <stp>[MODL_NOW_US1.xlsx]Single Period!R227C37</stp>
        <stp>NOW US Equity</stp>
        <stp>CF_NET_CSH_PROV_BY_FINANCING_ACT/1M</stp>
        <stp>FPR=2021Y</stp>
        <stp>FPT=A</stp>
        <stp>FA_ACT_EST_DATA=E, EST_SOURCE=TTC</stp>
        <stp>ACT_EST_MAPPING=PRECISE</stp>
        <stp>FS=MRC</stp>
        <stp>CURRENCY=USD</stp>
        <stp>XLFILL=b</stp>
        <tr r="AK227" s="2"/>
      </tp>
      <tp t="s">
        <v>#N/A Requesting Data...</v>
        <stp/>
        <stp>##V3_BQLV12</stp>
        <stp>[MODL_NOW_US1.xlsx]Single Period!R182C15</stp>
        <stp>NOW US Equity</stp>
        <stp>BS_OTHER_NONCURRENT_LIABILITIES/1M</stp>
        <stp>FPR=2021Y</stp>
        <stp>FPT=A</stp>
        <stp>FA_ACT_EST_DATA=E, EST_SOURCE=OPY</stp>
        <stp>ACT_EST_MAPPING=PRECISE</stp>
        <stp>FS=MRC</stp>
        <stp>CURRENCY=USD</stp>
        <stp>XLFILL=b</stp>
        <tr r="O182" s="2"/>
      </tp>
      <tp t="s">
        <v>#N/A Requesting Data...</v>
        <stp/>
        <stp>##V3_BQLV12</stp>
        <stp>[MODL_NOW_US1.xlsx]Single Period!R148C48</stp>
        <stp>NOW US Equity</stp>
        <stp>IS_AMORT_ACQD_INTANGIBLES_R_AND_D/1M</stp>
        <stp>FPR=2021Y</stp>
        <stp>FPT=A</stp>
        <stp>FA_ACT_EST_DATA=E, EST_SOURCE=CRC</stp>
        <stp>ACT_EST_MAPPING=PRECISE</stp>
        <stp>FS=MRC</stp>
        <stp>CURRENCY=USD</stp>
        <stp>XLFILL=b</stp>
        <tr r="AV148" s="2"/>
      </tp>
      <tp t="s">
        <v>#N/A Requesting Data...</v>
        <stp/>
        <stp>##V3_BQLV12</stp>
        <stp>[MODL_NOW_US1.xlsx]Single Period!R107C21</stp>
        <stp>NOW US Equity</stp>
        <stp>CB_IS_ADJ_DILUTED_AVG_SHS/1M</stp>
        <stp>FPR=2021Y</stp>
        <stp>FPT=A</stp>
        <stp>FA_ACT_EST_DATA=E, EST_SOURCE=JMP</stp>
        <stp>ACT_EST_MAPPING=PRECISE</stp>
        <stp>FS=MRC</stp>
        <stp>CURRENCY=USD</stp>
        <stp>XLFILL=b</stp>
        <tr r="U107" s="2"/>
      </tp>
      <tp t="s">
        <v>#N/A Requesting Data...</v>
        <stp/>
        <stp>##V3_BQLV12</stp>
        <stp>[MODL_NOW_US1.xlsx]Single Period!R104C23</stp>
        <stp>NOW US Equity</stp>
        <stp>IS_COMP_NET_INC_EXCL_STOCK_COMP/1M</stp>
        <stp>FPR=2021Y</stp>
        <stp>FPT=A</stp>
        <stp>FA_ACT_EST_DATA=E, EST_SOURCE=ZXS</stp>
        <stp>ACT_EST_MAPPING=PRECISE</stp>
        <stp>FS=MRC</stp>
        <stp>CURRENCY=USD</stp>
        <stp>XLFILL=b</stp>
        <tr r="W104" s="2"/>
      </tp>
      <tp t="s">
        <v>#N/A Requesting Data...</v>
        <stp/>
        <stp>##V3_BQLV12</stp>
        <stp>[MODL_NOW_US1.xlsx]Single Period!R202C45</stp>
        <stp>NOW US Equity</stp>
        <stp>CF_AMORTIZATN_OF_DEFRRD_COMPNSTN/1M</stp>
        <stp>FPR=2021Y</stp>
        <stp>FPT=A</stp>
        <stp>FA_ACT_EST_DATA=E, EST_SOURCE=PJE</stp>
        <stp>ACT_EST_MAPPING=PRECISE</stp>
        <stp>FS=MRC</stp>
        <stp>CURRENCY=USD</stp>
        <stp>XLFILL=b</stp>
        <tr r="AS202" s="2"/>
      </tp>
      <tp t="s">
        <v>#N/A Requesting Data...</v>
        <stp/>
        <stp>##V3_BQLV12</stp>
        <stp>[MODL_NOW_US1.xlsx]Single Period!R221C28</stp>
        <stp>NOW US Equity</stp>
        <stp>CB_CF_OTHER_INVESTING_ACTIVITIES/1M</stp>
        <stp>FPR=2021Y</stp>
        <stp>FPT=A</stp>
        <stp>FA_ACT_EST_DATA=E, EST_SOURCE=EVR</stp>
        <stp>ACT_EST_MAPPING=PRECISE</stp>
        <stp>FS=MRC</stp>
        <stp>CURRENCY=USD</stp>
        <stp>XLFILL=b</stp>
        <tr r="AB221" s="2"/>
      </tp>
      <tp t="s">
        <v>#N/A Requesting Data...</v>
        <stp/>
        <stp>##V3_BQLV12</stp>
        <stp>[MODL_NOW_US1.xlsx]Single Period!R225C28</stp>
        <stp>NOW US Equity</stp>
        <stp>CF_INCR_CAP_STOCK/1M</stp>
        <stp>FPR=2021Y</stp>
        <stp>FPT=A</stp>
        <stp>FA_ACT_EST_DATA=E, EST_SOURCE=EVR</stp>
        <stp>ACT_EST_MAPPING=PRECISE</stp>
        <stp>FS=MRC</stp>
        <stp>CURRENCY=USD</stp>
        <stp>XLFILL=b</stp>
        <tr r="AB225" s="2"/>
      </tp>
      <tp t="s">
        <v>#N/A Requesting Data...</v>
        <stp/>
        <stp>##V3_BQLV12</stp>
        <stp>[MODL_NOW_US1.xlsx]Single Period!R175C49</stp>
        <stp>NOW US Equity</stp>
        <stp>BS_ACCRUD_EXPNSS_AND_OTHR/1M</stp>
        <stp>FPR=2021Y</stp>
        <stp>FPT=A</stp>
        <stp>FA_ACT_EST_DATA=E, EST_SOURCE=SCB</stp>
        <stp>ACT_EST_MAPPING=PRECISE</stp>
        <stp>FS=MRC</stp>
        <stp>CURRENCY=USD</stp>
        <stp>XLFILL=b</stp>
        <tr r="AW175" s="2"/>
      </tp>
      <tp t="s">
        <v>#N/A Requesting Data...</v>
        <stp/>
        <stp>##V3_BQLV12</stp>
        <stp>[MODL_NOW_US1.xlsx]Single Period!R213C33</stp>
        <stp>NOW US Equity</stp>
        <stp>CF_CASH_FROM_OPER/1M</stp>
        <stp>FPR=2021Y</stp>
        <stp>FPT=A</stp>
        <stp>FA_ACT_EST_DATA=E, EST_SOURCE=MAC</stp>
        <stp>ACT_EST_MAPPING=PRECISE</stp>
        <stp>FS=MRC</stp>
        <stp>CURRENCY=USD</stp>
        <stp>XLFILL=b</stp>
        <tr r="AG213" s="2"/>
      </tp>
      <tp t="s">
        <v>#N/A Requesting Data...</v>
        <stp/>
        <stp>##V3_BQLV12</stp>
        <stp>[MODL_NOW_US1.xlsx]Single Period!R71C43</stp>
        <stp>SEG0000230986 Segment</stp>
        <stp>CB_IS_GROSS_PROFIT/1M</stp>
        <stp>FPR=2021Y</stp>
        <stp>FPT=A</stp>
        <stp>FA_ACT_EST_DATA=E, EST_SOURCE=WFT</stp>
        <stp>ACT_EST_MAPPING=PRECISE</stp>
        <stp>FS=MRC</stp>
        <stp>CURRENCY=USD</stp>
        <stp>XLFILL=b</stp>
        <tr r="AQ71" s="2"/>
      </tp>
      <tp t="s">
        <v>#N/A Requesting Data...</v>
        <stp/>
        <stp>##V3_BQLV12</stp>
        <stp>[MODL_NOW_US1.xlsx]Single Period!R155C46</stp>
        <stp>NOW US Equity</stp>
        <stp>BS_CASH_CASH_EQUIVALENTS_AND_STI/1M</stp>
        <stp>FPR=2021Y</stp>
        <stp>FPT=A</stp>
        <stp>FA_ACT_EST_DATA=E, EST_SOURCE=MZS</stp>
        <stp>ACT_EST_MAPPING=PRECISE</stp>
        <stp>FS=MRC</stp>
        <stp>CURRENCY=USD</stp>
        <stp>XLFILL=b</stp>
        <tr r="AT155" s="2"/>
      </tp>
      <tp t="s">
        <v>#N/A Requesting Data...</v>
        <stp/>
        <stp>##V3_BQLV12</stp>
        <stp>[MODL_NOW_US1.xlsx]Single Period!R216C13</stp>
        <stp>NOW US Equity</stp>
        <stp>CF_PURCHASE_OF_FIXED_PROD_ASSETS/1M</stp>
        <stp>FPR=2021Y</stp>
        <stp>FPT=A</stp>
        <stp>FA_ACT_EST_DATA=E, EST_SOURCE=KEY</stp>
        <stp>ACT_EST_MAPPING=PRECISE</stp>
        <stp>FS=MRC</stp>
        <stp>CURRENCY=USD</stp>
        <stp>XLFILL=b</stp>
        <tr r="M216" s="2"/>
      </tp>
      <tp t="s">
        <v>#N/A Requesting Data...</v>
        <stp/>
        <stp>##V3_BQLV12</stp>
        <stp>[MODL_NOW_US1.xlsx]Single Period!R182C11</stp>
        <stp>NOW US Equity</stp>
        <stp>BS_OTHER_NONCURRENT_LIABILITIES/1M</stp>
        <stp>FPR=2021Y</stp>
        <stp>FPT=A</stp>
        <stp>FA_ACT_EST_DATA=E, EST_SOURCE=JPM</stp>
        <stp>ACT_EST_MAPPING=PRECISE</stp>
        <stp>FS=MRC</stp>
        <stp>CURRENCY=USD</stp>
        <stp>XLFILL=b</stp>
        <tr r="K182" s="2"/>
      </tp>
      <tp t="s">
        <v>#N/A Requesting Data...</v>
        <stp/>
        <stp>##V3_BQLV12</stp>
        <stp>[MODL_NOW_US1.xlsx]Single Period!R148C19</stp>
        <stp>NOW US Equity</stp>
        <stp>IS_AMORT_ACQD_INTANGIBLES_R_AND_D/1M</stp>
        <stp>FPR=2021Y</stp>
        <stp>FPT=A</stp>
        <stp>FA_ACT_EST_DATA=E, EST_SOURCE=MSV</stp>
        <stp>ACT_EST_MAPPING=PRECISE</stp>
        <stp>FS=MRC</stp>
        <stp>CURRENCY=USD</stp>
        <stp>XLFILL=b</stp>
        <tr r="S148" s="2"/>
      </tp>
      <tp t="s">
        <v>#N/A Requesting Data...</v>
        <stp/>
        <stp>##V3_BQLV12</stp>
        <stp>[MODL_NOW_US1.xlsx]Single Period!R134C9</stp>
        <stp>NOW US Equity</stp>
        <stp>CONTRIBUTOR_STATS(IS_COMP_EPS_GAAP, MEDIAN)</stp>
        <stp>FPR=2021Y</stp>
        <stp>FPT=A</stp>
        <stp>FA_ACT_EST_DATA=E</stp>
        <stp>ACT_EST_MAPPING=PRECISE</stp>
        <stp>FS=MRC</stp>
        <stp>CURRENCY=USD</stp>
        <stp>XLFILL=b</stp>
        <tr r="I134" s="2"/>
      </tp>
      <tp t="s">
        <v>#N/A Requesting Data...</v>
        <stp/>
        <stp>##V3_BQLV12</stp>
        <stp>[MODL_NOW_US1.xlsx]Single Period!R81C32</stp>
        <stp>NOW US Equity</stp>
        <stp>IS_ADJ_SALES_YOY_CHG_PCT_CC</stp>
        <stp>FPR=2021Y</stp>
        <stp>FPT=A</stp>
        <stp>FA_ACT_EST_DATA=E, EST_SOURCE=FBC</stp>
        <stp>ACT_EST_MAPPING=PRECISE</stp>
        <stp>FS=MRC</stp>
        <stp>CURRENCY=USD</stp>
        <stp>XLFILL=b</stp>
        <tr r="AF81" s="2"/>
      </tp>
      <tp t="s">
        <v>#N/A Requesting Data...</v>
        <stp/>
        <stp>##V3_BQLV12</stp>
        <stp>[MODL_NOW_US1.xlsx]Single Period!R51C5</stp>
        <stp>NOW US Equity</stp>
        <stp>ACCOUNTS_PAYABLE_TURNOVER_DAYS</stp>
        <stp>FPR=2021Y</stp>
        <stp>FPT=A</stp>
        <stp>FA_ACT_EST_DATA=E</stp>
        <stp>ACT_EST_MAPPING=PRECISE</stp>
        <stp>FS=MRC</stp>
        <stp>CURRENCY=USD</stp>
        <stp>XLFILL=b</stp>
        <tr r="E51" s="2"/>
      </tp>
      <tp t="s">
        <v>#N/A Requesting Data...</v>
        <stp/>
        <stp>##V3_BQLV12</stp>
        <stp>[MODL_NOW_US1.xlsx]Single Period!R236C9</stp>
        <stp>NOW US Equity</stp>
        <stp>CONTRIBUTOR_STATS(FREE_CASH_FLOW_MARGIN, MEDIAN)</stp>
        <stp>FPR=2021Y</stp>
        <stp>FPT=A</stp>
        <stp>FA_ACT_EST_DATA=E</stp>
        <stp>ACT_EST_MAPPING=PRECISE</stp>
        <stp>FS=MRC</stp>
        <stp>CURRENCY=USD</stp>
        <stp>XLFILL=b</stp>
        <tr r="I236" s="2"/>
      </tp>
      <tp t="s">
        <v>#N/A Requesting Data...</v>
        <stp/>
        <stp>##V3_BQLV12</stp>
        <stp>[MODL_NOW_US1.xlsx]Single Period!R239C38</stp>
        <stp>NOW US Equity</stp>
        <stp>CFO_TO_SALES</stp>
        <stp>FPR=2021Y</stp>
        <stp>FPT=A</stp>
        <stp>FA_ACT_EST_DATA=E, EST_SOURCE=RWB</stp>
        <stp>ACT_EST_MAPPING=PRECISE</stp>
        <stp>FS=MRC</stp>
        <stp>CURRENCY=USD</stp>
        <stp>XLFILL=b</stp>
        <tr r="AL239" s="2"/>
      </tp>
      <tp t="s">
        <v>#N/A Requesting Data...</v>
        <stp/>
        <stp>##V3_BQLV12</stp>
        <stp>[MODL_NOW_US1.xlsx]Single Period!R144C24</stp>
        <stp>NOW US Equity</stp>
        <stp>IS_SBC_ATT_TO_GENL_AND_ADMIN_PRETX/1M</stp>
        <stp>FPR=2021Y</stp>
        <stp>FPT=A</stp>
        <stp>FA_ACT_EST_DATA=E, EST_SOURCE=CWN</stp>
        <stp>ACT_EST_MAPPING=PRECISE</stp>
        <stp>FS=MRC</stp>
        <stp>CURRENCY=USD</stp>
        <stp>XLFILL=b</stp>
        <tr r="X144" s="2"/>
      </tp>
      <tp t="s">
        <v>#N/A Requesting Data...</v>
        <stp/>
        <stp>##V3_BQLV12</stp>
        <stp>[MODL_NOW_US1.xlsx]Single Period!R91C24</stp>
        <stp>NOW US Equity</stp>
        <stp>ADJ_R_AND_D_TO_SALES</stp>
        <stp>FPR=2021Y</stp>
        <stp>FPT=A</stp>
        <stp>FA_ACT_EST_DATA=E, EST_SOURCE=CWN</stp>
        <stp>ACT_EST_MAPPING=PRECISE</stp>
        <stp>FS=MRC</stp>
        <stp>CURRENCY=USD</stp>
        <stp>XLFILL=b</stp>
        <tr r="X91" s="2"/>
      </tp>
      <tp t="s">
        <v>#N/A Requesting Data...</v>
        <stp/>
        <stp>##V3_BQLV12</stp>
        <stp>[MODL_NOW_US1.xlsx]Single Period!R144C40</stp>
        <stp>NOW US Equity</stp>
        <stp>IS_SBC_ATT_TO_GENL_AND_ADMIN_PRETX/1M</stp>
        <stp>FPR=2021Y</stp>
        <stp>FPT=A</stp>
        <stp>FA_ACT_EST_DATA=E, EST_SOURCE=DWI</stp>
        <stp>ACT_EST_MAPPING=PRECISE</stp>
        <stp>FS=MRC</stp>
        <stp>CURRENCY=USD</stp>
        <stp>XLFILL=b</stp>
        <tr r="AN144" s="2"/>
      </tp>
      <tp t="s">
        <v>#N/A Requesting Data...</v>
        <stp/>
        <stp>##V3_BQLV12</stp>
        <stp>[MODL_NOW_US1.xlsx]Single Period!R91C37</stp>
        <stp>NOW US Equity</stp>
        <stp>ADJ_R_AND_D_TO_SALES</stp>
        <stp>FPR=2021Y</stp>
        <stp>FPT=A</stp>
        <stp>FA_ACT_EST_DATA=E, EST_SOURCE=TTC</stp>
        <stp>ACT_EST_MAPPING=PRECISE</stp>
        <stp>FS=MRC</stp>
        <stp>CURRENCY=USD</stp>
        <stp>XLFILL=b</stp>
        <tr r="AK91" s="2"/>
      </tp>
      <tp t="s">
        <v>#N/A Requesting Data...</v>
        <stp/>
        <stp>##V3_BQLV12</stp>
        <stp>[MODL_NOW_US1.xlsx]Single Period!R15C10</stp>
        <stp>SEG0000230992 Segment</stp>
        <stp>SALES_REV_TURN/1M</stp>
        <stp>FPR=2021Y</stp>
        <stp>FPT=A</stp>
        <stp>FA_ACT_EST_DATA=E, EST_SOURCE=CMPY</stp>
        <stp>ACT_EST_MAPPING=PRECISE</stp>
        <stp>FS=MRC</stp>
        <stp>CURRENCY=USD</stp>
        <stp>XLFILL=b</stp>
        <tr r="J15" s="2"/>
      </tp>
      <tp t="s">
        <v>#N/A Requesting Data...</v>
        <stp/>
        <stp>##V3_BQLV12</stp>
        <stp>[MODL_NOW_US1.xlsx]Single Period!R75C10</stp>
        <stp>SEG0000230992 Segment</stp>
        <stp>SALES_REV_TURN/1M</stp>
        <stp>FPR=2021Y</stp>
        <stp>FPT=A</stp>
        <stp>FA_ACT_EST_DATA=E, EST_SOURCE=CMPY</stp>
        <stp>ACT_EST_MAPPING=PRECISE</stp>
        <stp>FS=MRC</stp>
        <stp>CURRENCY=USD</stp>
        <stp>XLFILL=b</stp>
        <tr r="J75" s="2"/>
      </tp>
      <tp t="s">
        <v>#N/A Requesting Data...</v>
        <stp/>
        <stp>##V3_BQLV12</stp>
        <stp>[MODL_NOW_US1.xlsx]Single Period!R91C39</stp>
        <stp>NOW US Equity</stp>
        <stp>ADJ_R_AND_D_TO_SALES</stp>
        <stp>FPR=2021Y</stp>
        <stp>FPT=A</stp>
        <stp>FA_ACT_EST_DATA=E, EST_SOURCE=DZB</stp>
        <stp>ACT_EST_MAPPING=PRECISE</stp>
        <stp>FS=MRC</stp>
        <stp>CURRENCY=USD</stp>
        <stp>XLFILL=b</stp>
        <tr r="AM91" s="2"/>
      </tp>
      <tp t="s">
        <v>#N/A Requesting Data...</v>
        <stp/>
        <stp>##V3_BQLV12</stp>
        <stp>[MODL_NOW_US1.xlsx]Single Period!R194C26</stp>
        <stp>NOW US Equity</stp>
        <stp>CB_BS_OTHER_CURRENT_ASSETS/1M</stp>
        <stp>FPR=2021Y</stp>
        <stp>FPT=A</stp>
        <stp>FA_ACT_EST_DATA=E, EST_SOURCE=UBS</stp>
        <stp>ACT_EST_MAPPING=PRECISE</stp>
        <stp>FS=MRC</stp>
        <stp>CURRENCY=USD</stp>
        <stp>XLFILL=b</stp>
        <tr r="Z194" s="2"/>
      </tp>
      <tp t="s">
        <v>#N/A Requesting Data...</v>
        <stp/>
        <stp>##V3_BQLV12</stp>
        <stp>[MODL_NOW_US1.xlsx]Single Period!R91C41</stp>
        <stp>NOW US Equity</stp>
        <stp>ADJ_R_AND_D_TO_SALES</stp>
        <stp>FPR=2021Y</stp>
        <stp>FPT=A</stp>
        <stp>FA_ACT_EST_DATA=E, EST_SOURCE=ARG</stp>
        <stp>ACT_EST_MAPPING=PRECISE</stp>
        <stp>FS=MRC</stp>
        <stp>CURRENCY=USD</stp>
        <stp>XLFILL=b</stp>
        <tr r="AO91" s="2"/>
      </tp>
      <tp t="s">
        <v>#N/A Requesting Data...</v>
        <stp/>
        <stp>##V3_BQLV12</stp>
        <stp>[MODL_NOW_US1.xlsx]Single Period!R144C38</stp>
        <stp>NOW US Equity</stp>
        <stp>IS_SBC_ATT_TO_GENL_AND_ADMIN_PRETX/1M</stp>
        <stp>FPR=2021Y</stp>
        <stp>FPT=A</stp>
        <stp>FA_ACT_EST_DATA=E, EST_SOURCE=RWB</stp>
        <stp>ACT_EST_MAPPING=PRECISE</stp>
        <stp>FS=MRC</stp>
        <stp>CURRENCY=USD</stp>
        <stp>XLFILL=b</stp>
        <tr r="AL144" s="2"/>
      </tp>
      <tp t="s">
        <v>#N/A Requesting Data...</v>
        <stp/>
        <stp>##V3_BQLV12</stp>
        <stp>[MODL_NOW_US1.xlsx]Single Period!R166C34</stp>
        <stp>NOW US Equity</stp>
        <stp>BS_OTHER_INTANGIBLE_ASSETS/1M</stp>
        <stp>FPR=2021Y</stp>
        <stp>FPT=A</stp>
        <stp>FA_ACT_EST_DATA=E, EST_SOURCE=PSG</stp>
        <stp>ACT_EST_MAPPING=PRECISE</stp>
        <stp>FS=MRC</stp>
        <stp>CURRENCY=USD</stp>
        <stp>XLFILL=b</stp>
        <tr r="AH166" s="2"/>
      </tp>
      <tp t="s">
        <v>#N/A Requesting Data...</v>
        <stp/>
        <stp>##V3_BQLV12</stp>
        <stp>[MODL_NOW_US1.xlsx]Single Period!R28C12</stp>
        <stp>NOW US Equity</stp>
        <stp>ADJ_OPERATING_MARGIN</stp>
        <stp>FPR=2021Y</stp>
        <stp>FPT=A</stp>
        <stp>FA_ACT_EST_DATA=E, EST_SOURCE=WBL</stp>
        <stp>ACT_EST_MAPPING=PRECISE</stp>
        <stp>FS=MRC</stp>
        <stp>CURRENCY=USD</stp>
        <stp>XLFILL=b</stp>
        <tr r="L28" s="2"/>
      </tp>
      <tp t="s">
        <v>#N/A Requesting Data...</v>
        <stp/>
        <stp>##V3_BQLV12</stp>
        <stp>[MODL_NOW_US1.xlsx]Single Period!R194C12</stp>
        <stp>NOW US Equity</stp>
        <stp>CB_BS_OTHER_CURRENT_ASSETS/1M</stp>
        <stp>FPR=2021Y</stp>
        <stp>FPT=A</stp>
        <stp>FA_ACT_EST_DATA=E, EST_SOURCE=WBL</stp>
        <stp>ACT_EST_MAPPING=PRECISE</stp>
        <stp>FS=MRC</stp>
        <stp>CURRENCY=USD</stp>
        <stp>XLFILL=b</stp>
        <tr r="L194" s="2"/>
      </tp>
      <tp t="s">
        <v>#N/A Requesting Data...</v>
        <stp/>
        <stp>##V3_BQLV12</stp>
        <stp>[MODL_NOW_US1.xlsx]Single Period!R194C27</stp>
        <stp>NOW US Equity</stp>
        <stp>CB_BS_OTHER_CURRENT_ASSETS/1M</stp>
        <stp>FPR=2021Y</stp>
        <stp>FPT=A</stp>
        <stp>FA_ACT_EST_DATA=E, EST_SOURCE=RBC</stp>
        <stp>ACT_EST_MAPPING=PRECISE</stp>
        <stp>FS=MRC</stp>
        <stp>CURRENCY=USD</stp>
        <stp>XLFILL=b</stp>
        <tr r="AA194" s="2"/>
      </tp>
      <tp t="s">
        <v>#N/A Requesting Data...</v>
        <stp/>
        <stp>##V3_BQLV12</stp>
        <stp>[MODL_NOW_US1.xlsx]Single Period!R194C32</stp>
        <stp>NOW US Equity</stp>
        <stp>CB_BS_OTHER_CURRENT_ASSETS/1M</stp>
        <stp>FPR=2021Y</stp>
        <stp>FPT=A</stp>
        <stp>FA_ACT_EST_DATA=E, EST_SOURCE=FBC</stp>
        <stp>ACT_EST_MAPPING=PRECISE</stp>
        <stp>FS=MRC</stp>
        <stp>CURRENCY=USD</stp>
        <stp>XLFILL=b</stp>
        <tr r="AF194" s="2"/>
      </tp>
      <tp t="s">
        <v>#N/A Requesting Data...</v>
        <stp/>
        <stp>##V3_BQLV12</stp>
        <stp>[MODL_NOW_US1.xlsx]Single Period!R166C31</stp>
        <stp>NOW US Equity</stp>
        <stp>BS_OTHER_INTANGIBLE_ASSETS/1M</stp>
        <stp>FPR=2021Y</stp>
        <stp>FPT=A</stp>
        <stp>FA_ACT_EST_DATA=E, EST_SOURCE=GSR</stp>
        <stp>ACT_EST_MAPPING=PRECISE</stp>
        <stp>FS=MRC</stp>
        <stp>CURRENCY=USD</stp>
        <stp>XLFILL=b</stp>
        <tr r="AE166" s="2"/>
      </tp>
      <tp t="s">
        <v>#N/A Requesting Data...</v>
        <stp/>
        <stp>##V3_BQLV12</stp>
        <stp>[MODL_NOW_US1.xlsx]Single Period!R166C35</stp>
        <stp>NOW US Equity</stp>
        <stp>BS_OTHER_INTANGIBLE_ASSETS/1M</stp>
        <stp>FPR=2021Y</stp>
        <stp>FPT=A</stp>
        <stp>FA_ACT_EST_DATA=E, EST_SOURCE=MSR</stp>
        <stp>ACT_EST_MAPPING=PRECISE</stp>
        <stp>FS=MRC</stp>
        <stp>CURRENCY=USD</stp>
        <stp>XLFILL=b</stp>
        <tr r="AI166" s="2"/>
      </tp>
      <tp t="s">
        <v>#N/A Requesting Data...</v>
        <stp/>
        <stp>##V3_BQLV12</stp>
        <stp>[MODL_NOW_US1.xlsx]Single Period!R194C25</stp>
        <stp>NOW US Equity</stp>
        <stp>CB_BS_OTHER_CURRENT_ASSETS/1M</stp>
        <stp>FPR=2021Y</stp>
        <stp>FPT=A</stp>
        <stp>FA_ACT_EST_DATA=E, EST_SOURCE=DBG</stp>
        <stp>ACT_EST_MAPPING=PRECISE</stp>
        <stp>FS=MRC</stp>
        <stp>CURRENCY=USD</stp>
        <stp>XLFILL=b</stp>
        <tr r="Y194" s="2"/>
      </tp>
      <tp t="s">
        <v>#N/A Requesting Data...</v>
        <stp/>
        <stp>##V3_BQLV12</stp>
        <stp>[MODL_NOW_US1.xlsx]Single Period!R28C32</stp>
        <stp>NOW US Equity</stp>
        <stp>ADJ_OPERATING_MARGIN</stp>
        <stp>FPR=2021Y</stp>
        <stp>FPT=A</stp>
        <stp>FA_ACT_EST_DATA=E, EST_SOURCE=FBC</stp>
        <stp>ACT_EST_MAPPING=PRECISE</stp>
        <stp>FS=MRC</stp>
        <stp>CURRENCY=USD</stp>
        <stp>XLFILL=b</stp>
        <tr r="AF28" s="2"/>
      </tp>
      <tp t="s">
        <v>#N/A Requesting Data...</v>
        <stp/>
        <stp>##V3_BQLV12</stp>
        <stp>[MODL_NOW_US1.xlsx]Single Period!R166C19</stp>
        <stp>NOW US Equity</stp>
        <stp>BS_OTHER_INTANGIBLE_ASSETS/1M</stp>
        <stp>FPR=2021Y</stp>
        <stp>FPT=A</stp>
        <stp>FA_ACT_EST_DATA=E, EST_SOURCE=MSV</stp>
        <stp>ACT_EST_MAPPING=PRECISE</stp>
        <stp>FS=MRC</stp>
        <stp>CURRENCY=USD</stp>
        <stp>XLFILL=b</stp>
        <tr r="S166" s="2"/>
      </tp>
      <tp t="s">
        <v>#N/A Requesting Data...</v>
        <stp/>
        <stp>##V3_BQLV12</stp>
        <stp>[MODL_NOW_US1.xlsx]Single Period!R149C43</stp>
        <stp>NOW US Equity</stp>
        <stp>IS_AMORT_ACQD_INTANG_GEN_AND_ADMIN/1M</stp>
        <stp>FPR=2021Y</stp>
        <stp>FPT=A</stp>
        <stp>FA_ACT_EST_DATA=E, EST_SOURCE=WFT</stp>
        <stp>ACT_EST_MAPPING=PRECISE</stp>
        <stp>FS=MRC</stp>
        <stp>CURRENCY=USD</stp>
        <stp>XLFILL=b</stp>
        <tr r="AQ149" s="2"/>
      </tp>
      <tp t="s">
        <v>#N/A Requesting Data...</v>
        <stp/>
        <stp>##V3_BQLV12</stp>
        <stp>[MODL_NOW_US1.xlsx]Single Period!R138C47</stp>
        <stp>NOW US Equity</stp>
        <stp>SBC_NON_GAAP_TO_SALES</stp>
        <stp>FPR=2021Y</stp>
        <stp>FPT=A</stp>
        <stp>FA_ACT_EST_DATA=E, EST_SOURCE=SUM</stp>
        <stp>ACT_EST_MAPPING=PRECISE</stp>
        <stp>FS=MRC</stp>
        <stp>CURRENCY=USD</stp>
        <stp>XLFILL=b</stp>
        <tr r="AU138" s="2"/>
      </tp>
      <tp t="s">
        <v>#N/A Requesting Data...</v>
        <stp/>
        <stp>##V3_BQLV12</stp>
        <stp>[MODL_NOW_US1.xlsx]Single Period!R174C18</stp>
        <stp>NOW US Equity</stp>
        <stp>BS_ACCT_PAYABLE/1M</stp>
        <stp>FPR=2021Y</stp>
        <stp>FPT=A</stp>
        <stp>FA_ACT_EST_DATA=E, EST_SOURCE=SNR</stp>
        <stp>ACT_EST_MAPPING=PRECISE</stp>
        <stp>FS=MRC</stp>
        <stp>CURRENCY=USD</stp>
        <stp>XLFILL=b</stp>
        <tr r="R174" s="2"/>
      </tp>
      <tp t="s">
        <v>#N/A Requesting Data...</v>
        <stp/>
        <stp>##V3_BQLV12</stp>
        <stp>[MODL_NOW_US1.xlsx]Single Period!R174C29</stp>
        <stp>NOW US Equity</stp>
        <stp>BS_ACCT_PAYABLE/1M</stp>
        <stp>FPR=2021Y</stp>
        <stp>FPT=A</stp>
        <stp>FA_ACT_EST_DATA=E, EST_SOURCE=BNS</stp>
        <stp>ACT_EST_MAPPING=PRECISE</stp>
        <stp>FS=MRC</stp>
        <stp>CURRENCY=USD</stp>
        <stp>XLFILL=b</stp>
        <tr r="AC174" s="2"/>
      </tp>
      <tp t="s">
        <v>#N/A Requesting Data...</v>
        <stp/>
        <stp>##V3_BQLV12</stp>
        <stp>[MODL_NOW_US1.xlsx]Single Period!R125C17</stp>
        <stp>NOW US Equity</stp>
        <stp>OPER_INC_TO_NET_SALES</stp>
        <stp>FPR=2021Y</stp>
        <stp>FPT=A</stp>
        <stp>FA_ACT_EST_DATA=E, EST_SOURCE=RHR</stp>
        <stp>ACT_EST_MAPPING=PRECISE</stp>
        <stp>FS=MRC</stp>
        <stp>CURRENCY=USD</stp>
        <stp>XLFILL=b</stp>
        <tr r="Q125" s="2"/>
      </tp>
      <tp t="s">
        <v>#N/A Requesting Data...</v>
        <stp/>
        <stp>##V3_BQLV12</stp>
        <stp>[MODL_NOW_US1.xlsx]Single Period!R47C47</stp>
        <stp>SEG0000230986 Segment</stp>
        <stp>CB_ADJ_BILLINGS_AMT/1M</stp>
        <stp>FPR=2021Y</stp>
        <stp>FPT=A</stp>
        <stp>FA_ACT_EST_DATA=E, EST_SOURCE=SUM</stp>
        <stp>ACT_EST_MAPPING=PRECISE</stp>
        <stp>FS=MRC</stp>
        <stp>CURRENCY=USD</stp>
        <stp>XLFILL=b</stp>
        <tr r="AU47" s="2"/>
      </tp>
      <tp t="s">
        <v>#N/A Requesting Data...</v>
        <stp/>
        <stp>##V3_BQLV12</stp>
        <stp>[MODL_NOW_US1.xlsx]Single Period!R160C39</stp>
        <stp>NOW US Equity</stp>
        <stp>PREPAID_EXPNSS_AND_OTHR/1M</stp>
        <stp>FPR=2021Y</stp>
        <stp>FPT=A</stp>
        <stp>FA_ACT_EST_DATA=E, EST_SOURCE=DZB</stp>
        <stp>ACT_EST_MAPPING=PRECISE</stp>
        <stp>FS=MRC</stp>
        <stp>CURRENCY=USD</stp>
        <stp>XLFILL=b</stp>
        <tr r="AM160" s="2"/>
      </tp>
      <tp t="s">
        <v>#N/A Requesting Data...</v>
        <stp/>
        <stp>##V3_BQLV12</stp>
        <stp>[MODL_NOW_US1.xlsx]Single Period!R181C23</stp>
        <stp>NOW US Equity</stp>
        <stp>BS_LONG_TERM_BORROWINGS/1M</stp>
        <stp>FPR=2021Y</stp>
        <stp>FPT=A</stp>
        <stp>FA_ACT_EST_DATA=E, EST_SOURCE=ZXS</stp>
        <stp>ACT_EST_MAPPING=PRECISE</stp>
        <stp>FS=MRC</stp>
        <stp>CURRENCY=USD</stp>
        <stp>XLFILL=b</stp>
        <tr r="W181" s="2"/>
      </tp>
      <tp t="s">
        <v>#N/A Requesting Data...</v>
        <stp/>
        <stp>##V3_BQLV12</stp>
        <stp>[MODL_NOW_US1.xlsx]Single Period!R43C28</stp>
        <stp>SEG0000230975 Segment</stp>
        <stp>CB_ADJ_BILLINGS_AMT/1M</stp>
        <stp>FPR=2021Y</stp>
        <stp>FPT=A</stp>
        <stp>FA_ACT_EST_DATA=E, EST_SOURCE=EVR</stp>
        <stp>ACT_EST_MAPPING=PRECISE</stp>
        <stp>FS=MRC</stp>
        <stp>CURRENCY=USD</stp>
        <stp>XLFILL=b</stp>
        <tr r="AB43" s="2"/>
      </tp>
      <tp t="s">
        <v>#N/A Requesting Data...</v>
        <stp/>
        <stp>##V3_BQLV12</stp>
        <stp>[MODL_NOW_US1.xlsx]Single Period!R219C37</stp>
        <stp>NOW US Equity</stp>
        <stp>CF_PURCHSS_OF_INVSTMNTS/1M</stp>
        <stp>FPR=2021Y</stp>
        <stp>FPT=A</stp>
        <stp>FA_ACT_EST_DATA=E, EST_SOURCE=TTC</stp>
        <stp>ACT_EST_MAPPING=PRECISE</stp>
        <stp>FS=MRC</stp>
        <stp>CURRENCY=USD</stp>
        <stp>XLFILL=b</stp>
        <tr r="AK219" s="2"/>
      </tp>
      <tp t="s">
        <v>#N/A Requesting Data...</v>
        <stp/>
        <stp>##V3_BQLV12</stp>
        <stp>[MODL_NOW_US1.xlsx]Single Period!R160C46</stp>
        <stp>NOW US Equity</stp>
        <stp>PREPAID_EXPNSS_AND_OTHR/1M</stp>
        <stp>FPR=2021Y</stp>
        <stp>FPT=A</stp>
        <stp>FA_ACT_EST_DATA=E, EST_SOURCE=MZS</stp>
        <stp>ACT_EST_MAPPING=PRECISE</stp>
        <stp>FS=MRC</stp>
        <stp>CURRENCY=USD</stp>
        <stp>XLFILL=b</stp>
        <tr r="AT160" s="2"/>
      </tp>
      <tp t="s">
        <v>#N/A Requesting Data...</v>
        <stp/>
        <stp>##V3_BQLV12</stp>
        <stp>[MODL_NOW_US1.xlsx]Single Period!R130C18</stp>
        <stp>NOW US Equity</stp>
        <stp>IS_COMP_NET_INCOME_GAAP/1M</stp>
        <stp>FPR=2021Y</stp>
        <stp>FPT=A</stp>
        <stp>FA_ACT_EST_DATA=E, EST_SOURCE=SNR</stp>
        <stp>ACT_EST_MAPPING=PRECISE</stp>
        <stp>FS=MRC</stp>
        <stp>CURRENCY=USD</stp>
        <stp>XLFILL=b</stp>
        <tr r="R130" s="2"/>
      </tp>
      <tp t="s">
        <v>#N/A Requesting Data...</v>
        <stp/>
        <stp>##V3_BQLV12</stp>
        <stp>[MODL_NOW_US1.xlsx]Single Period!R199C18</stp>
        <stp>NOW US Equity</stp>
        <stp>IS_COMP_NET_INCOME_GAAP/1M</stp>
        <stp>FPR=2021Y</stp>
        <stp>FPT=A</stp>
        <stp>FA_ACT_EST_DATA=E, EST_SOURCE=SNR</stp>
        <stp>ACT_EST_MAPPING=PRECISE</stp>
        <stp>FS=MRC</stp>
        <stp>CURRENCY=USD</stp>
        <stp>XLFILL=b</stp>
        <tr r="R199" s="2"/>
      </tp>
      <tp t="s">
        <v>#N/A Requesting Data...</v>
        <stp/>
        <stp>##V3_BQLV12</stp>
        <stp>[MODL_NOW_US1.xlsx]Single Period!R219C42</stp>
        <stp>NOW US Equity</stp>
        <stp>CF_PURCHSS_OF_INVSTMNTS/1M</stp>
        <stp>FPR=2021Y</stp>
        <stp>FPT=A</stp>
        <stp>FA_ACT_EST_DATA=E, EST_SOURCE=CTI</stp>
        <stp>ACT_EST_MAPPING=PRECISE</stp>
        <stp>FS=MRC</stp>
        <stp>CURRENCY=USD</stp>
        <stp>XLFILL=b</stp>
        <tr r="AP219" s="2"/>
      </tp>
      <tp t="s">
        <v>#N/A Requesting Data...</v>
        <stp/>
        <stp>##V3_BQLV12</stp>
        <stp>[MODL_NOW_US1.xlsx]Single Period!R130C29</stp>
        <stp>NOW US Equity</stp>
        <stp>IS_COMP_NET_INCOME_GAAP/1M</stp>
        <stp>FPR=2021Y</stp>
        <stp>FPT=A</stp>
        <stp>FA_ACT_EST_DATA=E, EST_SOURCE=BNS</stp>
        <stp>ACT_EST_MAPPING=PRECISE</stp>
        <stp>FS=MRC</stp>
        <stp>CURRENCY=USD</stp>
        <stp>XLFILL=b</stp>
        <tr r="AC130" s="2"/>
      </tp>
      <tp t="s">
        <v>#N/A Requesting Data...</v>
        <stp/>
        <stp>##V3_BQLV12</stp>
        <stp>[MODL_NOW_US1.xlsx]Single Period!R199C29</stp>
        <stp>NOW US Equity</stp>
        <stp>IS_COMP_NET_INCOME_GAAP/1M</stp>
        <stp>FPR=2021Y</stp>
        <stp>FPT=A</stp>
        <stp>FA_ACT_EST_DATA=E, EST_SOURCE=BNS</stp>
        <stp>ACT_EST_MAPPING=PRECISE</stp>
        <stp>FS=MRC</stp>
        <stp>CURRENCY=USD</stp>
        <stp>XLFILL=b</stp>
        <tr r="AC199" s="2"/>
      </tp>
      <tp t="s">
        <v>#N/A Requesting Data...</v>
        <stp/>
        <stp>##V3_BQLV12</stp>
        <stp>[MODL_NOW_US1.xlsx]Single Period!R227C48</stp>
        <stp>NOW US Equity</stp>
        <stp>CF_NET_CSH_PROV_BY_FINANCING_ACT/1M</stp>
        <stp>FPR=2021Y</stp>
        <stp>FPT=A</stp>
        <stp>FA_ACT_EST_DATA=E, EST_SOURCE=CRC</stp>
        <stp>ACT_EST_MAPPING=PRECISE</stp>
        <stp>FS=MRC</stp>
        <stp>CURRENCY=USD</stp>
        <stp>XLFILL=b</stp>
        <tr r="AV227" s="2"/>
      </tp>
      <tp t="s">
        <v>#N/A Requesting Data...</v>
        <stp/>
        <stp>##V3_BQLV12</stp>
        <stp>[MODL_NOW_US1.xlsx]Single Period!R221C24</stp>
        <stp>NOW US Equity</stp>
        <stp>CB_CF_OTHER_INVESTING_ACTIVITIES/1M</stp>
        <stp>FPR=2021Y</stp>
        <stp>FPT=A</stp>
        <stp>FA_ACT_EST_DATA=E, EST_SOURCE=CWN</stp>
        <stp>ACT_EST_MAPPING=PRECISE</stp>
        <stp>FS=MRC</stp>
        <stp>CURRENCY=USD</stp>
        <stp>XLFILL=b</stp>
        <tr r="X221" s="2"/>
      </tp>
      <tp t="s">
        <v>#N/A Requesting Data...</v>
        <stp/>
        <stp>##V3_BQLV12</stp>
        <stp>[MODL_NOW_US1.xlsx]Single Period!R202C21</stp>
        <stp>NOW US Equity</stp>
        <stp>CF_AMORTIZATN_OF_DEFRRD_COMPNSTN/1M</stp>
        <stp>FPR=2021Y</stp>
        <stp>FPT=A</stp>
        <stp>FA_ACT_EST_DATA=E, EST_SOURCE=JMP</stp>
        <stp>ACT_EST_MAPPING=PRECISE</stp>
        <stp>FS=MRC</stp>
        <stp>CURRENCY=USD</stp>
        <stp>XLFILL=b</stp>
        <tr r="U202" s="2"/>
      </tp>
      <tp t="s">
        <v>#N/A Requesting Data...</v>
        <stp/>
        <stp>##V3_BQLV12</stp>
        <stp>[MODL_NOW_US1.xlsx]Single Period!R225C38</stp>
        <stp>NOW US Equity</stp>
        <stp>CF_INCR_CAP_STOCK/1M</stp>
        <stp>FPR=2021Y</stp>
        <stp>FPT=A</stp>
        <stp>FA_ACT_EST_DATA=E, EST_SOURCE=RWB</stp>
        <stp>ACT_EST_MAPPING=PRECISE</stp>
        <stp>FS=MRC</stp>
        <stp>CURRENCY=USD</stp>
        <stp>XLFILL=b</stp>
        <tr r="AL225" s="2"/>
      </tp>
      <tp t="s">
        <v>#N/A Requesting Data...</v>
        <stp/>
        <stp>##V3_BQLV12</stp>
        <stp>[MODL_NOW_US1.xlsx]Single Period!R63C45</stp>
        <stp>SEG0000230975 Segment</stp>
        <stp>CB_IS_GROSS_PROFIT/1M</stp>
        <stp>FPR=2021Y</stp>
        <stp>FPT=A</stp>
        <stp>FA_ACT_EST_DATA=E, EST_SOURCE=PJE</stp>
        <stp>ACT_EST_MAPPING=PRECISE</stp>
        <stp>FS=MRC</stp>
        <stp>CURRENCY=USD</stp>
        <stp>XLFILL=b</stp>
        <tr r="AS63" s="2"/>
      </tp>
      <tp t="s">
        <v>#N/A Requesting Data...</v>
        <stp/>
        <stp>##V3_BQLV12</stp>
        <stp>[MODL_NOW_US1.xlsx]Single Period!R227C41</stp>
        <stp>NOW US Equity</stp>
        <stp>CF_NET_CSH_PROV_BY_FINANCING_ACT/1M</stp>
        <stp>FPR=2021Y</stp>
        <stp>FPT=A</stp>
        <stp>FA_ACT_EST_DATA=E, EST_SOURCE=ARG</stp>
        <stp>ACT_EST_MAPPING=PRECISE</stp>
        <stp>FS=MRC</stp>
        <stp>CURRENCY=USD</stp>
        <stp>XLFILL=b</stp>
        <tr r="AO227" s="2"/>
      </tp>
      <tp t="s">
        <v>#N/A Requesting Data...</v>
        <stp/>
        <stp>##V3_BQLV12</stp>
        <stp>[MODL_NOW_US1.xlsx]Single Period!R227C44</stp>
        <stp>NOW US Equity</stp>
        <stp>CF_NET_CSH_PROV_BY_FINANCING_ACT/1M</stp>
        <stp>FPR=2021Y</stp>
        <stp>FPT=A</stp>
        <stp>FA_ACT_EST_DATA=E, EST_SOURCE=ARE</stp>
        <stp>ACT_EST_MAPPING=PRECISE</stp>
        <stp>FS=MRC</stp>
        <stp>CURRENCY=USD</stp>
        <stp>XLFILL=b</stp>
        <tr r="AR227" s="2"/>
      </tp>
      <tp t="s">
        <v>#N/A Requesting Data...</v>
        <stp/>
        <stp>##V3_BQLV12</stp>
        <stp>[MODL_NOW_US1.xlsx]Single Period!R202C18</stp>
        <stp>NOW US Equity</stp>
        <stp>CF_AMORTIZATN_OF_DEFRRD_COMPNSTN/1M</stp>
        <stp>FPR=2021Y</stp>
        <stp>FPT=A</stp>
        <stp>FA_ACT_EST_DATA=E, EST_SOURCE=SNR</stp>
        <stp>ACT_EST_MAPPING=PRECISE</stp>
        <stp>FS=MRC</stp>
        <stp>CURRENCY=USD</stp>
        <stp>XLFILL=b</stp>
        <tr r="R202" s="2"/>
      </tp>
      <tp t="s">
        <v>#N/A Requesting Data...</v>
        <stp/>
        <stp>##V3_BQLV12</stp>
        <stp>[MODL_NOW_US1.xlsx]Single Period!R148C23</stp>
        <stp>NOW US Equity</stp>
        <stp>IS_AMORT_ACQD_INTANGIBLES_R_AND_D/1M</stp>
        <stp>FPR=2021Y</stp>
        <stp>FPT=A</stp>
        <stp>FA_ACT_EST_DATA=E, EST_SOURCE=ZXS</stp>
        <stp>ACT_EST_MAPPING=PRECISE</stp>
        <stp>FS=MRC</stp>
        <stp>CURRENCY=USD</stp>
        <stp>XLFILL=b</stp>
        <tr r="W148" s="2"/>
      </tp>
      <tp t="s">
        <v>#N/A Requesting Data...</v>
        <stp/>
        <stp>##V3_BQLV12</stp>
        <stp>[MODL_NOW_US1.xlsx]Single Period!R121C21</stp>
        <stp>NOW US Equity</stp>
        <stp>CB_IS_GENL_AND_ADMIN_EXPN/1M</stp>
        <stp>FPR=2021Y</stp>
        <stp>FPT=A</stp>
        <stp>FA_ACT_EST_DATA=E, EST_SOURCE=JMP</stp>
        <stp>ACT_EST_MAPPING=PRECISE</stp>
        <stp>FS=MRC</stp>
        <stp>CURRENCY=USD</stp>
        <stp>XLFILL=b</stp>
        <tr r="U121" s="2"/>
      </tp>
      <tp t="s">
        <v>#N/A Requesting Data...</v>
        <stp/>
        <stp>##V3_BQLV12</stp>
        <stp>[MODL_NOW_US1.xlsx]Single Period!R213C36</stp>
        <stp>NOW US Equity</stp>
        <stp>CF_CASH_FROM_OPER/1M</stp>
        <stp>FPR=2021Y</stp>
        <stp>FPT=A</stp>
        <stp>FA_ACT_EST_DATA=E, EST_SOURCE=JEF</stp>
        <stp>ACT_EST_MAPPING=PRECISE</stp>
        <stp>FS=MRC</stp>
        <stp>CURRENCY=USD</stp>
        <stp>XLFILL=b</stp>
        <tr r="AJ213" s="2"/>
      </tp>
      <tp t="s">
        <v>#N/A Requesting Data...</v>
        <stp/>
        <stp>##V3_BQLV12</stp>
        <stp>[MODL_NOW_US1.xlsx]Single Period!R239C28</stp>
        <stp>NOW US Equity</stp>
        <stp>CFO_TO_SALES</stp>
        <stp>FPR=2021Y</stp>
        <stp>FPT=A</stp>
        <stp>FA_ACT_EST_DATA=E, EST_SOURCE=EVR</stp>
        <stp>ACT_EST_MAPPING=PRECISE</stp>
        <stp>FS=MRC</stp>
        <stp>CURRENCY=USD</stp>
        <stp>XLFILL=b</stp>
        <tr r="AB239" s="2"/>
      </tp>
      <tp t="s">
        <v>#N/A Requesting Data...</v>
        <stp/>
        <stp>##V3_BQLV12</stp>
        <stp>[MODL_NOW_US1.xlsx]Single Period!R81C27</stp>
        <stp>NOW US Equity</stp>
        <stp>IS_ADJ_SALES_YOY_CHG_PCT_CC</stp>
        <stp>FPR=2021Y</stp>
        <stp>FPT=A</stp>
        <stp>FA_ACT_EST_DATA=E, EST_SOURCE=RBC</stp>
        <stp>ACT_EST_MAPPING=PRECISE</stp>
        <stp>FS=MRC</stp>
        <stp>CURRENCY=USD</stp>
        <stp>XLFILL=b</stp>
        <tr r="AA81" s="2"/>
      </tp>
      <tp t="s">
        <v>#N/A Requesting Data...</v>
        <stp/>
        <stp>##V3_BQLV12</stp>
        <stp>[MODL_NOW_US1.xlsx]Single Period!R87C10</stp>
        <stp>NOW US Equity</stp>
        <stp>CB_IS_ADJUSTED_OPEX/1M</stp>
        <stp>FPR=2021Y</stp>
        <stp>FPT=A</stp>
        <stp>FA_ACT_EST_DATA=E, EST_SOURCE=CMPY</stp>
        <stp>ACT_EST_MAPPING=PRECISE</stp>
        <stp>FS=MRC</stp>
        <stp>CURRENCY=USD</stp>
        <stp>XLFILL=b</stp>
        <tr r="J87" s="2"/>
      </tp>
      <tp t="s">
        <v>#N/A Requesting Data...</v>
        <stp/>
        <stp>##V3_BQLV12</stp>
        <stp>[MODL_NOW_US1.xlsx]Single Period!R116C21</stp>
        <stp>NOW US Equity</stp>
        <stp>GROSS_MARGIN</stp>
        <stp>FPR=2021Y</stp>
        <stp>FPT=A</stp>
        <stp>FA_ACT_EST_DATA=E, EST_SOURCE=JMP</stp>
        <stp>ACT_EST_MAPPING=PRECISE</stp>
        <stp>FS=MRC</stp>
        <stp>CURRENCY=USD</stp>
        <stp>XLFILL=b</stp>
        <tr r="U116" s="2"/>
      </tp>
      <tp t="s">
        <v>#N/A Requesting Data...</v>
        <stp/>
        <stp>##V3_BQLV12</stp>
        <stp>[MODL_NOW_US1.xlsx]Single Period!R81C25</stp>
        <stp>NOW US Equity</stp>
        <stp>IS_ADJ_SALES_YOY_CHG_PCT_CC</stp>
        <stp>FPR=2021Y</stp>
        <stp>FPT=A</stp>
        <stp>FA_ACT_EST_DATA=E, EST_SOURCE=DBG</stp>
        <stp>ACT_EST_MAPPING=PRECISE</stp>
        <stp>FS=MRC</stp>
        <stp>CURRENCY=USD</stp>
        <stp>XLFILL=b</stp>
        <tr r="Y81" s="2"/>
      </tp>
      <tp t="s">
        <v>#N/A Requesting Data...</v>
        <stp/>
        <stp>##V3_BQLV12</stp>
        <stp>[MODL_NOW_US1.xlsx]Single Period!R129C49</stp>
        <stp>NOW US Equity</stp>
        <stp>EFF_TAX_RATE</stp>
        <stp>FPR=2021Y</stp>
        <stp>FPT=A</stp>
        <stp>FA_ACT_EST_DATA=E, EST_SOURCE=SCB</stp>
        <stp>ACT_EST_MAPPING=PRECISE</stp>
        <stp>FS=MRC</stp>
        <stp>CURRENCY=USD</stp>
        <stp>XLFILL=b</stp>
        <tr r="AW129" s="2"/>
      </tp>
      <tp t="s">
        <v>#N/A Requesting Data...</v>
        <stp/>
        <stp>##V3_BQLV12</stp>
        <stp>[MODL_NOW_US1.xlsx]Single Period!R81C26</stp>
        <stp>NOW US Equity</stp>
        <stp>IS_ADJ_SALES_YOY_CHG_PCT_CC</stp>
        <stp>FPR=2021Y</stp>
        <stp>FPT=A</stp>
        <stp>FA_ACT_EST_DATA=E, EST_SOURCE=UBS</stp>
        <stp>ACT_EST_MAPPING=PRECISE</stp>
        <stp>FS=MRC</stp>
        <stp>CURRENCY=USD</stp>
        <stp>XLFILL=b</stp>
        <tr r="Z81" s="2"/>
      </tp>
      <tp t="s">
        <v>#N/A Requesting Data...</v>
        <stp/>
        <stp>##V3_BQLV12</stp>
        <stp>[MODL_NOW_US1.xlsx]Single Period!R115C10</stp>
        <stp>NOW US Equity</stp>
        <stp>GROSS_PROFIT/1M</stp>
        <stp>FPR=2021Y</stp>
        <stp>FPT=A</stp>
        <stp>FA_ACT_EST_DATA=E, EST_SOURCE=CMPY</stp>
        <stp>ACT_EST_MAPPING=PRECISE</stp>
        <stp>FS=MRC</stp>
        <stp>CURRENCY=USD</stp>
        <stp>XLFILL=b</stp>
        <tr r="J115" s="2"/>
      </tp>
      <tp t="s">
        <v>#N/A Requesting Data...</v>
        <stp/>
        <stp>##V3_BQLV12</stp>
        <stp>[MODL_NOW_US1.xlsx]Single Period!R165C10</stp>
        <stp>NOW US Equity</stp>
        <stp>BS_OPER_LEA_RT_OF_USE_ASSETS/1M</stp>
        <stp>FPR=2021Y</stp>
        <stp>FPT=A</stp>
        <stp>FA_ACT_EST_DATA=E, EST_SOURCE=CMPY</stp>
        <stp>ACT_EST_MAPPING=PRECISE</stp>
        <stp>FS=MRC</stp>
        <stp>CURRENCY=USD</stp>
        <stp>XLFILL=b</stp>
        <tr r="J165" s="2"/>
      </tp>
      <tp t="s">
        <v>#N/A Requesting Data...</v>
        <stp/>
        <stp>##V3_BQLV12</stp>
        <stp>[MODL_NOW_US1.xlsx]Single Period!R51C8</stp>
        <stp>NOW US Equity</stp>
        <stp>CONTRIBUTOR_STATS(ACCOUNTS_PAYABLE_TURNOVER_DAYS, STD)</stp>
        <stp>FPR=2021Y</stp>
        <stp>FPT=A</stp>
        <stp>FA_ACT_EST_DATA=E</stp>
        <stp>ACT_EST_MAPPING=PRECISE</stp>
        <stp>FS=MRC</stp>
        <stp>CURRENCY=USD</stp>
        <stp>XLFILL=b</stp>
        <tr r="H51" s="2"/>
      </tp>
      <tp t="s">
        <v>#N/A Requesting Data...</v>
        <stp/>
        <stp>##V3_BQLV12</stp>
        <stp>[MODL_NOW_US1.xlsx]Single Period!R157C43</stp>
        <stp>NOW US Equity</stp>
        <stp>BS_MKT_SEC_OTHER_ST_INVEST/1M</stp>
        <stp>FPR=2021Y</stp>
        <stp>FPT=A</stp>
        <stp>FA_ACT_EST_DATA=E, EST_SOURCE=WFT</stp>
        <stp>ACT_EST_MAPPING=PRECISE</stp>
        <stp>FS=MRC</stp>
        <stp>CURRENCY=USD</stp>
        <stp>XLFILL=b</stp>
        <tr r="AQ157" s="2"/>
      </tp>
      <tp t="s">
        <v>#N/A Requesting Data...</v>
        <stp/>
        <stp>##V3_BQLV12</stp>
        <stp>[MODL_NOW_US1.xlsx]Single Period!R212C33</stp>
        <stp>NOW US Equity</stp>
        <stp>CF_CHANGE_IN_ACCRUD_EXPNSS/1M</stp>
        <stp>FPR=2021Y</stp>
        <stp>FPT=A</stp>
        <stp>FA_ACT_EST_DATA=E, EST_SOURCE=MAC</stp>
        <stp>ACT_EST_MAPPING=PRECISE</stp>
        <stp>FS=MRC</stp>
        <stp>CURRENCY=USD</stp>
        <stp>XLFILL=b</stp>
        <tr r="AG212" s="2"/>
      </tp>
      <tp t="s">
        <v>#N/A Requesting Data...</v>
        <stp/>
        <stp>##V3_BQLV12</stp>
        <stp>[MODL_NOW_US1.xlsx]Single Period!R164C21</stp>
        <stp>NOW US Equity</stp>
        <stp>CB_BS_PP_AND_E_NET/1M</stp>
        <stp>FPR=2021Y</stp>
        <stp>FPT=A</stp>
        <stp>FA_ACT_EST_DATA=E, EST_SOURCE=JMP</stp>
        <stp>ACT_EST_MAPPING=PRECISE</stp>
        <stp>FS=MRC</stp>
        <stp>CURRENCY=USD</stp>
        <stp>XLFILL=b</stp>
        <tr r="U164" s="2"/>
      </tp>
      <tp t="s">
        <v>#N/A Requesting Data...</v>
        <stp/>
        <stp>##V3_BQLV12</stp>
        <stp>[MODL_NOW_US1.xlsx]Single Period!R91C47</stp>
        <stp>NOW US Equity</stp>
        <stp>ADJ_R_AND_D_TO_SALES</stp>
        <stp>FPR=2021Y</stp>
        <stp>FPT=A</stp>
        <stp>FA_ACT_EST_DATA=E, EST_SOURCE=SUM</stp>
        <stp>ACT_EST_MAPPING=PRECISE</stp>
        <stp>FS=MRC</stp>
        <stp>CURRENCY=USD</stp>
        <stp>XLFILL=b</stp>
        <tr r="AU91" s="2"/>
      </tp>
      <tp t="s">
        <v>#N/A Requesting Data...</v>
        <stp/>
        <stp>##V3_BQLV12</stp>
        <stp>[MODL_NOW_US1.xlsx]Single Period!R159C18</stp>
        <stp>NOW US Equity</stp>
        <stp>CB_BS_OTHER_CURRENT_ASSETS/1M</stp>
        <stp>FPR=2021Y</stp>
        <stp>FPT=A</stp>
        <stp>FA_ACT_EST_DATA=E, EST_SOURCE=SNR</stp>
        <stp>ACT_EST_MAPPING=PRECISE</stp>
        <stp>FS=MRC</stp>
        <stp>CURRENCY=USD</stp>
        <stp>XLFILL=b</stp>
        <tr r="R159" s="2"/>
      </tp>
      <tp t="s">
        <v>#N/A Requesting Data...</v>
        <stp/>
        <stp>##V3_BQLV12</stp>
        <stp>[MODL_NOW_US1.xlsx]Single Period!R159C29</stp>
        <stp>NOW US Equity</stp>
        <stp>CB_BS_OTHER_CURRENT_ASSETS/1M</stp>
        <stp>FPR=2021Y</stp>
        <stp>FPT=A</stp>
        <stp>FA_ACT_EST_DATA=E, EST_SOURCE=BNS</stp>
        <stp>ACT_EST_MAPPING=PRECISE</stp>
        <stp>FS=MRC</stp>
        <stp>CURRENCY=USD</stp>
        <stp>XLFILL=b</stp>
        <tr r="AC159" s="2"/>
      </tp>
      <tp t="s">
        <v>#N/A Requesting Data...</v>
        <stp/>
        <stp>##V3_BQLV12</stp>
        <stp>[MODL_NOW_US1.xlsx]Single Period!R166C48</stp>
        <stp>NOW US Equity</stp>
        <stp>BS_OTHER_INTANGIBLE_ASSETS/1M</stp>
        <stp>FPR=2021Y</stp>
        <stp>FPT=A</stp>
        <stp>FA_ACT_EST_DATA=E, EST_SOURCE=CRC</stp>
        <stp>ACT_EST_MAPPING=PRECISE</stp>
        <stp>FS=MRC</stp>
        <stp>CURRENCY=USD</stp>
        <stp>XLFILL=b</stp>
        <tr r="AV166" s="2"/>
      </tp>
      <tp t="s">
        <v>#N/A Requesting Data...</v>
        <stp/>
        <stp>##V3_BQLV12</stp>
        <stp>[MODL_NOW_US1.xlsx]Single Period!R212C20</stp>
        <stp>NOW US Equity</stp>
        <stp>CF_CHANGE_IN_ACCRUD_EXPNSS/1M</stp>
        <stp>FPR=2021Y</stp>
        <stp>FPT=A</stp>
        <stp>FA_ACT_EST_DATA=E, EST_SOURCE=CAN</stp>
        <stp>ACT_EST_MAPPING=PRECISE</stp>
        <stp>FS=MRC</stp>
        <stp>CURRENCY=USD</stp>
        <stp>XLFILL=b</stp>
        <tr r="T212" s="2"/>
      </tp>
      <tp t="s">
        <v>#N/A Requesting Data...</v>
        <stp/>
        <stp>##V3_BQLV12</stp>
        <stp>[MODL_NOW_US1.xlsx]Single Period!R166C44</stp>
        <stp>NOW US Equity</stp>
        <stp>BS_OTHER_INTANGIBLE_ASSETS/1M</stp>
        <stp>FPR=2021Y</stp>
        <stp>FPT=A</stp>
        <stp>FA_ACT_EST_DATA=E, EST_SOURCE=ARE</stp>
        <stp>ACT_EST_MAPPING=PRECISE</stp>
        <stp>FS=MRC</stp>
        <stp>CURRENCY=USD</stp>
        <stp>XLFILL=b</stp>
        <tr r="AR166" s="2"/>
      </tp>
      <tp t="s">
        <v>#N/A Requesting Data...</v>
        <stp/>
        <stp>##V3_BQLV12</stp>
        <stp>[MODL_NOW_US1.xlsx]Single Period!R166C41</stp>
        <stp>NOW US Equity</stp>
        <stp>BS_OTHER_INTANGIBLE_ASSETS/1M</stp>
        <stp>FPR=2021Y</stp>
        <stp>FPT=A</stp>
        <stp>FA_ACT_EST_DATA=E, EST_SOURCE=ARG</stp>
        <stp>ACT_EST_MAPPING=PRECISE</stp>
        <stp>FS=MRC</stp>
        <stp>CURRENCY=USD</stp>
        <stp>XLFILL=b</stp>
        <tr r="AO166" s="2"/>
      </tp>
      <tp t="s">
        <v>#N/A Requesting Data...</v>
        <stp/>
        <stp>##V3_BQLV12</stp>
        <stp>[MODL_NOW_US1.xlsx]Single Period!R212C30</stp>
        <stp>NOW US Equity</stp>
        <stp>CF_CHANGE_IN_ACCRUD_EXPNSS/1M</stp>
        <stp>FPR=2021Y</stp>
        <stp>FPT=A</stp>
        <stp>FA_ACT_EST_DATA=E, EST_SOURCE=BAM</stp>
        <stp>ACT_EST_MAPPING=PRECISE</stp>
        <stp>FS=MRC</stp>
        <stp>CURRENCY=USD</stp>
        <stp>XLFILL=b</stp>
        <tr r="AD212" s="2"/>
      </tp>
      <tp t="s">
        <v>#N/A Requesting Data...</v>
        <stp/>
        <stp>##V3_BQLV12</stp>
        <stp>[MODL_NOW_US1.xlsx]Single Period!R28C30</stp>
        <stp>NOW US Equity</stp>
        <stp>ADJ_OPERATING_MARGIN</stp>
        <stp>FPR=2021Y</stp>
        <stp>FPT=A</stp>
        <stp>FA_ACT_EST_DATA=E, EST_SOURCE=BAM</stp>
        <stp>ACT_EST_MAPPING=PRECISE</stp>
        <stp>FS=MRC</stp>
        <stp>CURRENCY=USD</stp>
        <stp>XLFILL=b</stp>
        <tr r="AD28" s="2"/>
      </tp>
      <tp t="s">
        <v>#N/A Requesting Data...</v>
        <stp/>
        <stp>##V3_BQLV12</stp>
        <stp>[MODL_NOW_US1.xlsx]Single Period!R96C49</stp>
        <stp>NOW US Equity</stp>
        <stp>ADJ_OPERATING_MARGIN</stp>
        <stp>FPR=2021Y</stp>
        <stp>FPT=A</stp>
        <stp>FA_ACT_EST_DATA=E, EST_SOURCE=SCB</stp>
        <stp>ACT_EST_MAPPING=PRECISE</stp>
        <stp>FS=MRC</stp>
        <stp>CURRENCY=USD</stp>
        <stp>XLFILL=b</stp>
        <tr r="AW96" s="2"/>
      </tp>
      <tp t="s">
        <v>#N/A Requesting Data...</v>
        <stp/>
        <stp>##V3_BQLV12</stp>
        <stp>[MODL_NOW_US1.xlsx]Single Period!R127C45</stp>
        <stp>NOW US Equity</stp>
        <stp>PRETAX_INC/1M</stp>
        <stp>FPR=2021Y</stp>
        <stp>FPT=A</stp>
        <stp>FA_ACT_EST_DATA=E, EST_SOURCE=PJE</stp>
        <stp>ACT_EST_MAPPING=PRECISE</stp>
        <stp>FS=MRC</stp>
        <stp>CURRENCY=USD</stp>
        <stp>XLFILL=b</stp>
        <tr r="AS127" s="2"/>
      </tp>
      <tp t="s">
        <v>#N/A Requesting Data...</v>
        <stp/>
        <stp>##V3_BQLV12</stp>
        <stp>[MODL_NOW_US1.xlsx]Single Period!R111C23</stp>
        <stp>NOW US Equity</stp>
        <stp>IS_COGS_TO_FE_AND_PP_AND_G/1M</stp>
        <stp>FPR=2021Y</stp>
        <stp>FPT=A</stp>
        <stp>FA_ACT_EST_DATA=E, EST_SOURCE=ZXS</stp>
        <stp>ACT_EST_MAPPING=PRECISE</stp>
        <stp>FS=MRC</stp>
        <stp>CURRENCY=USD</stp>
        <stp>XLFILL=b</stp>
        <tr r="W111" s="2"/>
      </tp>
      <tp t="s">
        <v>#N/A Requesting Data...</v>
        <stp/>
        <stp>##V3_BQLV12</stp>
        <stp>[MODL_NOW_US1.xlsx]Single Period!R28C20</stp>
        <stp>NOW US Equity</stp>
        <stp>ADJ_OPERATING_MARGIN</stp>
        <stp>FPR=2021Y</stp>
        <stp>FPT=A</stp>
        <stp>FA_ACT_EST_DATA=E, EST_SOURCE=CAN</stp>
        <stp>ACT_EST_MAPPING=PRECISE</stp>
        <stp>FS=MRC</stp>
        <stp>CURRENCY=USD</stp>
        <stp>XLFILL=b</stp>
        <tr r="T28" s="2"/>
      </tp>
      <tp t="s">
        <v>#N/A Requesting Data...</v>
        <stp/>
        <stp>##V3_BQLV12</stp>
        <stp>[MODL_NOW_US1.xlsx]Single Period!R88C9</stp>
        <stp>NOW US Equity</stp>
        <stp>CONTRIBUTOR_STATS(IS_ADJ_SELLING_AND_MRKTG_EXPN_AR, MEDIAN)/1M</stp>
        <stp>FPR=2021Y</stp>
        <stp>FPT=A</stp>
        <stp>FA_ACT_EST_DATA=E</stp>
        <stp>ACT_EST_MAPPING=PRECISE</stp>
        <stp>FS=MRC</stp>
        <stp>CURRENCY=USD</stp>
        <stp>XLFILL=b</stp>
        <tr r="I88" s="2"/>
      </tp>
      <tp t="s">
        <v>#N/A Requesting Data...</v>
        <stp/>
        <stp>##V3_BQLV12</stp>
        <stp>[MODL_NOW_US1.xlsx]Single Period!R163C45</stp>
        <stp>NOW US Equity</stp>
        <stp>CB_BS_PP_AND_E_NET/1M</stp>
        <stp>FPR=2021Y</stp>
        <stp>FPT=A</stp>
        <stp>FA_ACT_EST_DATA=E, EST_SOURCE=PJE</stp>
        <stp>ACT_EST_MAPPING=PRECISE</stp>
        <stp>FS=MRC</stp>
        <stp>CURRENCY=USD</stp>
        <stp>XLFILL=b</stp>
        <tr r="AS163" s="2"/>
      </tp>
      <tp t="s">
        <v>#N/A Requesting Data...</v>
        <stp/>
        <stp>##V3_BQLV12</stp>
        <stp>[MODL_NOW_US1.xlsx]Single Period!R194C49</stp>
        <stp>NOW US Equity</stp>
        <stp>CB_BS_OTHER_CURRENT_ASSETS/1M</stp>
        <stp>FPR=2021Y</stp>
        <stp>FPT=A</stp>
        <stp>FA_ACT_EST_DATA=E, EST_SOURCE=SCB</stp>
        <stp>ACT_EST_MAPPING=PRECISE</stp>
        <stp>FS=MRC</stp>
        <stp>CURRENCY=USD</stp>
        <stp>XLFILL=b</stp>
        <tr r="AW194" s="2"/>
      </tp>
      <tp t="s">
        <v>#N/A Requesting Data...</v>
        <stp/>
        <stp>##V3_BQLV12</stp>
        <stp>[MODL_NOW_US1.xlsx]Single Period!R120C5</stp>
        <stp>NOW US Equity</stp>
        <stp>IS_OPEX_R_AND_D_GAAP/1M</stp>
        <stp>FPR=2021Y</stp>
        <stp>FPT=A</stp>
        <stp>FA_ACT_EST_DATA=E</stp>
        <stp>ACT_EST_MAPPING=PRECISE</stp>
        <stp>FS=MRC</stp>
        <stp>CURRENCY=USD</stp>
        <stp>XLFILL=b</stp>
        <tr r="E120" s="2"/>
      </tp>
      <tp t="s">
        <v>#N/A Requesting Data...</v>
        <stp/>
        <stp>##V3_BQLV12</stp>
        <stp>[MODL_NOW_US1.xlsx]Single Period!R91C31</stp>
        <stp>NOW US Equity</stp>
        <stp>ADJ_R_AND_D_TO_SALES</stp>
        <stp>FPR=2021Y</stp>
        <stp>FPT=A</stp>
        <stp>FA_ACT_EST_DATA=E, EST_SOURCE=GSR</stp>
        <stp>ACT_EST_MAPPING=PRECISE</stp>
        <stp>FS=MRC</stp>
        <stp>CURRENCY=USD</stp>
        <stp>XLFILL=b</stp>
        <tr r="AE91" s="2"/>
      </tp>
      <tp t="s">
        <v>#N/A Requesting Data...</v>
        <stp/>
        <stp>##V3_BQLV12</stp>
        <stp>[MODL_NOW_US1.xlsx]Single Period!R194C16</stp>
        <stp>NOW US Equity</stp>
        <stp>CB_BS_OTHER_CURRENT_ASSETS/1M</stp>
        <stp>FPR=2021Y</stp>
        <stp>FPT=A</stp>
        <stp>FA_ACT_EST_DATA=E, EST_SOURCE=BCA</stp>
        <stp>ACT_EST_MAPPING=PRECISE</stp>
        <stp>FS=MRC</stp>
        <stp>CURRENCY=USD</stp>
        <stp>XLFILL=b</stp>
        <tr r="P194" s="2"/>
      </tp>
      <tp t="s">
        <v>#N/A Requesting Data...</v>
        <stp/>
        <stp>##V3_BQLV12</stp>
        <stp>[MODL_NOW_US1.xlsx]Single Period!R164C14</stp>
        <stp>NOW US Equity</stp>
        <stp>CB_BS_PP_AND_E_NET/1M</stp>
        <stp>FPR=2021Y</stp>
        <stp>FPT=A</stp>
        <stp>FA_ACT_EST_DATA=E, EST_SOURCE=BMO</stp>
        <stp>ACT_EST_MAPPING=PRECISE</stp>
        <stp>FS=MRC</stp>
        <stp>CURRENCY=USD</stp>
        <stp>XLFILL=b</stp>
        <tr r="N164" s="2"/>
      </tp>
      <tp t="s">
        <v>#N/A Requesting Data...</v>
        <stp/>
        <stp>##V3_BQLV12</stp>
        <stp>[MODL_NOW_US1.xlsx]Single Period!R144C28</stp>
        <stp>NOW US Equity</stp>
        <stp>IS_SBC_ATT_TO_GENL_AND_ADMIN_PRETX/1M</stp>
        <stp>FPR=2021Y</stp>
        <stp>FPT=A</stp>
        <stp>FA_ACT_EST_DATA=E, EST_SOURCE=EVR</stp>
        <stp>ACT_EST_MAPPING=PRECISE</stp>
        <stp>FS=MRC</stp>
        <stp>CURRENCY=USD</stp>
        <stp>XLFILL=b</stp>
        <tr r="AB144" s="2"/>
      </tp>
      <tp t="s">
        <v>#N/A Requesting Data...</v>
        <stp/>
        <stp>##V3_BQLV12</stp>
        <stp>[MODL_NOW_US1.xlsx]Single Period!R42C39</stp>
        <stp>SEG0000230975 Segment</stp>
        <stp>IS_BILLINGS/1M</stp>
        <stp>FPR=2021Y</stp>
        <stp>FPT=A</stp>
        <stp>FA_ACT_EST_DATA=E, EST_SOURCE=DZB</stp>
        <stp>ACT_EST_MAPPING=PRECISE</stp>
        <stp>FS=MRC</stp>
        <stp>CURRENCY=USD</stp>
        <stp>XLFILL=b</stp>
        <tr r="AM42" s="2"/>
      </tp>
      <tp t="s">
        <v>#N/A Requesting Data...</v>
        <stp/>
        <stp>##V3_BQLV12</stp>
        <stp>[MODL_NOW_US1.xlsx]Single Period!R17C39</stp>
        <stp>SEG0000230975 Segment</stp>
        <stp>IS_BILLINGS/1M</stp>
        <stp>FPR=2021Y</stp>
        <stp>FPT=A</stp>
        <stp>FA_ACT_EST_DATA=E, EST_SOURCE=DZB</stp>
        <stp>ACT_EST_MAPPING=PRECISE</stp>
        <stp>FS=MRC</stp>
        <stp>CURRENCY=USD</stp>
        <stp>XLFILL=b</stp>
        <tr r="AM17" s="2"/>
      </tp>
      <tp t="s">
        <v>#N/A Requesting Data...</v>
        <stp/>
        <stp>##V3_BQLV12</stp>
        <stp>[MODL_NOW_US1.xlsx]Single Period!R47C48</stp>
        <stp>SEG0000230986 Segment</stp>
        <stp>CB_ADJ_BILLINGS_AMT/1M</stp>
        <stp>FPR=2021Y</stp>
        <stp>FPT=A</stp>
        <stp>FA_ACT_EST_DATA=E, EST_SOURCE=CRC</stp>
        <stp>ACT_EST_MAPPING=PRECISE</stp>
        <stp>FS=MRC</stp>
        <stp>CURRENCY=USD</stp>
        <stp>XLFILL=b</stp>
        <tr r="AV47" s="2"/>
      </tp>
      <tp t="s">
        <v>#N/A Requesting Data...</v>
        <stp/>
        <stp>##V3_BQLV12</stp>
        <stp>[MODL_NOW_US1.xlsx]Single Period!R219C19</stp>
        <stp>NOW US Equity</stp>
        <stp>CF_PURCHSS_OF_INVSTMNTS/1M</stp>
        <stp>FPR=2021Y</stp>
        <stp>FPT=A</stp>
        <stp>FA_ACT_EST_DATA=E, EST_SOURCE=MSV</stp>
        <stp>ACT_EST_MAPPING=PRECISE</stp>
        <stp>FS=MRC</stp>
        <stp>CURRENCY=USD</stp>
        <stp>XLFILL=b</stp>
        <tr r="S219" s="2"/>
      </tp>
      <tp t="s">
        <v>#N/A Requesting Data...</v>
        <stp/>
        <stp>##V3_BQLV12</stp>
        <stp>[MODL_NOW_US1.xlsx]Single Period!R47C41</stp>
        <stp>SEG0000230986 Segment</stp>
        <stp>CB_ADJ_BILLINGS_AMT/1M</stp>
        <stp>FPR=2021Y</stp>
        <stp>FPT=A</stp>
        <stp>FA_ACT_EST_DATA=E, EST_SOURCE=ARG</stp>
        <stp>ACT_EST_MAPPING=PRECISE</stp>
        <stp>FS=MRC</stp>
        <stp>CURRENCY=USD</stp>
        <stp>XLFILL=b</stp>
        <tr r="AO47" s="2"/>
      </tp>
      <tp t="s">
        <v>#N/A Requesting Data...</v>
        <stp/>
        <stp>##V3_BQLV12</stp>
        <stp>[MODL_NOW_US1.xlsx]Single Period!R47C44</stp>
        <stp>SEG0000230986 Segment</stp>
        <stp>CB_ADJ_BILLINGS_AMT/1M</stp>
        <stp>FPR=2021Y</stp>
        <stp>FPT=A</stp>
        <stp>FA_ACT_EST_DATA=E, EST_SOURCE=ARE</stp>
        <stp>ACT_EST_MAPPING=PRECISE</stp>
        <stp>FS=MRC</stp>
        <stp>CURRENCY=USD</stp>
        <stp>XLFILL=b</stp>
        <tr r="AR47" s="2"/>
      </tp>
      <tp t="s">
        <v>#N/A Requesting Data...</v>
        <stp/>
        <stp>##V3_BQLV12</stp>
        <stp>[MODL_NOW_US1.xlsx]Single Period!R219C35</stp>
        <stp>NOW US Equity</stp>
        <stp>CF_PURCHSS_OF_INVSTMNTS/1M</stp>
        <stp>FPR=2021Y</stp>
        <stp>FPT=A</stp>
        <stp>FA_ACT_EST_DATA=E, EST_SOURCE=MSR</stp>
        <stp>ACT_EST_MAPPING=PRECISE</stp>
        <stp>FS=MRC</stp>
        <stp>CURRENCY=USD</stp>
        <stp>XLFILL=b</stp>
        <tr r="AI219" s="2"/>
      </tp>
      <tp t="s">
        <v>#N/A Requesting Data...</v>
        <stp/>
        <stp>##V3_BQLV12</stp>
        <stp>[MODL_NOW_US1.xlsx]Single Period!R219C31</stp>
        <stp>NOW US Equity</stp>
        <stp>CF_PURCHSS_OF_INVSTMNTS/1M</stp>
        <stp>FPR=2021Y</stp>
        <stp>FPT=A</stp>
        <stp>FA_ACT_EST_DATA=E, EST_SOURCE=GSR</stp>
        <stp>ACT_EST_MAPPING=PRECISE</stp>
        <stp>FS=MRC</stp>
        <stp>CURRENCY=USD</stp>
        <stp>XLFILL=b</stp>
        <tr r="AE219" s="2"/>
      </tp>
      <tp t="s">
        <v>#N/A Requesting Data...</v>
        <stp/>
        <stp>##V3_BQLV12</stp>
        <stp>[MODL_NOW_US1.xlsx]Single Period!R138C44</stp>
        <stp>NOW US Equity</stp>
        <stp>SBC_NON_GAAP_TO_SALES</stp>
        <stp>FPR=2021Y</stp>
        <stp>FPT=A</stp>
        <stp>FA_ACT_EST_DATA=E, EST_SOURCE=ARE</stp>
        <stp>ACT_EST_MAPPING=PRECISE</stp>
        <stp>FS=MRC</stp>
        <stp>CURRENCY=USD</stp>
        <stp>XLFILL=b</stp>
        <tr r="AR138" s="2"/>
      </tp>
      <tp t="s">
        <v>#N/A Requesting Data...</v>
        <stp/>
        <stp>##V3_BQLV12</stp>
        <stp>[MODL_NOW_US1.xlsx]Single Period!R236C18</stp>
        <stp>NOW US Equity</stp>
        <stp>FREE_CASH_FLOW_MARGIN</stp>
        <stp>FPR=2021Y</stp>
        <stp>FPT=A</stp>
        <stp>FA_ACT_EST_DATA=E, EST_SOURCE=SNR</stp>
        <stp>ACT_EST_MAPPING=PRECISE</stp>
        <stp>FS=MRC</stp>
        <stp>CURRENCY=USD</stp>
        <stp>XLFILL=b</stp>
        <tr r="R236" s="2"/>
      </tp>
      <tp t="s">
        <v>#N/A Requesting Data...</v>
        <stp/>
        <stp>##V3_BQLV12</stp>
        <stp>[MODL_NOW_US1.xlsx]Single Period!R138C41</stp>
        <stp>NOW US Equity</stp>
        <stp>SBC_NON_GAAP_TO_SALES</stp>
        <stp>FPR=2021Y</stp>
        <stp>FPT=A</stp>
        <stp>FA_ACT_EST_DATA=E, EST_SOURCE=ARG</stp>
        <stp>ACT_EST_MAPPING=PRECISE</stp>
        <stp>FS=MRC</stp>
        <stp>CURRENCY=USD</stp>
        <stp>XLFILL=b</stp>
        <tr r="AO138" s="2"/>
      </tp>
      <tp t="s">
        <v>#N/A Requesting Data...</v>
        <stp/>
        <stp>##V3_BQLV12</stp>
        <stp>[MODL_NOW_US1.xlsx]Single Period!R236C29</stp>
        <stp>NOW US Equity</stp>
        <stp>FREE_CASH_FLOW_MARGIN</stp>
        <stp>FPR=2021Y</stp>
        <stp>FPT=A</stp>
        <stp>FA_ACT_EST_DATA=E, EST_SOURCE=BNS</stp>
        <stp>ACT_EST_MAPPING=PRECISE</stp>
        <stp>FS=MRC</stp>
        <stp>CURRENCY=USD</stp>
        <stp>XLFILL=b</stp>
        <tr r="AC236" s="2"/>
      </tp>
      <tp t="s">
        <v>#N/A Requesting Data...</v>
        <stp/>
        <stp>##V3_BQLV12</stp>
        <stp>[MODL_NOW_US1.xlsx]Single Period!R138C48</stp>
        <stp>NOW US Equity</stp>
        <stp>SBC_NON_GAAP_TO_SALES</stp>
        <stp>FPR=2021Y</stp>
        <stp>FPT=A</stp>
        <stp>FA_ACT_EST_DATA=E, EST_SOURCE=CRC</stp>
        <stp>ACT_EST_MAPPING=PRECISE</stp>
        <stp>FS=MRC</stp>
        <stp>CURRENCY=USD</stp>
        <stp>XLFILL=b</stp>
        <tr r="AV138" s="2"/>
      </tp>
      <tp t="s">
        <v>#N/A Requesting Data...</v>
        <stp/>
        <stp>##V3_BQLV12</stp>
        <stp>[MODL_NOW_US1.xlsx]Single Period!R205C17</stp>
        <stp>NOW US Equity</stp>
        <stp>CB_CF_OTHR_NONCSH_ITEMS/1M</stp>
        <stp>FPR=2021Y</stp>
        <stp>FPT=A</stp>
        <stp>FA_ACT_EST_DATA=E, EST_SOURCE=RHR</stp>
        <stp>ACT_EST_MAPPING=PRECISE</stp>
        <stp>FS=MRC</stp>
        <stp>CURRENCY=USD</stp>
        <stp>XLFILL=b</stp>
        <tr r="Q205" s="2"/>
      </tp>
      <tp t="s">
        <v>#N/A Requesting Data...</v>
        <stp/>
        <stp>##V3_BQLV12</stp>
        <stp>[MODL_NOW_US1.xlsx]Single Period!R219C34</stp>
        <stp>NOW US Equity</stp>
        <stp>CF_PURCHSS_OF_INVSTMNTS/1M</stp>
        <stp>FPR=2021Y</stp>
        <stp>FPT=A</stp>
        <stp>FA_ACT_EST_DATA=E, EST_SOURCE=PSG</stp>
        <stp>ACT_EST_MAPPING=PRECISE</stp>
        <stp>FS=MRC</stp>
        <stp>CURRENCY=USD</stp>
        <stp>XLFILL=b</stp>
        <tr r="AH219" s="2"/>
      </tp>
      <tp t="s">
        <v>#N/A Requesting Data...</v>
        <stp/>
        <stp>##V3_BQLV12</stp>
        <stp>[MODL_NOW_US1.xlsx]Single Period!R17C46</stp>
        <stp>SEG0000230975 Segment</stp>
        <stp>IS_BILLINGS/1M</stp>
        <stp>FPR=2021Y</stp>
        <stp>FPT=A</stp>
        <stp>FA_ACT_EST_DATA=E, EST_SOURCE=MZS</stp>
        <stp>ACT_EST_MAPPING=PRECISE</stp>
        <stp>FS=MRC</stp>
        <stp>CURRENCY=USD</stp>
        <stp>XLFILL=b</stp>
        <tr r="AT17" s="2"/>
      </tp>
      <tp t="s">
        <v>#N/A Requesting Data...</v>
        <stp/>
        <stp>##V3_BQLV12</stp>
        <stp>[MODL_NOW_US1.xlsx]Single Period!R42C46</stp>
        <stp>SEG0000230975 Segment</stp>
        <stp>IS_BILLINGS/1M</stp>
        <stp>FPR=2021Y</stp>
        <stp>FPT=A</stp>
        <stp>FA_ACT_EST_DATA=E, EST_SOURCE=MZS</stp>
        <stp>ACT_EST_MAPPING=PRECISE</stp>
        <stp>FS=MRC</stp>
        <stp>CURRENCY=USD</stp>
        <stp>XLFILL=b</stp>
        <tr r="AT42" s="2"/>
      </tp>
      <tp t="s">
        <v>#N/A Requesting Data...</v>
        <stp/>
        <stp>##V3_BQLV12</stp>
        <stp>[MODL_NOW_US1.xlsx]Single Period!R216C16</stp>
        <stp>NOW US Equity</stp>
        <stp>CF_PURCHASE_OF_FIXED_PROD_ASSETS/1M</stp>
        <stp>FPR=2021Y</stp>
        <stp>FPT=A</stp>
        <stp>FA_ACT_EST_DATA=E, EST_SOURCE=BCA</stp>
        <stp>ACT_EST_MAPPING=PRECISE</stp>
        <stp>FS=MRC</stp>
        <stp>CURRENCY=USD</stp>
        <stp>XLFILL=b</stp>
        <tr r="P216" s="2"/>
      </tp>
      <tp t="s">
        <v>#N/A Requesting Data...</v>
        <stp/>
        <stp>##V3_BQLV12</stp>
        <stp>[MODL_NOW_US1.xlsx]Single Period!R227C11</stp>
        <stp>NOW US Equity</stp>
        <stp>CF_NET_CSH_PROV_BY_FINANCING_ACT/1M</stp>
        <stp>FPR=2021Y</stp>
        <stp>FPT=A</stp>
        <stp>FA_ACT_EST_DATA=E, EST_SOURCE=JPM</stp>
        <stp>ACT_EST_MAPPING=PRECISE</stp>
        <stp>FS=MRC</stp>
        <stp>CURRENCY=USD</stp>
        <stp>XLFILL=b</stp>
        <tr r="K227" s="2"/>
      </tp>
      <tp t="s">
        <v>#N/A Requesting Data...</v>
        <stp/>
        <stp>##V3_BQLV12</stp>
        <stp>[MODL_NOW_US1.xlsx]Single Period!R182C28</stp>
        <stp>NOW US Equity</stp>
        <stp>BS_OTHER_NONCURRENT_LIABILITIES/1M</stp>
        <stp>FPR=2021Y</stp>
        <stp>FPT=A</stp>
        <stp>FA_ACT_EST_DATA=E, EST_SOURCE=EVR</stp>
        <stp>ACT_EST_MAPPING=PRECISE</stp>
        <stp>FS=MRC</stp>
        <stp>CURRENCY=USD</stp>
        <stp>XLFILL=b</stp>
        <tr r="AB182" s="2"/>
      </tp>
      <tp t="s">
        <v>#N/A Requesting Data...</v>
        <stp/>
        <stp>##V3_BQLV12</stp>
        <stp>[MODL_NOW_US1.xlsx]Single Period!R63C14</stp>
        <stp>SEG0000230975 Segment</stp>
        <stp>CB_IS_GROSS_PROFIT/1M</stp>
        <stp>FPR=2021Y</stp>
        <stp>FPT=A</stp>
        <stp>FA_ACT_EST_DATA=E, EST_SOURCE=BMO</stp>
        <stp>ACT_EST_MAPPING=PRECISE</stp>
        <stp>FS=MRC</stp>
        <stp>CURRENCY=USD</stp>
        <stp>XLFILL=b</stp>
        <tr r="N63" s="2"/>
      </tp>
      <tp t="s">
        <v>#N/A Requesting Data...</v>
        <stp/>
        <stp>##V3_BQLV12</stp>
        <stp>[MODL_NOW_US1.xlsx]Single Period!R107C49</stp>
        <stp>NOW US Equity</stp>
        <stp>CB_IS_ADJ_DILUTED_AVG_SHS/1M</stp>
        <stp>FPR=2021Y</stp>
        <stp>FPT=A</stp>
        <stp>FA_ACT_EST_DATA=E, EST_SOURCE=SCB</stp>
        <stp>ACT_EST_MAPPING=PRECISE</stp>
        <stp>FS=MRC</stp>
        <stp>CURRENCY=USD</stp>
        <stp>XLFILL=b</stp>
        <tr r="AW107" s="2"/>
      </tp>
      <tp t="s">
        <v>#N/A Requesting Data...</v>
        <stp/>
        <stp>##V3_BQLV12</stp>
        <stp>[MODL_NOW_US1.xlsx]Single Period!R177C29</stp>
        <stp>NOW US Equity</stp>
        <stp>BS_ST_CPTL_LEA_AND_OP_LEA_LIABS/1M</stp>
        <stp>FPR=2021Y</stp>
        <stp>FPT=A</stp>
        <stp>FA_ACT_EST_DATA=E, EST_SOURCE=BNS</stp>
        <stp>ACT_EST_MAPPING=PRECISE</stp>
        <stp>FS=MRC</stp>
        <stp>CURRENCY=USD</stp>
        <stp>XLFILL=b</stp>
        <tr r="AC177" s="2"/>
      </tp>
      <tp t="s">
        <v>#N/A Requesting Data...</v>
        <stp/>
        <stp>##V3_BQLV12</stp>
        <stp>[MODL_NOW_US1.xlsx]Single Period!R177C18</stp>
        <stp>NOW US Equity</stp>
        <stp>BS_ST_CPTL_LEA_AND_OP_LEA_LIABS/1M</stp>
        <stp>FPR=2021Y</stp>
        <stp>FPT=A</stp>
        <stp>FA_ACT_EST_DATA=E, EST_SOURCE=SNR</stp>
        <stp>ACT_EST_MAPPING=PRECISE</stp>
        <stp>FS=MRC</stp>
        <stp>CURRENCY=USD</stp>
        <stp>XLFILL=b</stp>
        <tr r="R177" s="2"/>
      </tp>
      <tp t="s">
        <v>#N/A Requesting Data...</v>
        <stp/>
        <stp>##V3_BQLV12</stp>
        <stp>[MODL_NOW_US1.xlsx]Single Period!R216C33</stp>
        <stp>NOW US Equity</stp>
        <stp>CF_PURCHASE_OF_FIXED_PROD_ASSETS/1M</stp>
        <stp>FPR=2021Y</stp>
        <stp>FPT=A</stp>
        <stp>FA_ACT_EST_DATA=E, EST_SOURCE=MAC</stp>
        <stp>ACT_EST_MAPPING=PRECISE</stp>
        <stp>FS=MRC</stp>
        <stp>CURRENCY=USD</stp>
        <stp>XLFILL=b</stp>
        <tr r="AG216" s="2"/>
      </tp>
      <tp t="s">
        <v>#N/A Requesting Data...</v>
        <stp/>
        <stp>##V3_BQLV12</stp>
        <stp>[MODL_NOW_US1.xlsx]Single Period!R227C47</stp>
        <stp>NOW US Equity</stp>
        <stp>CF_NET_CSH_PROV_BY_FINANCING_ACT/1M</stp>
        <stp>FPR=2021Y</stp>
        <stp>FPT=A</stp>
        <stp>FA_ACT_EST_DATA=E, EST_SOURCE=SUM</stp>
        <stp>ACT_EST_MAPPING=PRECISE</stp>
        <stp>FS=MRC</stp>
        <stp>CURRENCY=USD</stp>
        <stp>XLFILL=b</stp>
        <tr r="AU227" s="2"/>
      </tp>
      <tp t="s">
        <v>#N/A Requesting Data...</v>
        <stp/>
        <stp>##V3_BQLV12</stp>
        <stp>[MODL_NOW_US1.xlsx]Single Period!R213C26</stp>
        <stp>NOW US Equity</stp>
        <stp>CF_CASH_FROM_OPER/1M</stp>
        <stp>FPR=2021Y</stp>
        <stp>FPT=A</stp>
        <stp>FA_ACT_EST_DATA=E, EST_SOURCE=UBS</stp>
        <stp>ACT_EST_MAPPING=PRECISE</stp>
        <stp>FS=MRC</stp>
        <stp>CURRENCY=USD</stp>
        <stp>XLFILL=b</stp>
        <tr r="Z213" s="2"/>
      </tp>
      <tp t="s">
        <v>#N/A Requesting Data...</v>
        <stp/>
        <stp>##V3_BQLV12</stp>
        <stp>[MODL_NOW_US1.xlsx]Single Period!R216C30</stp>
        <stp>NOW US Equity</stp>
        <stp>CF_PURCHASE_OF_FIXED_PROD_ASSETS/1M</stp>
        <stp>FPR=2021Y</stp>
        <stp>FPT=A</stp>
        <stp>FA_ACT_EST_DATA=E, EST_SOURCE=BAM</stp>
        <stp>ACT_EST_MAPPING=PRECISE</stp>
        <stp>FS=MRC</stp>
        <stp>CURRENCY=USD</stp>
        <stp>XLFILL=b</stp>
        <tr r="AD216" s="2"/>
      </tp>
      <tp t="s">
        <v>#N/A Requesting Data...</v>
        <stp/>
        <stp>##V3_BQLV12</stp>
        <stp>[MODL_NOW_US1.xlsx]Single Period!R175C21</stp>
        <stp>NOW US Equity</stp>
        <stp>BS_ACCRUD_EXPNSS_AND_OTHR/1M</stp>
        <stp>FPR=2021Y</stp>
        <stp>FPT=A</stp>
        <stp>FA_ACT_EST_DATA=E, EST_SOURCE=JMP</stp>
        <stp>ACT_EST_MAPPING=PRECISE</stp>
        <stp>FS=MRC</stp>
        <stp>CURRENCY=USD</stp>
        <stp>XLFILL=b</stp>
        <tr r="U175" s="2"/>
      </tp>
      <tp t="s">
        <v>#N/A Requesting Data...</v>
        <stp/>
        <stp>##V3_BQLV12</stp>
        <stp>[MODL_NOW_US1.xlsx]Single Period!R216C43</stp>
        <stp>NOW US Equity</stp>
        <stp>CF_PURCHASE_OF_FIXED_PROD_ASSETS/1M</stp>
        <stp>FPR=2021Y</stp>
        <stp>FPT=A</stp>
        <stp>FA_ACT_EST_DATA=E, EST_SOURCE=WFT</stp>
        <stp>ACT_EST_MAPPING=PRECISE</stp>
        <stp>FS=MRC</stp>
        <stp>CURRENCY=USD</stp>
        <stp>XLFILL=b</stp>
        <tr r="AQ216" s="2"/>
      </tp>
      <tp t="s">
        <v>#N/A Requesting Data...</v>
        <stp/>
        <stp>##V3_BQLV12</stp>
        <stp>[MODL_NOW_US1.xlsx]Single Period!R227C15</stp>
        <stp>NOW US Equity</stp>
        <stp>CF_NET_CSH_PROV_BY_FINANCING_ACT/1M</stp>
        <stp>FPR=2021Y</stp>
        <stp>FPT=A</stp>
        <stp>FA_ACT_EST_DATA=E, EST_SOURCE=OPY</stp>
        <stp>ACT_EST_MAPPING=PRECISE</stp>
        <stp>FS=MRC</stp>
        <stp>CURRENCY=USD</stp>
        <stp>XLFILL=b</stp>
        <tr r="O227" s="2"/>
      </tp>
      <tp t="s">
        <v>#N/A Requesting Data...</v>
        <stp/>
        <stp>##V3_BQLV12</stp>
        <stp>[MODL_NOW_US1.xlsx]Single Period!R221C19</stp>
        <stp>NOW US Equity</stp>
        <stp>CB_CF_OTHER_INVESTING_ACTIVITIES/1M</stp>
        <stp>FPR=2021Y</stp>
        <stp>FPT=A</stp>
        <stp>FA_ACT_EST_DATA=E, EST_SOURCE=MSV</stp>
        <stp>ACT_EST_MAPPING=PRECISE</stp>
        <stp>FS=MRC</stp>
        <stp>CURRENCY=USD</stp>
        <stp>XLFILL=b</stp>
        <tr r="S221" s="2"/>
      </tp>
      <tp t="s">
        <v>#N/A Requesting Data...</v>
        <stp/>
        <stp>##V3_BQLV12</stp>
        <stp>[MODL_NOW_US1.xlsx]Single Period!R148C46</stp>
        <stp>NOW US Equity</stp>
        <stp>IS_AMORT_ACQD_INTANGIBLES_R_AND_D/1M</stp>
        <stp>FPR=2021Y</stp>
        <stp>FPT=A</stp>
        <stp>FA_ACT_EST_DATA=E, EST_SOURCE=MZS</stp>
        <stp>ACT_EST_MAPPING=PRECISE</stp>
        <stp>FS=MRC</stp>
        <stp>CURRENCY=USD</stp>
        <stp>XLFILL=b</stp>
        <tr r="AT148" s="2"/>
      </tp>
      <tp t="s">
        <v>#N/A Requesting Data...</v>
        <stp/>
        <stp>##V3_BQLV12</stp>
        <stp>[MODL_NOW_US1.xlsx]Single Period!R63C21</stp>
        <stp>SEG0000230975 Segment</stp>
        <stp>CB_IS_GROSS_PROFIT/1M</stp>
        <stp>FPR=2021Y</stp>
        <stp>FPT=A</stp>
        <stp>FA_ACT_EST_DATA=E, EST_SOURCE=JMP</stp>
        <stp>ACT_EST_MAPPING=PRECISE</stp>
        <stp>FS=MRC</stp>
        <stp>CURRENCY=USD</stp>
        <stp>XLFILL=b</stp>
        <tr r="U63" s="2"/>
      </tp>
      <tp t="s">
        <v>#N/A Requesting Data...</v>
        <stp/>
        <stp>##V3_BQLV12</stp>
        <stp>[MODL_NOW_US1.xlsx]Single Period!R218C23</stp>
        <stp>NOW US Equity</stp>
        <stp>CF_ACQUISITION_OF_INTANG_ASSETS/1M</stp>
        <stp>FPR=2021Y</stp>
        <stp>FPT=A</stp>
        <stp>FA_ACT_EST_DATA=E, EST_SOURCE=ZXS</stp>
        <stp>ACT_EST_MAPPING=PRECISE</stp>
        <stp>FS=MRC</stp>
        <stp>CURRENCY=USD</stp>
        <stp>XLFILL=b</stp>
        <tr r="W218" s="2"/>
      </tp>
      <tp t="s">
        <v>#N/A Requesting Data...</v>
        <stp/>
        <stp>##V3_BQLV12</stp>
        <stp>[MODL_NOW_US1.xlsx]Single Period!R143C10</stp>
        <stp>NOW US Equity</stp>
        <stp>IS_SBC_ATTRIBUTABLE_TO_R_AND_D_PRETX/1M</stp>
        <stp>FPR=2021Y</stp>
        <stp>FPT=A</stp>
        <stp>FA_ACT_EST_DATA=E, EST_SOURCE=CMPY</stp>
        <stp>ACT_EST_MAPPING=PRECISE</stp>
        <stp>FS=MRC</stp>
        <stp>CURRENCY=USD</stp>
        <stp>XLFILL=b</stp>
        <tr r="J143" s="2"/>
      </tp>
      <tp t="s">
        <v>#N/A Requesting Data...</v>
        <stp/>
        <stp>##V3_BQLV12</stp>
        <stp>[MODL_NOW_US1.xlsx]Single Period!R81C49</stp>
        <stp>NOW US Equity</stp>
        <stp>IS_ADJ_SALES_YOY_CHG_PCT_CC</stp>
        <stp>FPR=2021Y</stp>
        <stp>FPT=A</stp>
        <stp>FA_ACT_EST_DATA=E, EST_SOURCE=SCB</stp>
        <stp>ACT_EST_MAPPING=PRECISE</stp>
        <stp>FS=MRC</stp>
        <stp>CURRENCY=USD</stp>
        <stp>XLFILL=b</stp>
        <tr r="AW81" s="2"/>
      </tp>
      <tp t="s">
        <v>#N/A Requesting Data...</v>
        <stp/>
        <stp>##V3_BQLV12</stp>
        <stp>[MODL_NOW_US1.xlsx]Single Period!R17C9</stp>
        <stp>SEG0000230975 Segment</stp>
        <stp>CONTRIBUTOR_STATS(IS_BILLINGS, MEDIAN)/1M</stp>
        <stp>FPR=2021Y</stp>
        <stp>FPT=A</stp>
        <stp>FA_ACT_EST_DATA=E</stp>
        <stp>ACT_EST_MAPPING=PRECISE</stp>
        <stp>FS=MRC</stp>
        <stp>CURRENCY=USD</stp>
        <stp>XLFILL=b</stp>
        <tr r="I17" s="2"/>
      </tp>
      <tp t="s">
        <v>#N/A Requesting Data...</v>
        <stp/>
        <stp>##V3_BQLV12</stp>
        <stp>[MODL_NOW_US1.xlsx]Single Period!R163C21</stp>
        <stp>NOW US Equity</stp>
        <stp>CB_BS_PP_AND_E_NET/1M</stp>
        <stp>FPR=2021Y</stp>
        <stp>FPT=A</stp>
        <stp>FA_ACT_EST_DATA=E, EST_SOURCE=JMP</stp>
        <stp>ACT_EST_MAPPING=PRECISE</stp>
        <stp>FS=MRC</stp>
        <stp>CURRENCY=USD</stp>
        <stp>XLFILL=b</stp>
        <tr r="U163" s="2"/>
      </tp>
      <tp t="s">
        <v>#N/A Requesting Data...</v>
        <stp/>
        <stp>##V3_BQLV12</stp>
        <stp>[MODL_NOW_US1.xlsx]Single Period!R28C13</stp>
        <stp>NOW US Equity</stp>
        <stp>ADJ_OPERATING_MARGIN</stp>
        <stp>FPR=2021Y</stp>
        <stp>FPT=A</stp>
        <stp>FA_ACT_EST_DATA=E, EST_SOURCE=KEY</stp>
        <stp>ACT_EST_MAPPING=PRECISE</stp>
        <stp>FS=MRC</stp>
        <stp>CURRENCY=USD</stp>
        <stp>XLFILL=b</stp>
        <tr r="M28" s="2"/>
      </tp>
      <tp t="s">
        <v>#N/A Requesting Data...</v>
        <stp/>
        <stp>##V3_BQLV12</stp>
        <stp>[MODL_NOW_US1.xlsx]Single Period!R166C47</stp>
        <stp>NOW US Equity</stp>
        <stp>BS_OTHER_INTANGIBLE_ASSETS/1M</stp>
        <stp>FPR=2021Y</stp>
        <stp>FPT=A</stp>
        <stp>FA_ACT_EST_DATA=E, EST_SOURCE=SUM</stp>
        <stp>ACT_EST_MAPPING=PRECISE</stp>
        <stp>FS=MRC</stp>
        <stp>CURRENCY=USD</stp>
        <stp>XLFILL=b</stp>
        <tr r="AU166" s="2"/>
      </tp>
      <tp t="s">
        <v>#N/A Requesting Data...</v>
        <stp/>
        <stp>##V3_BQLV12</stp>
        <stp>[MODL_NOW_US1.xlsx]Single Period!R127C21</stp>
        <stp>NOW US Equity</stp>
        <stp>PRETAX_INC/1M</stp>
        <stp>FPR=2021Y</stp>
        <stp>FPT=A</stp>
        <stp>FA_ACT_EST_DATA=E, EST_SOURCE=JMP</stp>
        <stp>ACT_EST_MAPPING=PRECISE</stp>
        <stp>FS=MRC</stp>
        <stp>CURRENCY=USD</stp>
        <stp>XLFILL=b</stp>
        <tr r="U127" s="2"/>
      </tp>
      <tp t="s">
        <v>#N/A Requesting Data...</v>
        <stp/>
        <stp>##V3_BQLV12</stp>
        <stp>[MODL_NOW_US1.xlsx]Single Period!R28C18</stp>
        <stp>NOW US Equity</stp>
        <stp>ADJ_OPERATING_MARGIN</stp>
        <stp>FPR=2021Y</stp>
        <stp>FPT=A</stp>
        <stp>FA_ACT_EST_DATA=E, EST_SOURCE=SNR</stp>
        <stp>ACT_EST_MAPPING=PRECISE</stp>
        <stp>FS=MRC</stp>
        <stp>CURRENCY=USD</stp>
        <stp>XLFILL=b</stp>
        <tr r="R28" s="2"/>
      </tp>
      <tp t="s">
        <v>#N/A Requesting Data...</v>
        <stp/>
        <stp>##V3_BQLV12</stp>
        <stp>[MODL_NOW_US1.xlsx]Single Period!R91C15</stp>
        <stp>NOW US Equity</stp>
        <stp>ADJ_R_AND_D_TO_SALES</stp>
        <stp>FPR=2021Y</stp>
        <stp>FPT=A</stp>
        <stp>FA_ACT_EST_DATA=E, EST_SOURCE=OPY</stp>
        <stp>ACT_EST_MAPPING=PRECISE</stp>
        <stp>FS=MRC</stp>
        <stp>CURRENCY=USD</stp>
        <stp>XLFILL=b</stp>
        <tr r="O91" s="2"/>
      </tp>
      <tp t="s">
        <v>#N/A Requesting Data...</v>
        <stp/>
        <stp>##V3_BQLV12</stp>
        <stp>[MODL_NOW_US1.xlsx]Single Period!R194C22</stp>
        <stp>NOW US Equity</stp>
        <stp>CB_BS_OTHER_CURRENT_ASSETS/1M</stp>
        <stp>FPR=2021Y</stp>
        <stp>FPT=A</stp>
        <stp>FA_ACT_EST_DATA=E, EST_SOURCE=NDH</stp>
        <stp>ACT_EST_MAPPING=PRECISE</stp>
        <stp>FS=MRC</stp>
        <stp>CURRENCY=USD</stp>
        <stp>XLFILL=b</stp>
        <tr r="V194" s="2"/>
      </tp>
      <tp t="s">
        <v>#N/A Requesting Data...</v>
        <stp/>
        <stp>##V3_BQLV12</stp>
        <stp>[MODL_NOW_US1.xlsx]Single Period!R212C10</stp>
        <stp>NOW US Equity</stp>
        <stp>CF_CHANGE_IN_ACCRUD_EXPNSS/1M</stp>
        <stp>FPR=2021Y</stp>
        <stp>FPT=A</stp>
        <stp>FA_ACT_EST_DATA=E, EST_SOURCE=CMPY</stp>
        <stp>ACT_EST_MAPPING=PRECISE</stp>
        <stp>FS=MRC</stp>
        <stp>CURRENCY=USD</stp>
        <stp>XLFILL=b</stp>
        <tr r="J212" s="2"/>
      </tp>
      <tp t="s">
        <v>#N/A Requesting Data...</v>
        <stp/>
        <stp>##V3_BQLV12</stp>
        <stp>[MODL_NOW_US1.xlsx]Single Period!R28C22</stp>
        <stp>NOW US Equity</stp>
        <stp>ADJ_OPERATING_MARGIN</stp>
        <stp>FPR=2021Y</stp>
        <stp>FPT=A</stp>
        <stp>FA_ACT_EST_DATA=E, EST_SOURCE=NDH</stp>
        <stp>ACT_EST_MAPPING=PRECISE</stp>
        <stp>FS=MRC</stp>
        <stp>CURRENCY=USD</stp>
        <stp>XLFILL=b</stp>
        <tr r="V28" s="2"/>
      </tp>
      <tp t="s">
        <v>#N/A Requesting Data...</v>
        <stp/>
        <stp>##V3_BQLV12</stp>
        <stp>[MODL_NOW_US1.xlsx]Single Period!R212C43</stp>
        <stp>NOW US Equity</stp>
        <stp>CF_CHANGE_IN_ACCRUD_EXPNSS/1M</stp>
        <stp>FPR=2021Y</stp>
        <stp>FPT=A</stp>
        <stp>FA_ACT_EST_DATA=E, EST_SOURCE=WFT</stp>
        <stp>ACT_EST_MAPPING=PRECISE</stp>
        <stp>FS=MRC</stp>
        <stp>CURRENCY=USD</stp>
        <stp>XLFILL=b</stp>
        <tr r="AQ212" s="2"/>
      </tp>
      <tp t="s">
        <v>#N/A Requesting Data...</v>
        <stp/>
        <stp>##V3_BQLV12</stp>
        <stp>[MODL_NOW_US1.xlsx]Single Period!R157C33</stp>
        <stp>NOW US Equity</stp>
        <stp>BS_MKT_SEC_OTHER_ST_INVEST/1M</stp>
        <stp>FPR=2021Y</stp>
        <stp>FPT=A</stp>
        <stp>FA_ACT_EST_DATA=E, EST_SOURCE=MAC</stp>
        <stp>ACT_EST_MAPPING=PRECISE</stp>
        <stp>FS=MRC</stp>
        <stp>CURRENCY=USD</stp>
        <stp>XLFILL=b</stp>
        <tr r="AG157" s="2"/>
      </tp>
      <tp t="s">
        <v>#N/A Requesting Data...</v>
        <stp/>
        <stp>##V3_BQLV12</stp>
        <stp>[MODL_NOW_US1.xlsx]Single Period!R164C45</stp>
        <stp>NOW US Equity</stp>
        <stp>CB_BS_PP_AND_E_NET/1M</stp>
        <stp>FPR=2021Y</stp>
        <stp>FPT=A</stp>
        <stp>FA_ACT_EST_DATA=E, EST_SOURCE=PJE</stp>
        <stp>ACT_EST_MAPPING=PRECISE</stp>
        <stp>FS=MRC</stp>
        <stp>CURRENCY=USD</stp>
        <stp>XLFILL=b</stp>
        <tr r="AS164" s="2"/>
      </tp>
      <tp t="s">
        <v>#N/A Requesting Data...</v>
        <stp/>
        <stp>##V3_BQLV12</stp>
        <stp>[MODL_NOW_US1.xlsx]Single Period!R127C14</stp>
        <stp>NOW US Equity</stp>
        <stp>PRETAX_INC/1M</stp>
        <stp>FPR=2021Y</stp>
        <stp>FPT=A</stp>
        <stp>FA_ACT_EST_DATA=E, EST_SOURCE=BMO</stp>
        <stp>ACT_EST_MAPPING=PRECISE</stp>
        <stp>FS=MRC</stp>
        <stp>CURRENCY=USD</stp>
        <stp>XLFILL=b</stp>
        <tr r="N127" s="2"/>
      </tp>
      <tp t="s">
        <v>#N/A Requesting Data...</v>
        <stp/>
        <stp>##V3_BQLV12</stp>
        <stp>[MODL_NOW_US1.xlsx]Single Period!R157C30</stp>
        <stp>NOW US Equity</stp>
        <stp>BS_MKT_SEC_OTHER_ST_INVEST/1M</stp>
        <stp>FPR=2021Y</stp>
        <stp>FPT=A</stp>
        <stp>FA_ACT_EST_DATA=E, EST_SOURCE=BAM</stp>
        <stp>ACT_EST_MAPPING=PRECISE</stp>
        <stp>FS=MRC</stp>
        <stp>CURRENCY=USD</stp>
        <stp>XLFILL=b</stp>
        <tr r="AD157" s="2"/>
      </tp>
      <tp t="s">
        <v>#N/A Requesting Data...</v>
        <stp/>
        <stp>##V3_BQLV12</stp>
        <stp>[MODL_NOW_US1.xlsx]Single Period!R157C20</stp>
        <stp>NOW US Equity</stp>
        <stp>BS_MKT_SEC_OTHER_ST_INVEST/1M</stp>
        <stp>FPR=2021Y</stp>
        <stp>FPT=A</stp>
        <stp>FA_ACT_EST_DATA=E, EST_SOURCE=CAN</stp>
        <stp>ACT_EST_MAPPING=PRECISE</stp>
        <stp>FS=MRC</stp>
        <stp>CURRENCY=USD</stp>
        <stp>XLFILL=b</stp>
        <tr r="T157" s="2"/>
      </tp>
      <tp t="s">
        <v>#N/A Requesting Data...</v>
        <stp/>
        <stp>##V3_BQLV12</stp>
        <stp>[MODL_NOW_US1.xlsx]Single Period!R163C14</stp>
        <stp>NOW US Equity</stp>
        <stp>CB_BS_PP_AND_E_NET/1M</stp>
        <stp>FPR=2021Y</stp>
        <stp>FPT=A</stp>
        <stp>FA_ACT_EST_DATA=E, EST_SOURCE=BMO</stp>
        <stp>ACT_EST_MAPPING=PRECISE</stp>
        <stp>FS=MRC</stp>
        <stp>CURRENCY=USD</stp>
        <stp>XLFILL=b</stp>
        <tr r="N163" s="2"/>
      </tp>
      <tp t="s">
        <v>#N/A Requesting Data...</v>
        <stp/>
        <stp>##V3_BQLV12</stp>
        <stp>[MODL_NOW_US1.xlsx]Single Period!R47C34</stp>
        <stp>SEG0000230986 Segment</stp>
        <stp>CB_ADJ_BILLINGS_AMT/1M</stp>
        <stp>FPR=2021Y</stp>
        <stp>FPT=A</stp>
        <stp>FA_ACT_EST_DATA=E, EST_SOURCE=PSG</stp>
        <stp>ACT_EST_MAPPING=PRECISE</stp>
        <stp>FS=MRC</stp>
        <stp>CURRENCY=USD</stp>
        <stp>XLFILL=b</stp>
        <tr r="AH47" s="2"/>
      </tp>
      <tp t="s">
        <v>#N/A Requesting Data...</v>
        <stp/>
        <stp>##V3_BQLV12</stp>
        <stp>[MODL_NOW_US1.xlsx]Single Period!R174C17</stp>
        <stp>NOW US Equity</stp>
        <stp>BS_ACCT_PAYABLE/1M</stp>
        <stp>FPR=2021Y</stp>
        <stp>FPT=A</stp>
        <stp>FA_ACT_EST_DATA=E, EST_SOURCE=RHR</stp>
        <stp>ACT_EST_MAPPING=PRECISE</stp>
        <stp>FS=MRC</stp>
        <stp>CURRENCY=USD</stp>
        <stp>XLFILL=b</stp>
        <tr r="Q174" s="2"/>
      </tp>
      <tp t="s">
        <v>#N/A Requesting Data...</v>
        <stp/>
        <stp>##V3_BQLV12</stp>
        <stp>[MODL_NOW_US1.xlsx]Single Period!R132C9</stp>
        <stp>NOW US Equity</stp>
        <stp>CONTRIBUTOR_STATS(CONT_INC_PER_SH, MEDIAN)</stp>
        <stp>FPR=2021Y</stp>
        <stp>FPT=A</stp>
        <stp>FA_ACT_EST_DATA=E</stp>
        <stp>ACT_EST_MAPPING=PRECISE</stp>
        <stp>FS=MRC</stp>
        <stp>CURRENCY=USD</stp>
        <stp>XLFILL=b</stp>
        <tr r="I132" s="2"/>
      </tp>
      <tp t="s">
        <v>#N/A Requesting Data...</v>
        <stp/>
        <stp>##V3_BQLV12</stp>
        <stp>[MODL_NOW_US1.xlsx]Single Period!R43C11</stp>
        <stp>SEG0000230975 Segment</stp>
        <stp>CB_ADJ_BILLINGS_AMT/1M</stp>
        <stp>FPR=2021Y</stp>
        <stp>FPT=A</stp>
        <stp>FA_ACT_EST_DATA=E, EST_SOURCE=JPM</stp>
        <stp>ACT_EST_MAPPING=PRECISE</stp>
        <stp>FS=MRC</stp>
        <stp>CURRENCY=USD</stp>
        <stp>XLFILL=b</stp>
        <tr r="K43" s="2"/>
      </tp>
      <tp t="s">
        <v>#N/A Requesting Data...</v>
        <stp/>
        <stp>##V3_BQLV12</stp>
        <stp>[MODL_NOW_US1.xlsx]Single Period!R138C34</stp>
        <stp>NOW US Equity</stp>
        <stp>SBC_NON_GAAP_TO_SALES</stp>
        <stp>FPR=2021Y</stp>
        <stp>FPT=A</stp>
        <stp>FA_ACT_EST_DATA=E, EST_SOURCE=PSG</stp>
        <stp>ACT_EST_MAPPING=PRECISE</stp>
        <stp>FS=MRC</stp>
        <stp>CURRENCY=USD</stp>
        <stp>XLFILL=b</stp>
        <tr r="AH138" s="2"/>
      </tp>
      <tp t="s">
        <v>#N/A Requesting Data...</v>
        <stp/>
        <stp>##V3_BQLV12</stp>
        <stp>[MODL_NOW_US1.xlsx]Single Period!R125C18</stp>
        <stp>NOW US Equity</stp>
        <stp>OPER_INC_TO_NET_SALES</stp>
        <stp>FPR=2021Y</stp>
        <stp>FPT=A</stp>
        <stp>FA_ACT_EST_DATA=E, EST_SOURCE=SNR</stp>
        <stp>ACT_EST_MAPPING=PRECISE</stp>
        <stp>FS=MRC</stp>
        <stp>CURRENCY=USD</stp>
        <stp>XLFILL=b</stp>
        <tr r="R125" s="2"/>
      </tp>
      <tp t="s">
        <v>#N/A Requesting Data...</v>
        <stp/>
        <stp>##V3_BQLV12</stp>
        <stp>[MODL_NOW_US1.xlsx]Single Period!R125C29</stp>
        <stp>NOW US Equity</stp>
        <stp>OPER_INC_TO_NET_SALES</stp>
        <stp>FPR=2021Y</stp>
        <stp>FPT=A</stp>
        <stp>FA_ACT_EST_DATA=E, EST_SOURCE=BNS</stp>
        <stp>ACT_EST_MAPPING=PRECISE</stp>
        <stp>FS=MRC</stp>
        <stp>CURRENCY=USD</stp>
        <stp>XLFILL=b</stp>
        <tr r="AC125" s="2"/>
      </tp>
      <tp t="s">
        <v>#N/A Requesting Data...</v>
        <stp/>
        <stp>##V3_BQLV12</stp>
        <stp>[MODL_NOW_US1.xlsx]Single Period!R46C23</stp>
        <stp>SEG0000230986 Segment</stp>
        <stp>IS_BILLINGS/1M</stp>
        <stp>FPR=2021Y</stp>
        <stp>FPT=A</stp>
        <stp>FA_ACT_EST_DATA=E, EST_SOURCE=ZXS</stp>
        <stp>ACT_EST_MAPPING=PRECISE</stp>
        <stp>FS=MRC</stp>
        <stp>CURRENCY=USD</stp>
        <stp>XLFILL=b</stp>
        <tr r="W46" s="2"/>
      </tp>
      <tp t="s">
        <v>#N/A Requesting Data...</v>
        <stp/>
        <stp>##V3_BQLV12</stp>
        <stp>[MODL_NOW_US1.xlsx]Single Period!R21C23</stp>
        <stp>SEG0000230986 Segment</stp>
        <stp>IS_BILLINGS/1M</stp>
        <stp>FPR=2021Y</stp>
        <stp>FPT=A</stp>
        <stp>FA_ACT_EST_DATA=E, EST_SOURCE=ZXS</stp>
        <stp>ACT_EST_MAPPING=PRECISE</stp>
        <stp>FS=MRC</stp>
        <stp>CURRENCY=USD</stp>
        <stp>XLFILL=b</stp>
        <tr r="W21" s="2"/>
      </tp>
      <tp t="s">
        <v>#N/A Requesting Data...</v>
        <stp/>
        <stp>##V3_BQLV12</stp>
        <stp>[MODL_NOW_US1.xlsx]Single Period!R47C19</stp>
        <stp>SEG0000230986 Segment</stp>
        <stp>CB_ADJ_BILLINGS_AMT/1M</stp>
        <stp>FPR=2021Y</stp>
        <stp>FPT=A</stp>
        <stp>FA_ACT_EST_DATA=E, EST_SOURCE=MSV</stp>
        <stp>ACT_EST_MAPPING=PRECISE</stp>
        <stp>FS=MRC</stp>
        <stp>CURRENCY=USD</stp>
        <stp>XLFILL=b</stp>
        <tr r="S47" s="2"/>
      </tp>
      <tp t="s">
        <v>#N/A Requesting Data...</v>
        <stp/>
        <stp>##V3_BQLV12</stp>
        <stp>[MODL_NOW_US1.xlsx]Single Period!R219C48</stp>
        <stp>NOW US Equity</stp>
        <stp>CF_PURCHSS_OF_INVSTMNTS/1M</stp>
        <stp>FPR=2021Y</stp>
        <stp>FPT=A</stp>
        <stp>FA_ACT_EST_DATA=E, EST_SOURCE=CRC</stp>
        <stp>ACT_EST_MAPPING=PRECISE</stp>
        <stp>FS=MRC</stp>
        <stp>CURRENCY=USD</stp>
        <stp>XLFILL=b</stp>
        <tr r="AV219" s="2"/>
      </tp>
      <tp t="s">
        <v>#N/A Requesting Data...</v>
        <stp/>
        <stp>##V3_BQLV12</stp>
        <stp>[MODL_NOW_US1.xlsx]Single Period!R208C33</stp>
        <stp>NOW US Equity</stp>
        <stp>CF_CHANGE_IN_OTHR_ASSTS/1M</stp>
        <stp>FPR=2021Y</stp>
        <stp>FPT=A</stp>
        <stp>FA_ACT_EST_DATA=E, EST_SOURCE=MAC</stp>
        <stp>ACT_EST_MAPPING=PRECISE</stp>
        <stp>FS=MRC</stp>
        <stp>CURRENCY=USD</stp>
        <stp>XLFILL=b</stp>
        <tr r="AG208" s="2"/>
      </tp>
      <tp t="s">
        <v>#N/A Requesting Data...</v>
        <stp/>
        <stp>##V3_BQLV12</stp>
        <stp>[MODL_NOW_US1.xlsx]Single Period!R219C41</stp>
        <stp>NOW US Equity</stp>
        <stp>CF_PURCHSS_OF_INVSTMNTS/1M</stp>
        <stp>FPR=2021Y</stp>
        <stp>FPT=A</stp>
        <stp>FA_ACT_EST_DATA=E, EST_SOURCE=ARG</stp>
        <stp>ACT_EST_MAPPING=PRECISE</stp>
        <stp>FS=MRC</stp>
        <stp>CURRENCY=USD</stp>
        <stp>XLFILL=b</stp>
        <tr r="AO219" s="2"/>
      </tp>
      <tp t="s">
        <v>#N/A Requesting Data...</v>
        <stp/>
        <stp>##V3_BQLV12</stp>
        <stp>[MODL_NOW_US1.xlsx]Single Period!R47C35</stp>
        <stp>SEG0000230986 Segment</stp>
        <stp>CB_ADJ_BILLINGS_AMT/1M</stp>
        <stp>FPR=2021Y</stp>
        <stp>FPT=A</stp>
        <stp>FA_ACT_EST_DATA=E, EST_SOURCE=MSR</stp>
        <stp>ACT_EST_MAPPING=PRECISE</stp>
        <stp>FS=MRC</stp>
        <stp>CURRENCY=USD</stp>
        <stp>XLFILL=b</stp>
        <tr r="AI47" s="2"/>
      </tp>
      <tp t="s">
        <v>#N/A Requesting Data...</v>
        <stp/>
        <stp>##V3_BQLV12</stp>
        <stp>[MODL_NOW_US1.xlsx]Single Period!R47C31</stp>
        <stp>SEG0000230986 Segment</stp>
        <stp>CB_ADJ_BILLINGS_AMT/1M</stp>
        <stp>FPR=2021Y</stp>
        <stp>FPT=A</stp>
        <stp>FA_ACT_EST_DATA=E, EST_SOURCE=GSR</stp>
        <stp>ACT_EST_MAPPING=PRECISE</stp>
        <stp>FS=MRC</stp>
        <stp>CURRENCY=USD</stp>
        <stp>XLFILL=b</stp>
        <tr r="AE47" s="2"/>
      </tp>
      <tp t="s">
        <v>#N/A Requesting Data...</v>
        <stp/>
        <stp>##V3_BQLV12</stp>
        <stp>[MODL_NOW_US1.xlsx]Single Period!R219C44</stp>
        <stp>NOW US Equity</stp>
        <stp>CF_PURCHSS_OF_INVSTMNTS/1M</stp>
        <stp>FPR=2021Y</stp>
        <stp>FPT=A</stp>
        <stp>FA_ACT_EST_DATA=E, EST_SOURCE=ARE</stp>
        <stp>ACT_EST_MAPPING=PRECISE</stp>
        <stp>FS=MRC</stp>
        <stp>CURRENCY=USD</stp>
        <stp>XLFILL=b</stp>
        <tr r="AR219" s="2"/>
      </tp>
      <tp t="s">
        <v>#N/A Requesting Data...</v>
        <stp/>
        <stp>##V3_BQLV12</stp>
        <stp>[MODL_NOW_US1.xlsx]Single Period!R199C17</stp>
        <stp>NOW US Equity</stp>
        <stp>IS_COMP_NET_INCOME_GAAP/1M</stp>
        <stp>FPR=2021Y</stp>
        <stp>FPT=A</stp>
        <stp>FA_ACT_EST_DATA=E, EST_SOURCE=RHR</stp>
        <stp>ACT_EST_MAPPING=PRECISE</stp>
        <stp>FS=MRC</stp>
        <stp>CURRENCY=USD</stp>
        <stp>XLFILL=b</stp>
        <tr r="Q199" s="2"/>
      </tp>
      <tp t="s">
        <v>#N/A Requesting Data...</v>
        <stp/>
        <stp>##V3_BQLV12</stp>
        <stp>[MODL_NOW_US1.xlsx]Single Period!R130C17</stp>
        <stp>NOW US Equity</stp>
        <stp>IS_COMP_NET_INCOME_GAAP/1M</stp>
        <stp>FPR=2021Y</stp>
        <stp>FPT=A</stp>
        <stp>FA_ACT_EST_DATA=E, EST_SOURCE=RHR</stp>
        <stp>ACT_EST_MAPPING=PRECISE</stp>
        <stp>FS=MRC</stp>
        <stp>CURRENCY=USD</stp>
        <stp>XLFILL=b</stp>
        <tr r="Q130" s="2"/>
      </tp>
      <tp t="s">
        <v>#N/A Requesting Data...</v>
        <stp/>
        <stp>##V3_BQLV12</stp>
        <stp>[MODL_NOW_US1.xlsx]Single Period!R138C19</stp>
        <stp>NOW US Equity</stp>
        <stp>SBC_NON_GAAP_TO_SALES</stp>
        <stp>FPR=2021Y</stp>
        <stp>FPT=A</stp>
        <stp>FA_ACT_EST_DATA=E, EST_SOURCE=MSV</stp>
        <stp>ACT_EST_MAPPING=PRECISE</stp>
        <stp>FS=MRC</stp>
        <stp>CURRENCY=USD</stp>
        <stp>XLFILL=b</stp>
        <tr r="S138" s="2"/>
      </tp>
      <tp t="s">
        <v>#N/A Requesting Data...</v>
        <stp/>
        <stp>##V3_BQLV12</stp>
        <stp>[MODL_NOW_US1.xlsx]Single Period!R208C30</stp>
        <stp>NOW US Equity</stp>
        <stp>CF_CHANGE_IN_OTHR_ASSTS/1M</stp>
        <stp>FPR=2021Y</stp>
        <stp>FPT=A</stp>
        <stp>FA_ACT_EST_DATA=E, EST_SOURCE=BAM</stp>
        <stp>ACT_EST_MAPPING=PRECISE</stp>
        <stp>FS=MRC</stp>
        <stp>CURRENCY=USD</stp>
        <stp>XLFILL=b</stp>
        <tr r="AD208" s="2"/>
      </tp>
      <tp t="s">
        <v>#N/A Requesting Data...</v>
        <stp/>
        <stp>##V3_BQLV12</stp>
        <stp>[MODL_NOW_US1.xlsx]Single Period!R43C15</stp>
        <stp>SEG0000230975 Segment</stp>
        <stp>CB_ADJ_BILLINGS_AMT/1M</stp>
        <stp>FPR=2021Y</stp>
        <stp>FPT=A</stp>
        <stp>FA_ACT_EST_DATA=E, EST_SOURCE=OPY</stp>
        <stp>ACT_EST_MAPPING=PRECISE</stp>
        <stp>FS=MRC</stp>
        <stp>CURRENCY=USD</stp>
        <stp>XLFILL=b</stp>
        <tr r="O43" s="2"/>
      </tp>
      <tp t="s">
        <v>#N/A Requesting Data...</v>
        <stp/>
        <stp>##V3_BQLV12</stp>
        <stp>[MODL_NOW_US1.xlsx]Single Period!R208C20</stp>
        <stp>NOW US Equity</stp>
        <stp>CF_CHANGE_IN_OTHR_ASSTS/1M</stp>
        <stp>FPR=2021Y</stp>
        <stp>FPT=A</stp>
        <stp>FA_ACT_EST_DATA=E, EST_SOURCE=CAN</stp>
        <stp>ACT_EST_MAPPING=PRECISE</stp>
        <stp>FS=MRC</stp>
        <stp>CURRENCY=USD</stp>
        <stp>XLFILL=b</stp>
        <tr r="T208" s="2"/>
      </tp>
      <tp t="s">
        <v>#N/A Requesting Data...</v>
        <stp/>
        <stp>##V3_BQLV12</stp>
        <stp>[MODL_NOW_US1.xlsx]Single Period!R138C31</stp>
        <stp>NOW US Equity</stp>
        <stp>SBC_NON_GAAP_TO_SALES</stp>
        <stp>FPR=2021Y</stp>
        <stp>FPT=A</stp>
        <stp>FA_ACT_EST_DATA=E, EST_SOURCE=GSR</stp>
        <stp>ACT_EST_MAPPING=PRECISE</stp>
        <stp>FS=MRC</stp>
        <stp>CURRENCY=USD</stp>
        <stp>XLFILL=b</stp>
        <tr r="AE138" s="2"/>
      </tp>
      <tp t="s">
        <v>#N/A Requesting Data...</v>
        <stp/>
        <stp>##V3_BQLV12</stp>
        <stp>[MODL_NOW_US1.xlsx]Single Period!R138C35</stp>
        <stp>NOW US Equity</stp>
        <stp>SBC_NON_GAAP_TO_SALES</stp>
        <stp>FPR=2021Y</stp>
        <stp>FPT=A</stp>
        <stp>FA_ACT_EST_DATA=E, EST_SOURCE=MSR</stp>
        <stp>ACT_EST_MAPPING=PRECISE</stp>
        <stp>FS=MRC</stp>
        <stp>CURRENCY=USD</stp>
        <stp>XLFILL=b</stp>
        <tr r="AI138" s="2"/>
      </tp>
      <tp t="s">
        <v>#N/A Requesting Data...</v>
        <stp/>
        <stp>##V3_BQLV12</stp>
        <stp>[MODL_NOW_US1.xlsx]Single Period!R71C20</stp>
        <stp>SEG0000230986 Segment</stp>
        <stp>CB_IS_GROSS_PROFIT/1M</stp>
        <stp>FPR=2021Y</stp>
        <stp>FPT=A</stp>
        <stp>FA_ACT_EST_DATA=E, EST_SOURCE=CAN</stp>
        <stp>ACT_EST_MAPPING=PRECISE</stp>
        <stp>FS=MRC</stp>
        <stp>CURRENCY=USD</stp>
        <stp>XLFILL=b</stp>
        <tr r="T71" s="2"/>
      </tp>
      <tp t="s">
        <v>#N/A Requesting Data...</v>
        <stp/>
        <stp>##V3_BQLV12</stp>
        <stp>[MODL_NOW_US1.xlsx]Single Period!R155C39</stp>
        <stp>NOW US Equity</stp>
        <stp>BS_CASH_CASH_EQUIVALENTS_AND_STI/1M</stp>
        <stp>FPR=2021Y</stp>
        <stp>FPT=A</stp>
        <stp>FA_ACT_EST_DATA=E, EST_SOURCE=DZB</stp>
        <stp>ACT_EST_MAPPING=PRECISE</stp>
        <stp>FS=MRC</stp>
        <stp>CURRENCY=USD</stp>
        <stp>XLFILL=b</stp>
        <tr r="AM155" s="2"/>
      </tp>
      <tp t="s">
        <v>#N/A Requesting Data...</v>
        <stp/>
        <stp>##V3_BQLV12</stp>
        <stp>[MODL_NOW_US1.xlsx]Single Period!R71C30</stp>
        <stp>SEG0000230986 Segment</stp>
        <stp>CB_IS_GROSS_PROFIT/1M</stp>
        <stp>FPR=2021Y</stp>
        <stp>FPT=A</stp>
        <stp>FA_ACT_EST_DATA=E, EST_SOURCE=BAM</stp>
        <stp>ACT_EST_MAPPING=PRECISE</stp>
        <stp>FS=MRC</stp>
        <stp>CURRENCY=USD</stp>
        <stp>XLFILL=b</stp>
        <tr r="AD71" s="2"/>
      </tp>
      <tp t="s">
        <v>#N/A Requesting Data...</v>
        <stp/>
        <stp>##V3_BQLV12</stp>
        <stp>[MODL_NOW_US1.xlsx]Single Period!R202C17</stp>
        <stp>NOW US Equity</stp>
        <stp>CF_AMORTIZATN_OF_DEFRRD_COMPNSTN/1M</stp>
        <stp>FPR=2021Y</stp>
        <stp>FPT=A</stp>
        <stp>FA_ACT_EST_DATA=E, EST_SOURCE=RHR</stp>
        <stp>ACT_EST_MAPPING=PRECISE</stp>
        <stp>FS=MRC</stp>
        <stp>CURRENCY=USD</stp>
        <stp>XLFILL=b</stp>
        <tr r="Q202" s="2"/>
      </tp>
      <tp t="s">
        <v>#N/A Requesting Data...</v>
        <stp/>
        <stp>##V3_BQLV12</stp>
        <stp>[MODL_NOW_US1.xlsx]Single Period!R221C40</stp>
        <stp>NOW US Equity</stp>
        <stp>CB_CF_OTHER_INVESTING_ACTIVITIES/1M</stp>
        <stp>FPR=2021Y</stp>
        <stp>FPT=A</stp>
        <stp>FA_ACT_EST_DATA=E, EST_SOURCE=DWI</stp>
        <stp>ACT_EST_MAPPING=PRECISE</stp>
        <stp>FS=MRC</stp>
        <stp>CURRENCY=USD</stp>
        <stp>XLFILL=b</stp>
        <tr r="AN221" s="2"/>
      </tp>
      <tp t="s">
        <v>#N/A Requesting Data...</v>
        <stp/>
        <stp>##V3_BQLV12</stp>
        <stp>[MODL_NOW_US1.xlsx]Single Period!R227C42</stp>
        <stp>NOW US Equity</stp>
        <stp>CF_NET_CSH_PROV_BY_FINANCING_ACT/1M</stp>
        <stp>FPR=2021Y</stp>
        <stp>FPT=A</stp>
        <stp>FA_ACT_EST_DATA=E, EST_SOURCE=CTI</stp>
        <stp>ACT_EST_MAPPING=PRECISE</stp>
        <stp>FS=MRC</stp>
        <stp>CURRENCY=USD</stp>
        <stp>XLFILL=b</stp>
        <tr r="AP227" s="2"/>
      </tp>
      <tp t="s">
        <v>#N/A Requesting Data...</v>
        <stp/>
        <stp>##V3_BQLV12</stp>
        <stp>[MODL_NOW_US1.xlsx]Single Period!R216C20</stp>
        <stp>NOW US Equity</stp>
        <stp>CF_PURCHASE_OF_FIXED_PROD_ASSETS/1M</stp>
        <stp>FPR=2021Y</stp>
        <stp>FPT=A</stp>
        <stp>FA_ACT_EST_DATA=E, EST_SOURCE=CAN</stp>
        <stp>ACT_EST_MAPPING=PRECISE</stp>
        <stp>FS=MRC</stp>
        <stp>CURRENCY=USD</stp>
        <stp>XLFILL=b</stp>
        <tr r="T216" s="2"/>
      </tp>
      <tp t="s">
        <v>#N/A Requesting Data...</v>
        <stp/>
        <stp>##V3_BQLV12</stp>
        <stp>[MODL_NOW_US1.xlsx]Single Period!R216C12</stp>
        <stp>NOW US Equity</stp>
        <stp>CF_PURCHASE_OF_FIXED_PROD_ASSETS/1M</stp>
        <stp>FPR=2021Y</stp>
        <stp>FPT=A</stp>
        <stp>FA_ACT_EST_DATA=E, EST_SOURCE=WBL</stp>
        <stp>ACT_EST_MAPPING=PRECISE</stp>
        <stp>FS=MRC</stp>
        <stp>CURRENCY=USD</stp>
        <stp>XLFILL=b</stp>
        <tr r="L216" s="2"/>
      </tp>
      <tp t="s">
        <v>#N/A Requesting Data...</v>
        <stp/>
        <stp>##V3_BQLV12</stp>
        <stp>[MODL_NOW_US1.xlsx]Single Period!R71C33</stp>
        <stp>SEG0000230986 Segment</stp>
        <stp>CB_IS_GROSS_PROFIT/1M</stp>
        <stp>FPR=2021Y</stp>
        <stp>FPT=A</stp>
        <stp>FA_ACT_EST_DATA=E, EST_SOURCE=MAC</stp>
        <stp>ACT_EST_MAPPING=PRECISE</stp>
        <stp>FS=MRC</stp>
        <stp>CURRENCY=USD</stp>
        <stp>XLFILL=b</stp>
        <tr r="AG71" s="2"/>
      </tp>
      <tp t="s">
        <v>#N/A Requesting Data...</v>
        <stp/>
        <stp>##V3_BQLV12</stp>
        <stp>[MODL_NOW_US1.xlsx]Single Period!R227C34</stp>
        <stp>NOW US Equity</stp>
        <stp>CF_NET_CSH_PROV_BY_FINANCING_ACT/1M</stp>
        <stp>FPR=2021Y</stp>
        <stp>FPT=A</stp>
        <stp>FA_ACT_EST_DATA=E, EST_SOURCE=PSG</stp>
        <stp>ACT_EST_MAPPING=PRECISE</stp>
        <stp>FS=MRC</stp>
        <stp>CURRENCY=USD</stp>
        <stp>XLFILL=b</stp>
        <tr r="AH227" s="2"/>
      </tp>
      <tp t="s">
        <v>#N/A Requesting Data...</v>
        <stp/>
        <stp>##V3_BQLV12</stp>
        <stp>[MODL_NOW_US1.xlsx]Single Period!R121C49</stp>
        <stp>NOW US Equity</stp>
        <stp>CB_IS_GENL_AND_ADMIN_EXPN/1M</stp>
        <stp>FPR=2021Y</stp>
        <stp>FPT=A</stp>
        <stp>FA_ACT_EST_DATA=E, EST_SOURCE=SCB</stp>
        <stp>ACT_EST_MAPPING=PRECISE</stp>
        <stp>FS=MRC</stp>
        <stp>CURRENCY=USD</stp>
        <stp>XLFILL=b</stp>
        <tr r="AW121" s="2"/>
      </tp>
      <tp t="s">
        <v>#N/A Requesting Data...</v>
        <stp/>
        <stp>##V3_BQLV12</stp>
        <stp>[MODL_NOW_US1.xlsx]Single Period!R213C43</stp>
        <stp>NOW US Equity</stp>
        <stp>CF_CASH_FROM_OPER/1M</stp>
        <stp>FPR=2021Y</stp>
        <stp>FPT=A</stp>
        <stp>FA_ACT_EST_DATA=E, EST_SOURCE=WFT</stp>
        <stp>ACT_EST_MAPPING=PRECISE</stp>
        <stp>FS=MRC</stp>
        <stp>CURRENCY=USD</stp>
        <stp>XLFILL=b</stp>
        <tr r="AQ213" s="2"/>
      </tp>
      <tp t="s">
        <v>#N/A Requesting Data...</v>
        <stp/>
        <stp>##V3_BQLV12</stp>
        <stp>[MODL_NOW_US1.xlsx]Single Period!R182C38</stp>
        <stp>NOW US Equity</stp>
        <stp>BS_OTHER_NONCURRENT_LIABILITIES/1M</stp>
        <stp>FPR=2021Y</stp>
        <stp>FPT=A</stp>
        <stp>FA_ACT_EST_DATA=E, EST_SOURCE=RWB</stp>
        <stp>ACT_EST_MAPPING=PRECISE</stp>
        <stp>FS=MRC</stp>
        <stp>CURRENCY=USD</stp>
        <stp>XLFILL=b</stp>
        <tr r="AL182" s="2"/>
      </tp>
      <tp t="s">
        <v>#N/A Requesting Data...</v>
        <stp/>
        <stp>##V3_BQLV12</stp>
        <stp>[MODL_NOW_US1.xlsx]Single Period!R213C27</stp>
        <stp>NOW US Equity</stp>
        <stp>CF_CASH_FROM_OPER/1M</stp>
        <stp>FPR=2021Y</stp>
        <stp>FPT=A</stp>
        <stp>FA_ACT_EST_DATA=E, EST_SOURCE=RBC</stp>
        <stp>ACT_EST_MAPPING=PRECISE</stp>
        <stp>FS=MRC</stp>
        <stp>CURRENCY=USD</stp>
        <stp>XLFILL=b</stp>
        <tr r="AA213" s="2"/>
      </tp>
      <tp t="s">
        <v>#N/A Requesting Data...</v>
        <stp/>
        <stp>##V3_BQLV12</stp>
        <stp>[MODL_NOW_US1.xlsx]Single Period!R227C35</stp>
        <stp>NOW US Equity</stp>
        <stp>CF_NET_CSH_PROV_BY_FINANCING_ACT/1M</stp>
        <stp>FPR=2021Y</stp>
        <stp>FPT=A</stp>
        <stp>FA_ACT_EST_DATA=E, EST_SOURCE=MSR</stp>
        <stp>ACT_EST_MAPPING=PRECISE</stp>
        <stp>FS=MRC</stp>
        <stp>CURRENCY=USD</stp>
        <stp>XLFILL=b</stp>
        <tr r="AI227" s="2"/>
      </tp>
      <tp t="s">
        <v>#N/A Requesting Data...</v>
        <stp/>
        <stp>##V3_BQLV12</stp>
        <stp>[MODL_NOW_US1.xlsx]Single Period!R213C16</stp>
        <stp>NOW US Equity</stp>
        <stp>CF_CASH_FROM_OPER/1M</stp>
        <stp>FPR=2021Y</stp>
        <stp>FPT=A</stp>
        <stp>FA_ACT_EST_DATA=E, EST_SOURCE=BCA</stp>
        <stp>ACT_EST_MAPPING=PRECISE</stp>
        <stp>FS=MRC</stp>
        <stp>CURRENCY=USD</stp>
        <stp>XLFILL=b</stp>
        <tr r="P213" s="2"/>
      </tp>
      <tp t="s">
        <v>#N/A Requesting Data...</v>
        <stp/>
        <stp>##V3_BQLV12</stp>
        <stp>[MODL_NOW_US1.xlsx]Single Period!R182C40</stp>
        <stp>NOW US Equity</stp>
        <stp>BS_OTHER_NONCURRENT_LIABILITIES/1M</stp>
        <stp>FPR=2021Y</stp>
        <stp>FPT=A</stp>
        <stp>FA_ACT_EST_DATA=E, EST_SOURCE=DWI</stp>
        <stp>ACT_EST_MAPPING=PRECISE</stp>
        <stp>FS=MRC</stp>
        <stp>CURRENCY=USD</stp>
        <stp>XLFILL=b</stp>
        <tr r="AN182" s="2"/>
      </tp>
      <tp t="s">
        <v>#N/A Requesting Data...</v>
        <stp/>
        <stp>##V3_BQLV12</stp>
        <stp>[MODL_NOW_US1.xlsx]Single Period!R182C24</stp>
        <stp>NOW US Equity</stp>
        <stp>BS_OTHER_NONCURRENT_LIABILITIES/1M</stp>
        <stp>FPR=2021Y</stp>
        <stp>FPT=A</stp>
        <stp>FA_ACT_EST_DATA=E, EST_SOURCE=CWN</stp>
        <stp>ACT_EST_MAPPING=PRECISE</stp>
        <stp>FS=MRC</stp>
        <stp>CURRENCY=USD</stp>
        <stp>XLFILL=b</stp>
        <tr r="X182" s="2"/>
      </tp>
      <tp t="s">
        <v>#N/A Requesting Data...</v>
        <stp/>
        <stp>##V3_BQLV12</stp>
        <stp>[MODL_NOW_US1.xlsx]Single Period!R227C31</stp>
        <stp>NOW US Equity</stp>
        <stp>CF_NET_CSH_PROV_BY_FINANCING_ACT/1M</stp>
        <stp>FPR=2021Y</stp>
        <stp>FPT=A</stp>
        <stp>FA_ACT_EST_DATA=E, EST_SOURCE=GSR</stp>
        <stp>ACT_EST_MAPPING=PRECISE</stp>
        <stp>FS=MRC</stp>
        <stp>CURRENCY=USD</stp>
        <stp>XLFILL=b</stp>
        <tr r="AE227" s="2"/>
      </tp>
      <tp t="s">
        <v>#N/A Requesting Data...</v>
        <stp/>
        <stp>##V3_BQLV12</stp>
        <stp>[MODL_NOW_US1.xlsx]Single Period!R129C21</stp>
        <stp>NOW US Equity</stp>
        <stp>EFF_TAX_RATE</stp>
        <stp>FPR=2021Y</stp>
        <stp>FPT=A</stp>
        <stp>FA_ACT_EST_DATA=E, EST_SOURCE=JMP</stp>
        <stp>ACT_EST_MAPPING=PRECISE</stp>
        <stp>FS=MRC</stp>
        <stp>CURRENCY=USD</stp>
        <stp>XLFILL=b</stp>
        <tr r="U129" s="2"/>
      </tp>
      <tp t="s">
        <v>#N/A Requesting Data...</v>
        <stp/>
        <stp>##V3_BQLV12</stp>
        <stp>[MODL_NOW_US1.xlsx]Single Period!R81C36</stp>
        <stp>NOW US Equity</stp>
        <stp>IS_ADJ_SALES_YOY_CHG_PCT_CC</stp>
        <stp>FPR=2021Y</stp>
        <stp>FPT=A</stp>
        <stp>FA_ACT_EST_DATA=E, EST_SOURCE=JEF</stp>
        <stp>ACT_EST_MAPPING=PRECISE</stp>
        <stp>FS=MRC</stp>
        <stp>CURRENCY=USD</stp>
        <stp>XLFILL=b</stp>
        <tr r="AJ81" s="2"/>
      </tp>
      <tp t="s">
        <v>#N/A Requesting Data...</v>
        <stp/>
        <stp>##V3_BQLV12</stp>
        <stp>[MODL_NOW_US1.xlsx]Single Period!R81C22</stp>
        <stp>NOW US Equity</stp>
        <stp>IS_ADJ_SALES_YOY_CHG_PCT_CC</stp>
        <stp>FPR=2021Y</stp>
        <stp>FPT=A</stp>
        <stp>FA_ACT_EST_DATA=E, EST_SOURCE=NDH</stp>
        <stp>ACT_EST_MAPPING=PRECISE</stp>
        <stp>FS=MRC</stp>
        <stp>CURRENCY=USD</stp>
        <stp>XLFILL=b</stp>
        <tr r="V81" s="2"/>
      </tp>
      <tp t="s">
        <v>#N/A Requesting Data...</v>
        <stp/>
        <stp>##V3_BQLV12</stp>
        <stp>[MODL_NOW_US1.xlsx]Single Period!R116C49</stp>
        <stp>NOW US Equity</stp>
        <stp>GROSS_MARGIN</stp>
        <stp>FPR=2021Y</stp>
        <stp>FPT=A</stp>
        <stp>FA_ACT_EST_DATA=E, EST_SOURCE=SCB</stp>
        <stp>ACT_EST_MAPPING=PRECISE</stp>
        <stp>FS=MRC</stp>
        <stp>CURRENCY=USD</stp>
        <stp>XLFILL=b</stp>
        <tr r="AW116" s="2"/>
      </tp>
      <tp t="s">
        <v>#N/A Requesting Data...</v>
        <stp/>
        <stp>##V3_BQLV12</stp>
        <stp>[MODL_NOW_US1.xlsx]Single Period!R166C42</stp>
        <stp>NOW US Equity</stp>
        <stp>BS_OTHER_INTANGIBLE_ASSETS/1M</stp>
        <stp>FPR=2021Y</stp>
        <stp>FPT=A</stp>
        <stp>FA_ACT_EST_DATA=E, EST_SOURCE=CTI</stp>
        <stp>ACT_EST_MAPPING=PRECISE</stp>
        <stp>FS=MRC</stp>
        <stp>CURRENCY=USD</stp>
        <stp>XLFILL=b</stp>
        <tr r="AP166" s="2"/>
      </tp>
      <tp t="s">
        <v>#N/A Requesting Data...</v>
        <stp/>
        <stp>##V3_BQLV12</stp>
        <stp>[MODL_NOW_US1.xlsx]Single Period!R96C21</stp>
        <stp>NOW US Equity</stp>
        <stp>ADJ_OPERATING_MARGIN</stp>
        <stp>FPR=2021Y</stp>
        <stp>FPT=A</stp>
        <stp>FA_ACT_EST_DATA=E, EST_SOURCE=JMP</stp>
        <stp>ACT_EST_MAPPING=PRECISE</stp>
        <stp>FS=MRC</stp>
        <stp>CURRENCY=USD</stp>
        <stp>XLFILL=b</stp>
        <tr r="U96" s="2"/>
      </tp>
      <tp t="s">
        <v>#N/A Requesting Data...</v>
        <stp/>
        <stp>##V3_BQLV12</stp>
        <stp>[MODL_NOW_US1.xlsx]Single Period!R194C13</stp>
        <stp>NOW US Equity</stp>
        <stp>CB_BS_OTHER_CURRENT_ASSETS/1M</stp>
        <stp>FPR=2021Y</stp>
        <stp>FPT=A</stp>
        <stp>FA_ACT_EST_DATA=E, EST_SOURCE=KEY</stp>
        <stp>ACT_EST_MAPPING=PRECISE</stp>
        <stp>FS=MRC</stp>
        <stp>CURRENCY=USD</stp>
        <stp>XLFILL=b</stp>
        <tr r="M194" s="2"/>
      </tp>
      <tp t="s">
        <v>#N/A Requesting Data...</v>
        <stp/>
        <stp>##V3_BQLV12</stp>
        <stp>[MODL_NOW_US1.xlsx]Single Period!R144C11</stp>
        <stp>NOW US Equity</stp>
        <stp>IS_SBC_ATT_TO_GENL_AND_ADMIN_PRETX/1M</stp>
        <stp>FPR=2021Y</stp>
        <stp>FPT=A</stp>
        <stp>FA_ACT_EST_DATA=E, EST_SOURCE=JPM</stp>
        <stp>ACT_EST_MAPPING=PRECISE</stp>
        <stp>FS=MRC</stp>
        <stp>CURRENCY=USD</stp>
        <stp>XLFILL=b</stp>
        <tr r="K144" s="2"/>
      </tp>
      <tp t="s">
        <v>#N/A Requesting Data...</v>
        <stp/>
        <stp>##V3_BQLV12</stp>
        <stp>[MODL_NOW_US1.xlsx]Single Period!R149C20</stp>
        <stp>NOW US Equity</stp>
        <stp>IS_AMORT_ACQD_INTANG_GEN_AND_ADMIN/1M</stp>
        <stp>FPR=2021Y</stp>
        <stp>FPT=A</stp>
        <stp>FA_ACT_EST_DATA=E, EST_SOURCE=CAN</stp>
        <stp>ACT_EST_MAPPING=PRECISE</stp>
        <stp>FS=MRC</stp>
        <stp>CURRENCY=USD</stp>
        <stp>XLFILL=b</stp>
        <tr r="T149" s="2"/>
      </tp>
      <tp t="s">
        <v>#N/A Requesting Data...</v>
        <stp/>
        <stp>##V3_BQLV12</stp>
        <stp>[MODL_NOW_US1.xlsx]Single Period!R149C30</stp>
        <stp>NOW US Equity</stp>
        <stp>IS_AMORT_ACQD_INTANG_GEN_AND_ADMIN/1M</stp>
        <stp>FPR=2021Y</stp>
        <stp>FPT=A</stp>
        <stp>FA_ACT_EST_DATA=E, EST_SOURCE=BAM</stp>
        <stp>ACT_EST_MAPPING=PRECISE</stp>
        <stp>FS=MRC</stp>
        <stp>CURRENCY=USD</stp>
        <stp>XLFILL=b</stp>
        <tr r="AD149" s="2"/>
      </tp>
      <tp t="s">
        <v>#N/A Requesting Data...</v>
        <stp/>
        <stp>##V3_BQLV12</stp>
        <stp>[MODL_NOW_US1.xlsx]Single Period!R93C10</stp>
        <stp>NOW US Equity</stp>
        <stp>G_AND_A_COST_PCT_REVENUES</stp>
        <stp>FPR=2021Y</stp>
        <stp>FPT=A</stp>
        <stp>FA_ACT_EST_DATA=E, EST_SOURCE=CMPY</stp>
        <stp>ACT_EST_MAPPING=PRECISE</stp>
        <stp>FS=MRC</stp>
        <stp>CURRENCY=USD</stp>
        <stp>XLFILL=b</stp>
        <tr r="J93" s="2"/>
      </tp>
      <tp t="s">
        <v>#N/A Requesting Data...</v>
        <stp/>
        <stp>##V3_BQLV12</stp>
        <stp>[MODL_NOW_US1.xlsx]Single Period!R159C17</stp>
        <stp>NOW US Equity</stp>
        <stp>CB_BS_OTHER_CURRENT_ASSETS/1M</stp>
        <stp>FPR=2021Y</stp>
        <stp>FPT=A</stp>
        <stp>FA_ACT_EST_DATA=E, EST_SOURCE=RHR</stp>
        <stp>ACT_EST_MAPPING=PRECISE</stp>
        <stp>FS=MRC</stp>
        <stp>CURRENCY=USD</stp>
        <stp>XLFILL=b</stp>
        <tr r="Q159" s="2"/>
      </tp>
      <tp t="s">
        <v>#N/A Requesting Data...</v>
        <stp/>
        <stp>##V3_BQLV12</stp>
        <stp>[MODL_NOW_US1.xlsx]Single Period!R14C10</stp>
        <stp>SEG0000230975 Segment</stp>
        <stp>SALES_REV_TURN/1M</stp>
        <stp>FPR=2021Y</stp>
        <stp>FPT=A</stp>
        <stp>FA_ACT_EST_DATA=E, EST_SOURCE=CMPY</stp>
        <stp>ACT_EST_MAPPING=PRECISE</stp>
        <stp>FS=MRC</stp>
        <stp>CURRENCY=USD</stp>
        <stp>XLFILL=b</stp>
        <tr r="J14" s="2"/>
      </tp>
      <tp t="s">
        <v>#N/A Requesting Data...</v>
        <stp/>
        <stp>##V3_BQLV12</stp>
        <stp>[MODL_NOW_US1.xlsx]Single Period!R58C10</stp>
        <stp>SEG0000230975 Segment</stp>
        <stp>SALES_REV_TURN/1M</stp>
        <stp>FPR=2021Y</stp>
        <stp>FPT=A</stp>
        <stp>FA_ACT_EST_DATA=E, EST_SOURCE=CMPY</stp>
        <stp>ACT_EST_MAPPING=PRECISE</stp>
        <stp>FS=MRC</stp>
        <stp>CURRENCY=USD</stp>
        <stp>XLFILL=b</stp>
        <tr r="J58" s="2"/>
      </tp>
      <tp t="s">
        <v>#N/A Requesting Data...</v>
        <stp/>
        <stp>##V3_BQLV12</stp>
        <stp>[MODL_NOW_US1.xlsx]Single Period!R149C33</stp>
        <stp>NOW US Equity</stp>
        <stp>IS_AMORT_ACQD_INTANG_GEN_AND_ADMIN/1M</stp>
        <stp>FPR=2021Y</stp>
        <stp>FPT=A</stp>
        <stp>FA_ACT_EST_DATA=E, EST_SOURCE=MAC</stp>
        <stp>ACT_EST_MAPPING=PRECISE</stp>
        <stp>FS=MRC</stp>
        <stp>CURRENCY=USD</stp>
        <stp>XLFILL=b</stp>
        <tr r="AG149" s="2"/>
      </tp>
      <tp t="s">
        <v>#N/A Requesting Data...</v>
        <stp/>
        <stp>##V3_BQLV12</stp>
        <stp>[MODL_NOW_US1.xlsx]Single Period!R166C37</stp>
        <stp>NOW US Equity</stp>
        <stp>BS_OTHER_INTANGIBLE_ASSETS/1M</stp>
        <stp>FPR=2021Y</stp>
        <stp>FPT=A</stp>
        <stp>FA_ACT_EST_DATA=E, EST_SOURCE=TTC</stp>
        <stp>ACT_EST_MAPPING=PRECISE</stp>
        <stp>FS=MRC</stp>
        <stp>CURRENCY=USD</stp>
        <stp>XLFILL=b</stp>
        <tr r="AK166" s="2"/>
      </tp>
      <tp t="s">
        <v>#N/A Requesting Data...</v>
        <stp/>
        <stp>##V3_BQLV12</stp>
        <stp>[MODL_NOW_US1.xlsx]Single Period!R28C29</stp>
        <stp>NOW US Equity</stp>
        <stp>ADJ_OPERATING_MARGIN</stp>
        <stp>FPR=2021Y</stp>
        <stp>FPT=A</stp>
        <stp>FA_ACT_EST_DATA=E, EST_SOURCE=BNS</stp>
        <stp>ACT_EST_MAPPING=PRECISE</stp>
        <stp>FS=MRC</stp>
        <stp>CURRENCY=USD</stp>
        <stp>XLFILL=b</stp>
        <tr r="AC28" s="2"/>
      </tp>
      <tp t="s">
        <v>#N/A Requesting Data...</v>
        <stp/>
        <stp>##V3_BQLV12</stp>
        <stp>[MODL_NOW_US1.xlsx]Single Period!R61C10</stp>
        <stp>SEG0000230975 Segment</stp>
        <stp>IS_ADJ_GROSS_PROFIT_AS_REPORTED/1M</stp>
        <stp>FPR=2021Y</stp>
        <stp>FPT=A</stp>
        <stp>FA_ACT_EST_DATA=E, EST_SOURCE=CMPY</stp>
        <stp>ACT_EST_MAPPING=PRECISE</stp>
        <stp>FS=MRC</stp>
        <stp>CURRENCY=USD</stp>
        <stp>XLFILL=b</stp>
        <tr r="J61" s="2"/>
      </tp>
      <tp t="s">
        <v>#N/A Requesting Data...</v>
        <stp/>
        <stp>##V3_BQLV12</stp>
        <stp>[MODL_NOW_US1.xlsx]Single Period!R69C10</stp>
        <stp>SEG0000230986 Segment</stp>
        <stp>IS_ADJ_GROSS_PROFIT_AS_REPORTED/1M</stp>
        <stp>FPR=2021Y</stp>
        <stp>FPT=A</stp>
        <stp>FA_ACT_EST_DATA=E, EST_SOURCE=CMPY</stp>
        <stp>ACT_EST_MAPPING=PRECISE</stp>
        <stp>FS=MRC</stp>
        <stp>CURRENCY=USD</stp>
        <stp>XLFILL=b</stp>
        <tr r="J69" s="2"/>
      </tp>
      <tp t="s">
        <v>#N/A Requesting Data...</v>
        <stp/>
        <stp>##V3_BQLV12</stp>
        <stp>[MODL_NOW_US1.xlsx]Single Period!R144C15</stp>
        <stp>NOW US Equity</stp>
        <stp>IS_SBC_ATT_TO_GENL_AND_ADMIN_PRETX/1M</stp>
        <stp>FPR=2021Y</stp>
        <stp>FPT=A</stp>
        <stp>FA_ACT_EST_DATA=E, EST_SOURCE=OPY</stp>
        <stp>ACT_EST_MAPPING=PRECISE</stp>
        <stp>FS=MRC</stp>
        <stp>CURRENCY=USD</stp>
        <stp>XLFILL=b</stp>
        <tr r="O144" s="2"/>
      </tp>
      <tp t="s">
        <v>#N/A Requesting Data...</v>
        <stp/>
        <stp>##V3_BQLV12</stp>
        <stp>[MODL_NOW_US1.xlsx]Single Period!R28C25</stp>
        <stp>NOW US Equity</stp>
        <stp>ADJ_OPERATING_MARGIN</stp>
        <stp>FPR=2021Y</stp>
        <stp>FPT=A</stp>
        <stp>FA_ACT_EST_DATA=E, EST_SOURCE=DBG</stp>
        <stp>ACT_EST_MAPPING=PRECISE</stp>
        <stp>FS=MRC</stp>
        <stp>CURRENCY=USD</stp>
        <stp>XLFILL=b</stp>
        <tr r="Y28" s="2"/>
      </tp>
      <tp t="s">
        <v>#N/A Requesting Data...</v>
        <stp/>
        <stp>##V3_BQLV12</stp>
        <stp>[MODL_NOW_US1.xlsx]Single Period!R194C36</stp>
        <stp>NOW US Equity</stp>
        <stp>CB_BS_OTHER_CURRENT_ASSETS/1M</stp>
        <stp>FPR=2021Y</stp>
        <stp>FPT=A</stp>
        <stp>FA_ACT_EST_DATA=E, EST_SOURCE=JEF</stp>
        <stp>ACT_EST_MAPPING=PRECISE</stp>
        <stp>FS=MRC</stp>
        <stp>CURRENCY=USD</stp>
        <stp>XLFILL=b</stp>
        <tr r="AJ194" s="2"/>
      </tp>
      <tp t="s">
        <v>#N/A Requesting Data...</v>
        <stp/>
        <stp>##V3_BQLV12</stp>
        <stp>[MODL_NOW_US1.xlsx]Single Period!R138C11</stp>
        <stp>NOW US Equity</stp>
        <stp>SBC_NON_GAAP_TO_SALES</stp>
        <stp>FPR=2021Y</stp>
        <stp>FPT=A</stp>
        <stp>FA_ACT_EST_DATA=E, EST_SOURCE=JPM</stp>
        <stp>ACT_EST_MAPPING=PRECISE</stp>
        <stp>FS=MRC</stp>
        <stp>CURRENCY=USD</stp>
        <stp>XLFILL=b</stp>
        <tr r="K138" s="2"/>
      </tp>
      <tp t="s">
        <v>#N/A Requesting Data...</v>
        <stp/>
        <stp>##V3_BQLV12</stp>
        <stp>[MODL_NOW_US1.xlsx]Single Period!R43C34</stp>
        <stp>SEG0000230975 Segment</stp>
        <stp>CB_ADJ_BILLINGS_AMT/1M</stp>
        <stp>FPR=2021Y</stp>
        <stp>FPT=A</stp>
        <stp>FA_ACT_EST_DATA=E, EST_SOURCE=PSG</stp>
        <stp>ACT_EST_MAPPING=PRECISE</stp>
        <stp>FS=MRC</stp>
        <stp>CURRENCY=USD</stp>
        <stp>XLFILL=b</stp>
        <tr r="AH43" s="2"/>
      </tp>
      <tp t="s">
        <v>#N/A Requesting Data...</v>
        <stp/>
        <stp>##V3_BQLV12</stp>
        <stp>[MODL_NOW_US1.xlsx]Single Period!R208C26</stp>
        <stp>NOW US Equity</stp>
        <stp>CF_CHANGE_IN_OTHR_ASSTS/1M</stp>
        <stp>FPR=2021Y</stp>
        <stp>FPT=A</stp>
        <stp>FA_ACT_EST_DATA=E, EST_SOURCE=UBS</stp>
        <stp>ACT_EST_MAPPING=PRECISE</stp>
        <stp>FS=MRC</stp>
        <stp>CURRENCY=USD</stp>
        <stp>XLFILL=b</stp>
        <tr r="Z208" s="2"/>
      </tp>
      <tp t="s">
        <v>#N/A Requesting Data...</v>
        <stp/>
        <stp>##V3_BQLV12</stp>
        <stp>[MODL_NOW_US1.xlsx]Single Period!R47C11</stp>
        <stp>SEG0000230986 Segment</stp>
        <stp>CB_ADJ_BILLINGS_AMT/1M</stp>
        <stp>FPR=2021Y</stp>
        <stp>FPT=A</stp>
        <stp>FA_ACT_EST_DATA=E, EST_SOURCE=JPM</stp>
        <stp>ACT_EST_MAPPING=PRECISE</stp>
        <stp>FS=MRC</stp>
        <stp>CURRENCY=USD</stp>
        <stp>XLFILL=b</stp>
        <tr r="K47" s="2"/>
      </tp>
      <tp t="s">
        <v>#N/A Requesting Data...</v>
        <stp/>
        <stp>##V3_BQLV12</stp>
        <stp>[MODL_NOW_US1.xlsx]Single Period!R125C21</stp>
        <stp>NOW US Equity</stp>
        <stp>OPER_INC_TO_NET_SALES</stp>
        <stp>FPR=2021Y</stp>
        <stp>FPT=A</stp>
        <stp>FA_ACT_EST_DATA=E, EST_SOURCE=JMP</stp>
        <stp>ACT_EST_MAPPING=PRECISE</stp>
        <stp>FS=MRC</stp>
        <stp>CURRENCY=USD</stp>
        <stp>XLFILL=b</stp>
        <tr r="U125" s="2"/>
      </tp>
      <tp t="s">
        <v>#N/A Requesting Data...</v>
        <stp/>
        <stp>##V3_BQLV12</stp>
        <stp>[MODL_NOW_US1.xlsx]Single Period!R42C23</stp>
        <stp>SEG0000230975 Segment</stp>
        <stp>IS_BILLINGS/1M</stp>
        <stp>FPR=2021Y</stp>
        <stp>FPT=A</stp>
        <stp>FA_ACT_EST_DATA=E, EST_SOURCE=ZXS</stp>
        <stp>ACT_EST_MAPPING=PRECISE</stp>
        <stp>FS=MRC</stp>
        <stp>CURRENCY=USD</stp>
        <stp>XLFILL=b</stp>
        <tr r="W42" s="2"/>
      </tp>
      <tp t="s">
        <v>#N/A Requesting Data...</v>
        <stp/>
        <stp>##V3_BQLV12</stp>
        <stp>[MODL_NOW_US1.xlsx]Single Period!R17C23</stp>
        <stp>SEG0000230975 Segment</stp>
        <stp>IS_BILLINGS/1M</stp>
        <stp>FPR=2021Y</stp>
        <stp>FPT=A</stp>
        <stp>FA_ACT_EST_DATA=E, EST_SOURCE=ZXS</stp>
        <stp>ACT_EST_MAPPING=PRECISE</stp>
        <stp>FS=MRC</stp>
        <stp>CURRENCY=USD</stp>
        <stp>XLFILL=b</stp>
        <tr r="W17" s="2"/>
      </tp>
      <tp t="s">
        <v>#N/A Requesting Data...</v>
        <stp/>
        <stp>##V3_BQLV12</stp>
        <stp>[MODL_NOW_US1.xlsx]Single Period!R43C19</stp>
        <stp>SEG0000230975 Segment</stp>
        <stp>CB_ADJ_BILLINGS_AMT/1M</stp>
        <stp>FPR=2021Y</stp>
        <stp>FPT=A</stp>
        <stp>FA_ACT_EST_DATA=E, EST_SOURCE=MSV</stp>
        <stp>ACT_EST_MAPPING=PRECISE</stp>
        <stp>FS=MRC</stp>
        <stp>CURRENCY=USD</stp>
        <stp>XLFILL=b</stp>
        <tr r="S43" s="2"/>
      </tp>
      <tp t="s">
        <v>#N/A Requesting Data...</v>
        <stp/>
        <stp>##V3_BQLV12</stp>
        <stp>[MODL_NOW_US1.xlsx]Single Period!R125C14</stp>
        <stp>NOW US Equity</stp>
        <stp>OPER_INC_TO_NET_SALES</stp>
        <stp>FPR=2021Y</stp>
        <stp>FPT=A</stp>
        <stp>FA_ACT_EST_DATA=E, EST_SOURCE=BMO</stp>
        <stp>ACT_EST_MAPPING=PRECISE</stp>
        <stp>FS=MRC</stp>
        <stp>CURRENCY=USD</stp>
        <stp>XLFILL=b</stp>
        <tr r="N125" s="2"/>
      </tp>
      <tp t="s">
        <v>#N/A Requesting Data...</v>
        <stp/>
        <stp>##V3_BQLV12</stp>
        <stp>[MODL_NOW_US1.xlsx]Single Period!R208C27</stp>
        <stp>NOW US Equity</stp>
        <stp>CF_CHANGE_IN_OTHR_ASSTS/1M</stp>
        <stp>FPR=2021Y</stp>
        <stp>FPT=A</stp>
        <stp>FA_ACT_EST_DATA=E, EST_SOURCE=RBC</stp>
        <stp>ACT_EST_MAPPING=PRECISE</stp>
        <stp>FS=MRC</stp>
        <stp>CURRENCY=USD</stp>
        <stp>XLFILL=b</stp>
        <tr r="AA208" s="2"/>
      </tp>
      <tp t="s">
        <v>#N/A Requesting Data...</v>
        <stp/>
        <stp>##V3_BQLV12</stp>
        <stp>[MODL_NOW_US1.xlsx]Single Period!R208C32</stp>
        <stp>NOW US Equity</stp>
        <stp>CF_CHANGE_IN_OTHR_ASSTS/1M</stp>
        <stp>FPR=2021Y</stp>
        <stp>FPT=A</stp>
        <stp>FA_ACT_EST_DATA=E, EST_SOURCE=FBC</stp>
        <stp>ACT_EST_MAPPING=PRECISE</stp>
        <stp>FS=MRC</stp>
        <stp>CURRENCY=USD</stp>
        <stp>XLFILL=b</stp>
        <tr r="AF208" s="2"/>
      </tp>
      <tp t="s">
        <v>#N/A Requesting Data...</v>
        <stp/>
        <stp>##V3_BQLV12</stp>
        <stp>[MODL_NOW_US1.xlsx]Single Period!R138C15</stp>
        <stp>NOW US Equity</stp>
        <stp>SBC_NON_GAAP_TO_SALES</stp>
        <stp>FPR=2021Y</stp>
        <stp>FPT=A</stp>
        <stp>FA_ACT_EST_DATA=E, EST_SOURCE=OPY</stp>
        <stp>ACT_EST_MAPPING=PRECISE</stp>
        <stp>FS=MRC</stp>
        <stp>CURRENCY=USD</stp>
        <stp>XLFILL=b</stp>
        <tr r="O138" s="2"/>
      </tp>
      <tp t="s">
        <v>#N/A Requesting Data...</v>
        <stp/>
        <stp>##V3_BQLV12</stp>
        <stp>[MODL_NOW_US1.xlsx]Single Period!R208C25</stp>
        <stp>NOW US Equity</stp>
        <stp>CF_CHANGE_IN_OTHR_ASSTS/1M</stp>
        <stp>FPR=2021Y</stp>
        <stp>FPT=A</stp>
        <stp>FA_ACT_EST_DATA=E, EST_SOURCE=DBG</stp>
        <stp>ACT_EST_MAPPING=PRECISE</stp>
        <stp>FS=MRC</stp>
        <stp>CURRENCY=USD</stp>
        <stp>XLFILL=b</stp>
        <tr r="Y208" s="2"/>
      </tp>
      <tp t="s">
        <v>#N/A Requesting Data...</v>
        <stp/>
        <stp>##V3_BQLV12</stp>
        <stp>[MODL_NOW_US1.xlsx]Single Period!R43C35</stp>
        <stp>SEG0000230975 Segment</stp>
        <stp>CB_ADJ_BILLINGS_AMT/1M</stp>
        <stp>FPR=2021Y</stp>
        <stp>FPT=A</stp>
        <stp>FA_ACT_EST_DATA=E, EST_SOURCE=MSR</stp>
        <stp>ACT_EST_MAPPING=PRECISE</stp>
        <stp>FS=MRC</stp>
        <stp>CURRENCY=USD</stp>
        <stp>XLFILL=b</stp>
        <tr r="AI43" s="2"/>
      </tp>
      <tp t="s">
        <v>#N/A Requesting Data...</v>
        <stp/>
        <stp>##V3_BQLV12</stp>
        <stp>[MODL_NOW_US1.xlsx]Single Period!R43C31</stp>
        <stp>SEG0000230975 Segment</stp>
        <stp>CB_ADJ_BILLINGS_AMT/1M</stp>
        <stp>FPR=2021Y</stp>
        <stp>FPT=A</stp>
        <stp>FA_ACT_EST_DATA=E, EST_SOURCE=GSR</stp>
        <stp>ACT_EST_MAPPING=PRECISE</stp>
        <stp>FS=MRC</stp>
        <stp>CURRENCY=USD</stp>
        <stp>XLFILL=b</stp>
        <tr r="AE43" s="2"/>
      </tp>
      <tp t="s">
        <v>#N/A Requesting Data...</v>
        <stp/>
        <stp>##V3_BQLV12</stp>
        <stp>[MODL_NOW_US1.xlsx]Single Period!R205C45</stp>
        <stp>NOW US Equity</stp>
        <stp>CB_CF_OTHR_NONCSH_ITEMS/1M</stp>
        <stp>FPR=2021Y</stp>
        <stp>FPT=A</stp>
        <stp>FA_ACT_EST_DATA=E, EST_SOURCE=PJE</stp>
        <stp>ACT_EST_MAPPING=PRECISE</stp>
        <stp>FS=MRC</stp>
        <stp>CURRENCY=USD</stp>
        <stp>XLFILL=b</stp>
        <tr r="AS205" s="2"/>
      </tp>
      <tp t="s">
        <v>#N/A Requesting Data...</v>
        <stp/>
        <stp>##V3_BQLV12</stp>
        <stp>[MODL_NOW_US1.xlsx]Single Period!R47C15</stp>
        <stp>SEG0000230986 Segment</stp>
        <stp>CB_ADJ_BILLINGS_AMT/1M</stp>
        <stp>FPR=2021Y</stp>
        <stp>FPT=A</stp>
        <stp>FA_ACT_EST_DATA=E, EST_SOURCE=OPY</stp>
        <stp>ACT_EST_MAPPING=PRECISE</stp>
        <stp>FS=MRC</stp>
        <stp>CURRENCY=USD</stp>
        <stp>XLFILL=b</stp>
        <tr r="O47" s="2"/>
      </tp>
      <tp t="s">
        <v>#N/A Requesting Data...</v>
        <stp/>
        <stp>##V3_BQLV12</stp>
        <stp>[MODL_NOW_US1.xlsx]Single Period!R208C12</stp>
        <stp>NOW US Equity</stp>
        <stp>CF_CHANGE_IN_OTHR_ASSTS/1M</stp>
        <stp>FPR=2021Y</stp>
        <stp>FPT=A</stp>
        <stp>FA_ACT_EST_DATA=E, EST_SOURCE=WBL</stp>
        <stp>ACT_EST_MAPPING=PRECISE</stp>
        <stp>FS=MRC</stp>
        <stp>CURRENCY=USD</stp>
        <stp>XLFILL=b</stp>
        <tr r="L208" s="2"/>
      </tp>
      <tp t="s">
        <v>#N/A Requesting Data...</v>
        <stp/>
        <stp>##V3_BQLV12</stp>
        <stp>[MODL_NOW_US1.xlsx]Single Period!R71C12</stp>
        <stp>SEG0000230986 Segment</stp>
        <stp>CB_IS_GROSS_PROFIT/1M</stp>
        <stp>FPR=2021Y</stp>
        <stp>FPT=A</stp>
        <stp>FA_ACT_EST_DATA=E, EST_SOURCE=WBL</stp>
        <stp>ACT_EST_MAPPING=PRECISE</stp>
        <stp>FS=MRC</stp>
        <stp>CURRENCY=USD</stp>
        <stp>XLFILL=b</stp>
        <tr r="L71" s="2"/>
      </tp>
      <tp t="s">
        <v>#N/A Requesting Data...</v>
        <stp/>
        <stp>##V3_BQLV12</stp>
        <stp>[MODL_NOW_US1.xlsx]Single Period!R213C13</stp>
        <stp>NOW US Equity</stp>
        <stp>CF_CASH_FROM_OPER/1M</stp>
        <stp>FPR=2021Y</stp>
        <stp>FPT=A</stp>
        <stp>FA_ACT_EST_DATA=E, EST_SOURCE=KEY</stp>
        <stp>ACT_EST_MAPPING=PRECISE</stp>
        <stp>FS=MRC</stp>
        <stp>CURRENCY=USD</stp>
        <stp>XLFILL=b</stp>
        <tr r="M213" s="2"/>
      </tp>
      <tp t="s">
        <v>#N/A Requesting Data...</v>
        <stp/>
        <stp>##V3_BQLV12</stp>
        <stp>[MODL_NOW_US1.xlsx]Single Period!R216C27</stp>
        <stp>NOW US Equity</stp>
        <stp>CF_PURCHASE_OF_FIXED_PROD_ASSETS/1M</stp>
        <stp>FPR=2021Y</stp>
        <stp>FPT=A</stp>
        <stp>FA_ACT_EST_DATA=E, EST_SOURCE=RBC</stp>
        <stp>ACT_EST_MAPPING=PRECISE</stp>
        <stp>FS=MRC</stp>
        <stp>CURRENCY=USD</stp>
        <stp>XLFILL=b</stp>
        <tr r="AA216" s="2"/>
      </tp>
      <tp t="s">
        <v>#N/A Requesting Data...</v>
        <stp/>
        <stp>##V3_BQLV12</stp>
        <stp>[MODL_NOW_US1.xlsx]Single Period!R121C14</stp>
        <stp>NOW US Equity</stp>
        <stp>CB_IS_GENL_AND_ADMIN_EXPN/1M</stp>
        <stp>FPR=2021Y</stp>
        <stp>FPT=A</stp>
        <stp>FA_ACT_EST_DATA=E, EST_SOURCE=BMO</stp>
        <stp>ACT_EST_MAPPING=PRECISE</stp>
        <stp>FS=MRC</stp>
        <stp>CURRENCY=USD</stp>
        <stp>XLFILL=b</stp>
        <tr r="N121" s="2"/>
      </tp>
      <tp t="s">
        <v>#N/A Requesting Data...</v>
        <stp/>
        <stp>##V3_BQLV12</stp>
        <stp>[MODL_NOW_US1.xlsx]Single Period!R227C40</stp>
        <stp>NOW US Equity</stp>
        <stp>CF_NET_CSH_PROV_BY_FINANCING_ACT/1M</stp>
        <stp>FPR=2021Y</stp>
        <stp>FPT=A</stp>
        <stp>FA_ACT_EST_DATA=E, EST_SOURCE=DWI</stp>
        <stp>ACT_EST_MAPPING=PRECISE</stp>
        <stp>FS=MRC</stp>
        <stp>CURRENCY=USD</stp>
        <stp>XLFILL=b</stp>
        <tr r="AN227" s="2"/>
      </tp>
      <tp t="s">
        <v>#N/A Requesting Data...</v>
        <stp/>
        <stp>##V3_BQLV12</stp>
        <stp>[MODL_NOW_US1.xlsx]Single Period!R166C5</stp>
        <stp>NOW US Equity</stp>
        <stp>BS_OTHER_INTANGIBLE_ASSETS/1M</stp>
        <stp>FPR=2021Y</stp>
        <stp>FPT=A</stp>
        <stp>FA_ACT_EST_DATA=E</stp>
        <stp>ACT_EST_MAPPING=PRECISE</stp>
        <stp>FS=MRC</stp>
        <stp>CURRENCY=USD</stp>
        <stp>XLFILL=b</stp>
        <tr r="E166" s="2"/>
      </tp>
      <tp t="s">
        <v>#N/A Requesting Data...</v>
        <stp/>
        <stp>##V3_BQLV12</stp>
        <stp>[MODL_NOW_US1.xlsx]Single Period!R216C25</stp>
        <stp>NOW US Equity</stp>
        <stp>CF_PURCHASE_OF_FIXED_PROD_ASSETS/1M</stp>
        <stp>FPR=2021Y</stp>
        <stp>FPT=A</stp>
        <stp>FA_ACT_EST_DATA=E, EST_SOURCE=DBG</stp>
        <stp>ACT_EST_MAPPING=PRECISE</stp>
        <stp>FS=MRC</stp>
        <stp>CURRENCY=USD</stp>
        <stp>XLFILL=b</stp>
        <tr r="Y216" s="2"/>
      </tp>
      <tp t="s">
        <v>#N/A Requesting Data...</v>
        <stp/>
        <stp>##V3_BQLV12</stp>
        <stp>[MODL_NOW_US1.xlsx]Single Period!R221C42</stp>
        <stp>NOW US Equity</stp>
        <stp>CB_CF_OTHER_INVESTING_ACTIVITIES/1M</stp>
        <stp>FPR=2021Y</stp>
        <stp>FPT=A</stp>
        <stp>FA_ACT_EST_DATA=E, EST_SOURCE=CTI</stp>
        <stp>ACT_EST_MAPPING=PRECISE</stp>
        <stp>FS=MRC</stp>
        <stp>CURRENCY=USD</stp>
        <stp>XLFILL=b</stp>
        <tr r="AP221" s="2"/>
      </tp>
      <tp t="s">
        <v>#N/A Requesting Data...</v>
        <stp/>
        <stp>##V3_BQLV12</stp>
        <stp>[MODL_NOW_US1.xlsx]Single Period!R225C48</stp>
        <stp>NOW US Equity</stp>
        <stp>CF_INCR_CAP_STOCK/1M</stp>
        <stp>FPR=2021Y</stp>
        <stp>FPT=A</stp>
        <stp>FA_ACT_EST_DATA=E, EST_SOURCE=CRC</stp>
        <stp>ACT_EST_MAPPING=PRECISE</stp>
        <stp>FS=MRC</stp>
        <stp>CURRENCY=USD</stp>
        <stp>XLFILL=b</stp>
        <tr r="AV225" s="2"/>
      </tp>
      <tp t="s">
        <v>#N/A Requesting Data...</v>
        <stp/>
        <stp>##V3_BQLV12</stp>
        <stp>[MODL_NOW_US1.xlsx]Single Period!R71C25</stp>
        <stp>SEG0000230986 Segment</stp>
        <stp>CB_IS_GROSS_PROFIT/1M</stp>
        <stp>FPR=2021Y</stp>
        <stp>FPT=A</stp>
        <stp>FA_ACT_EST_DATA=E, EST_SOURCE=DBG</stp>
        <stp>ACT_EST_MAPPING=PRECISE</stp>
        <stp>FS=MRC</stp>
        <stp>CURRENCY=USD</stp>
        <stp>XLFILL=b</stp>
        <tr r="Y71" s="2"/>
      </tp>
      <tp t="s">
        <v>#N/A Requesting Data...</v>
        <stp/>
        <stp>##V3_BQLV12</stp>
        <stp>[MODL_NOW_US1.xlsx]Single Period!R213C18</stp>
        <stp>NOW US Equity</stp>
        <stp>CF_CASH_FROM_OPER/1M</stp>
        <stp>FPR=2021Y</stp>
        <stp>FPT=A</stp>
        <stp>FA_ACT_EST_DATA=E, EST_SOURCE=SNR</stp>
        <stp>ACT_EST_MAPPING=PRECISE</stp>
        <stp>FS=MRC</stp>
        <stp>CURRENCY=USD</stp>
        <stp>XLFILL=b</stp>
        <tr r="R213" s="2"/>
      </tp>
      <tp t="s">
        <v>#N/A Requesting Data...</v>
        <stp/>
        <stp>##V3_BQLV12</stp>
        <stp>[MODL_NOW_US1.xlsx]Single Period!R71C32</stp>
        <stp>SEG0000230986 Segment</stp>
        <stp>CB_IS_GROSS_PROFIT/1M</stp>
        <stp>FPR=2021Y</stp>
        <stp>FPT=A</stp>
        <stp>FA_ACT_EST_DATA=E, EST_SOURCE=FBC</stp>
        <stp>ACT_EST_MAPPING=PRECISE</stp>
        <stp>FS=MRC</stp>
        <stp>CURRENCY=USD</stp>
        <stp>XLFILL=b</stp>
        <tr r="AF71" s="2"/>
      </tp>
      <tp t="s">
        <v>#N/A Requesting Data...</v>
        <stp/>
        <stp>##V3_BQLV12</stp>
        <stp>[MODL_NOW_US1.xlsx]Single Period!R71C27</stp>
        <stp>SEG0000230986 Segment</stp>
        <stp>CB_IS_GROSS_PROFIT/1M</stp>
        <stp>FPR=2021Y</stp>
        <stp>FPT=A</stp>
        <stp>FA_ACT_EST_DATA=E, EST_SOURCE=RBC</stp>
        <stp>ACT_EST_MAPPING=PRECISE</stp>
        <stp>FS=MRC</stp>
        <stp>CURRENCY=USD</stp>
        <stp>XLFILL=b</stp>
        <tr r="AA71" s="2"/>
      </tp>
      <tp t="s">
        <v>#N/A Requesting Data...</v>
        <stp/>
        <stp>##V3_BQLV12</stp>
        <stp>[MODL_NOW_US1.xlsx]Single Period!R221C34</stp>
        <stp>NOW US Equity</stp>
        <stp>CB_CF_OTHER_INVESTING_ACTIVITIES/1M</stp>
        <stp>FPR=2021Y</stp>
        <stp>FPT=A</stp>
        <stp>FA_ACT_EST_DATA=E, EST_SOURCE=PSG</stp>
        <stp>ACT_EST_MAPPING=PRECISE</stp>
        <stp>FS=MRC</stp>
        <stp>CURRENCY=USD</stp>
        <stp>XLFILL=b</stp>
        <tr r="AH221" s="2"/>
      </tp>
      <tp t="s">
        <v>#N/A Requesting Data...</v>
        <stp/>
        <stp>##V3_BQLV12</stp>
        <stp>[MODL_NOW_US1.xlsx]Single Period!R218C39</stp>
        <stp>NOW US Equity</stp>
        <stp>CF_ACQUISITION_OF_INTANG_ASSETS/1M</stp>
        <stp>FPR=2021Y</stp>
        <stp>FPT=A</stp>
        <stp>FA_ACT_EST_DATA=E, EST_SOURCE=DZB</stp>
        <stp>ACT_EST_MAPPING=PRECISE</stp>
        <stp>FS=MRC</stp>
        <stp>CURRENCY=USD</stp>
        <stp>XLFILL=b</stp>
        <tr r="AM218" s="2"/>
      </tp>
      <tp t="s">
        <v>#N/A Requesting Data...</v>
        <stp/>
        <stp>##V3_BQLV12</stp>
        <stp>[MODL_NOW_US1.xlsx]Single Period!R182C37</stp>
        <stp>NOW US Equity</stp>
        <stp>BS_OTHER_NONCURRENT_LIABILITIES/1M</stp>
        <stp>FPR=2021Y</stp>
        <stp>FPT=A</stp>
        <stp>FA_ACT_EST_DATA=E, EST_SOURCE=TTC</stp>
        <stp>ACT_EST_MAPPING=PRECISE</stp>
        <stp>FS=MRC</stp>
        <stp>CURRENCY=USD</stp>
        <stp>XLFILL=b</stp>
        <tr r="AK182" s="2"/>
      </tp>
      <tp t="s">
        <v>#N/A Requesting Data...</v>
        <stp/>
        <stp>##V3_BQLV12</stp>
        <stp>[MODL_NOW_US1.xlsx]Single Period!R216C26</stp>
        <stp>NOW US Equity</stp>
        <stp>CF_PURCHASE_OF_FIXED_PROD_ASSETS/1M</stp>
        <stp>FPR=2021Y</stp>
        <stp>FPT=A</stp>
        <stp>FA_ACT_EST_DATA=E, EST_SOURCE=UBS</stp>
        <stp>ACT_EST_MAPPING=PRECISE</stp>
        <stp>FS=MRC</stp>
        <stp>CURRENCY=USD</stp>
        <stp>XLFILL=b</stp>
        <tr r="Z216" s="2"/>
      </tp>
      <tp t="s">
        <v>#N/A Requesting Data...</v>
        <stp/>
        <stp>##V3_BQLV12</stp>
        <stp>[MODL_NOW_US1.xlsx]Single Period!R213C22</stp>
        <stp>NOW US Equity</stp>
        <stp>CF_CASH_FROM_OPER/1M</stp>
        <stp>FPR=2021Y</stp>
        <stp>FPT=A</stp>
        <stp>FA_ACT_EST_DATA=E, EST_SOURCE=NDH</stp>
        <stp>ACT_EST_MAPPING=PRECISE</stp>
        <stp>FS=MRC</stp>
        <stp>CURRENCY=USD</stp>
        <stp>XLFILL=b</stp>
        <tr r="V213" s="2"/>
      </tp>
      <tp t="s">
        <v>#N/A Requesting Data...</v>
        <stp/>
        <stp>##V3_BQLV12</stp>
        <stp>[MODL_NOW_US1.xlsx]Single Period!R225C19</stp>
        <stp>NOW US Equity</stp>
        <stp>CF_INCR_CAP_STOCK/1M</stp>
        <stp>FPR=2021Y</stp>
        <stp>FPT=A</stp>
        <stp>FA_ACT_EST_DATA=E, EST_SOURCE=MSV</stp>
        <stp>ACT_EST_MAPPING=PRECISE</stp>
        <stp>FS=MRC</stp>
        <stp>CURRENCY=USD</stp>
        <stp>XLFILL=b</stp>
        <tr r="S225" s="2"/>
      </tp>
      <tp t="s">
        <v>#N/A Requesting Data...</v>
        <stp/>
        <stp>##V3_BQLV12</stp>
        <stp>[MODL_NOW_US1.xlsx]Single Period!R218C46</stp>
        <stp>NOW US Equity</stp>
        <stp>CF_ACQUISITION_OF_INTANG_ASSETS/1M</stp>
        <stp>FPR=2021Y</stp>
        <stp>FPT=A</stp>
        <stp>FA_ACT_EST_DATA=E, EST_SOURCE=MZS</stp>
        <stp>ACT_EST_MAPPING=PRECISE</stp>
        <stp>FS=MRC</stp>
        <stp>CURRENCY=USD</stp>
        <stp>XLFILL=b</stp>
        <tr r="AT218" s="2"/>
      </tp>
      <tp t="s">
        <v>#N/A Requesting Data...</v>
        <stp/>
        <stp>##V3_BQLV12</stp>
        <stp>[MODL_NOW_US1.xlsx]Single Period!R155C23</stp>
        <stp>NOW US Equity</stp>
        <stp>BS_CASH_CASH_EQUIVALENTS_AND_STI/1M</stp>
        <stp>FPR=2021Y</stp>
        <stp>FPT=A</stp>
        <stp>FA_ACT_EST_DATA=E, EST_SOURCE=ZXS</stp>
        <stp>ACT_EST_MAPPING=PRECISE</stp>
        <stp>FS=MRC</stp>
        <stp>CURRENCY=USD</stp>
        <stp>XLFILL=b</stp>
        <tr r="W155" s="2"/>
      </tp>
      <tp t="s">
        <v>#N/A Requesting Data...</v>
        <stp/>
        <stp>##V3_BQLV12</stp>
        <stp>[MODL_NOW_US1.xlsx]Single Period!R221C35</stp>
        <stp>NOW US Equity</stp>
        <stp>CB_CF_OTHER_INVESTING_ACTIVITIES/1M</stp>
        <stp>FPR=2021Y</stp>
        <stp>FPT=A</stp>
        <stp>FA_ACT_EST_DATA=E, EST_SOURCE=MSR</stp>
        <stp>ACT_EST_MAPPING=PRECISE</stp>
        <stp>FS=MRC</stp>
        <stp>CURRENCY=USD</stp>
        <stp>XLFILL=b</stp>
        <tr r="AI221" s="2"/>
      </tp>
      <tp t="s">
        <v>#N/A Requesting Data...</v>
        <stp/>
        <stp>##V3_BQLV12</stp>
        <stp>[MODL_NOW_US1.xlsx]Single Period!R148C28</stp>
        <stp>NOW US Equity</stp>
        <stp>IS_AMORT_ACQD_INTANGIBLES_R_AND_D/1M</stp>
        <stp>FPR=2021Y</stp>
        <stp>FPT=A</stp>
        <stp>FA_ACT_EST_DATA=E, EST_SOURCE=EVR</stp>
        <stp>ACT_EST_MAPPING=PRECISE</stp>
        <stp>FS=MRC</stp>
        <stp>CURRENCY=USD</stp>
        <stp>XLFILL=b</stp>
        <tr r="AB148" s="2"/>
      </tp>
      <tp t="s">
        <v>#N/A Requesting Data...</v>
        <stp/>
        <stp>##V3_BQLV12</stp>
        <stp>[MODL_NOW_US1.xlsx]Single Period!R182C42</stp>
        <stp>NOW US Equity</stp>
        <stp>BS_OTHER_NONCURRENT_LIABILITIES/1M</stp>
        <stp>FPR=2021Y</stp>
        <stp>FPT=A</stp>
        <stp>FA_ACT_EST_DATA=E, EST_SOURCE=CTI</stp>
        <stp>ACT_EST_MAPPING=PRECISE</stp>
        <stp>FS=MRC</stp>
        <stp>CURRENCY=USD</stp>
        <stp>XLFILL=b</stp>
        <tr r="AP182" s="2"/>
      </tp>
      <tp t="s">
        <v>#N/A Requesting Data...</v>
        <stp/>
        <stp>##V3_BQLV12</stp>
        <stp>[MODL_NOW_US1.xlsx]Single Period!R71C26</stp>
        <stp>SEG0000230986 Segment</stp>
        <stp>CB_IS_GROSS_PROFIT/1M</stp>
        <stp>FPR=2021Y</stp>
        <stp>FPT=A</stp>
        <stp>FA_ACT_EST_DATA=E, EST_SOURCE=UBS</stp>
        <stp>ACT_EST_MAPPING=PRECISE</stp>
        <stp>FS=MRC</stp>
        <stp>CURRENCY=USD</stp>
        <stp>XLFILL=b</stp>
        <tr r="Z71" s="2"/>
      </tp>
      <tp t="s">
        <v>#N/A Requesting Data...</v>
        <stp/>
        <stp>##V3_BQLV12</stp>
        <stp>[MODL_NOW_US1.xlsx]Single Period!R221C31</stp>
        <stp>NOW US Equity</stp>
        <stp>CB_CF_OTHER_INVESTING_ACTIVITIES/1M</stp>
        <stp>FPR=2021Y</stp>
        <stp>FPT=A</stp>
        <stp>FA_ACT_EST_DATA=E, EST_SOURCE=GSR</stp>
        <stp>ACT_EST_MAPPING=PRECISE</stp>
        <stp>FS=MRC</stp>
        <stp>CURRENCY=USD</stp>
        <stp>XLFILL=b</stp>
        <tr r="AE221" s="2"/>
      </tp>
      <tp t="s">
        <v>#N/A Requesting Data...</v>
        <stp/>
        <stp>##V3_BQLV12</stp>
        <stp>[MODL_NOW_US1.xlsx]Single Period!R239C23</stp>
        <stp>NOW US Equity</stp>
        <stp>CFO_TO_SALES</stp>
        <stp>FPR=2021Y</stp>
        <stp>FPT=A</stp>
        <stp>FA_ACT_EST_DATA=E, EST_SOURCE=ZXS</stp>
        <stp>ACT_EST_MAPPING=PRECISE</stp>
        <stp>FS=MRC</stp>
        <stp>CURRENCY=USD</stp>
        <stp>XLFILL=b</stp>
        <tr r="W239" s="2"/>
      </tp>
      <tp t="s">
        <v>#N/A Requesting Data...</v>
        <stp/>
        <stp>##V3_BQLV12</stp>
        <stp>[MODL_NOW_US1.xlsx]Single Period!R129C17</stp>
        <stp>NOW US Equity</stp>
        <stp>EFF_TAX_RATE</stp>
        <stp>FPR=2021Y</stp>
        <stp>FPT=A</stp>
        <stp>FA_ACT_EST_DATA=E, EST_SOURCE=RHR</stp>
        <stp>ACT_EST_MAPPING=PRECISE</stp>
        <stp>FS=MRC</stp>
        <stp>CURRENCY=USD</stp>
        <stp>XLFILL=b</stp>
        <tr r="Q129" s="2"/>
      </tp>
      <tp t="s">
        <v>#N/A Requesting Data...</v>
        <stp/>
        <stp>##V3_BQLV12</stp>
        <stp>[MODL_NOW_US1.xlsx]Single Period!R39C10</stp>
        <stp>NOW US Equity</stp>
        <stp>IS_BILLINGS/1M</stp>
        <stp>FPR=2021Y</stp>
        <stp>FPT=A</stp>
        <stp>FA_ACT_EST_DATA=E, EST_SOURCE=CMPY</stp>
        <stp>ACT_EST_MAPPING=PRECISE</stp>
        <stp>FS=MRC</stp>
        <stp>CURRENCY=USD</stp>
        <stp>XLFILL=b</stp>
        <tr r="J39" s="2"/>
      </tp>
      <tp t="s">
        <v>#N/A Requesting Data...</v>
        <stp/>
        <stp>##V3_BQLV12</stp>
        <stp>[MODL_NOW_US1.xlsx]Single Period!R129C45</stp>
        <stp>NOW US Equity</stp>
        <stp>EFF_TAX_RATE</stp>
        <stp>FPR=2021Y</stp>
        <stp>FPT=A</stp>
        <stp>FA_ACT_EST_DATA=E, EST_SOURCE=PJE</stp>
        <stp>ACT_EST_MAPPING=PRECISE</stp>
        <stp>FS=MRC</stp>
        <stp>CURRENCY=USD</stp>
        <stp>XLFILL=b</stp>
        <tr r="AS129" s="2"/>
      </tp>
      <tp t="s">
        <v>#N/A Requesting Data...</v>
        <stp/>
        <stp>##V3_BQLV12</stp>
        <stp>[MODL_NOW_US1.xlsx]Single Period!R116C14</stp>
        <stp>NOW US Equity</stp>
        <stp>GROSS_MARGIN</stp>
        <stp>FPR=2021Y</stp>
        <stp>FPT=A</stp>
        <stp>FA_ACT_EST_DATA=E, EST_SOURCE=BMO</stp>
        <stp>ACT_EST_MAPPING=PRECISE</stp>
        <stp>FS=MRC</stp>
        <stp>CURRENCY=USD</stp>
        <stp>XLFILL=b</stp>
        <tr r="N116" s="2"/>
      </tp>
      <tp t="s">
        <v>#N/A Requesting Data...</v>
        <stp/>
        <stp>##V3_BQLV12</stp>
        <stp>[MODL_NOW_US1.xlsx]Single Period!R114C7</stp>
        <stp>SEG0000230986 Segment</stp>
        <stp>CONTRIBUTOR_STATS(CB_IS_GROSS_MARGIN, MAX)</stp>
        <stp>FPR=2021Y</stp>
        <stp>FPT=A</stp>
        <stp>FA_ACT_EST_DATA=E</stp>
        <stp>ACT_EST_MAPPING=PRECISE</stp>
        <stp>FS=MRC</stp>
        <stp>CURRENCY=USD</stp>
        <stp>XLFILL=b</stp>
        <tr r="G114" s="2"/>
      </tp>
      <tp t="s">
        <v>#N/A Requesting Data...</v>
        <stp/>
        <stp>##V3_BQLV12</stp>
        <stp>[MODL_NOW_US1.xlsx]Single Period!R96C17</stp>
        <stp>NOW US Equity</stp>
        <stp>ADJ_OPERATING_MARGIN</stp>
        <stp>FPR=2021Y</stp>
        <stp>FPT=A</stp>
        <stp>FA_ACT_EST_DATA=E, EST_SOURCE=RHR</stp>
        <stp>ACT_EST_MAPPING=PRECISE</stp>
        <stp>FS=MRC</stp>
        <stp>CURRENCY=USD</stp>
        <stp>XLFILL=b</stp>
        <tr r="Q96" s="2"/>
      </tp>
      <tp t="s">
        <v>#N/A Requesting Data...</v>
        <stp/>
        <stp>##V3_BQLV12</stp>
        <stp>[MODL_NOW_US1.xlsx]Single Period!R166C40</stp>
        <stp>NOW US Equity</stp>
        <stp>BS_OTHER_INTANGIBLE_ASSETS/1M</stp>
        <stp>FPR=2021Y</stp>
        <stp>FPT=A</stp>
        <stp>FA_ACT_EST_DATA=E, EST_SOURCE=DWI</stp>
        <stp>ACT_EST_MAPPING=PRECISE</stp>
        <stp>FS=MRC</stp>
        <stp>CURRENCY=USD</stp>
        <stp>XLFILL=b</stp>
        <tr r="AN166" s="2"/>
      </tp>
      <tp t="s">
        <v>#N/A Requesting Data...</v>
        <stp/>
        <stp>##V3_BQLV12</stp>
        <stp>[MODL_NOW_US1.xlsx]Single Period!R164C17</stp>
        <stp>NOW US Equity</stp>
        <stp>CB_BS_PP_AND_E_NET/1M</stp>
        <stp>FPR=2021Y</stp>
        <stp>FPT=A</stp>
        <stp>FA_ACT_EST_DATA=E, EST_SOURCE=RHR</stp>
        <stp>ACT_EST_MAPPING=PRECISE</stp>
        <stp>FS=MRC</stp>
        <stp>CURRENCY=USD</stp>
        <stp>XLFILL=b</stp>
        <tr r="Q164" s="2"/>
      </tp>
      <tp t="s">
        <v>#N/A Requesting Data...</v>
        <stp/>
        <stp>##V3_BQLV12</stp>
        <stp>[MODL_NOW_US1.xlsx]Single Period!R91C40</stp>
        <stp>NOW US Equity</stp>
        <stp>ADJ_R_AND_D_TO_SALES</stp>
        <stp>FPR=2021Y</stp>
        <stp>FPT=A</stp>
        <stp>FA_ACT_EST_DATA=E, EST_SOURCE=DWI</stp>
        <stp>ACT_EST_MAPPING=PRECISE</stp>
        <stp>FS=MRC</stp>
        <stp>CURRENCY=USD</stp>
        <stp>XLFILL=b</stp>
        <tr r="AN91" s="2"/>
      </tp>
      <tp t="s">
        <v>#N/A Requesting Data...</v>
        <stp/>
        <stp>##V3_BQLV12</stp>
        <stp>[MODL_NOW_US1.xlsx]Single Period!R166C24</stp>
        <stp>NOW US Equity</stp>
        <stp>BS_OTHER_INTANGIBLE_ASSETS/1M</stp>
        <stp>FPR=2021Y</stp>
        <stp>FPT=A</stp>
        <stp>FA_ACT_EST_DATA=E, EST_SOURCE=CWN</stp>
        <stp>ACT_EST_MAPPING=PRECISE</stp>
        <stp>FS=MRC</stp>
        <stp>CURRENCY=USD</stp>
        <stp>XLFILL=b</stp>
        <tr r="X166" s="2"/>
      </tp>
      <tp t="s">
        <v>#N/A Requesting Data...</v>
        <stp/>
        <stp>##V3_BQLV12</stp>
        <stp>[MODL_NOW_US1.xlsx]Single Period!R91C5</stp>
        <stp>NOW US Equity</stp>
        <stp>ADJ_R_AND_D_TO_SALES</stp>
        <stp>FPR=2021Y</stp>
        <stp>FPT=A</stp>
        <stp>FA_ACT_EST_DATA=E</stp>
        <stp>ACT_EST_MAPPING=PRECISE</stp>
        <stp>FS=MRC</stp>
        <stp>CURRENCY=USD</stp>
        <stp>XLFILL=b</stp>
        <tr r="E91" s="2"/>
      </tp>
      <tp t="s">
        <v>#N/A Requesting Data...</v>
        <stp/>
        <stp>##V3_BQLV12</stp>
        <stp>[MODL_NOW_US1.xlsx]Single Period!R149C12</stp>
        <stp>NOW US Equity</stp>
        <stp>IS_AMORT_ACQD_INTANG_GEN_AND_ADMIN/1M</stp>
        <stp>FPR=2021Y</stp>
        <stp>FPT=A</stp>
        <stp>FA_ACT_EST_DATA=E, EST_SOURCE=WBL</stp>
        <stp>ACT_EST_MAPPING=PRECISE</stp>
        <stp>FS=MRC</stp>
        <stp>CURRENCY=USD</stp>
        <stp>XLFILL=b</stp>
        <tr r="L149" s="2"/>
      </tp>
      <tp t="s">
        <v>#N/A Requesting Data...</v>
        <stp/>
        <stp>##V3_BQLV12</stp>
        <stp>[MODL_NOW_US1.xlsx]Single Period!R114C6</stp>
        <stp>SEG0000230986 Segment</stp>
        <stp>CONTRIBUTOR_STATS(CB_IS_GROSS_MARGIN, MIN)</stp>
        <stp>FPR=2021Y</stp>
        <stp>FPT=A</stp>
        <stp>FA_ACT_EST_DATA=E</stp>
        <stp>ACT_EST_MAPPING=PRECISE</stp>
        <stp>FS=MRC</stp>
        <stp>CURRENCY=USD</stp>
        <stp>XLFILL=b</stp>
        <tr r="F114" s="2"/>
      </tp>
      <tp t="s">
        <v>#N/A Requesting Data...</v>
        <stp/>
        <stp>##V3_BQLV12</stp>
        <stp>[MODL_NOW_US1.xlsx]Single Period!R20C10</stp>
        <stp>SEG0000230986 Segment</stp>
        <stp>SALES_REV_TURN/1M</stp>
        <stp>FPR=2021Y</stp>
        <stp>FPT=A</stp>
        <stp>FA_ACT_EST_DATA=E, EST_SOURCE=CMPY</stp>
        <stp>ACT_EST_MAPPING=PRECISE</stp>
        <stp>FS=MRC</stp>
        <stp>CURRENCY=USD</stp>
        <stp>XLFILL=b</stp>
        <tr r="J20" s="2"/>
      </tp>
      <tp t="s">
        <v>#N/A Requesting Data...</v>
        <stp/>
        <stp>##V3_BQLV12</stp>
        <stp>[MODL_NOW_US1.xlsx]Single Period!R66C10</stp>
        <stp>SEG0000230986 Segment</stp>
        <stp>SALES_REV_TURN/1M</stp>
        <stp>FPR=2021Y</stp>
        <stp>FPT=A</stp>
        <stp>FA_ACT_EST_DATA=E, EST_SOURCE=CMPY</stp>
        <stp>ACT_EST_MAPPING=PRECISE</stp>
        <stp>FS=MRC</stp>
        <stp>CURRENCY=USD</stp>
        <stp>XLFILL=b</stp>
        <tr r="J66" s="2"/>
      </tp>
      <tp t="s">
        <v>#N/A Requesting Data...</v>
        <stp/>
        <stp>##V3_BQLV12</stp>
        <stp>[MODL_NOW_US1.xlsx]Single Period!R149C32</stp>
        <stp>NOW US Equity</stp>
        <stp>IS_AMORT_ACQD_INTANG_GEN_AND_ADMIN/1M</stp>
        <stp>FPR=2021Y</stp>
        <stp>FPT=A</stp>
        <stp>FA_ACT_EST_DATA=E, EST_SOURCE=FBC</stp>
        <stp>ACT_EST_MAPPING=PRECISE</stp>
        <stp>FS=MRC</stp>
        <stp>CURRENCY=USD</stp>
        <stp>XLFILL=b</stp>
        <tr r="AF149" s="2"/>
      </tp>
      <tp t="s">
        <v>#N/A Requesting Data...</v>
        <stp/>
        <stp>##V3_BQLV12</stp>
        <stp>[MODL_NOW_US1.xlsx]Single Period!R149C27</stp>
        <stp>NOW US Equity</stp>
        <stp>IS_AMORT_ACQD_INTANG_GEN_AND_ADMIN/1M</stp>
        <stp>FPR=2021Y</stp>
        <stp>FPT=A</stp>
        <stp>FA_ACT_EST_DATA=E, EST_SOURCE=RBC</stp>
        <stp>ACT_EST_MAPPING=PRECISE</stp>
        <stp>FS=MRC</stp>
        <stp>CURRENCY=USD</stp>
        <stp>XLFILL=b</stp>
        <tr r="AA149" s="2"/>
      </tp>
      <tp t="s">
        <v>#N/A Requesting Data...</v>
        <stp/>
        <stp>##V3_BQLV12</stp>
        <stp>[MODL_NOW_US1.xlsx]Single Period!R144C34</stp>
        <stp>NOW US Equity</stp>
        <stp>IS_SBC_ATT_TO_GENL_AND_ADMIN_PRETX/1M</stp>
        <stp>FPR=2021Y</stp>
        <stp>FPT=A</stp>
        <stp>FA_ACT_EST_DATA=E, EST_SOURCE=PSG</stp>
        <stp>ACT_EST_MAPPING=PRECISE</stp>
        <stp>FS=MRC</stp>
        <stp>CURRENCY=USD</stp>
        <stp>XLFILL=b</stp>
        <tr r="AH144" s="2"/>
      </tp>
      <tp t="s">
        <v>#N/A Requesting Data...</v>
        <stp/>
        <stp>##V3_BQLV12</stp>
        <stp>[MODL_NOW_US1.xlsx]Single Period!R83C10</stp>
        <stp>NOW US Equity</stp>
        <stp>IS_ADJUSTED_COGS_AS_REPORTED/1M</stp>
        <stp>FPR=2021Y</stp>
        <stp>FPT=A</stp>
        <stp>FA_ACT_EST_DATA=E, EST_SOURCE=CMPY</stp>
        <stp>ACT_EST_MAPPING=PRECISE</stp>
        <stp>FS=MRC</stp>
        <stp>CURRENCY=USD</stp>
        <stp>XLFILL=b</stp>
        <tr r="J83" s="2"/>
      </tp>
      <tp t="s">
        <v>#N/A Requesting Data...</v>
        <stp/>
        <stp>##V3_BQLV12</stp>
        <stp>[MODL_NOW_US1.xlsx]Single Period!R147C5</stp>
        <stp>NOW US Equity</stp>
        <stp>IS_AMORT_OF_TOT_INTANG_PRETX/1M</stp>
        <stp>FPR=2021Y</stp>
        <stp>FPT=A</stp>
        <stp>FA_ACT_EST_DATA=E</stp>
        <stp>ACT_EST_MAPPING=PRECISE</stp>
        <stp>FS=MRC</stp>
        <stp>CURRENCY=USD</stp>
        <stp>XLFILL=b</stp>
        <tr r="E147" s="2"/>
      </tp>
      <tp t="s">
        <v>#N/A Requesting Data...</v>
        <stp/>
        <stp>##V3_BQLV12</stp>
        <stp>[MODL_NOW_US1.xlsx]Single Period!R212C22</stp>
        <stp>NOW US Equity</stp>
        <stp>CF_CHANGE_IN_ACCRUD_EXPNSS/1M</stp>
        <stp>FPR=2021Y</stp>
        <stp>FPT=A</stp>
        <stp>FA_ACT_EST_DATA=E, EST_SOURCE=NDH</stp>
        <stp>ACT_EST_MAPPING=PRECISE</stp>
        <stp>FS=MRC</stp>
        <stp>CURRENCY=USD</stp>
        <stp>XLFILL=b</stp>
        <tr r="V212" s="2"/>
      </tp>
      <tp t="s">
        <v>#N/A Requesting Data...</v>
        <stp/>
        <stp>##V3_BQLV12</stp>
        <stp>[MODL_NOW_US1.xlsx]Single Period!R166C38</stp>
        <stp>NOW US Equity</stp>
        <stp>BS_OTHER_INTANGIBLE_ASSETS/1M</stp>
        <stp>FPR=2021Y</stp>
        <stp>FPT=A</stp>
        <stp>FA_ACT_EST_DATA=E, EST_SOURCE=RWB</stp>
        <stp>ACT_EST_MAPPING=PRECISE</stp>
        <stp>FS=MRC</stp>
        <stp>CURRENCY=USD</stp>
        <stp>XLFILL=b</stp>
        <tr r="AL166" s="2"/>
      </tp>
      <tp t="s">
        <v>#N/A Requesting Data...</v>
        <stp/>
        <stp>##V3_BQLV12</stp>
        <stp>[MODL_NOW_US1.xlsx]Single Period!R91C34</stp>
        <stp>NOW US Equity</stp>
        <stp>ADJ_R_AND_D_TO_SALES</stp>
        <stp>FPR=2021Y</stp>
        <stp>FPT=A</stp>
        <stp>FA_ACT_EST_DATA=E, EST_SOURCE=PSG</stp>
        <stp>ACT_EST_MAPPING=PRECISE</stp>
        <stp>FS=MRC</stp>
        <stp>CURRENCY=USD</stp>
        <stp>XLFILL=b</stp>
        <tr r="AH91" s="2"/>
      </tp>
      <tp t="s">
        <v>#N/A Requesting Data...</v>
        <stp/>
        <stp>##V3_BQLV12</stp>
        <stp>[MODL_NOW_US1.xlsx]Single Period!R149C25</stp>
        <stp>NOW US Equity</stp>
        <stp>IS_AMORT_ACQD_INTANG_GEN_AND_ADMIN/1M</stp>
        <stp>FPR=2021Y</stp>
        <stp>FPT=A</stp>
        <stp>FA_ACT_EST_DATA=E, EST_SOURCE=DBG</stp>
        <stp>ACT_EST_MAPPING=PRECISE</stp>
        <stp>FS=MRC</stp>
        <stp>CURRENCY=USD</stp>
        <stp>XLFILL=b</stp>
        <tr r="Y149" s="2"/>
      </tp>
      <tp t="s">
        <v>#N/A Requesting Data...</v>
        <stp/>
        <stp>##V3_BQLV12</stp>
        <stp>[MODL_NOW_US1.xlsx]Single Period!R28C26</stp>
        <stp>NOW US Equity</stp>
        <stp>ADJ_OPERATING_MARGIN</stp>
        <stp>FPR=2021Y</stp>
        <stp>FPT=A</stp>
        <stp>FA_ACT_EST_DATA=E, EST_SOURCE=UBS</stp>
        <stp>ACT_EST_MAPPING=PRECISE</stp>
        <stp>FS=MRC</stp>
        <stp>CURRENCY=USD</stp>
        <stp>XLFILL=b</stp>
        <tr r="Z28" s="2"/>
      </tp>
      <tp t="s">
        <v>#N/A Requesting Data...</v>
        <stp/>
        <stp>##V3_BQLV12</stp>
        <stp>[MODL_NOW_US1.xlsx]Single Period!R194C43</stp>
        <stp>NOW US Equity</stp>
        <stp>CB_BS_OTHER_CURRENT_ASSETS/1M</stp>
        <stp>FPR=2021Y</stp>
        <stp>FPT=A</stp>
        <stp>FA_ACT_EST_DATA=E, EST_SOURCE=WFT</stp>
        <stp>ACT_EST_MAPPING=PRECISE</stp>
        <stp>FS=MRC</stp>
        <stp>CURRENCY=USD</stp>
        <stp>XLFILL=b</stp>
        <tr r="AQ194" s="2"/>
      </tp>
      <tp t="s">
        <v>#N/A Requesting Data...</v>
        <stp/>
        <stp>##V3_BQLV12</stp>
        <stp>[MODL_NOW_US1.xlsx]Single Period!R157C16</stp>
        <stp>NOW US Equity</stp>
        <stp>BS_MKT_SEC_OTHER_ST_INVEST/1M</stp>
        <stp>FPR=2021Y</stp>
        <stp>FPT=A</stp>
        <stp>FA_ACT_EST_DATA=E, EST_SOURCE=BCA</stp>
        <stp>ACT_EST_MAPPING=PRECISE</stp>
        <stp>FS=MRC</stp>
        <stp>CURRENCY=USD</stp>
        <stp>XLFILL=b</stp>
        <tr r="P157" s="2"/>
      </tp>
      <tp t="s">
        <v>#N/A Requesting Data...</v>
        <stp/>
        <stp>##V3_BQLV12</stp>
        <stp>[MODL_NOW_US1.xlsx]Single Period!R96C45</stp>
        <stp>NOW US Equity</stp>
        <stp>ADJ_OPERATING_MARGIN</stp>
        <stp>FPR=2021Y</stp>
        <stp>FPT=A</stp>
        <stp>FA_ACT_EST_DATA=E, EST_SOURCE=PJE</stp>
        <stp>ACT_EST_MAPPING=PRECISE</stp>
        <stp>FS=MRC</stp>
        <stp>CURRENCY=USD</stp>
        <stp>XLFILL=b</stp>
        <tr r="AS96" s="2"/>
      </tp>
      <tp t="s">
        <v>#N/A Requesting Data...</v>
        <stp/>
        <stp>##V3_BQLV12</stp>
        <stp>[MODL_NOW_US1.xlsx]Single Period!R157C49</stp>
        <stp>NOW US Equity</stp>
        <stp>BS_MKT_SEC_OTHER_ST_INVEST/1M</stp>
        <stp>FPR=2021Y</stp>
        <stp>FPT=A</stp>
        <stp>FA_ACT_EST_DATA=E, EST_SOURCE=SCB</stp>
        <stp>ACT_EST_MAPPING=PRECISE</stp>
        <stp>FS=MRC</stp>
        <stp>CURRENCY=USD</stp>
        <stp>XLFILL=b</stp>
        <tr r="AW157" s="2"/>
      </tp>
      <tp t="s">
        <v>#N/A Requesting Data...</v>
        <stp/>
        <stp>##V3_BQLV12</stp>
        <stp>[MODL_NOW_US1.xlsx]Single Period!R144C19</stp>
        <stp>NOW US Equity</stp>
        <stp>IS_SBC_ATT_TO_GENL_AND_ADMIN_PRETX/1M</stp>
        <stp>FPR=2021Y</stp>
        <stp>FPT=A</stp>
        <stp>FA_ACT_EST_DATA=E, EST_SOURCE=MSV</stp>
        <stp>ACT_EST_MAPPING=PRECISE</stp>
        <stp>FS=MRC</stp>
        <stp>CURRENCY=USD</stp>
        <stp>XLFILL=b</stp>
        <tr r="S144" s="2"/>
      </tp>
      <tp t="s">
        <v>#N/A Requesting Data...</v>
        <stp/>
        <stp>##V3_BQLV12</stp>
        <stp>[MODL_NOW_US1.xlsx]Single Period!R149C26</stp>
        <stp>NOW US Equity</stp>
        <stp>IS_AMORT_ACQD_INTANG_GEN_AND_ADMIN/1M</stp>
        <stp>FPR=2021Y</stp>
        <stp>FPT=A</stp>
        <stp>FA_ACT_EST_DATA=E, EST_SOURCE=UBS</stp>
        <stp>ACT_EST_MAPPING=PRECISE</stp>
        <stp>FS=MRC</stp>
        <stp>CURRENCY=USD</stp>
        <stp>XLFILL=b</stp>
        <tr r="Z149" s="2"/>
      </tp>
      <tp t="s">
        <v>#N/A Requesting Data...</v>
        <stp/>
        <stp>##V3_BQLV12</stp>
        <stp>[MODL_NOW_US1.xlsx]Single Period!R144C31</stp>
        <stp>NOW US Equity</stp>
        <stp>IS_SBC_ATT_TO_GENL_AND_ADMIN_PRETX/1M</stp>
        <stp>FPR=2021Y</stp>
        <stp>FPT=A</stp>
        <stp>FA_ACT_EST_DATA=E, EST_SOURCE=GSR</stp>
        <stp>ACT_EST_MAPPING=PRECISE</stp>
        <stp>FS=MRC</stp>
        <stp>CURRENCY=USD</stp>
        <stp>XLFILL=b</stp>
        <tr r="AE144" s="2"/>
      </tp>
      <tp t="s">
        <v>#N/A Requesting Data...</v>
        <stp/>
        <stp>##V3_BQLV12</stp>
        <stp>[MODL_NOW_US1.xlsx]Single Period!R144C35</stp>
        <stp>NOW US Equity</stp>
        <stp>IS_SBC_ATT_TO_GENL_AND_ADMIN_PRETX/1M</stp>
        <stp>FPR=2021Y</stp>
        <stp>FPT=A</stp>
        <stp>FA_ACT_EST_DATA=E, EST_SOURCE=MSR</stp>
        <stp>ACT_EST_MAPPING=PRECISE</stp>
        <stp>FS=MRC</stp>
        <stp>CURRENCY=USD</stp>
        <stp>XLFILL=b</stp>
        <tr r="AI144" s="2"/>
      </tp>
      <tp t="s">
        <v>#N/A Requesting Data...</v>
        <stp/>
        <stp>##V3_BQLV12</stp>
        <stp>[MODL_NOW_US1.xlsx]Single Period!R46C39</stp>
        <stp>SEG0000230986 Segment</stp>
        <stp>IS_BILLINGS/1M</stp>
        <stp>FPR=2021Y</stp>
        <stp>FPT=A</stp>
        <stp>FA_ACT_EST_DATA=E, EST_SOURCE=DZB</stp>
        <stp>ACT_EST_MAPPING=PRECISE</stp>
        <stp>FS=MRC</stp>
        <stp>CURRENCY=USD</stp>
        <stp>XLFILL=b</stp>
        <tr r="AM46" s="2"/>
      </tp>
      <tp t="s">
        <v>#N/A Requesting Data...</v>
        <stp/>
        <stp>##V3_BQLV12</stp>
        <stp>[MODL_NOW_US1.xlsx]Single Period!R21C39</stp>
        <stp>SEG0000230986 Segment</stp>
        <stp>IS_BILLINGS/1M</stp>
        <stp>FPR=2021Y</stp>
        <stp>FPT=A</stp>
        <stp>FA_ACT_EST_DATA=E, EST_SOURCE=DZB</stp>
        <stp>ACT_EST_MAPPING=PRECISE</stp>
        <stp>FS=MRC</stp>
        <stp>CURRENCY=USD</stp>
        <stp>XLFILL=b</stp>
        <tr r="AM21" s="2"/>
      </tp>
      <tp t="s">
        <v>#N/A Requesting Data...</v>
        <stp/>
        <stp>##V3_BQLV12</stp>
        <stp>[MODL_NOW_US1.xlsx]Single Period!R43C48</stp>
        <stp>SEG0000230975 Segment</stp>
        <stp>CB_ADJ_BILLINGS_AMT/1M</stp>
        <stp>FPR=2021Y</stp>
        <stp>FPT=A</stp>
        <stp>FA_ACT_EST_DATA=E, EST_SOURCE=CRC</stp>
        <stp>ACT_EST_MAPPING=PRECISE</stp>
        <stp>FS=MRC</stp>
        <stp>CURRENCY=USD</stp>
        <stp>XLFILL=b</stp>
        <tr r="AV43" s="2"/>
      </tp>
      <tp t="s">
        <v>#N/A Requesting Data...</v>
        <stp/>
        <stp>##V3_BQLV12</stp>
        <stp>[MODL_NOW_US1.xlsx]Single Period!R43C41</stp>
        <stp>SEG0000230975 Segment</stp>
        <stp>CB_ADJ_BILLINGS_AMT/1M</stp>
        <stp>FPR=2021Y</stp>
        <stp>FPT=A</stp>
        <stp>FA_ACT_EST_DATA=E, EST_SOURCE=ARG</stp>
        <stp>ACT_EST_MAPPING=PRECISE</stp>
        <stp>FS=MRC</stp>
        <stp>CURRENCY=USD</stp>
        <stp>XLFILL=b</stp>
        <tr r="AO43" s="2"/>
      </tp>
      <tp t="s">
        <v>#N/A Requesting Data...</v>
        <stp/>
        <stp>##V3_BQLV12</stp>
        <stp>[MODL_NOW_US1.xlsx]Single Period!R43C44</stp>
        <stp>SEG0000230975 Segment</stp>
        <stp>CB_ADJ_BILLINGS_AMT/1M</stp>
        <stp>FPR=2021Y</stp>
        <stp>FPT=A</stp>
        <stp>FA_ACT_EST_DATA=E, EST_SOURCE=ARE</stp>
        <stp>ACT_EST_MAPPING=PRECISE</stp>
        <stp>FS=MRC</stp>
        <stp>CURRENCY=USD</stp>
        <stp>XLFILL=b</stp>
        <tr r="AR43" s="2"/>
      </tp>
      <tp t="s">
        <v>#N/A Requesting Data...</v>
        <stp/>
        <stp>##V3_BQLV12</stp>
        <stp>[MODL_NOW_US1.xlsx]Single Period!R236C21</stp>
        <stp>NOW US Equity</stp>
        <stp>FREE_CASH_FLOW_MARGIN</stp>
        <stp>FPR=2021Y</stp>
        <stp>FPT=A</stp>
        <stp>FA_ACT_EST_DATA=E, EST_SOURCE=JMP</stp>
        <stp>ACT_EST_MAPPING=PRECISE</stp>
        <stp>FS=MRC</stp>
        <stp>CURRENCY=USD</stp>
        <stp>XLFILL=b</stp>
        <tr r="U236" s="2"/>
      </tp>
      <tp t="s">
        <v>#N/A Requesting Data...</v>
        <stp/>
        <stp>##V3_BQLV12</stp>
        <stp>[MODL_NOW_US1.xlsx]Single Period!R199C45</stp>
        <stp>NOW US Equity</stp>
        <stp>IS_COMP_NET_INCOME_GAAP/1M</stp>
        <stp>FPR=2021Y</stp>
        <stp>FPT=A</stp>
        <stp>FA_ACT_EST_DATA=E, EST_SOURCE=PJE</stp>
        <stp>ACT_EST_MAPPING=PRECISE</stp>
        <stp>FS=MRC</stp>
        <stp>CURRENCY=USD</stp>
        <stp>XLFILL=b</stp>
        <tr r="AS199" s="2"/>
      </tp>
      <tp t="s">
        <v>#N/A Requesting Data...</v>
        <stp/>
        <stp>##V3_BQLV12</stp>
        <stp>[MODL_NOW_US1.xlsx]Single Period!R130C45</stp>
        <stp>NOW US Equity</stp>
        <stp>IS_COMP_NET_INCOME_GAAP/1M</stp>
        <stp>FPR=2021Y</stp>
        <stp>FPT=A</stp>
        <stp>FA_ACT_EST_DATA=E, EST_SOURCE=PJE</stp>
        <stp>ACT_EST_MAPPING=PRECISE</stp>
        <stp>FS=MRC</stp>
        <stp>CURRENCY=USD</stp>
        <stp>XLFILL=b</stp>
        <tr r="AS130" s="2"/>
      </tp>
      <tp t="s">
        <v>#N/A Requesting Data...</v>
        <stp/>
        <stp>##V3_BQLV12</stp>
        <stp>[MODL_NOW_US1.xlsx]Single Period!R219C15</stp>
        <stp>NOW US Equity</stp>
        <stp>CF_PURCHSS_OF_INVSTMNTS/1M</stp>
        <stp>FPR=2021Y</stp>
        <stp>FPT=A</stp>
        <stp>FA_ACT_EST_DATA=E, EST_SOURCE=OPY</stp>
        <stp>ACT_EST_MAPPING=PRECISE</stp>
        <stp>FS=MRC</stp>
        <stp>CURRENCY=USD</stp>
        <stp>XLFILL=b</stp>
        <tr r="O219" s="2"/>
      </tp>
      <tp t="s">
        <v>#N/A Requesting Data...</v>
        <stp/>
        <stp>##V3_BQLV12</stp>
        <stp>[MODL_NOW_US1.xlsx]Single Period!R208C16</stp>
        <stp>NOW US Equity</stp>
        <stp>CF_CHANGE_IN_OTHR_ASSTS/1M</stp>
        <stp>FPR=2021Y</stp>
        <stp>FPT=A</stp>
        <stp>FA_ACT_EST_DATA=E, EST_SOURCE=BCA</stp>
        <stp>ACT_EST_MAPPING=PRECISE</stp>
        <stp>FS=MRC</stp>
        <stp>CURRENCY=USD</stp>
        <stp>XLFILL=b</stp>
        <tr r="P208" s="2"/>
      </tp>
      <tp t="s">
        <v>#N/A Requesting Data...</v>
        <stp/>
        <stp>##V3_BQLV12</stp>
        <stp>[MODL_NOW_US1.xlsx]Single Period!R208C49</stp>
        <stp>NOW US Equity</stp>
        <stp>CF_CHANGE_IN_OTHR_ASSTS/1M</stp>
        <stp>FPR=2021Y</stp>
        <stp>FPT=A</stp>
        <stp>FA_ACT_EST_DATA=E, EST_SOURCE=SCB</stp>
        <stp>ACT_EST_MAPPING=PRECISE</stp>
        <stp>FS=MRC</stp>
        <stp>CURRENCY=USD</stp>
        <stp>XLFILL=b</stp>
        <tr r="AW208" s="2"/>
      </tp>
      <tp t="s">
        <v>#N/A Requesting Data...</v>
        <stp/>
        <stp>##V3_BQLV12</stp>
        <stp>[MODL_NOW_US1.xlsx]Single Period!R21C46</stp>
        <stp>SEG0000230986 Segment</stp>
        <stp>IS_BILLINGS/1M</stp>
        <stp>FPR=2021Y</stp>
        <stp>FPT=A</stp>
        <stp>FA_ACT_EST_DATA=E, EST_SOURCE=MZS</stp>
        <stp>ACT_EST_MAPPING=PRECISE</stp>
        <stp>FS=MRC</stp>
        <stp>CURRENCY=USD</stp>
        <stp>XLFILL=b</stp>
        <tr r="AT21" s="2"/>
      </tp>
      <tp t="s">
        <v>#N/A Requesting Data...</v>
        <stp/>
        <stp>##V3_BQLV12</stp>
        <stp>[MODL_NOW_US1.xlsx]Single Period!R46C46</stp>
        <stp>SEG0000230986 Segment</stp>
        <stp>IS_BILLINGS/1M</stp>
        <stp>FPR=2021Y</stp>
        <stp>FPT=A</stp>
        <stp>FA_ACT_EST_DATA=E, EST_SOURCE=MZS</stp>
        <stp>ACT_EST_MAPPING=PRECISE</stp>
        <stp>FS=MRC</stp>
        <stp>CURRENCY=USD</stp>
        <stp>XLFILL=b</stp>
        <tr r="AT46" s="2"/>
      </tp>
      <tp t="s">
        <v>#N/A Requesting Data...</v>
        <stp/>
        <stp>##V3_BQLV12</stp>
        <stp>[MODL_NOW_US1.xlsx]Single Period!R174C45</stp>
        <stp>NOW US Equity</stp>
        <stp>BS_ACCT_PAYABLE/1M</stp>
        <stp>FPR=2021Y</stp>
        <stp>FPT=A</stp>
        <stp>FA_ACT_EST_DATA=E, EST_SOURCE=PJE</stp>
        <stp>ACT_EST_MAPPING=PRECISE</stp>
        <stp>FS=MRC</stp>
        <stp>CURRENCY=USD</stp>
        <stp>XLFILL=b</stp>
        <tr r="AS174" s="2"/>
      </tp>
      <tp t="s">
        <v>#N/A Requesting Data...</v>
        <stp/>
        <stp>##V3_BQLV12</stp>
        <stp>[MODL_NOW_US1.xlsx]Single Period!R236C14</stp>
        <stp>NOW US Equity</stp>
        <stp>FREE_CASH_FLOW_MARGIN</stp>
        <stp>FPR=2021Y</stp>
        <stp>FPT=A</stp>
        <stp>FA_ACT_EST_DATA=E, EST_SOURCE=BMO</stp>
        <stp>ACT_EST_MAPPING=PRECISE</stp>
        <stp>FS=MRC</stp>
        <stp>CURRENCY=USD</stp>
        <stp>XLFILL=b</stp>
        <tr r="N236" s="2"/>
      </tp>
      <tp t="s">
        <v>#N/A Requesting Data...</v>
        <stp/>
        <stp>##V3_BQLV12</stp>
        <stp>[MODL_NOW_US1.xlsx]Single Period!R219C11</stp>
        <stp>NOW US Equity</stp>
        <stp>CF_PURCHSS_OF_INVSTMNTS/1M</stp>
        <stp>FPR=2021Y</stp>
        <stp>FPT=A</stp>
        <stp>FA_ACT_EST_DATA=E, EST_SOURCE=JPM</stp>
        <stp>ACT_EST_MAPPING=PRECISE</stp>
        <stp>FS=MRC</stp>
        <stp>CURRENCY=USD</stp>
        <stp>XLFILL=b</stp>
        <tr r="K219" s="2"/>
      </tp>
      <tp t="s">
        <v>#N/A Requesting Data...</v>
        <stp/>
        <stp>##V3_BQLV12</stp>
        <stp>[MODL_NOW_US1.xlsx]Single Period!R221C11</stp>
        <stp>NOW US Equity</stp>
        <stp>CB_CF_OTHER_INVESTING_ACTIVITIES/1M</stp>
        <stp>FPR=2021Y</stp>
        <stp>FPT=A</stp>
        <stp>FA_ACT_EST_DATA=E, EST_SOURCE=JPM</stp>
        <stp>ACT_EST_MAPPING=PRECISE</stp>
        <stp>FS=MRC</stp>
        <stp>CURRENCY=USD</stp>
        <stp>XLFILL=b</stp>
        <tr r="K221" s="2"/>
      </tp>
      <tp t="s">
        <v>#N/A Requesting Data...</v>
        <stp/>
        <stp>##V3_BQLV12</stp>
        <stp>[MODL_NOW_US1.xlsx]Single Period!R177C21</stp>
        <stp>NOW US Equity</stp>
        <stp>BS_ST_CPTL_LEA_AND_OP_LEA_LIABS/1M</stp>
        <stp>FPR=2021Y</stp>
        <stp>FPT=A</stp>
        <stp>FA_ACT_EST_DATA=E, EST_SOURCE=JMP</stp>
        <stp>ACT_EST_MAPPING=PRECISE</stp>
        <stp>FS=MRC</stp>
        <stp>CURRENCY=USD</stp>
        <stp>XLFILL=b</stp>
        <tr r="U177" s="2"/>
      </tp>
      <tp t="s">
        <v>#N/A Requesting Data...</v>
        <stp/>
        <stp>##V3_BQLV12</stp>
        <stp>[MODL_NOW_US1.xlsx]Single Period!R216C32</stp>
        <stp>NOW US Equity</stp>
        <stp>CF_PURCHASE_OF_FIXED_PROD_ASSETS/1M</stp>
        <stp>FPR=2021Y</stp>
        <stp>FPT=A</stp>
        <stp>FA_ACT_EST_DATA=E, EST_SOURCE=FBC</stp>
        <stp>ACT_EST_MAPPING=PRECISE</stp>
        <stp>FS=MRC</stp>
        <stp>CURRENCY=USD</stp>
        <stp>XLFILL=b</stp>
        <tr r="AF216" s="2"/>
      </tp>
      <tp t="s">
        <v>#N/A Requesting Data...</v>
        <stp/>
        <stp>##V3_BQLV12</stp>
        <stp>[MODL_NOW_US1.xlsx]Single Period!R221C47</stp>
        <stp>NOW US Equity</stp>
        <stp>CB_CF_OTHER_INVESTING_ACTIVITIES/1M</stp>
        <stp>FPR=2021Y</stp>
        <stp>FPT=A</stp>
        <stp>FA_ACT_EST_DATA=E, EST_SOURCE=SUM</stp>
        <stp>ACT_EST_MAPPING=PRECISE</stp>
        <stp>FS=MRC</stp>
        <stp>CURRENCY=USD</stp>
        <stp>XLFILL=b</stp>
        <tr r="AU221" s="2"/>
      </tp>
      <tp t="s">
        <v>#N/A Requesting Data...</v>
        <stp/>
        <stp>##V3_BQLV12</stp>
        <stp>[MODL_NOW_US1.xlsx]Single Period!R175C17</stp>
        <stp>NOW US Equity</stp>
        <stp>BS_ACCRUD_EXPNSS_AND_OTHR/1M</stp>
        <stp>FPR=2021Y</stp>
        <stp>FPT=A</stp>
        <stp>FA_ACT_EST_DATA=E, EST_SOURCE=RHR</stp>
        <stp>ACT_EST_MAPPING=PRECISE</stp>
        <stp>FS=MRC</stp>
        <stp>CURRENCY=USD</stp>
        <stp>XLFILL=b</stp>
        <tr r="Q175" s="2"/>
      </tp>
      <tp t="s">
        <v>#N/A Requesting Data...</v>
        <stp/>
        <stp>##V3_BQLV12</stp>
        <stp>[MODL_NOW_US1.xlsx]Single Period!R213C29</stp>
        <stp>NOW US Equity</stp>
        <stp>CF_CASH_FROM_OPER/1M</stp>
        <stp>FPR=2021Y</stp>
        <stp>FPT=A</stp>
        <stp>FA_ACT_EST_DATA=E, EST_SOURCE=BNS</stp>
        <stp>ACT_EST_MAPPING=PRECISE</stp>
        <stp>FS=MRC</stp>
        <stp>CURRENCY=USD</stp>
        <stp>XLFILL=b</stp>
        <tr r="AC213" s="2"/>
      </tp>
      <tp t="s">
        <v>#N/A Requesting Data...</v>
        <stp/>
        <stp>##V3_BQLV12</stp>
        <stp>[MODL_NOW_US1.xlsx]Single Period!R148C38</stp>
        <stp>NOW US Equity</stp>
        <stp>IS_AMORT_ACQD_INTANGIBLES_R_AND_D/1M</stp>
        <stp>FPR=2021Y</stp>
        <stp>FPT=A</stp>
        <stp>FA_ACT_EST_DATA=E, EST_SOURCE=RWB</stp>
        <stp>ACT_EST_MAPPING=PRECISE</stp>
        <stp>FS=MRC</stp>
        <stp>CURRENCY=USD</stp>
        <stp>XLFILL=b</stp>
        <tr r="AL148" s="2"/>
      </tp>
      <tp t="s">
        <v>#N/A Requesting Data...</v>
        <stp/>
        <stp>##V3_BQLV12</stp>
        <stp>[MODL_NOW_US1.xlsx]Single Period!R71C49</stp>
        <stp>SEG0000230986 Segment</stp>
        <stp>CB_IS_GROSS_PROFIT/1M</stp>
        <stp>FPR=2021Y</stp>
        <stp>FPT=A</stp>
        <stp>FA_ACT_EST_DATA=E, EST_SOURCE=SCB</stp>
        <stp>ACT_EST_MAPPING=PRECISE</stp>
        <stp>FS=MRC</stp>
        <stp>CURRENCY=USD</stp>
        <stp>XLFILL=b</stp>
        <tr r="AW71" s="2"/>
      </tp>
      <tp t="s">
        <v>#N/A Requesting Data...</v>
        <stp/>
        <stp>##V3_BQLV12</stp>
        <stp>[MODL_NOW_US1.xlsx]Single Period!R71C16</stp>
        <stp>SEG0000230986 Segment</stp>
        <stp>CB_IS_GROSS_PROFIT/1M</stp>
        <stp>FPR=2021Y</stp>
        <stp>FPT=A</stp>
        <stp>FA_ACT_EST_DATA=E, EST_SOURCE=BCA</stp>
        <stp>ACT_EST_MAPPING=PRECISE</stp>
        <stp>FS=MRC</stp>
        <stp>CURRENCY=USD</stp>
        <stp>XLFILL=b</stp>
        <tr r="P71" s="2"/>
      </tp>
      <tp t="s">
        <v>#N/A Requesting Data...</v>
        <stp/>
        <stp>##V3_BQLV12</stp>
        <stp>[MODL_NOW_US1.xlsx]Single Period!R107C14</stp>
        <stp>NOW US Equity</stp>
        <stp>CB_IS_ADJ_DILUTED_AVG_SHS/1M</stp>
        <stp>FPR=2021Y</stp>
        <stp>FPT=A</stp>
        <stp>FA_ACT_EST_DATA=E, EST_SOURCE=BMO</stp>
        <stp>ACT_EST_MAPPING=PRECISE</stp>
        <stp>FS=MRC</stp>
        <stp>CURRENCY=USD</stp>
        <stp>XLFILL=b</stp>
        <tr r="N107" s="2"/>
      </tp>
      <tp t="s">
        <v>#N/A Requesting Data...</v>
        <stp/>
        <stp>##V3_BQLV12</stp>
        <stp>[MODL_NOW_US1.xlsx]Single Period!R221C15</stp>
        <stp>NOW US Equity</stp>
        <stp>CB_CF_OTHER_INVESTING_ACTIVITIES/1M</stp>
        <stp>FPR=2021Y</stp>
        <stp>FPT=A</stp>
        <stp>FA_ACT_EST_DATA=E, EST_SOURCE=OPY</stp>
        <stp>ACT_EST_MAPPING=PRECISE</stp>
        <stp>FS=MRC</stp>
        <stp>CURRENCY=USD</stp>
        <stp>XLFILL=b</stp>
        <tr r="O221" s="2"/>
      </tp>
      <tp t="s">
        <v>#N/A Requesting Data...</v>
        <stp/>
        <stp>##V3_BQLV12</stp>
        <stp>[MODL_NOW_US1.xlsx]Single Period!R227C19</stp>
        <stp>NOW US Equity</stp>
        <stp>CF_NET_CSH_PROV_BY_FINANCING_ACT/1M</stp>
        <stp>FPR=2021Y</stp>
        <stp>FPT=A</stp>
        <stp>FA_ACT_EST_DATA=E, EST_SOURCE=MSV</stp>
        <stp>ACT_EST_MAPPING=PRECISE</stp>
        <stp>FS=MRC</stp>
        <stp>CURRENCY=USD</stp>
        <stp>XLFILL=b</stp>
        <tr r="S227" s="2"/>
      </tp>
      <tp t="s">
        <v>#N/A Requesting Data...</v>
        <stp/>
        <stp>##V3_BQLV12</stp>
        <stp>[MODL_NOW_US1.xlsx]Single Period!R225C23</stp>
        <stp>NOW US Equity</stp>
        <stp>CF_INCR_CAP_STOCK/1M</stp>
        <stp>FPR=2021Y</stp>
        <stp>FPT=A</stp>
        <stp>FA_ACT_EST_DATA=E, EST_SOURCE=ZXS</stp>
        <stp>ACT_EST_MAPPING=PRECISE</stp>
        <stp>FS=MRC</stp>
        <stp>CURRENCY=USD</stp>
        <stp>XLFILL=b</stp>
        <tr r="W225" s="2"/>
      </tp>
      <tp t="s">
        <v>#N/A Requesting Data...</v>
        <stp/>
        <stp>##V3_BQLV12</stp>
        <stp>[MODL_NOW_US1.xlsx]Single Period!R182C47</stp>
        <stp>NOW US Equity</stp>
        <stp>BS_OTHER_NONCURRENT_LIABILITIES/1M</stp>
        <stp>FPR=2021Y</stp>
        <stp>FPT=A</stp>
        <stp>FA_ACT_EST_DATA=E, EST_SOURCE=SUM</stp>
        <stp>ACT_EST_MAPPING=PRECISE</stp>
        <stp>FS=MRC</stp>
        <stp>CURRENCY=USD</stp>
        <stp>XLFILL=b</stp>
        <tr r="AU182" s="2"/>
      </tp>
      <tp t="s">
        <v>#N/A Requesting Data...</v>
        <stp/>
        <stp>##V3_BQLV12</stp>
        <stp>[MODL_NOW_US1.xlsx]Single Period!R177C14</stp>
        <stp>NOW US Equity</stp>
        <stp>BS_ST_CPTL_LEA_AND_OP_LEA_LIABS/1M</stp>
        <stp>FPR=2021Y</stp>
        <stp>FPT=A</stp>
        <stp>FA_ACT_EST_DATA=E, EST_SOURCE=BMO</stp>
        <stp>ACT_EST_MAPPING=PRECISE</stp>
        <stp>FS=MRC</stp>
        <stp>CURRENCY=USD</stp>
        <stp>XLFILL=b</stp>
        <tr r="N177" s="2"/>
      </tp>
      <tp t="s">
        <v>#N/A Requesting Data...</v>
        <stp/>
        <stp>##V3_BQLV12</stp>
        <stp>[MODL_NOW_US1.xlsx]Single Period!R213C25</stp>
        <stp>NOW US Equity</stp>
        <stp>CF_CASH_FROM_OPER/1M</stp>
        <stp>FPR=2021Y</stp>
        <stp>FPT=A</stp>
        <stp>FA_ACT_EST_DATA=E, EST_SOURCE=DBG</stp>
        <stp>ACT_EST_MAPPING=PRECISE</stp>
        <stp>FS=MRC</stp>
        <stp>CURRENCY=USD</stp>
        <stp>XLFILL=b</stp>
        <tr r="Y213" s="2"/>
      </tp>
      <tp t="s">
        <v>#N/A Requesting Data...</v>
        <stp/>
        <stp>##V3_BQLV12</stp>
        <stp>[MODL_NOW_US1.xlsx]Single Period!R63C29</stp>
        <stp>SEG0000230975 Segment</stp>
        <stp>CB_IS_GROSS_PROFIT/1M</stp>
        <stp>FPR=2021Y</stp>
        <stp>FPT=A</stp>
        <stp>FA_ACT_EST_DATA=E, EST_SOURCE=BNS</stp>
        <stp>ACT_EST_MAPPING=PRECISE</stp>
        <stp>FS=MRC</stp>
        <stp>CURRENCY=USD</stp>
        <stp>XLFILL=b</stp>
        <tr r="AC63" s="2"/>
      </tp>
      <tp t="s">
        <v>#N/A Requesting Data...</v>
        <stp/>
        <stp>##V3_BQLV12</stp>
        <stp>[MODL_NOW_US1.xlsx]Single Period!R63C18</stp>
        <stp>SEG0000230975 Segment</stp>
        <stp>CB_IS_GROSS_PROFIT/1M</stp>
        <stp>FPR=2021Y</stp>
        <stp>FPT=A</stp>
        <stp>FA_ACT_EST_DATA=E, EST_SOURCE=SNR</stp>
        <stp>ACT_EST_MAPPING=PRECISE</stp>
        <stp>FS=MRC</stp>
        <stp>CURRENCY=USD</stp>
        <stp>XLFILL=b</stp>
        <tr r="R63" s="2"/>
      </tp>
      <tp t="s">
        <v>#N/A Requesting Data...</v>
        <stp/>
        <stp>##V3_BQLV12</stp>
        <stp>[MODL_NOW_US1.xlsx]Single Period!R175C45</stp>
        <stp>NOW US Equity</stp>
        <stp>BS_ACCRUD_EXPNSS_AND_OTHR/1M</stp>
        <stp>FPR=2021Y</stp>
        <stp>FPT=A</stp>
        <stp>FA_ACT_EST_DATA=E, EST_SOURCE=PJE</stp>
        <stp>ACT_EST_MAPPING=PRECISE</stp>
        <stp>FS=MRC</stp>
        <stp>CURRENCY=USD</stp>
        <stp>XLFILL=b</stp>
        <tr r="AS175" s="2"/>
      </tp>
      <tp t="s">
        <v>#N/A Requesting Data...</v>
        <stp/>
        <stp>##V3_BQLV12</stp>
        <stp>[MODL_NOW_US1.xlsx]Single Period!R239C19</stp>
        <stp>NOW US Equity</stp>
        <stp>CFO_TO_SALES</stp>
        <stp>FPR=2021Y</stp>
        <stp>FPT=A</stp>
        <stp>FA_ACT_EST_DATA=E, EST_SOURCE=MSV</stp>
        <stp>ACT_EST_MAPPING=PRECISE</stp>
        <stp>FS=MRC</stp>
        <stp>CURRENCY=USD</stp>
        <stp>XLFILL=b</stp>
        <tr r="S239" s="2"/>
      </tp>
      <tp t="s">
        <v>#N/A Requesting Data...</v>
        <stp/>
        <stp>##V3_BQLV12</stp>
        <stp>[MODL_NOW_US1.xlsx]Single Period!R147C10</stp>
        <stp>NOW US Equity</stp>
        <stp>IS_AMORT_OF_TOT_INTANG_PRETX/1M</stp>
        <stp>FPR=2021Y</stp>
        <stp>FPT=A</stp>
        <stp>FA_ACT_EST_DATA=E, EST_SOURCE=CMPY</stp>
        <stp>ACT_EST_MAPPING=PRECISE</stp>
        <stp>FS=MRC</stp>
        <stp>CURRENCY=USD</stp>
        <stp>XLFILL=b</stp>
        <tr r="J147" s="2"/>
      </tp>
      <tp t="s">
        <v>#N/A Requesting Data...</v>
        <stp/>
        <stp>##V3_BQLV12</stp>
        <stp>[MODL_NOW_US1.xlsx]Single Period!R239C48</stp>
        <stp>NOW US Equity</stp>
        <stp>CFO_TO_SALES</stp>
        <stp>FPR=2021Y</stp>
        <stp>FPT=A</stp>
        <stp>FA_ACT_EST_DATA=E, EST_SOURCE=CRC</stp>
        <stp>ACT_EST_MAPPING=PRECISE</stp>
        <stp>FS=MRC</stp>
        <stp>CURRENCY=USD</stp>
        <stp>XLFILL=b</stp>
        <tr r="AV239" s="2"/>
      </tp>
      <tp t="s">
        <v>#N/A Requesting Data...</v>
        <stp/>
        <stp>##V3_BQLV12</stp>
        <stp>[MODL_NOW_US1.xlsx]Single Period!R125C9</stp>
        <stp>NOW US Equity</stp>
        <stp>CONTRIBUTOR_STATS(OPER_INC_TO_NET_SALES, MEDIAN)</stp>
        <stp>FPR=2021Y</stp>
        <stp>FPT=A</stp>
        <stp>FA_ACT_EST_DATA=E</stp>
        <stp>ACT_EST_MAPPING=PRECISE</stp>
        <stp>FS=MRC</stp>
        <stp>CURRENCY=USD</stp>
        <stp>XLFILL=b</stp>
        <tr r="I125" s="2"/>
      </tp>
      <tp t="s">
        <v>#N/A Requesting Data...</v>
        <stp/>
        <stp>##V3_BQLV12</stp>
        <stp>[MODL_NOW_US1.xlsx]Single Period!R81C13</stp>
        <stp>NOW US Equity</stp>
        <stp>IS_ADJ_SALES_YOY_CHG_PCT_CC</stp>
        <stp>FPR=2021Y</stp>
        <stp>FPT=A</stp>
        <stp>FA_ACT_EST_DATA=E, EST_SOURCE=KEY</stp>
        <stp>ACT_EST_MAPPING=PRECISE</stp>
        <stp>FS=MRC</stp>
        <stp>CURRENCY=USD</stp>
        <stp>XLFILL=b</stp>
        <tr r="M81" s="2"/>
      </tp>
      <tp t="s">
        <v>#N/A Requesting Data...</v>
        <stp/>
        <stp>##V3_BQLV12</stp>
        <stp>[MODL_NOW_US1.xlsx]Single Period!R163C29</stp>
        <stp>NOW US Equity</stp>
        <stp>CB_BS_PP_AND_E_NET/1M</stp>
        <stp>FPR=2021Y</stp>
        <stp>FPT=A</stp>
        <stp>FA_ACT_EST_DATA=E, EST_SOURCE=BNS</stp>
        <stp>ACT_EST_MAPPING=PRECISE</stp>
        <stp>FS=MRC</stp>
        <stp>CURRENCY=USD</stp>
        <stp>XLFILL=b</stp>
        <tr r="AC163" s="2"/>
      </tp>
      <tp t="s">
        <v>#N/A Requesting Data...</v>
        <stp/>
        <stp>##V3_BQLV12</stp>
        <stp>[MODL_NOW_US1.xlsx]Single Period!R163C18</stp>
        <stp>NOW US Equity</stp>
        <stp>CB_BS_PP_AND_E_NET/1M</stp>
        <stp>FPR=2021Y</stp>
        <stp>FPT=A</stp>
        <stp>FA_ACT_EST_DATA=E, EST_SOURCE=SNR</stp>
        <stp>ACT_EST_MAPPING=PRECISE</stp>
        <stp>FS=MRC</stp>
        <stp>CURRENCY=USD</stp>
        <stp>XLFILL=b</stp>
        <tr r="R163" s="2"/>
      </tp>
      <tp t="s">
        <v>#N/A Requesting Data...</v>
        <stp/>
        <stp>##V3_BQLV12</stp>
        <stp>[MODL_NOW_US1.xlsx]Single Period!R91C42</stp>
        <stp>NOW US Equity</stp>
        <stp>ADJ_R_AND_D_TO_SALES</stp>
        <stp>FPR=2021Y</stp>
        <stp>FPT=A</stp>
        <stp>FA_ACT_EST_DATA=E, EST_SOURCE=CTI</stp>
        <stp>ACT_EST_MAPPING=PRECISE</stp>
        <stp>FS=MRC</stp>
        <stp>CURRENCY=USD</stp>
        <stp>XLFILL=b</stp>
        <tr r="AP91" s="2"/>
      </tp>
      <tp t="s">
        <v>#N/A Requesting Data...</v>
        <stp/>
        <stp>##V3_BQLV12</stp>
        <stp>[MODL_NOW_US1.xlsx]Single Period!R127C29</stp>
        <stp>NOW US Equity</stp>
        <stp>PRETAX_INC/1M</stp>
        <stp>FPR=2021Y</stp>
        <stp>FPT=A</stp>
        <stp>FA_ACT_EST_DATA=E, EST_SOURCE=BNS</stp>
        <stp>ACT_EST_MAPPING=PRECISE</stp>
        <stp>FS=MRC</stp>
        <stp>CURRENCY=USD</stp>
        <stp>XLFILL=b</stp>
        <tr r="AC127" s="2"/>
      </tp>
      <tp t="s">
        <v>#N/A Requesting Data...</v>
        <stp/>
        <stp>##V3_BQLV12</stp>
        <stp>[MODL_NOW_US1.xlsx]Single Period!R212C36</stp>
        <stp>NOW US Equity</stp>
        <stp>CF_CHANGE_IN_ACCRUD_EXPNSS/1M</stp>
        <stp>FPR=2021Y</stp>
        <stp>FPT=A</stp>
        <stp>FA_ACT_EST_DATA=E, EST_SOURCE=JEF</stp>
        <stp>ACT_EST_MAPPING=PRECISE</stp>
        <stp>FS=MRC</stp>
        <stp>CURRENCY=USD</stp>
        <stp>XLFILL=b</stp>
        <tr r="AJ212" s="2"/>
      </tp>
      <tp t="s">
        <v>#N/A Requesting Data...</v>
        <stp/>
        <stp>##V3_BQLV12</stp>
        <stp>[MODL_NOW_US1.xlsx]Single Period!R127C18</stp>
        <stp>NOW US Equity</stp>
        <stp>PRETAX_INC/1M</stp>
        <stp>FPR=2021Y</stp>
        <stp>FPT=A</stp>
        <stp>FA_ACT_EST_DATA=E, EST_SOURCE=SNR</stp>
        <stp>ACT_EST_MAPPING=PRECISE</stp>
        <stp>FS=MRC</stp>
        <stp>CURRENCY=USD</stp>
        <stp>XLFILL=b</stp>
        <tr r="R127" s="2"/>
      </tp>
      <tp t="s">
        <v>#N/A Requesting Data...</v>
        <stp/>
        <stp>##V3_BQLV12</stp>
        <stp>[MODL_NOW_US1.xlsx]Single Period!R157C26</stp>
        <stp>NOW US Equity</stp>
        <stp>BS_MKT_SEC_OTHER_ST_INVEST/1M</stp>
        <stp>FPR=2021Y</stp>
        <stp>FPT=A</stp>
        <stp>FA_ACT_EST_DATA=E, EST_SOURCE=UBS</stp>
        <stp>ACT_EST_MAPPING=PRECISE</stp>
        <stp>FS=MRC</stp>
        <stp>CURRENCY=USD</stp>
        <stp>XLFILL=b</stp>
        <tr r="Z157" s="2"/>
      </tp>
      <tp t="s">
        <v>#N/A Requesting Data...</v>
        <stp/>
        <stp>##V3_BQLV12</stp>
        <stp>[MODL_NOW_US1.xlsx]Single Period!R28C43</stp>
        <stp>NOW US Equity</stp>
        <stp>ADJ_OPERATING_MARGIN</stp>
        <stp>FPR=2021Y</stp>
        <stp>FPT=A</stp>
        <stp>FA_ACT_EST_DATA=E, EST_SOURCE=WFT</stp>
        <stp>ACT_EST_MAPPING=PRECISE</stp>
        <stp>FS=MRC</stp>
        <stp>CURRENCY=USD</stp>
        <stp>XLFILL=b</stp>
        <tr r="AQ28" s="2"/>
      </tp>
      <tp t="s">
        <v>#N/A Requesting Data...</v>
        <stp/>
        <stp>##V3_BQLV12</stp>
        <stp>[MODL_NOW_US1.xlsx]Single Period!R149C49</stp>
        <stp>NOW US Equity</stp>
        <stp>IS_AMORT_ACQD_INTANG_GEN_AND_ADMIN/1M</stp>
        <stp>FPR=2021Y</stp>
        <stp>FPT=A</stp>
        <stp>FA_ACT_EST_DATA=E, EST_SOURCE=SCB</stp>
        <stp>ACT_EST_MAPPING=PRECISE</stp>
        <stp>FS=MRC</stp>
        <stp>CURRENCY=USD</stp>
        <stp>XLFILL=b</stp>
        <tr r="AW149" s="2"/>
      </tp>
      <tp t="s">
        <v>#N/A Requesting Data...</v>
        <stp/>
        <stp>##V3_BQLV12</stp>
        <stp>[MODL_NOW_US1.xlsx]Single Period!R144C41</stp>
        <stp>NOW US Equity</stp>
        <stp>IS_SBC_ATT_TO_GENL_AND_ADMIN_PRETX/1M</stp>
        <stp>FPR=2021Y</stp>
        <stp>FPT=A</stp>
        <stp>FA_ACT_EST_DATA=E, EST_SOURCE=ARG</stp>
        <stp>ACT_EST_MAPPING=PRECISE</stp>
        <stp>FS=MRC</stp>
        <stp>CURRENCY=USD</stp>
        <stp>XLFILL=b</stp>
        <tr r="AO144" s="2"/>
      </tp>
      <tp t="s">
        <v>#N/A Requesting Data...</v>
        <stp/>
        <stp>##V3_BQLV12</stp>
        <stp>[MODL_NOW_US1.xlsx]Single Period!R149C16</stp>
        <stp>NOW US Equity</stp>
        <stp>IS_AMORT_ACQD_INTANG_GEN_AND_ADMIN/1M</stp>
        <stp>FPR=2021Y</stp>
        <stp>FPT=A</stp>
        <stp>FA_ACT_EST_DATA=E, EST_SOURCE=BCA</stp>
        <stp>ACT_EST_MAPPING=PRECISE</stp>
        <stp>FS=MRC</stp>
        <stp>CURRENCY=USD</stp>
        <stp>XLFILL=b</stp>
        <tr r="P149" s="2"/>
      </tp>
      <tp t="s">
        <v>#N/A Requesting Data...</v>
        <stp/>
        <stp>##V3_BQLV12</stp>
        <stp>[MODL_NOW_US1.xlsx]Single Period!R144C44</stp>
        <stp>NOW US Equity</stp>
        <stp>IS_SBC_ATT_TO_GENL_AND_ADMIN_PRETX/1M</stp>
        <stp>FPR=2021Y</stp>
        <stp>FPT=A</stp>
        <stp>FA_ACT_EST_DATA=E, EST_SOURCE=ARE</stp>
        <stp>ACT_EST_MAPPING=PRECISE</stp>
        <stp>FS=MRC</stp>
        <stp>CURRENCY=USD</stp>
        <stp>XLFILL=b</stp>
        <tr r="AR144" s="2"/>
      </tp>
      <tp t="s">
        <v>#N/A Requesting Data...</v>
        <stp/>
        <stp>##V3_BQLV12</stp>
        <stp>[MODL_NOW_US1.xlsx]Single Period!R144C48</stp>
        <stp>NOW US Equity</stp>
        <stp>IS_SBC_ATT_TO_GENL_AND_ADMIN_PRETX/1M</stp>
        <stp>FPR=2021Y</stp>
        <stp>FPT=A</stp>
        <stp>FA_ACT_EST_DATA=E, EST_SOURCE=CRC</stp>
        <stp>ACT_EST_MAPPING=PRECISE</stp>
        <stp>FS=MRC</stp>
        <stp>CURRENCY=USD</stp>
        <stp>XLFILL=b</stp>
        <tr r="AV144" s="2"/>
      </tp>
      <tp t="s">
        <v>#N/A Requesting Data...</v>
        <stp/>
        <stp>##V3_BQLV12</stp>
        <stp>[MODL_NOW_US1.xlsx]Single Period!R91C44</stp>
        <stp>NOW US Equity</stp>
        <stp>ADJ_R_AND_D_TO_SALES</stp>
        <stp>FPR=2021Y</stp>
        <stp>FPT=A</stp>
        <stp>FA_ACT_EST_DATA=E, EST_SOURCE=ARE</stp>
        <stp>ACT_EST_MAPPING=PRECISE</stp>
        <stp>FS=MRC</stp>
        <stp>CURRENCY=USD</stp>
        <stp>XLFILL=b</stp>
        <tr r="AR91" s="2"/>
      </tp>
      <tp t="s">
        <v>#N/A Requesting Data...</v>
        <stp/>
        <stp>##V3_BQLV12</stp>
        <stp>[MODL_NOW_US1.xlsx]Single Period!R111C10</stp>
        <stp>NOW US Equity</stp>
        <stp>IS_COGS_TO_FE_AND_PP_AND_G/1M</stp>
        <stp>FPR=2021Y</stp>
        <stp>FPT=A</stp>
        <stp>FA_ACT_EST_DATA=E, EST_SOURCE=CMPY</stp>
        <stp>ACT_EST_MAPPING=PRECISE</stp>
        <stp>FS=MRC</stp>
        <stp>CURRENCY=USD</stp>
        <stp>XLFILL=b</stp>
        <tr r="J111" s="2"/>
      </tp>
      <tp t="s">
        <v>#N/A Requesting Data...</v>
        <stp/>
        <stp>##V3_BQLV12</stp>
        <stp>[MODL_NOW_US1.xlsx]Single Period!R157C25</stp>
        <stp>NOW US Equity</stp>
        <stp>BS_MKT_SEC_OTHER_ST_INVEST/1M</stp>
        <stp>FPR=2021Y</stp>
        <stp>FPT=A</stp>
        <stp>FA_ACT_EST_DATA=E, EST_SOURCE=DBG</stp>
        <stp>ACT_EST_MAPPING=PRECISE</stp>
        <stp>FS=MRC</stp>
        <stp>CURRENCY=USD</stp>
        <stp>XLFILL=b</stp>
        <tr r="Y157" s="2"/>
      </tp>
      <tp t="s">
        <v>#N/A Requesting Data...</v>
        <stp/>
        <stp>##V3_BQLV12</stp>
        <stp>[MODL_NOW_US1.xlsx]Single Period!R157C27</stp>
        <stp>NOW US Equity</stp>
        <stp>BS_MKT_SEC_OTHER_ST_INVEST/1M</stp>
        <stp>FPR=2021Y</stp>
        <stp>FPT=A</stp>
        <stp>FA_ACT_EST_DATA=E, EST_SOURCE=RBC</stp>
        <stp>ACT_EST_MAPPING=PRECISE</stp>
        <stp>FS=MRC</stp>
        <stp>CURRENCY=USD</stp>
        <stp>XLFILL=b</stp>
        <tr r="AA157" s="2"/>
      </tp>
      <tp t="s">
        <v>#N/A Requesting Data...</v>
        <stp/>
        <stp>##V3_BQLV12</stp>
        <stp>[MODL_NOW_US1.xlsx]Single Period!R157C32</stp>
        <stp>NOW US Equity</stp>
        <stp>BS_MKT_SEC_OTHER_ST_INVEST/1M</stp>
        <stp>FPR=2021Y</stp>
        <stp>FPT=A</stp>
        <stp>FA_ACT_EST_DATA=E, EST_SOURCE=FBC</stp>
        <stp>ACT_EST_MAPPING=PRECISE</stp>
        <stp>FS=MRC</stp>
        <stp>CURRENCY=USD</stp>
        <stp>XLFILL=b</stp>
        <tr r="AF157" s="2"/>
      </tp>
      <tp t="s">
        <v>#N/A Requesting Data...</v>
        <stp/>
        <stp>##V3_BQLV12</stp>
        <stp>[MODL_NOW_US1.xlsx]Single Period!R91C35</stp>
        <stp>NOW US Equity</stp>
        <stp>ADJ_R_AND_D_TO_SALES</stp>
        <stp>FPR=2021Y</stp>
        <stp>FPT=A</stp>
        <stp>FA_ACT_EST_DATA=E, EST_SOURCE=MSR</stp>
        <stp>ACT_EST_MAPPING=PRECISE</stp>
        <stp>FS=MRC</stp>
        <stp>CURRENCY=USD</stp>
        <stp>XLFILL=b</stp>
        <tr r="AI91" s="2"/>
      </tp>
      <tp t="s">
        <v>#N/A Requesting Data...</v>
        <stp/>
        <stp>##V3_BQLV12</stp>
        <stp>[MODL_NOW_US1.xlsx]Single Period!R157C12</stp>
        <stp>NOW US Equity</stp>
        <stp>BS_MKT_SEC_OTHER_ST_INVEST/1M</stp>
        <stp>FPR=2021Y</stp>
        <stp>FPT=A</stp>
        <stp>FA_ACT_EST_DATA=E, EST_SOURCE=WBL</stp>
        <stp>ACT_EST_MAPPING=PRECISE</stp>
        <stp>FS=MRC</stp>
        <stp>CURRENCY=USD</stp>
        <stp>XLFILL=b</stp>
        <tr r="L157" s="2"/>
      </tp>
      <tp t="s">
        <v>#N/A Requesting Data...</v>
        <stp/>
        <stp>##V3_BQLV12</stp>
        <stp>[MODL_NOW_US1.xlsx]Single Period!R166C28</stp>
        <stp>NOW US Equity</stp>
        <stp>BS_OTHER_INTANGIBLE_ASSETS/1M</stp>
        <stp>FPR=2021Y</stp>
        <stp>FPT=A</stp>
        <stp>FA_ACT_EST_DATA=E, EST_SOURCE=EVR</stp>
        <stp>ACT_EST_MAPPING=PRECISE</stp>
        <stp>FS=MRC</stp>
        <stp>CURRENCY=USD</stp>
        <stp>XLFILL=b</stp>
        <tr r="AB166" s="2"/>
      </tp>
      <tp t="s">
        <v>#N/A Requesting Data...</v>
        <stp/>
        <stp>##V3_BQLV12</stp>
        <stp>[MODL_NOW_US1.xlsx]Single Period!R212C13</stp>
        <stp>NOW US Equity</stp>
        <stp>CF_CHANGE_IN_ACCRUD_EXPNSS/1M</stp>
        <stp>FPR=2021Y</stp>
        <stp>FPT=A</stp>
        <stp>FA_ACT_EST_DATA=E, EST_SOURCE=KEY</stp>
        <stp>ACT_EST_MAPPING=PRECISE</stp>
        <stp>FS=MRC</stp>
        <stp>CURRENCY=USD</stp>
        <stp>XLFILL=b</stp>
        <tr r="M212" s="2"/>
      </tp>
      <tp t="s">
        <v>#N/A Requesting Data...</v>
        <stp/>
        <stp>##V3_BQLV12</stp>
        <stp>[MODL_NOW_US1.xlsx]Single Period!R28C16</stp>
        <stp>NOW US Equity</stp>
        <stp>ADJ_OPERATING_MARGIN</stp>
        <stp>FPR=2021Y</stp>
        <stp>FPT=A</stp>
        <stp>FA_ACT_EST_DATA=E, EST_SOURCE=BCA</stp>
        <stp>ACT_EST_MAPPING=PRECISE</stp>
        <stp>FS=MRC</stp>
        <stp>CURRENCY=USD</stp>
        <stp>XLFILL=b</stp>
        <tr r="P28" s="2"/>
      </tp>
      <tp t="s">
        <v>#N/A Requesting Data...</v>
        <stp/>
        <stp>##V3_BQLV12</stp>
        <stp>[MODL_NOW_US1.xlsx]Single Period!R28C27</stp>
        <stp>NOW US Equity</stp>
        <stp>ADJ_OPERATING_MARGIN</stp>
        <stp>FPR=2021Y</stp>
        <stp>FPT=A</stp>
        <stp>FA_ACT_EST_DATA=E, EST_SOURCE=RBC</stp>
        <stp>ACT_EST_MAPPING=PRECISE</stp>
        <stp>FS=MRC</stp>
        <stp>CURRENCY=USD</stp>
        <stp>XLFILL=b</stp>
        <tr r="AA28" s="2"/>
      </tp>
      <tp t="s">
        <v>#N/A Requesting Data...</v>
        <stp/>
        <stp>##V3_BQLV12</stp>
        <stp>[MODL_NOW_US1.xlsx]Single Period!R159C45</stp>
        <stp>NOW US Equity</stp>
        <stp>CB_BS_OTHER_CURRENT_ASSETS/1M</stp>
        <stp>FPR=2021Y</stp>
        <stp>FPT=A</stp>
        <stp>FA_ACT_EST_DATA=E, EST_SOURCE=PJE</stp>
        <stp>ACT_EST_MAPPING=PRECISE</stp>
        <stp>FS=MRC</stp>
        <stp>CURRENCY=USD</stp>
        <stp>XLFILL=b</stp>
        <tr r="AS159" s="2"/>
      </tp>
      <tp t="s">
        <v>#N/A Requesting Data...</v>
        <stp/>
        <stp>##V3_BQLV12</stp>
        <stp>[MODL_NOW_US1.xlsx]Single Period!R160C30</stp>
        <stp>NOW US Equity</stp>
        <stp>PREPAID_EXPNSS_AND_OTHR/1M</stp>
        <stp>FPR=2021Y</stp>
        <stp>FPT=A</stp>
        <stp>FA_ACT_EST_DATA=E, EST_SOURCE=BAM</stp>
        <stp>ACT_EST_MAPPING=PRECISE</stp>
        <stp>FS=MRC</stp>
        <stp>CURRENCY=USD</stp>
        <stp>XLFILL=b</stp>
        <tr r="AD160" s="2"/>
      </tp>
      <tp t="s">
        <v>#N/A Requesting Data...</v>
        <stp/>
        <stp>##V3_BQLV12</stp>
        <stp>[MODL_NOW_US1.xlsx]Single Period!R160C20</stp>
        <stp>NOW US Equity</stp>
        <stp>PREPAID_EXPNSS_AND_OTHR/1M</stp>
        <stp>FPR=2021Y</stp>
        <stp>FPT=A</stp>
        <stp>FA_ACT_EST_DATA=E, EST_SOURCE=CAN</stp>
        <stp>ACT_EST_MAPPING=PRECISE</stp>
        <stp>FS=MRC</stp>
        <stp>CURRENCY=USD</stp>
        <stp>XLFILL=b</stp>
        <tr r="T160" s="2"/>
      </tp>
      <tp t="s">
        <v>#N/A Requesting Data...</v>
        <stp/>
        <stp>##V3_BQLV12</stp>
        <stp>[MODL_NOW_US1.xlsx]Single Period!R181C49</stp>
        <stp>NOW US Equity</stp>
        <stp>BS_LONG_TERM_BORROWINGS/1M</stp>
        <stp>FPR=2021Y</stp>
        <stp>FPT=A</stp>
        <stp>FA_ACT_EST_DATA=E, EST_SOURCE=SCB</stp>
        <stp>ACT_EST_MAPPING=PRECISE</stp>
        <stp>FS=MRC</stp>
        <stp>CURRENCY=USD</stp>
        <stp>XLFILL=b</stp>
        <tr r="AW181" s="2"/>
      </tp>
      <tp t="s">
        <v>#N/A Requesting Data...</v>
        <stp/>
        <stp>##V3_BQLV12</stp>
        <stp>[MODL_NOW_US1.xlsx]Single Period!R199C47</stp>
        <stp>NOW US Equity</stp>
        <stp>IS_COMP_NET_INCOME_GAAP/1M</stp>
        <stp>FPR=2021Y</stp>
        <stp>FPT=A</stp>
        <stp>FA_ACT_EST_DATA=E, EST_SOURCE=SUM</stp>
        <stp>ACT_EST_MAPPING=PRECISE</stp>
        <stp>FS=MRC</stp>
        <stp>CURRENCY=USD</stp>
        <stp>XLFILL=b</stp>
        <tr r="AU199" s="2"/>
      </tp>
      <tp t="s">
        <v>#N/A Requesting Data...</v>
        <stp/>
        <stp>##V3_BQLV12</stp>
        <stp>[MODL_NOW_US1.xlsx]Single Period!R130C47</stp>
        <stp>NOW US Equity</stp>
        <stp>IS_COMP_NET_INCOME_GAAP/1M</stp>
        <stp>FPR=2021Y</stp>
        <stp>FPT=A</stp>
        <stp>FA_ACT_EST_DATA=E, EST_SOURCE=SUM</stp>
        <stp>ACT_EST_MAPPING=PRECISE</stp>
        <stp>FS=MRC</stp>
        <stp>CURRENCY=USD</stp>
        <stp>XLFILL=b</stp>
        <tr r="AU130" s="2"/>
      </tp>
      <tp t="s">
        <v>#N/A Requesting Data...</v>
        <stp/>
        <stp>##V3_BQLV12</stp>
        <stp>[MODL_NOW_US1.xlsx]Single Period!R181C16</stp>
        <stp>NOW US Equity</stp>
        <stp>BS_LONG_TERM_BORROWINGS/1M</stp>
        <stp>FPR=2021Y</stp>
        <stp>FPT=A</stp>
        <stp>FA_ACT_EST_DATA=E, EST_SOURCE=BCA</stp>
        <stp>ACT_EST_MAPPING=PRECISE</stp>
        <stp>FS=MRC</stp>
        <stp>CURRENCY=USD</stp>
        <stp>XLFILL=b</stp>
        <tr r="P181" s="2"/>
      </tp>
      <tp t="s">
        <v>#N/A Requesting Data...</v>
        <stp/>
        <stp>##V3_BQLV12</stp>
        <stp>[MODL_NOW_US1.xlsx]Single Period!R21C36</stp>
        <stp>SEG0000230986 Segment</stp>
        <stp>IS_BILLINGS/1M</stp>
        <stp>FPR=2021Y</stp>
        <stp>FPT=A</stp>
        <stp>FA_ACT_EST_DATA=E, EST_SOURCE=JEF</stp>
        <stp>ACT_EST_MAPPING=PRECISE</stp>
        <stp>FS=MRC</stp>
        <stp>CURRENCY=USD</stp>
        <stp>XLFILL=b</stp>
        <tr r="AJ21" s="2"/>
      </tp>
      <tp t="s">
        <v>#N/A Requesting Data...</v>
        <stp/>
        <stp>##V3_BQLV12</stp>
        <stp>[MODL_NOW_US1.xlsx]Single Period!R46C36</stp>
        <stp>SEG0000230986 Segment</stp>
        <stp>IS_BILLINGS/1M</stp>
        <stp>FPR=2021Y</stp>
        <stp>FPT=A</stp>
        <stp>FA_ACT_EST_DATA=E, EST_SOURCE=JEF</stp>
        <stp>ACT_EST_MAPPING=PRECISE</stp>
        <stp>FS=MRC</stp>
        <stp>CURRENCY=USD</stp>
        <stp>XLFILL=b</stp>
        <tr r="AJ46" s="2"/>
      </tp>
      <tp t="s">
        <v>#N/A Requesting Data...</v>
        <stp/>
        <stp>##V3_BQLV12</stp>
        <stp>[MODL_NOW_US1.xlsx]Single Period!R43C14</stp>
        <stp>SEG0000230975 Segment</stp>
        <stp>CB_ADJ_BILLINGS_AMT/1M</stp>
        <stp>FPR=2021Y</stp>
        <stp>FPT=A</stp>
        <stp>FA_ACT_EST_DATA=E, EST_SOURCE=BMO</stp>
        <stp>ACT_EST_MAPPING=PRECISE</stp>
        <stp>FS=MRC</stp>
        <stp>CURRENCY=USD</stp>
        <stp>XLFILL=b</stp>
        <tr r="N43" s="2"/>
      </tp>
      <tp t="s">
        <v>#N/A Requesting Data...</v>
        <stp/>
        <stp>##V3_BQLV12</stp>
        <stp>[MODL_NOW_US1.xlsx]Single Period!R125C19</stp>
        <stp>NOW US Equity</stp>
        <stp>OPER_INC_TO_NET_SALES</stp>
        <stp>FPR=2021Y</stp>
        <stp>FPT=A</stp>
        <stp>FA_ACT_EST_DATA=E, EST_SOURCE=MSV</stp>
        <stp>ACT_EST_MAPPING=PRECISE</stp>
        <stp>FS=MRC</stp>
        <stp>CURRENCY=USD</stp>
        <stp>XLFILL=b</stp>
        <tr r="S125" s="2"/>
      </tp>
      <tp t="s">
        <v>#N/A Requesting Data...</v>
        <stp/>
        <stp>##V3_BQLV12</stp>
        <stp>[MODL_NOW_US1.xlsx]Single Period!R125C31</stp>
        <stp>NOW US Equity</stp>
        <stp>OPER_INC_TO_NET_SALES</stp>
        <stp>FPR=2021Y</stp>
        <stp>FPT=A</stp>
        <stp>FA_ACT_EST_DATA=E, EST_SOURCE=GSR</stp>
        <stp>ACT_EST_MAPPING=PRECISE</stp>
        <stp>FS=MRC</stp>
        <stp>CURRENCY=USD</stp>
        <stp>XLFILL=b</stp>
        <tr r="AE125" s="2"/>
      </tp>
      <tp t="s">
        <v>#N/A Requesting Data...</v>
        <stp/>
        <stp>##V3_BQLV12</stp>
        <stp>[MODL_NOW_US1.xlsx]Single Period!R125C35</stp>
        <stp>NOW US Equity</stp>
        <stp>OPER_INC_TO_NET_SALES</stp>
        <stp>FPR=2021Y</stp>
        <stp>FPT=A</stp>
        <stp>FA_ACT_EST_DATA=E, EST_SOURCE=MSR</stp>
        <stp>ACT_EST_MAPPING=PRECISE</stp>
        <stp>FS=MRC</stp>
        <stp>CURRENCY=USD</stp>
        <stp>XLFILL=b</stp>
        <tr r="AI125" s="2"/>
      </tp>
      <tp t="s">
        <v>#N/A Requesting Data...</v>
        <stp/>
        <stp>##V3_BQLV12</stp>
        <stp>[MODL_NOW_US1.xlsx]Single Period!R160C33</stp>
        <stp>NOW US Equity</stp>
        <stp>PREPAID_EXPNSS_AND_OTHR/1M</stp>
        <stp>FPR=2021Y</stp>
        <stp>FPT=A</stp>
        <stp>FA_ACT_EST_DATA=E, EST_SOURCE=MAC</stp>
        <stp>ACT_EST_MAPPING=PRECISE</stp>
        <stp>FS=MRC</stp>
        <stp>CURRENCY=USD</stp>
        <stp>XLFILL=b</stp>
        <tr r="AG160" s="2"/>
      </tp>
      <tp t="s">
        <v>#N/A Requesting Data...</v>
        <stp/>
        <stp>##V3_BQLV12</stp>
        <stp>[MODL_NOW_US1.xlsx]Single Period!R42C43</stp>
        <stp>SEG0000230975 Segment</stp>
        <stp>IS_BILLINGS/1M</stp>
        <stp>FPR=2021Y</stp>
        <stp>FPT=A</stp>
        <stp>FA_ACT_EST_DATA=E, EST_SOURCE=WFT</stp>
        <stp>ACT_EST_MAPPING=PRECISE</stp>
        <stp>FS=MRC</stp>
        <stp>CURRENCY=USD</stp>
        <stp>XLFILL=b</stp>
        <tr r="AQ42" s="2"/>
      </tp>
      <tp t="s">
        <v>#N/A Requesting Data...</v>
        <stp/>
        <stp>##V3_BQLV12</stp>
        <stp>[MODL_NOW_US1.xlsx]Single Period!R17C43</stp>
        <stp>SEG0000230975 Segment</stp>
        <stp>IS_BILLINGS/1M</stp>
        <stp>FPR=2021Y</stp>
        <stp>FPT=A</stp>
        <stp>FA_ACT_EST_DATA=E, EST_SOURCE=WFT</stp>
        <stp>ACT_EST_MAPPING=PRECISE</stp>
        <stp>FS=MRC</stp>
        <stp>CURRENCY=USD</stp>
        <stp>XLFILL=b</stp>
        <tr r="AQ17" s="2"/>
      </tp>
      <tp t="s">
        <v>#N/A Requesting Data...</v>
        <stp/>
        <stp>##V3_BQLV12</stp>
        <stp>[MODL_NOW_US1.xlsx]Single Period!R205C42</stp>
        <stp>NOW US Equity</stp>
        <stp>CB_CF_OTHR_NONCSH_ITEMS/1M</stp>
        <stp>FPR=2021Y</stp>
        <stp>FPT=A</stp>
        <stp>FA_ACT_EST_DATA=E, EST_SOURCE=CTI</stp>
        <stp>ACT_EST_MAPPING=PRECISE</stp>
        <stp>FS=MRC</stp>
        <stp>CURRENCY=USD</stp>
        <stp>XLFILL=b</stp>
        <tr r="AP205" s="2"/>
      </tp>
      <tp t="s">
        <v>#N/A Requesting Data...</v>
        <stp/>
        <stp>##V3_BQLV12</stp>
        <stp>[MODL_NOW_US1.xlsx]Single Period!R43C21</stp>
        <stp>SEG0000230975 Segment</stp>
        <stp>CB_ADJ_BILLINGS_AMT/1M</stp>
        <stp>FPR=2021Y</stp>
        <stp>FPT=A</stp>
        <stp>FA_ACT_EST_DATA=E, EST_SOURCE=JMP</stp>
        <stp>ACT_EST_MAPPING=PRECISE</stp>
        <stp>FS=MRC</stp>
        <stp>CURRENCY=USD</stp>
        <stp>XLFILL=b</stp>
        <tr r="U43" s="2"/>
      </tp>
      <tp t="s">
        <v>#N/A Requesting Data...</v>
        <stp/>
        <stp>##V3_BQLV12</stp>
        <stp>[MODL_NOW_US1.xlsx]Single Period!R47C18</stp>
        <stp>SEG0000230986 Segment</stp>
        <stp>CB_ADJ_BILLINGS_AMT/1M</stp>
        <stp>FPR=2021Y</stp>
        <stp>FPT=A</stp>
        <stp>FA_ACT_EST_DATA=E, EST_SOURCE=SNR</stp>
        <stp>ACT_EST_MAPPING=PRECISE</stp>
        <stp>FS=MRC</stp>
        <stp>CURRENCY=USD</stp>
        <stp>XLFILL=b</stp>
        <tr r="R47" s="2"/>
      </tp>
      <tp t="s">
        <v>#N/A Requesting Data...</v>
        <stp/>
        <stp>##V3_BQLV12</stp>
        <stp>[MODL_NOW_US1.xlsx]Single Period!R118C9</stp>
        <stp>NOW US Equity</stp>
        <stp>CONTRIBUTOR_STATS(OPERATING_EXPENSES_TO_NET_SALES, MEDIAN)</stp>
        <stp>FPR=2021Y</stp>
        <stp>FPT=A</stp>
        <stp>FA_ACT_EST_DATA=E</stp>
        <stp>ACT_EST_MAPPING=PRECISE</stp>
        <stp>FS=MRC</stp>
        <stp>CURRENCY=USD</stp>
        <stp>XLFILL=b</stp>
        <tr r="I118" s="2"/>
      </tp>
      <tp t="s">
        <v>#N/A Requesting Data...</v>
        <stp/>
        <stp>##V3_BQLV12</stp>
        <stp>[MODL_NOW_US1.xlsx]Single Period!R47C29</stp>
        <stp>SEG0000230986 Segment</stp>
        <stp>CB_ADJ_BILLINGS_AMT/1M</stp>
        <stp>FPR=2021Y</stp>
        <stp>FPT=A</stp>
        <stp>FA_ACT_EST_DATA=E, EST_SOURCE=BNS</stp>
        <stp>ACT_EST_MAPPING=PRECISE</stp>
        <stp>FS=MRC</stp>
        <stp>CURRENCY=USD</stp>
        <stp>XLFILL=b</stp>
        <tr r="AC47" s="2"/>
      </tp>
      <tp t="s">
        <v>#N/A Requesting Data...</v>
        <stp/>
        <stp>##V3_BQLV12</stp>
        <stp>[MODL_NOW_US1.xlsx]Single Period!R46C13</stp>
        <stp>SEG0000230986 Segment</stp>
        <stp>IS_BILLINGS/1M</stp>
        <stp>FPR=2021Y</stp>
        <stp>FPT=A</stp>
        <stp>FA_ACT_EST_DATA=E, EST_SOURCE=KEY</stp>
        <stp>ACT_EST_MAPPING=PRECISE</stp>
        <stp>FS=MRC</stp>
        <stp>CURRENCY=USD</stp>
        <stp>XLFILL=b</stp>
        <tr r="M46" s="2"/>
      </tp>
      <tp t="s">
        <v>#N/A Requesting Data...</v>
        <stp/>
        <stp>##V3_BQLV12</stp>
        <stp>[MODL_NOW_US1.xlsx]Single Period!R21C13</stp>
        <stp>SEG0000230986 Segment</stp>
        <stp>IS_BILLINGS/1M</stp>
        <stp>FPR=2021Y</stp>
        <stp>FPT=A</stp>
        <stp>FA_ACT_EST_DATA=E, EST_SOURCE=KEY</stp>
        <stp>ACT_EST_MAPPING=PRECISE</stp>
        <stp>FS=MRC</stp>
        <stp>CURRENCY=USD</stp>
        <stp>XLFILL=b</stp>
        <tr r="M21" s="2"/>
      </tp>
      <tp t="s">
        <v>#N/A Requesting Data...</v>
        <stp/>
        <stp>##V3_BQLV12</stp>
        <stp>[MODL_NOW_US1.xlsx]Single Period!R125C34</stp>
        <stp>NOW US Equity</stp>
        <stp>OPER_INC_TO_NET_SALES</stp>
        <stp>FPR=2021Y</stp>
        <stp>FPT=A</stp>
        <stp>FA_ACT_EST_DATA=E, EST_SOURCE=PSG</stp>
        <stp>ACT_EST_MAPPING=PRECISE</stp>
        <stp>FS=MRC</stp>
        <stp>CURRENCY=USD</stp>
        <stp>XLFILL=b</stp>
        <tr r="AH125" s="2"/>
      </tp>
      <tp t="s">
        <v>#N/A Requesting Data...</v>
        <stp/>
        <stp>##V3_BQLV12</stp>
        <stp>[MODL_NOW_US1.xlsx]Single Period!R236C48</stp>
        <stp>NOW US Equity</stp>
        <stp>FREE_CASH_FLOW_MARGIN</stp>
        <stp>FPR=2021Y</stp>
        <stp>FPT=A</stp>
        <stp>FA_ACT_EST_DATA=E, EST_SOURCE=CRC</stp>
        <stp>ACT_EST_MAPPING=PRECISE</stp>
        <stp>FS=MRC</stp>
        <stp>CURRENCY=USD</stp>
        <stp>XLFILL=b</stp>
        <tr r="AV236" s="2"/>
      </tp>
      <tp t="s">
        <v>#N/A Requesting Data...</v>
        <stp/>
        <stp>##V3_BQLV12</stp>
        <stp>[MODL_NOW_US1.xlsx]Single Period!R205C37</stp>
        <stp>NOW US Equity</stp>
        <stp>CB_CF_OTHR_NONCSH_ITEMS/1M</stp>
        <stp>FPR=2021Y</stp>
        <stp>FPT=A</stp>
        <stp>FA_ACT_EST_DATA=E, EST_SOURCE=TTC</stp>
        <stp>ACT_EST_MAPPING=PRECISE</stp>
        <stp>FS=MRC</stp>
        <stp>CURRENCY=USD</stp>
        <stp>XLFILL=b</stp>
        <tr r="AK205" s="2"/>
      </tp>
      <tp t="s">
        <v>#N/A Requesting Data...</v>
        <stp/>
        <stp>##V3_BQLV12</stp>
        <stp>[MODL_NOW_US1.xlsx]Single Period!R236C44</stp>
        <stp>NOW US Equity</stp>
        <stp>FREE_CASH_FLOW_MARGIN</stp>
        <stp>FPR=2021Y</stp>
        <stp>FPT=A</stp>
        <stp>FA_ACT_EST_DATA=E, EST_SOURCE=ARE</stp>
        <stp>ACT_EST_MAPPING=PRECISE</stp>
        <stp>FS=MRC</stp>
        <stp>CURRENCY=USD</stp>
        <stp>XLFILL=b</stp>
        <tr r="AR236" s="2"/>
      </tp>
      <tp t="s">
        <v>#N/A Requesting Data...</v>
        <stp/>
        <stp>##V3_BQLV12</stp>
        <stp>[MODL_NOW_US1.xlsx]Single Period!R138C29</stp>
        <stp>NOW US Equity</stp>
        <stp>SBC_NON_GAAP_TO_SALES</stp>
        <stp>FPR=2021Y</stp>
        <stp>FPT=A</stp>
        <stp>FA_ACT_EST_DATA=E, EST_SOURCE=BNS</stp>
        <stp>ACT_EST_MAPPING=PRECISE</stp>
        <stp>FS=MRC</stp>
        <stp>CURRENCY=USD</stp>
        <stp>XLFILL=b</stp>
        <tr r="AC138" s="2"/>
      </tp>
      <tp t="s">
        <v>#N/A Requesting Data...</v>
        <stp/>
        <stp>##V3_BQLV12</stp>
        <stp>[MODL_NOW_US1.xlsx]Single Period!R174C47</stp>
        <stp>NOW US Equity</stp>
        <stp>BS_ACCT_PAYABLE/1M</stp>
        <stp>FPR=2021Y</stp>
        <stp>FPT=A</stp>
        <stp>FA_ACT_EST_DATA=E, EST_SOURCE=SUM</stp>
        <stp>ACT_EST_MAPPING=PRECISE</stp>
        <stp>FS=MRC</stp>
        <stp>CURRENCY=USD</stp>
        <stp>XLFILL=b</stp>
        <tr r="AU174" s="2"/>
      </tp>
      <tp t="s">
        <v>#N/A Requesting Data...</v>
        <stp/>
        <stp>##V3_BQLV12</stp>
        <stp>[MODL_NOW_US1.xlsx]Single Period!R236C41</stp>
        <stp>NOW US Equity</stp>
        <stp>FREE_CASH_FLOW_MARGIN</stp>
        <stp>FPR=2021Y</stp>
        <stp>FPT=A</stp>
        <stp>FA_ACT_EST_DATA=E, EST_SOURCE=ARG</stp>
        <stp>ACT_EST_MAPPING=PRECISE</stp>
        <stp>FS=MRC</stp>
        <stp>CURRENCY=USD</stp>
        <stp>XLFILL=b</stp>
        <tr r="AO236" s="2"/>
      </tp>
      <tp t="s">
        <v>#N/A Requesting Data...</v>
        <stp/>
        <stp>##V3_BQLV12</stp>
        <stp>[MODL_NOW_US1.xlsx]Single Period!R138C18</stp>
        <stp>NOW US Equity</stp>
        <stp>SBC_NON_GAAP_TO_SALES</stp>
        <stp>FPR=2021Y</stp>
        <stp>FPT=A</stp>
        <stp>FA_ACT_EST_DATA=E, EST_SOURCE=SNR</stp>
        <stp>ACT_EST_MAPPING=PRECISE</stp>
        <stp>FS=MRC</stp>
        <stp>CURRENCY=USD</stp>
        <stp>XLFILL=b</stp>
        <tr r="R138" s="2"/>
      </tp>
      <tp t="s">
        <v>#N/A Requesting Data...</v>
        <stp/>
        <stp>##V3_BQLV12</stp>
        <stp>[MODL_NOW_US1.xlsx]Single Period!R104C25</stp>
        <stp>NOW US Equity</stp>
        <stp>IS_COMP_NET_INC_EXCL_STOCK_COMP/1M</stp>
        <stp>FPR=2021Y</stp>
        <stp>FPT=A</stp>
        <stp>FA_ACT_EST_DATA=E, EST_SOURCE=DBG</stp>
        <stp>ACT_EST_MAPPING=PRECISE</stp>
        <stp>FS=MRC</stp>
        <stp>CURRENCY=USD</stp>
        <stp>XLFILL=b</stp>
        <tr r="Y104" s="2"/>
      </tp>
      <tp t="s">
        <v>#N/A Requesting Data...</v>
        <stp/>
        <stp>##V3_BQLV12</stp>
        <stp>[MODL_NOW_US1.xlsx]Single Period!R218C22</stp>
        <stp>NOW US Equity</stp>
        <stp>CF_ACQUISITION_OF_INTANG_ASSETS/1M</stp>
        <stp>FPR=2021Y</stp>
        <stp>FPT=A</stp>
        <stp>FA_ACT_EST_DATA=E, EST_SOURCE=NDH</stp>
        <stp>ACT_EST_MAPPING=PRECISE</stp>
        <stp>FS=MRC</stp>
        <stp>CURRENCY=USD</stp>
        <stp>XLFILL=b</stp>
        <tr r="V218" s="2"/>
      </tp>
      <tp t="s">
        <v>#N/A Requesting Data...</v>
        <stp/>
        <stp>##V3_BQLV12</stp>
        <stp>[MODL_NOW_US1.xlsx]Single Period!R104C27</stp>
        <stp>NOW US Equity</stp>
        <stp>IS_COMP_NET_INC_EXCL_STOCK_COMP/1M</stp>
        <stp>FPR=2021Y</stp>
        <stp>FPT=A</stp>
        <stp>FA_ACT_EST_DATA=E, EST_SOURCE=RBC</stp>
        <stp>ACT_EST_MAPPING=PRECISE</stp>
        <stp>FS=MRC</stp>
        <stp>CURRENCY=USD</stp>
        <stp>XLFILL=b</stp>
        <tr r="AA104" s="2"/>
      </tp>
      <tp t="s">
        <v>#N/A Requesting Data...</v>
        <stp/>
        <stp>##V3_BQLV12</stp>
        <stp>[MODL_NOW_US1.xlsx]Single Period!R148C12</stp>
        <stp>NOW US Equity</stp>
        <stp>IS_AMORT_ACQD_INTANGIBLES_R_AND_D/1M</stp>
        <stp>FPR=2021Y</stp>
        <stp>FPT=A</stp>
        <stp>FA_ACT_EST_DATA=E, EST_SOURCE=WBL</stp>
        <stp>ACT_EST_MAPPING=PRECISE</stp>
        <stp>FS=MRC</stp>
        <stp>CURRENCY=USD</stp>
        <stp>XLFILL=b</stp>
        <tr r="L148" s="2"/>
      </tp>
      <tp t="s">
        <v>#N/A Requesting Data...</v>
        <stp/>
        <stp>##V3_BQLV12</stp>
        <stp>[MODL_NOW_US1.xlsx]Single Period!R104C32</stp>
        <stp>NOW US Equity</stp>
        <stp>IS_COMP_NET_INC_EXCL_STOCK_COMP/1M</stp>
        <stp>FPR=2021Y</stp>
        <stp>FPT=A</stp>
        <stp>FA_ACT_EST_DATA=E, EST_SOURCE=FBC</stp>
        <stp>ACT_EST_MAPPING=PRECISE</stp>
        <stp>FS=MRC</stp>
        <stp>CURRENCY=USD</stp>
        <stp>XLFILL=b</stp>
        <tr r="AF104" s="2"/>
      </tp>
      <tp t="s">
        <v>#N/A Requesting Data...</v>
        <stp/>
        <stp>##V3_BQLV12</stp>
        <stp>[MODL_NOW_US1.xlsx]Single Period!R121C40</stp>
        <stp>NOW US Equity</stp>
        <stp>CB_IS_GENL_AND_ADMIN_EXPN/1M</stp>
        <stp>FPR=2021Y</stp>
        <stp>FPT=A</stp>
        <stp>FA_ACT_EST_DATA=E, EST_SOURCE=DWI</stp>
        <stp>ACT_EST_MAPPING=PRECISE</stp>
        <stp>FS=MRC</stp>
        <stp>CURRENCY=USD</stp>
        <stp>XLFILL=b</stp>
        <tr r="AN121" s="2"/>
      </tp>
      <tp t="s">
        <v>#N/A Requesting Data...</v>
        <stp/>
        <stp>##V3_BQLV12</stp>
        <stp>[MODL_NOW_US1.xlsx]Single Period!R107C44</stp>
        <stp>NOW US Equity</stp>
        <stp>CB_IS_ADJ_DILUTED_AVG_SHS/1M</stp>
        <stp>FPR=2021Y</stp>
        <stp>FPT=A</stp>
        <stp>FA_ACT_EST_DATA=E, EST_SOURCE=ARE</stp>
        <stp>ACT_EST_MAPPING=PRECISE</stp>
        <stp>FS=MRC</stp>
        <stp>CURRENCY=USD</stp>
        <stp>XLFILL=b</stp>
        <tr r="AR107" s="2"/>
      </tp>
      <tp t="s">
        <v>#N/A Requesting Data...</v>
        <stp/>
        <stp>##V3_BQLV12</stp>
        <stp>[MODL_NOW_US1.xlsx]Single Period!R104C12</stp>
        <stp>NOW US Equity</stp>
        <stp>IS_COMP_NET_INC_EXCL_STOCK_COMP/1M</stp>
        <stp>FPR=2021Y</stp>
        <stp>FPT=A</stp>
        <stp>FA_ACT_EST_DATA=E, EST_SOURCE=WBL</stp>
        <stp>ACT_EST_MAPPING=PRECISE</stp>
        <stp>FS=MRC</stp>
        <stp>CURRENCY=USD</stp>
        <stp>XLFILL=b</stp>
        <tr r="L104" s="2"/>
      </tp>
      <tp t="s">
        <v>#N/A Requesting Data...</v>
        <stp/>
        <stp>##V3_BQLV12</stp>
        <stp>[MODL_NOW_US1.xlsx]Single Period!R107C42</stp>
        <stp>NOW US Equity</stp>
        <stp>CB_IS_ADJ_DILUTED_AVG_SHS/1M</stp>
        <stp>FPR=2021Y</stp>
        <stp>FPT=A</stp>
        <stp>FA_ACT_EST_DATA=E, EST_SOURCE=CTI</stp>
        <stp>ACT_EST_MAPPING=PRECISE</stp>
        <stp>FS=MRC</stp>
        <stp>CURRENCY=USD</stp>
        <stp>XLFILL=b</stp>
        <tr r="AP107" s="2"/>
      </tp>
      <tp t="s">
        <v>#N/A Requesting Data...</v>
        <stp/>
        <stp>##V3_BQLV12</stp>
        <stp>[MODL_NOW_US1.xlsx]Single Period!R121C34</stp>
        <stp>NOW US Equity</stp>
        <stp>CB_IS_GENL_AND_ADMIN_EXPN/1M</stp>
        <stp>FPR=2021Y</stp>
        <stp>FPT=A</stp>
        <stp>FA_ACT_EST_DATA=E, EST_SOURCE=PSG</stp>
        <stp>ACT_EST_MAPPING=PRECISE</stp>
        <stp>FS=MRC</stp>
        <stp>CURRENCY=USD</stp>
        <stp>XLFILL=b</stp>
        <tr r="AH121" s="2"/>
      </tp>
      <tp t="s">
        <v>#N/A Requesting Data...</v>
        <stp/>
        <stp>##V3_BQLV12</stp>
        <stp>[MODL_NOW_US1.xlsx]Single Period!R148C32</stp>
        <stp>NOW US Equity</stp>
        <stp>IS_AMORT_ACQD_INTANGIBLES_R_AND_D/1M</stp>
        <stp>FPR=2021Y</stp>
        <stp>FPT=A</stp>
        <stp>FA_ACT_EST_DATA=E, EST_SOURCE=FBC</stp>
        <stp>ACT_EST_MAPPING=PRECISE</stp>
        <stp>FS=MRC</stp>
        <stp>CURRENCY=USD</stp>
        <stp>XLFILL=b</stp>
        <tr r="AF148" s="2"/>
      </tp>
      <tp t="s">
        <v>#N/A Requesting Data...</v>
        <stp/>
        <stp>##V3_BQLV12</stp>
        <stp>[MODL_NOW_US1.xlsx]Single Period!R202C28</stp>
        <stp>NOW US Equity</stp>
        <stp>CF_AMORTIZATN_OF_DEFRRD_COMPNSTN/1M</stp>
        <stp>FPR=2021Y</stp>
        <stp>FPT=A</stp>
        <stp>FA_ACT_EST_DATA=E, EST_SOURCE=EVR</stp>
        <stp>ACT_EST_MAPPING=PRECISE</stp>
        <stp>FS=MRC</stp>
        <stp>CURRENCY=USD</stp>
        <stp>XLFILL=b</stp>
        <tr r="AB202" s="2"/>
      </tp>
      <tp t="s">
        <v>#N/A Requesting Data...</v>
        <stp/>
        <stp>##V3_BQLV12</stp>
        <stp>[MODL_NOW_US1.xlsx]Single Period!R221C45</stp>
        <stp>NOW US Equity</stp>
        <stp>CB_CF_OTHER_INVESTING_ACTIVITIES/1M</stp>
        <stp>FPR=2021Y</stp>
        <stp>FPT=A</stp>
        <stp>FA_ACT_EST_DATA=E, EST_SOURCE=PJE</stp>
        <stp>ACT_EST_MAPPING=PRECISE</stp>
        <stp>FS=MRC</stp>
        <stp>CURRENCY=USD</stp>
        <stp>XLFILL=b</stp>
        <tr r="AS221" s="2"/>
      </tp>
      <tp t="s">
        <v>#N/A Requesting Data...</v>
        <stp/>
        <stp>##V3_BQLV12</stp>
        <stp>[MODL_NOW_US1.xlsx]Single Period!R182C45</stp>
        <stp>NOW US Equity</stp>
        <stp>BS_OTHER_NONCURRENT_LIABILITIES/1M</stp>
        <stp>FPR=2021Y</stp>
        <stp>FPT=A</stp>
        <stp>FA_ACT_EST_DATA=E, EST_SOURCE=PJE</stp>
        <stp>ACT_EST_MAPPING=PRECISE</stp>
        <stp>FS=MRC</stp>
        <stp>CURRENCY=USD</stp>
        <stp>XLFILL=b</stp>
        <tr r="AS182" s="2"/>
      </tp>
      <tp t="s">
        <v>#N/A Requesting Data...</v>
        <stp/>
        <stp>##V3_BQLV12</stp>
        <stp>[MODL_NOW_US1.xlsx]Single Period!R216C46</stp>
        <stp>NOW US Equity</stp>
        <stp>CF_PURCHASE_OF_FIXED_PROD_ASSETS/1M</stp>
        <stp>FPR=2021Y</stp>
        <stp>FPT=A</stp>
        <stp>FA_ACT_EST_DATA=E, EST_SOURCE=MZS</stp>
        <stp>ACT_EST_MAPPING=PRECISE</stp>
        <stp>FS=MRC</stp>
        <stp>CURRENCY=USD</stp>
        <stp>XLFILL=b</stp>
        <tr r="AT216" s="2"/>
      </tp>
      <tp t="s">
        <v>#N/A Requesting Data...</v>
        <stp/>
        <stp>##V3_BQLV12</stp>
        <stp>[MODL_NOW_US1.xlsx]Single Period!R107C35</stp>
        <stp>NOW US Equity</stp>
        <stp>CB_IS_ADJ_DILUTED_AVG_SHS/1M</stp>
        <stp>FPR=2021Y</stp>
        <stp>FPT=A</stp>
        <stp>FA_ACT_EST_DATA=E, EST_SOURCE=MSR</stp>
        <stp>ACT_EST_MAPPING=PRECISE</stp>
        <stp>FS=MRC</stp>
        <stp>CURRENCY=USD</stp>
        <stp>XLFILL=b</stp>
        <tr r="AI107" s="2"/>
      </tp>
      <tp t="s">
        <v>#N/A Requesting Data...</v>
        <stp/>
        <stp>##V3_BQLV12</stp>
        <stp>[MODL_NOW_US1.xlsx]Single Period!R177C48</stp>
        <stp>NOW US Equity</stp>
        <stp>BS_ST_CPTL_LEA_AND_OP_LEA_LIABS/1M</stp>
        <stp>FPR=2021Y</stp>
        <stp>FPT=A</stp>
        <stp>FA_ACT_EST_DATA=E, EST_SOURCE=CRC</stp>
        <stp>ACT_EST_MAPPING=PRECISE</stp>
        <stp>FS=MRC</stp>
        <stp>CURRENCY=USD</stp>
        <stp>XLFILL=b</stp>
        <tr r="AV177" s="2"/>
      </tp>
      <tp t="s">
        <v>#N/A Requesting Data...</v>
        <stp/>
        <stp>##V3_BQLV12</stp>
        <stp>[MODL_NOW_US1.xlsx]Single Period!R155C13</stp>
        <stp>NOW US Equity</stp>
        <stp>BS_CASH_CASH_EQUIVALENTS_AND_STI/1M</stp>
        <stp>FPR=2021Y</stp>
        <stp>FPT=A</stp>
        <stp>FA_ACT_EST_DATA=E, EST_SOURCE=KEY</stp>
        <stp>ACT_EST_MAPPING=PRECISE</stp>
        <stp>FS=MRC</stp>
        <stp>CURRENCY=USD</stp>
        <stp>XLFILL=b</stp>
        <tr r="M155" s="2"/>
      </tp>
      <tp t="s">
        <v>#N/A Requesting Data...</v>
        <stp/>
        <stp>##V3_BQLV12</stp>
        <stp>[MODL_NOW_US1.xlsx]Single Period!R104C26</stp>
        <stp>NOW US Equity</stp>
        <stp>IS_COMP_NET_INC_EXCL_STOCK_COMP/1M</stp>
        <stp>FPR=2021Y</stp>
        <stp>FPT=A</stp>
        <stp>FA_ACT_EST_DATA=E, EST_SOURCE=UBS</stp>
        <stp>ACT_EST_MAPPING=PRECISE</stp>
        <stp>FS=MRC</stp>
        <stp>CURRENCY=USD</stp>
        <stp>XLFILL=b</stp>
        <tr r="Z104" s="2"/>
      </tp>
      <tp t="s">
        <v>#N/A Requesting Data...</v>
        <stp/>
        <stp>##V3_BQLV12</stp>
        <stp>[MODL_NOW_US1.xlsx]Single Period!R177C44</stp>
        <stp>NOW US Equity</stp>
        <stp>BS_ST_CPTL_LEA_AND_OP_LEA_LIABS/1M</stp>
        <stp>FPR=2021Y</stp>
        <stp>FPT=A</stp>
        <stp>FA_ACT_EST_DATA=E, EST_SOURCE=ARE</stp>
        <stp>ACT_EST_MAPPING=PRECISE</stp>
        <stp>FS=MRC</stp>
        <stp>CURRENCY=USD</stp>
        <stp>XLFILL=b</stp>
        <tr r="AR177" s="2"/>
      </tp>
      <tp t="s">
        <v>#N/A Requesting Data...</v>
        <stp/>
        <stp>##V3_BQLV12</stp>
        <stp>[MODL_NOW_US1.xlsx]Single Period!R225C26</stp>
        <stp>NOW US Equity</stp>
        <stp>CF_INCR_CAP_STOCK/1M</stp>
        <stp>FPR=2021Y</stp>
        <stp>FPT=A</stp>
        <stp>FA_ACT_EST_DATA=E, EST_SOURCE=UBS</stp>
        <stp>ACT_EST_MAPPING=PRECISE</stp>
        <stp>FS=MRC</stp>
        <stp>CURRENCY=USD</stp>
        <stp>XLFILL=b</stp>
        <tr r="Z225" s="2"/>
      </tp>
      <tp t="s">
        <v>#N/A Requesting Data...</v>
        <stp/>
        <stp>##V3_BQLV12</stp>
        <stp>[MODL_NOW_US1.xlsx]Single Period!R177C41</stp>
        <stp>NOW US Equity</stp>
        <stp>BS_ST_CPTL_LEA_AND_OP_LEA_LIABS/1M</stp>
        <stp>FPR=2021Y</stp>
        <stp>FPT=A</stp>
        <stp>FA_ACT_EST_DATA=E, EST_SOURCE=ARG</stp>
        <stp>ACT_EST_MAPPING=PRECISE</stp>
        <stp>FS=MRC</stp>
        <stp>CURRENCY=USD</stp>
        <stp>XLFILL=b</stp>
        <tr r="AO177" s="2"/>
      </tp>
      <tp t="s">
        <v>#N/A Requesting Data...</v>
        <stp/>
        <stp>##V3_BQLV12</stp>
        <stp>[MODL_NOW_US1.xlsx]Single Period!R202C38</stp>
        <stp>NOW US Equity</stp>
        <stp>CF_AMORTIZATN_OF_DEFRRD_COMPNSTN/1M</stp>
        <stp>FPR=2021Y</stp>
        <stp>FPT=A</stp>
        <stp>FA_ACT_EST_DATA=E, EST_SOURCE=RWB</stp>
        <stp>ACT_EST_MAPPING=PRECISE</stp>
        <stp>FS=MRC</stp>
        <stp>CURRENCY=USD</stp>
        <stp>XLFILL=b</stp>
        <tr r="AL202" s="2"/>
      </tp>
      <tp t="s">
        <v>#N/A Requesting Data...</v>
        <stp/>
        <stp>##V3_BQLV12</stp>
        <stp>[MODL_NOW_US1.xlsx]Single Period!R239C43</stp>
        <stp>NOW US Equity</stp>
        <stp>CFO_TO_SALES</stp>
        <stp>FPR=2021Y</stp>
        <stp>FPT=A</stp>
        <stp>FA_ACT_EST_DATA=E, EST_SOURCE=WFT</stp>
        <stp>ACT_EST_MAPPING=PRECISE</stp>
        <stp>FS=MRC</stp>
        <stp>CURRENCY=USD</stp>
        <stp>XLFILL=b</stp>
        <tr r="AQ239" s="2"/>
      </tp>
      <tp t="s">
        <v>#N/A Requesting Data...</v>
        <stp/>
        <stp>##V3_BQLV12</stp>
        <stp>[MODL_NOW_US1.xlsx]Single Period!R239C27</stp>
        <stp>NOW US Equity</stp>
        <stp>CFO_TO_SALES</stp>
        <stp>FPR=2021Y</stp>
        <stp>FPT=A</stp>
        <stp>FA_ACT_EST_DATA=E, EST_SOURCE=RBC</stp>
        <stp>ACT_EST_MAPPING=PRECISE</stp>
        <stp>FS=MRC</stp>
        <stp>CURRENCY=USD</stp>
        <stp>XLFILL=b</stp>
        <tr r="AA239" s="2"/>
      </tp>
      <tp t="s">
        <v>#N/A Requesting Data...</v>
        <stp/>
        <stp>##V3_BQLV12</stp>
        <stp>[MODL_NOW_US1.xlsx]Single Period!R239C16</stp>
        <stp>NOW US Equity</stp>
        <stp>CFO_TO_SALES</stp>
        <stp>FPR=2021Y</stp>
        <stp>FPT=A</stp>
        <stp>FA_ACT_EST_DATA=E, EST_SOURCE=BCA</stp>
        <stp>ACT_EST_MAPPING=PRECISE</stp>
        <stp>FS=MRC</stp>
        <stp>CURRENCY=USD</stp>
        <stp>XLFILL=b</stp>
        <tr r="P239" s="2"/>
      </tp>
      <tp t="s">
        <v>#N/A Requesting Data...</v>
        <stp/>
        <stp>##V3_BQLV12</stp>
        <stp>[MODL_NOW_US1.xlsx]Single Period!R116C34</stp>
        <stp>NOW US Equity</stp>
        <stp>GROSS_MARGIN</stp>
        <stp>FPR=2021Y</stp>
        <stp>FPT=A</stp>
        <stp>FA_ACT_EST_DATA=E, EST_SOURCE=PSG</stp>
        <stp>ACT_EST_MAPPING=PRECISE</stp>
        <stp>FS=MRC</stp>
        <stp>CURRENCY=USD</stp>
        <stp>XLFILL=b</stp>
        <tr r="AH116" s="2"/>
      </tp>
      <tp t="s">
        <v>#N/A Requesting Data...</v>
        <stp/>
        <stp>##V3_BQLV12</stp>
        <stp>[MODL_NOW_US1.xlsx]Single Period!R236C5</stp>
        <stp>NOW US Equity</stp>
        <stp>FREE_CASH_FLOW_MARGIN</stp>
        <stp>FPR=2021Y</stp>
        <stp>FPT=A</stp>
        <stp>FA_ACT_EST_DATA=E</stp>
        <stp>ACT_EST_MAPPING=PRECISE</stp>
        <stp>FS=MRC</stp>
        <stp>CURRENCY=USD</stp>
        <stp>XLFILL=b</stp>
        <tr r="E236" s="2"/>
      </tp>
      <tp t="s">
        <v>#N/A Requesting Data...</v>
        <stp/>
        <stp>##V3_BQLV12</stp>
        <stp>[MODL_NOW_US1.xlsx]Single Period!R116C40</stp>
        <stp>NOW US Equity</stp>
        <stp>GROSS_MARGIN</stp>
        <stp>FPR=2021Y</stp>
        <stp>FPT=A</stp>
        <stp>FA_ACT_EST_DATA=E, EST_SOURCE=DWI</stp>
        <stp>ACT_EST_MAPPING=PRECISE</stp>
        <stp>FS=MRC</stp>
        <stp>CURRENCY=USD</stp>
        <stp>XLFILL=b</stp>
        <tr r="AN116" s="2"/>
      </tp>
      <tp t="s">
        <v>#N/A Requesting Data...</v>
        <stp/>
        <stp>##V3_BQLV12</stp>
        <stp>[MODL_NOW_US1.xlsx]Single Period!R129C11</stp>
        <stp>NOW US Equity</stp>
        <stp>EFF_TAX_RATE</stp>
        <stp>FPR=2021Y</stp>
        <stp>FPT=A</stp>
        <stp>FA_ACT_EST_DATA=E, EST_SOURCE=JPM</stp>
        <stp>ACT_EST_MAPPING=PRECISE</stp>
        <stp>FS=MRC</stp>
        <stp>CURRENCY=USD</stp>
        <stp>XLFILL=b</stp>
        <tr r="K129" s="2"/>
      </tp>
      <tp t="s">
        <v>#N/A Requesting Data...</v>
        <stp/>
        <stp>##V3_BQLV12</stp>
        <stp>[MODL_NOW_US1.xlsx]Single Period!R111C16</stp>
        <stp>NOW US Equity</stp>
        <stp>IS_COGS_TO_FE_AND_PP_AND_G/1M</stp>
        <stp>FPR=2021Y</stp>
        <stp>FPT=A</stp>
        <stp>FA_ACT_EST_DATA=E, EST_SOURCE=BCA</stp>
        <stp>ACT_EST_MAPPING=PRECISE</stp>
        <stp>FS=MRC</stp>
        <stp>CURRENCY=USD</stp>
        <stp>XLFILL=b</stp>
        <tr r="P111" s="2"/>
      </tp>
      <tp t="s">
        <v>#N/A Requesting Data...</v>
        <stp/>
        <stp>##V3_BQLV12</stp>
        <stp>[MODL_NOW_US1.xlsx]Single Period!R212C39</stp>
        <stp>NOW US Equity</stp>
        <stp>CF_CHANGE_IN_ACCRUD_EXPNSS/1M</stp>
        <stp>FPR=2021Y</stp>
        <stp>FPT=A</stp>
        <stp>FA_ACT_EST_DATA=E, EST_SOURCE=DZB</stp>
        <stp>ACT_EST_MAPPING=PRECISE</stp>
        <stp>FS=MRC</stp>
        <stp>CURRENCY=USD</stp>
        <stp>XLFILL=b</stp>
        <tr r="AM212" s="2"/>
      </tp>
      <tp t="s">
        <v>#N/A Requesting Data...</v>
        <stp/>
        <stp>##V3_BQLV12</stp>
        <stp>[MODL_NOW_US1.xlsx]Single Period!R164C28</stp>
        <stp>NOW US Equity</stp>
        <stp>CB_BS_PP_AND_E_NET/1M</stp>
        <stp>FPR=2021Y</stp>
        <stp>FPT=A</stp>
        <stp>FA_ACT_EST_DATA=E, EST_SOURCE=EVR</stp>
        <stp>ACT_EST_MAPPING=PRECISE</stp>
        <stp>FS=MRC</stp>
        <stp>CURRENCY=USD</stp>
        <stp>XLFILL=b</stp>
        <tr r="AB164" s="2"/>
      </tp>
      <tp t="s">
        <v>#N/A Requesting Data...</v>
        <stp/>
        <stp>##V3_BQLV12</stp>
        <stp>[MODL_NOW_US1.xlsx]Single Period!R144C14</stp>
        <stp>NOW US Equity</stp>
        <stp>IS_SBC_ATT_TO_GENL_AND_ADMIN_PRETX/1M</stp>
        <stp>FPR=2021Y</stp>
        <stp>FPT=A</stp>
        <stp>FA_ACT_EST_DATA=E, EST_SOURCE=BMO</stp>
        <stp>ACT_EST_MAPPING=PRECISE</stp>
        <stp>FS=MRC</stp>
        <stp>CURRENCY=USD</stp>
        <stp>XLFILL=b</stp>
        <tr r="N144" s="2"/>
      </tp>
      <tp t="s">
        <v>#N/A Requesting Data...</v>
        <stp/>
        <stp>##V3_BQLV12</stp>
        <stp>[MODL_NOW_US1.xlsx]Single Period!R111C49</stp>
        <stp>NOW US Equity</stp>
        <stp>IS_COGS_TO_FE_AND_PP_AND_G/1M</stp>
        <stp>FPR=2021Y</stp>
        <stp>FPT=A</stp>
        <stp>FA_ACT_EST_DATA=E, EST_SOURCE=SCB</stp>
        <stp>ACT_EST_MAPPING=PRECISE</stp>
        <stp>FS=MRC</stp>
        <stp>CURRENCY=USD</stp>
        <stp>XLFILL=b</stp>
        <tr r="AW111" s="2"/>
      </tp>
      <tp t="s">
        <v>#N/A Requesting Data...</v>
        <stp/>
        <stp>##V3_BQLV12</stp>
        <stp>[MODL_NOW_US1.xlsx]Single Period!R91C14</stp>
        <stp>NOW US Equity</stp>
        <stp>ADJ_R_AND_D_TO_SALES</stp>
        <stp>FPR=2021Y</stp>
        <stp>FPT=A</stp>
        <stp>FA_ACT_EST_DATA=E, EST_SOURCE=BMO</stp>
        <stp>ACT_EST_MAPPING=PRECISE</stp>
        <stp>FS=MRC</stp>
        <stp>CURRENCY=USD</stp>
        <stp>XLFILL=b</stp>
        <tr r="N91" s="2"/>
      </tp>
      <tp t="s">
        <v>#N/A Requesting Data...</v>
        <stp/>
        <stp>##V3_BQLV12</stp>
        <stp>[MODL_NOW_US1.xlsx]Single Period!R194C23</stp>
        <stp>NOW US Equity</stp>
        <stp>CB_BS_OTHER_CURRENT_ASSETS/1M</stp>
        <stp>FPR=2021Y</stp>
        <stp>FPT=A</stp>
        <stp>FA_ACT_EST_DATA=E, EST_SOURCE=ZXS</stp>
        <stp>ACT_EST_MAPPING=PRECISE</stp>
        <stp>FS=MRC</stp>
        <stp>CURRENCY=USD</stp>
        <stp>XLFILL=b</stp>
        <tr r="W194" s="2"/>
      </tp>
      <tp t="s">
        <v>#N/A Requesting Data...</v>
        <stp/>
        <stp>##V3_BQLV12</stp>
        <stp>[MODL_NOW_US1.xlsx]Single Period!R28C19</stp>
        <stp>NOW US Equity</stp>
        <stp>ADJ_OPERATING_MARGIN</stp>
        <stp>FPR=2021Y</stp>
        <stp>FPT=A</stp>
        <stp>FA_ACT_EST_DATA=E, EST_SOURCE=MSV</stp>
        <stp>ACT_EST_MAPPING=PRECISE</stp>
        <stp>FS=MRC</stp>
        <stp>CURRENCY=USD</stp>
        <stp>XLFILL=b</stp>
        <tr r="S28" s="2"/>
      </tp>
      <tp t="s">
        <v>#N/A Requesting Data...</v>
        <stp/>
        <stp>##V3_BQLV12</stp>
        <stp>[MODL_NOW_US1.xlsx]Single Period!R212C46</stp>
        <stp>NOW US Equity</stp>
        <stp>CF_CHANGE_IN_ACCRUD_EXPNSS/1M</stp>
        <stp>FPR=2021Y</stp>
        <stp>FPT=A</stp>
        <stp>FA_ACT_EST_DATA=E, EST_SOURCE=MZS</stp>
        <stp>ACT_EST_MAPPING=PRECISE</stp>
        <stp>FS=MRC</stp>
        <stp>CURRENCY=USD</stp>
        <stp>XLFILL=b</stp>
        <tr r="AT212" s="2"/>
      </tp>
      <tp t="s">
        <v>#N/A Requesting Data...</v>
        <stp/>
        <stp>##V3_BQLV12</stp>
        <stp>[MODL_NOW_US1.xlsx]Single Period!R114C8</stp>
        <stp>SEG0000230986 Segment</stp>
        <stp>CONTRIBUTOR_STATS(CB_IS_GROSS_MARGIN, STD)</stp>
        <stp>FPR=2021Y</stp>
        <stp>FPT=A</stp>
        <stp>FA_ACT_EST_DATA=E</stp>
        <stp>ACT_EST_MAPPING=PRECISE</stp>
        <stp>FS=MRC</stp>
        <stp>CURRENCY=USD</stp>
        <stp>XLFILL=b</stp>
        <tr r="H114" s="2"/>
      </tp>
      <tp t="s">
        <v>#N/A Requesting Data...</v>
        <stp/>
        <stp>##V3_BQLV12</stp>
        <stp>[MODL_NOW_US1.xlsx]Single Period!R159C47</stp>
        <stp>NOW US Equity</stp>
        <stp>CB_BS_OTHER_CURRENT_ASSETS/1M</stp>
        <stp>FPR=2021Y</stp>
        <stp>FPT=A</stp>
        <stp>FA_ACT_EST_DATA=E, EST_SOURCE=SUM</stp>
        <stp>ACT_EST_MAPPING=PRECISE</stp>
        <stp>FS=MRC</stp>
        <stp>CURRENCY=USD</stp>
        <stp>XLFILL=b</stp>
        <tr r="AU159" s="2"/>
      </tp>
      <tp t="s">
        <v>#N/A Requesting Data...</v>
        <stp/>
        <stp>##V3_BQLV12</stp>
        <stp>[MODL_NOW_US1.xlsx]Single Period!R28C48</stp>
        <stp>NOW US Equity</stp>
        <stp>ADJ_OPERATING_MARGIN</stp>
        <stp>FPR=2021Y</stp>
        <stp>FPT=A</stp>
        <stp>FA_ACT_EST_DATA=E, EST_SOURCE=CRC</stp>
        <stp>ACT_EST_MAPPING=PRECISE</stp>
        <stp>FS=MRC</stp>
        <stp>CURRENCY=USD</stp>
        <stp>XLFILL=b</stp>
        <tr r="AV28" s="2"/>
      </tp>
      <tp t="s">
        <v>#N/A Requesting Data...</v>
        <stp/>
        <stp>##V3_BQLV12</stp>
        <stp>[MODL_NOW_US1.xlsx]Single Period!R96C11</stp>
        <stp>NOW US Equity</stp>
        <stp>ADJ_OPERATING_MARGIN</stp>
        <stp>FPR=2021Y</stp>
        <stp>FPT=A</stp>
        <stp>FA_ACT_EST_DATA=E, EST_SOURCE=JPM</stp>
        <stp>ACT_EST_MAPPING=PRECISE</stp>
        <stp>FS=MRC</stp>
        <stp>CURRENCY=USD</stp>
        <stp>XLFILL=b</stp>
        <tr r="K96" s="2"/>
      </tp>
      <tp t="s">
        <v>#N/A Requesting Data...</v>
        <stp/>
        <stp>##V3_BQLV12</stp>
        <stp>[MODL_NOW_US1.xlsx]Single Period!R144C21</stp>
        <stp>NOW US Equity</stp>
        <stp>IS_SBC_ATT_TO_GENL_AND_ADMIN_PRETX/1M</stp>
        <stp>FPR=2021Y</stp>
        <stp>FPT=A</stp>
        <stp>FA_ACT_EST_DATA=E, EST_SOURCE=JMP</stp>
        <stp>ACT_EST_MAPPING=PRECISE</stp>
        <stp>FS=MRC</stp>
        <stp>CURRENCY=USD</stp>
        <stp>XLFILL=b</stp>
        <tr r="U144" s="2"/>
      </tp>
      <tp t="s">
        <v>#N/A Requesting Data...</v>
        <stp/>
        <stp>##V3_BQLV12</stp>
        <stp>[MODL_NOW_US1.xlsx]Single Period!R181C25</stp>
        <stp>NOW US Equity</stp>
        <stp>BS_LONG_TERM_BORROWINGS/1M</stp>
        <stp>FPR=2021Y</stp>
        <stp>FPT=A</stp>
        <stp>FA_ACT_EST_DATA=E, EST_SOURCE=DBG</stp>
        <stp>ACT_EST_MAPPING=PRECISE</stp>
        <stp>FS=MRC</stp>
        <stp>CURRENCY=USD</stp>
        <stp>XLFILL=b</stp>
        <tr r="Y181" s="2"/>
      </tp>
      <tp t="s">
        <v>#N/A Requesting Data...</v>
        <stp/>
        <stp>##V3_BQLV12</stp>
        <stp>[MODL_NOW_US1.xlsx]Single Period!R117C20</stp>
        <stp>NOW US Equity</stp>
        <stp>IS_TOT_OPER_EXP/1M</stp>
        <stp>FPR=2021Y</stp>
        <stp>FPT=A</stp>
        <stp>FA_ACT_EST_DATA=E, EST_SOURCE=CAN</stp>
        <stp>ACT_EST_MAPPING=PRECISE</stp>
        <stp>FS=MRC</stp>
        <stp>CURRENCY=USD</stp>
        <stp>XLFILL=b</stp>
        <tr r="T117" s="2"/>
      </tp>
      <tp t="s">
        <v>#N/A Requesting Data...</v>
        <stp/>
        <stp>##V3_BQLV12</stp>
        <stp>[MODL_NOW_US1.xlsx]Single Period!R117C30</stp>
        <stp>NOW US Equity</stp>
        <stp>IS_TOT_OPER_EXP/1M</stp>
        <stp>FPR=2021Y</stp>
        <stp>FPT=A</stp>
        <stp>FA_ACT_EST_DATA=E, EST_SOURCE=BAM</stp>
        <stp>ACT_EST_MAPPING=PRECISE</stp>
        <stp>FS=MRC</stp>
        <stp>CURRENCY=USD</stp>
        <stp>XLFILL=b</stp>
        <tr r="AD117" s="2"/>
      </tp>
      <tp t="s">
        <v>#N/A Requesting Data...</v>
        <stp/>
        <stp>##V3_BQLV12</stp>
        <stp>[MODL_NOW_US1.xlsx]Single Period!R181C32</stp>
        <stp>NOW US Equity</stp>
        <stp>BS_LONG_TERM_BORROWINGS/1M</stp>
        <stp>FPR=2021Y</stp>
        <stp>FPT=A</stp>
        <stp>FA_ACT_EST_DATA=E, EST_SOURCE=FBC</stp>
        <stp>ACT_EST_MAPPING=PRECISE</stp>
        <stp>FS=MRC</stp>
        <stp>CURRENCY=USD</stp>
        <stp>XLFILL=b</stp>
        <tr r="AF181" s="2"/>
      </tp>
      <tp t="s">
        <v>#N/A Requesting Data...</v>
        <stp/>
        <stp>##V3_BQLV12</stp>
        <stp>[MODL_NOW_US1.xlsx]Single Period!R181C27</stp>
        <stp>NOW US Equity</stp>
        <stp>BS_LONG_TERM_BORROWINGS/1M</stp>
        <stp>FPR=2021Y</stp>
        <stp>FPT=A</stp>
        <stp>FA_ACT_EST_DATA=E, EST_SOURCE=RBC</stp>
        <stp>ACT_EST_MAPPING=PRECISE</stp>
        <stp>FS=MRC</stp>
        <stp>CURRENCY=USD</stp>
        <stp>XLFILL=b</stp>
        <tr r="AA181" s="2"/>
      </tp>
      <tp t="s">
        <v>#N/A Requesting Data...</v>
        <stp/>
        <stp>##V3_BQLV12</stp>
        <stp>[MODL_NOW_US1.xlsx]Single Period!R219C18</stp>
        <stp>NOW US Equity</stp>
        <stp>CF_PURCHSS_OF_INVSTMNTS/1M</stp>
        <stp>FPR=2021Y</stp>
        <stp>FPT=A</stp>
        <stp>FA_ACT_EST_DATA=E, EST_SOURCE=SNR</stp>
        <stp>ACT_EST_MAPPING=PRECISE</stp>
        <stp>FS=MRC</stp>
        <stp>CURRENCY=USD</stp>
        <stp>XLFILL=b</stp>
        <tr r="R219" s="2"/>
      </tp>
      <tp t="s">
        <v>#N/A Requesting Data...</v>
        <stp/>
        <stp>##V3_BQLV12</stp>
        <stp>[MODL_NOW_US1.xlsx]Single Period!R219C29</stp>
        <stp>NOW US Equity</stp>
        <stp>CF_PURCHSS_OF_INVSTMNTS/1M</stp>
        <stp>FPR=2021Y</stp>
        <stp>FPT=A</stp>
        <stp>FA_ACT_EST_DATA=E, EST_SOURCE=BNS</stp>
        <stp>ACT_EST_MAPPING=PRECISE</stp>
        <stp>FS=MRC</stp>
        <stp>CURRENCY=USD</stp>
        <stp>XLFILL=b</stp>
        <tr r="AC219" s="2"/>
      </tp>
      <tp t="s">
        <v>#N/A Requesting Data...</v>
        <stp/>
        <stp>##V3_BQLV12</stp>
        <stp>[MODL_NOW_US1.xlsx]Single Period!R199C42</stp>
        <stp>NOW US Equity</stp>
        <stp>IS_COMP_NET_INCOME_GAAP/1M</stp>
        <stp>FPR=2021Y</stp>
        <stp>FPT=A</stp>
        <stp>FA_ACT_EST_DATA=E, EST_SOURCE=CTI</stp>
        <stp>ACT_EST_MAPPING=PRECISE</stp>
        <stp>FS=MRC</stp>
        <stp>CURRENCY=USD</stp>
        <stp>XLFILL=b</stp>
        <tr r="AP199" s="2"/>
      </tp>
      <tp t="s">
        <v>#N/A Requesting Data...</v>
        <stp/>
        <stp>##V3_BQLV12</stp>
        <stp>[MODL_NOW_US1.xlsx]Single Period!R130C42</stp>
        <stp>NOW US Equity</stp>
        <stp>IS_COMP_NET_INCOME_GAAP/1M</stp>
        <stp>FPR=2021Y</stp>
        <stp>FPT=A</stp>
        <stp>FA_ACT_EST_DATA=E, EST_SOURCE=CTI</stp>
        <stp>ACT_EST_MAPPING=PRECISE</stp>
        <stp>FS=MRC</stp>
        <stp>CURRENCY=USD</stp>
        <stp>XLFILL=b</stp>
        <tr r="AP130" s="2"/>
      </tp>
      <tp t="s">
        <v>#N/A Requesting Data...</v>
        <stp/>
        <stp>##V3_BQLV12</stp>
        <stp>[MODL_NOW_US1.xlsx]Single Period!R181C12</stp>
        <stp>NOW US Equity</stp>
        <stp>BS_LONG_TERM_BORROWINGS/1M</stp>
        <stp>FPR=2021Y</stp>
        <stp>FPT=A</stp>
        <stp>FA_ACT_EST_DATA=E, EST_SOURCE=WBL</stp>
        <stp>ACT_EST_MAPPING=PRECISE</stp>
        <stp>FS=MRC</stp>
        <stp>CURRENCY=USD</stp>
        <stp>XLFILL=b</stp>
        <tr r="L181" s="2"/>
      </tp>
      <tp t="s">
        <v>#N/A Requesting Data...</v>
        <stp/>
        <stp>##V3_BQLV12</stp>
        <stp>[MODL_NOW_US1.xlsx]Single Period!R46C22</stp>
        <stp>SEG0000230986 Segment</stp>
        <stp>IS_BILLINGS/1M</stp>
        <stp>FPR=2021Y</stp>
        <stp>FPT=A</stp>
        <stp>FA_ACT_EST_DATA=E, EST_SOURCE=NDH</stp>
        <stp>ACT_EST_MAPPING=PRECISE</stp>
        <stp>FS=MRC</stp>
        <stp>CURRENCY=USD</stp>
        <stp>XLFILL=b</stp>
        <tr r="V46" s="2"/>
      </tp>
      <tp t="s">
        <v>#N/A Requesting Data...</v>
        <stp/>
        <stp>##V3_BQLV12</stp>
        <stp>[MODL_NOW_US1.xlsx]Single Period!R21C22</stp>
        <stp>SEG0000230986 Segment</stp>
        <stp>IS_BILLINGS/1M</stp>
        <stp>FPR=2021Y</stp>
        <stp>FPT=A</stp>
        <stp>FA_ACT_EST_DATA=E, EST_SOURCE=NDH</stp>
        <stp>ACT_EST_MAPPING=PRECISE</stp>
        <stp>FS=MRC</stp>
        <stp>CURRENCY=USD</stp>
        <stp>XLFILL=b</stp>
        <tr r="V21" s="2"/>
      </tp>
      <tp t="s">
        <v>#N/A Requesting Data...</v>
        <stp/>
        <stp>##V3_BQLV12</stp>
        <stp>[MODL_NOW_US1.xlsx]Single Period!R236C31</stp>
        <stp>NOW US Equity</stp>
        <stp>FREE_CASH_FLOW_MARGIN</stp>
        <stp>FPR=2021Y</stp>
        <stp>FPT=A</stp>
        <stp>FA_ACT_EST_DATA=E, EST_SOURCE=GSR</stp>
        <stp>ACT_EST_MAPPING=PRECISE</stp>
        <stp>FS=MRC</stp>
        <stp>CURRENCY=USD</stp>
        <stp>XLFILL=b</stp>
        <tr r="AE236" s="2"/>
      </tp>
      <tp t="s">
        <v>#N/A Requesting Data...</v>
        <stp/>
        <stp>##V3_BQLV12</stp>
        <stp>[MODL_NOW_US1.xlsx]Single Period!R236C35</stp>
        <stp>NOW US Equity</stp>
        <stp>FREE_CASH_FLOW_MARGIN</stp>
        <stp>FPR=2021Y</stp>
        <stp>FPT=A</stp>
        <stp>FA_ACT_EST_DATA=E, EST_SOURCE=MSR</stp>
        <stp>ACT_EST_MAPPING=PRECISE</stp>
        <stp>FS=MRC</stp>
        <stp>CURRENCY=USD</stp>
        <stp>XLFILL=b</stp>
        <tr r="AI236" s="2"/>
      </tp>
      <tp t="s">
        <v>#N/A Requesting Data...</v>
        <stp/>
        <stp>##V3_BQLV12</stp>
        <stp>[MODL_NOW_US1.xlsx]Single Period!R199C37</stp>
        <stp>NOW US Equity</stp>
        <stp>IS_COMP_NET_INCOME_GAAP/1M</stp>
        <stp>FPR=2021Y</stp>
        <stp>FPT=A</stp>
        <stp>FA_ACT_EST_DATA=E, EST_SOURCE=TTC</stp>
        <stp>ACT_EST_MAPPING=PRECISE</stp>
        <stp>FS=MRC</stp>
        <stp>CURRENCY=USD</stp>
        <stp>XLFILL=b</stp>
        <tr r="AK199" s="2"/>
      </tp>
      <tp t="s">
        <v>#N/A Requesting Data...</v>
        <stp/>
        <stp>##V3_BQLV12</stp>
        <stp>[MODL_NOW_US1.xlsx]Single Period!R130C37</stp>
        <stp>NOW US Equity</stp>
        <stp>IS_COMP_NET_INCOME_GAAP/1M</stp>
        <stp>FPR=2021Y</stp>
        <stp>FPT=A</stp>
        <stp>FA_ACT_EST_DATA=E, EST_SOURCE=TTC</stp>
        <stp>ACT_EST_MAPPING=PRECISE</stp>
        <stp>FS=MRC</stp>
        <stp>CURRENCY=USD</stp>
        <stp>XLFILL=b</stp>
        <tr r="AK130" s="2"/>
      </tp>
      <tp t="s">
        <v>#N/A Requesting Data...</v>
        <stp/>
        <stp>##V3_BQLV12</stp>
        <stp>[MODL_NOW_US1.xlsx]Single Period!R117C33</stp>
        <stp>NOW US Equity</stp>
        <stp>IS_TOT_OPER_EXP/1M</stp>
        <stp>FPR=2021Y</stp>
        <stp>FPT=A</stp>
        <stp>FA_ACT_EST_DATA=E, EST_SOURCE=MAC</stp>
        <stp>ACT_EST_MAPPING=PRECISE</stp>
        <stp>FS=MRC</stp>
        <stp>CURRENCY=USD</stp>
        <stp>XLFILL=b</stp>
        <tr r="AG117" s="2"/>
      </tp>
      <tp t="s">
        <v>#N/A Requesting Data...</v>
        <stp/>
        <stp>##V3_BQLV12</stp>
        <stp>[MODL_NOW_US1.xlsx]Single Period!R236C19</stp>
        <stp>NOW US Equity</stp>
        <stp>FREE_CASH_FLOW_MARGIN</stp>
        <stp>FPR=2021Y</stp>
        <stp>FPT=A</stp>
        <stp>FA_ACT_EST_DATA=E, EST_SOURCE=MSV</stp>
        <stp>ACT_EST_MAPPING=PRECISE</stp>
        <stp>FS=MRC</stp>
        <stp>CURRENCY=USD</stp>
        <stp>XLFILL=b</stp>
        <tr r="S236" s="2"/>
      </tp>
      <tp t="s">
        <v>#N/A Requesting Data...</v>
        <stp/>
        <stp>##V3_BQLV12</stp>
        <stp>[MODL_NOW_US1.xlsx]Single Period!R181C26</stp>
        <stp>NOW US Equity</stp>
        <stp>BS_LONG_TERM_BORROWINGS/1M</stp>
        <stp>FPR=2021Y</stp>
        <stp>FPT=A</stp>
        <stp>FA_ACT_EST_DATA=E, EST_SOURCE=UBS</stp>
        <stp>ACT_EST_MAPPING=PRECISE</stp>
        <stp>FS=MRC</stp>
        <stp>CURRENCY=USD</stp>
        <stp>XLFILL=b</stp>
        <tr r="Z181" s="2"/>
      </tp>
      <tp t="s">
        <v>#N/A Requesting Data...</v>
        <stp/>
        <stp>##V3_BQLV12</stp>
        <stp>[MODL_NOW_US1.xlsx]Single Period!R205C47</stp>
        <stp>NOW US Equity</stp>
        <stp>CB_CF_OTHR_NONCSH_ITEMS/1M</stp>
        <stp>FPR=2021Y</stp>
        <stp>FPT=A</stp>
        <stp>FA_ACT_EST_DATA=E, EST_SOURCE=SUM</stp>
        <stp>ACT_EST_MAPPING=PRECISE</stp>
        <stp>FS=MRC</stp>
        <stp>CURRENCY=USD</stp>
        <stp>XLFILL=b</stp>
        <tr r="AU205" s="2"/>
      </tp>
      <tp t="s">
        <v>#N/A Requesting Data...</v>
        <stp/>
        <stp>##V3_BQLV12</stp>
        <stp>[MODL_NOW_US1.xlsx]Single Period!R174C37</stp>
        <stp>NOW US Equity</stp>
        <stp>BS_ACCT_PAYABLE/1M</stp>
        <stp>FPR=2021Y</stp>
        <stp>FPT=A</stp>
        <stp>FA_ACT_EST_DATA=E, EST_SOURCE=TTC</stp>
        <stp>ACT_EST_MAPPING=PRECISE</stp>
        <stp>FS=MRC</stp>
        <stp>CURRENCY=USD</stp>
        <stp>XLFILL=b</stp>
        <tr r="AK174" s="2"/>
      </tp>
      <tp t="s">
        <v>#N/A Requesting Data...</v>
        <stp/>
        <stp>##V3_BQLV12</stp>
        <stp>[MODL_NOW_US1.xlsx]Single Period!R125C41</stp>
        <stp>NOW US Equity</stp>
        <stp>OPER_INC_TO_NET_SALES</stp>
        <stp>FPR=2021Y</stp>
        <stp>FPT=A</stp>
        <stp>FA_ACT_EST_DATA=E, EST_SOURCE=ARG</stp>
        <stp>ACT_EST_MAPPING=PRECISE</stp>
        <stp>FS=MRC</stp>
        <stp>CURRENCY=USD</stp>
        <stp>XLFILL=b</stp>
        <tr r="AO125" s="2"/>
      </tp>
      <tp t="s">
        <v>#N/A Requesting Data...</v>
        <stp/>
        <stp>##V3_BQLV12</stp>
        <stp>[MODL_NOW_US1.xlsx]Single Period!R174C42</stp>
        <stp>NOW US Equity</stp>
        <stp>BS_ACCT_PAYABLE/1M</stp>
        <stp>FPR=2021Y</stp>
        <stp>FPT=A</stp>
        <stp>FA_ACT_EST_DATA=E, EST_SOURCE=CTI</stp>
        <stp>ACT_EST_MAPPING=PRECISE</stp>
        <stp>FS=MRC</stp>
        <stp>CURRENCY=USD</stp>
        <stp>XLFILL=b</stp>
        <tr r="AP174" s="2"/>
      </tp>
      <tp t="s">
        <v>#N/A Requesting Data...</v>
        <stp/>
        <stp>##V3_BQLV12</stp>
        <stp>[MODL_NOW_US1.xlsx]Single Period!R125C44</stp>
        <stp>NOW US Equity</stp>
        <stp>OPER_INC_TO_NET_SALES</stp>
        <stp>FPR=2021Y</stp>
        <stp>FPT=A</stp>
        <stp>FA_ACT_EST_DATA=E, EST_SOURCE=ARE</stp>
        <stp>ACT_EST_MAPPING=PRECISE</stp>
        <stp>FS=MRC</stp>
        <stp>CURRENCY=USD</stp>
        <stp>XLFILL=b</stp>
        <tr r="AR125" s="2"/>
      </tp>
      <tp t="s">
        <v>#N/A Requesting Data...</v>
        <stp/>
        <stp>##V3_BQLV12</stp>
        <stp>[MODL_NOW_US1.xlsx]Single Period!R125C48</stp>
        <stp>NOW US Equity</stp>
        <stp>OPER_INC_TO_NET_SALES</stp>
        <stp>FPR=2021Y</stp>
        <stp>FPT=A</stp>
        <stp>FA_ACT_EST_DATA=E, EST_SOURCE=CRC</stp>
        <stp>ACT_EST_MAPPING=PRECISE</stp>
        <stp>FS=MRC</stp>
        <stp>CURRENCY=USD</stp>
        <stp>XLFILL=b</stp>
        <tr r="AV125" s="2"/>
      </tp>
      <tp t="s">
        <v>#N/A Requesting Data...</v>
        <stp/>
        <stp>##V3_BQLV12</stp>
        <stp>[MODL_NOW_US1.xlsx]Single Period!R236C34</stp>
        <stp>NOW US Equity</stp>
        <stp>FREE_CASH_FLOW_MARGIN</stp>
        <stp>FPR=2021Y</stp>
        <stp>FPT=A</stp>
        <stp>FA_ACT_EST_DATA=E, EST_SOURCE=PSG</stp>
        <stp>ACT_EST_MAPPING=PRECISE</stp>
        <stp>FS=MRC</stp>
        <stp>CURRENCY=USD</stp>
        <stp>XLFILL=b</stp>
        <tr r="AH236" s="2"/>
      </tp>
      <tp t="s">
        <v>#N/A Requesting Data...</v>
        <stp/>
        <stp>##V3_BQLV12</stp>
        <stp>[MODL_NOW_US1.xlsx]Single Period!R63C11</stp>
        <stp>SEG0000230975 Segment</stp>
        <stp>CB_IS_GROSS_PROFIT/1M</stp>
        <stp>FPR=2021Y</stp>
        <stp>FPT=A</stp>
        <stp>FA_ACT_EST_DATA=E, EST_SOURCE=JPM</stp>
        <stp>ACT_EST_MAPPING=PRECISE</stp>
        <stp>FS=MRC</stp>
        <stp>CURRENCY=USD</stp>
        <stp>XLFILL=b</stp>
        <tr r="K63" s="2"/>
      </tp>
      <tp t="s">
        <v>#N/A Requesting Data...</v>
        <stp/>
        <stp>##V3_BQLV12</stp>
        <stp>[MODL_NOW_US1.xlsx]Single Period!R177C19</stp>
        <stp>NOW US Equity</stp>
        <stp>BS_ST_CPTL_LEA_AND_OP_LEA_LIABS/1M</stp>
        <stp>FPR=2021Y</stp>
        <stp>FPT=A</stp>
        <stp>FA_ACT_EST_DATA=E, EST_SOURCE=MSV</stp>
        <stp>ACT_EST_MAPPING=PRECISE</stp>
        <stp>FS=MRC</stp>
        <stp>CURRENCY=USD</stp>
        <stp>XLFILL=b</stp>
        <tr r="S177" s="2"/>
      </tp>
      <tp t="s">
        <v>#N/A Requesting Data...</v>
        <stp/>
        <stp>##V3_BQLV12</stp>
        <stp>[MODL_NOW_US1.xlsx]Single Period!R104C49</stp>
        <stp>NOW US Equity</stp>
        <stp>IS_COMP_NET_INC_EXCL_STOCK_COMP/1M</stp>
        <stp>FPR=2021Y</stp>
        <stp>FPT=A</stp>
        <stp>FA_ACT_EST_DATA=E, EST_SOURCE=SCB</stp>
        <stp>ACT_EST_MAPPING=PRECISE</stp>
        <stp>FS=MRC</stp>
        <stp>CURRENCY=USD</stp>
        <stp>XLFILL=b</stp>
        <tr r="AW104" s="2"/>
      </tp>
      <tp t="s">
        <v>#N/A Requesting Data...</v>
        <stp/>
        <stp>##V3_BQLV12</stp>
        <stp>[MODL_NOW_US1.xlsx]Single Period!R225C16</stp>
        <stp>NOW US Equity</stp>
        <stp>CF_INCR_CAP_STOCK/1M</stp>
        <stp>FPR=2021Y</stp>
        <stp>FPT=A</stp>
        <stp>FA_ACT_EST_DATA=E, EST_SOURCE=BCA</stp>
        <stp>ACT_EST_MAPPING=PRECISE</stp>
        <stp>FS=MRC</stp>
        <stp>CURRENCY=USD</stp>
        <stp>XLFILL=b</stp>
        <tr r="P225" s="2"/>
      </tp>
      <tp t="s">
        <v>#N/A Requesting Data...</v>
        <stp/>
        <stp>##V3_BQLV12</stp>
        <stp>[MODL_NOW_US1.xlsx]Single Period!R104C16</stp>
        <stp>NOW US Equity</stp>
        <stp>IS_COMP_NET_INC_EXCL_STOCK_COMP/1M</stp>
        <stp>FPR=2021Y</stp>
        <stp>FPT=A</stp>
        <stp>FA_ACT_EST_DATA=E, EST_SOURCE=BCA</stp>
        <stp>ACT_EST_MAPPING=PRECISE</stp>
        <stp>FS=MRC</stp>
        <stp>CURRENCY=USD</stp>
        <stp>XLFILL=b</stp>
        <tr r="P104" s="2"/>
      </tp>
      <tp t="s">
        <v>#N/A Requesting Data...</v>
        <stp/>
        <stp>##V3_BQLV12</stp>
        <stp>[MODL_NOW_US1.xlsx]Single Period!R177C31</stp>
        <stp>NOW US Equity</stp>
        <stp>BS_ST_CPTL_LEA_AND_OP_LEA_LIABS/1M</stp>
        <stp>FPR=2021Y</stp>
        <stp>FPT=A</stp>
        <stp>FA_ACT_EST_DATA=E, EST_SOURCE=GSR</stp>
        <stp>ACT_EST_MAPPING=PRECISE</stp>
        <stp>FS=MRC</stp>
        <stp>CURRENCY=USD</stp>
        <stp>XLFILL=b</stp>
        <tr r="AE177" s="2"/>
      </tp>
      <tp t="s">
        <v>#N/A Requesting Data...</v>
        <stp/>
        <stp>##V3_BQLV12</stp>
        <stp>[MODL_NOW_US1.xlsx]Single Period!R177C35</stp>
        <stp>NOW US Equity</stp>
        <stp>BS_ST_CPTL_LEA_AND_OP_LEA_LIABS/1M</stp>
        <stp>FPR=2021Y</stp>
        <stp>FPT=A</stp>
        <stp>FA_ACT_EST_DATA=E, EST_SOURCE=MSR</stp>
        <stp>ACT_EST_MAPPING=PRECISE</stp>
        <stp>FS=MRC</stp>
        <stp>CURRENCY=USD</stp>
        <stp>XLFILL=b</stp>
        <tr r="AI177" s="2"/>
      </tp>
      <tp t="s">
        <v>#N/A Requesting Data...</v>
        <stp/>
        <stp>##V3_BQLV12</stp>
        <stp>[MODL_NOW_US1.xlsx]Single Period!R121C42</stp>
        <stp>NOW US Equity</stp>
        <stp>CB_IS_GENL_AND_ADMIN_EXPN/1M</stp>
        <stp>FPR=2021Y</stp>
        <stp>FPT=A</stp>
        <stp>FA_ACT_EST_DATA=E, EST_SOURCE=CTI</stp>
        <stp>ACT_EST_MAPPING=PRECISE</stp>
        <stp>FS=MRC</stp>
        <stp>CURRENCY=USD</stp>
        <stp>XLFILL=b</stp>
        <tr r="AP121" s="2"/>
      </tp>
      <tp t="s">
        <v>#N/A Requesting Data...</v>
        <stp/>
        <stp>##V3_BQLV12</stp>
        <stp>[MODL_NOW_US1.xlsx]Single Period!R148C30</stp>
        <stp>NOW US Equity</stp>
        <stp>IS_AMORT_ACQD_INTANGIBLES_R_AND_D/1M</stp>
        <stp>FPR=2021Y</stp>
        <stp>FPT=A</stp>
        <stp>FA_ACT_EST_DATA=E, EST_SOURCE=BAM</stp>
        <stp>ACT_EST_MAPPING=PRECISE</stp>
        <stp>FS=MRC</stp>
        <stp>CURRENCY=USD</stp>
        <stp>XLFILL=b</stp>
        <tr r="AD148" s="2"/>
      </tp>
      <tp t="s">
        <v>#N/A Requesting Data...</v>
        <stp/>
        <stp>##V3_BQLV12</stp>
        <stp>[MODL_NOW_US1.xlsx]Single Period!R227C14</stp>
        <stp>NOW US Equity</stp>
        <stp>CF_NET_CSH_PROV_BY_FINANCING_ACT/1M</stp>
        <stp>FPR=2021Y</stp>
        <stp>FPT=A</stp>
        <stp>FA_ACT_EST_DATA=E, EST_SOURCE=BMO</stp>
        <stp>ACT_EST_MAPPING=PRECISE</stp>
        <stp>FS=MRC</stp>
        <stp>CURRENCY=USD</stp>
        <stp>XLFILL=b</stp>
        <tr r="N227" s="2"/>
      </tp>
      <tp t="s">
        <v>#N/A Requesting Data...</v>
        <stp/>
        <stp>##V3_BQLV12</stp>
        <stp>[MODL_NOW_US1.xlsx]Single Period!R225C27</stp>
        <stp>NOW US Equity</stp>
        <stp>CF_INCR_CAP_STOCK/1M</stp>
        <stp>FPR=2021Y</stp>
        <stp>FPT=A</stp>
        <stp>FA_ACT_EST_DATA=E, EST_SOURCE=RBC</stp>
        <stp>ACT_EST_MAPPING=PRECISE</stp>
        <stp>FS=MRC</stp>
        <stp>CURRENCY=USD</stp>
        <stp>XLFILL=b</stp>
        <tr r="AA225" s="2"/>
      </tp>
      <tp t="s">
        <v>#N/A Requesting Data...</v>
        <stp/>
        <stp>##V3_BQLV12</stp>
        <stp>[MODL_NOW_US1.xlsx]Single Period!R148C20</stp>
        <stp>NOW US Equity</stp>
        <stp>IS_AMORT_ACQD_INTANGIBLES_R_AND_D/1M</stp>
        <stp>FPR=2021Y</stp>
        <stp>FPT=A</stp>
        <stp>FA_ACT_EST_DATA=E, EST_SOURCE=CAN</stp>
        <stp>ACT_EST_MAPPING=PRECISE</stp>
        <stp>FS=MRC</stp>
        <stp>CURRENCY=USD</stp>
        <stp>XLFILL=b</stp>
        <tr r="T148" s="2"/>
      </tp>
      <tp t="s">
        <v>#N/A Requesting Data...</v>
        <stp/>
        <stp>##V3_BQLV12</stp>
        <stp>[MODL_NOW_US1.xlsx]Single Period!R107C34</stp>
        <stp>NOW US Equity</stp>
        <stp>CB_IS_ADJ_DILUTED_AVG_SHS/1M</stp>
        <stp>FPR=2021Y</stp>
        <stp>FPT=A</stp>
        <stp>FA_ACT_EST_DATA=E, EST_SOURCE=PSG</stp>
        <stp>ACT_EST_MAPPING=PRECISE</stp>
        <stp>FS=MRC</stp>
        <stp>CURRENCY=USD</stp>
        <stp>XLFILL=b</stp>
        <tr r="AH107" s="2"/>
      </tp>
      <tp t="s">
        <v>#N/A Requesting Data...</v>
        <stp/>
        <stp>##V3_BQLV12</stp>
        <stp>[MODL_NOW_US1.xlsx]Single Period!R121C44</stp>
        <stp>NOW US Equity</stp>
        <stp>CB_IS_GENL_AND_ADMIN_EXPN/1M</stp>
        <stp>FPR=2021Y</stp>
        <stp>FPT=A</stp>
        <stp>FA_ACT_EST_DATA=E, EST_SOURCE=ARE</stp>
        <stp>ACT_EST_MAPPING=PRECISE</stp>
        <stp>FS=MRC</stp>
        <stp>CURRENCY=USD</stp>
        <stp>XLFILL=b</stp>
        <tr r="AR121" s="2"/>
      </tp>
      <tp t="s">
        <v>#N/A Requesting Data...</v>
        <stp/>
        <stp>##V3_BQLV12</stp>
        <stp>[MODL_NOW_US1.xlsx]Single Period!R107C40</stp>
        <stp>NOW US Equity</stp>
        <stp>CB_IS_ADJ_DILUTED_AVG_SHS/1M</stp>
        <stp>FPR=2021Y</stp>
        <stp>FPT=A</stp>
        <stp>FA_ACT_EST_DATA=E, EST_SOURCE=DWI</stp>
        <stp>ACT_EST_MAPPING=PRECISE</stp>
        <stp>FS=MRC</stp>
        <stp>CURRENCY=USD</stp>
        <stp>XLFILL=b</stp>
        <tr r="AN107" s="2"/>
      </tp>
      <tp t="s">
        <v>#N/A Requesting Data...</v>
        <stp/>
        <stp>##V3_BQLV12</stp>
        <stp>[MODL_NOW_US1.xlsx]Single Period!R218C36</stp>
        <stp>NOW US Equity</stp>
        <stp>CF_ACQUISITION_OF_INTANG_ASSETS/1M</stp>
        <stp>FPR=2021Y</stp>
        <stp>FPT=A</stp>
        <stp>FA_ACT_EST_DATA=E, EST_SOURCE=JEF</stp>
        <stp>ACT_EST_MAPPING=PRECISE</stp>
        <stp>FS=MRC</stp>
        <stp>CURRENCY=USD</stp>
        <stp>XLFILL=b</stp>
        <tr r="AJ218" s="2"/>
      </tp>
      <tp t="s">
        <v>#N/A Requesting Data...</v>
        <stp/>
        <stp>##V3_BQLV12</stp>
        <stp>[MODL_NOW_US1.xlsx]Single Period!R177C34</stp>
        <stp>NOW US Equity</stp>
        <stp>BS_ST_CPTL_LEA_AND_OP_LEA_LIABS/1M</stp>
        <stp>FPR=2021Y</stp>
        <stp>FPT=A</stp>
        <stp>FA_ACT_EST_DATA=E, EST_SOURCE=PSG</stp>
        <stp>ACT_EST_MAPPING=PRECISE</stp>
        <stp>FS=MRC</stp>
        <stp>CURRENCY=USD</stp>
        <stp>XLFILL=b</stp>
        <tr r="AH177" s="2"/>
      </tp>
      <tp t="s">
        <v>#N/A Requesting Data...</v>
        <stp/>
        <stp>##V3_BQLV12</stp>
        <stp>[MODL_NOW_US1.xlsx]Single Period!R225C43</stp>
        <stp>NOW US Equity</stp>
        <stp>CF_INCR_CAP_STOCK/1M</stp>
        <stp>FPR=2021Y</stp>
        <stp>FPT=A</stp>
        <stp>FA_ACT_EST_DATA=E, EST_SOURCE=WFT</stp>
        <stp>ACT_EST_MAPPING=PRECISE</stp>
        <stp>FS=MRC</stp>
        <stp>CURRENCY=USD</stp>
        <stp>XLFILL=b</stp>
        <tr r="AQ225" s="2"/>
      </tp>
      <tp t="s">
        <v>#N/A Requesting Data...</v>
        <stp/>
        <stp>##V3_BQLV12</stp>
        <stp>[MODL_NOW_US1.xlsx]Single Period!R63C15</stp>
        <stp>SEG0000230975 Segment</stp>
        <stp>CB_IS_GROSS_PROFIT/1M</stp>
        <stp>FPR=2021Y</stp>
        <stp>FPT=A</stp>
        <stp>FA_ACT_EST_DATA=E, EST_SOURCE=OPY</stp>
        <stp>ACT_EST_MAPPING=PRECISE</stp>
        <stp>FS=MRC</stp>
        <stp>CURRENCY=USD</stp>
        <stp>XLFILL=b</stp>
        <tr r="O63" s="2"/>
      </tp>
      <tp t="s">
        <v>#N/A Requesting Data...</v>
        <stp/>
        <stp>##V3_BQLV12</stp>
        <stp>[MODL_NOW_US1.xlsx]Single Period!R218C13</stp>
        <stp>NOW US Equity</stp>
        <stp>CF_ACQUISITION_OF_INTANG_ASSETS/1M</stp>
        <stp>FPR=2021Y</stp>
        <stp>FPT=A</stp>
        <stp>FA_ACT_EST_DATA=E, EST_SOURCE=KEY</stp>
        <stp>ACT_EST_MAPPING=PRECISE</stp>
        <stp>FS=MRC</stp>
        <stp>CURRENCY=USD</stp>
        <stp>XLFILL=b</stp>
        <tr r="M218" s="2"/>
      </tp>
      <tp t="s">
        <v>#N/A Requesting Data...</v>
        <stp/>
        <stp>##V3_BQLV12</stp>
        <stp>[MODL_NOW_US1.xlsx]Single Period!R221C18</stp>
        <stp>NOW US Equity</stp>
        <stp>CB_CF_OTHER_INVESTING_ACTIVITIES/1M</stp>
        <stp>FPR=2021Y</stp>
        <stp>FPT=A</stp>
        <stp>FA_ACT_EST_DATA=E, EST_SOURCE=SNR</stp>
        <stp>ACT_EST_MAPPING=PRECISE</stp>
        <stp>FS=MRC</stp>
        <stp>CURRENCY=USD</stp>
        <stp>XLFILL=b</stp>
        <tr r="R221" s="2"/>
      </tp>
      <tp t="s">
        <v>#N/A Requesting Data...</v>
        <stp/>
        <stp>##V3_BQLV12</stp>
        <stp>[MODL_NOW_US1.xlsx]Single Period!R227C29</stp>
        <stp>NOW US Equity</stp>
        <stp>CF_NET_CSH_PROV_BY_FINANCING_ACT/1M</stp>
        <stp>FPR=2021Y</stp>
        <stp>FPT=A</stp>
        <stp>FA_ACT_EST_DATA=E, EST_SOURCE=BNS</stp>
        <stp>ACT_EST_MAPPING=PRECISE</stp>
        <stp>FS=MRC</stp>
        <stp>CURRENCY=USD</stp>
        <stp>XLFILL=b</stp>
        <tr r="AC227" s="2"/>
      </tp>
      <tp t="s">
        <v>#N/A Requesting Data...</v>
        <stp/>
        <stp>##V3_BQLV12</stp>
        <stp>[MODL_NOW_US1.xlsx]Single Period!R175C11</stp>
        <stp>NOW US Equity</stp>
        <stp>BS_ACCRUD_EXPNSS_AND_OTHR/1M</stp>
        <stp>FPR=2021Y</stp>
        <stp>FPT=A</stp>
        <stp>FA_ACT_EST_DATA=E, EST_SOURCE=JPM</stp>
        <stp>ACT_EST_MAPPING=PRECISE</stp>
        <stp>FS=MRC</stp>
        <stp>CURRENCY=USD</stp>
        <stp>XLFILL=b</stp>
        <tr r="K175" s="2"/>
      </tp>
      <tp t="s">
        <v>#N/A Requesting Data...</v>
        <stp/>
        <stp>##V3_BQLV12</stp>
        <stp>[MODL_NOW_US1.xlsx]Single Period!R221C21</stp>
        <stp>NOW US Equity</stp>
        <stp>CB_CF_OTHER_INVESTING_ACTIVITIES/1M</stp>
        <stp>FPR=2021Y</stp>
        <stp>FPT=A</stp>
        <stp>FA_ACT_EST_DATA=E, EST_SOURCE=JMP</stp>
        <stp>ACT_EST_MAPPING=PRECISE</stp>
        <stp>FS=MRC</stp>
        <stp>CURRENCY=USD</stp>
        <stp>XLFILL=b</stp>
        <tr r="U221" s="2"/>
      </tp>
      <tp t="s">
        <v>#N/A Requesting Data...</v>
        <stp/>
        <stp>##V3_BQLV12</stp>
        <stp>[MODL_NOW_US1.xlsx]Single Period!R202C24</stp>
        <stp>NOW US Equity</stp>
        <stp>CF_AMORTIZATN_OF_DEFRRD_COMPNSTN/1M</stp>
        <stp>FPR=2021Y</stp>
        <stp>FPT=A</stp>
        <stp>FA_ACT_EST_DATA=E, EST_SOURCE=CWN</stp>
        <stp>ACT_EST_MAPPING=PRECISE</stp>
        <stp>FS=MRC</stp>
        <stp>CURRENCY=USD</stp>
        <stp>XLFILL=b</stp>
        <tr r="X202" s="2"/>
      </tp>
      <tp t="s">
        <v>#N/A Requesting Data...</v>
        <stp/>
        <stp>##V3_BQLV12</stp>
        <stp>[MODL_NOW_US1.xlsx]Single Period!R121C35</stp>
        <stp>NOW US Equity</stp>
        <stp>CB_IS_GENL_AND_ADMIN_EXPN/1M</stp>
        <stp>FPR=2021Y</stp>
        <stp>FPT=A</stp>
        <stp>FA_ACT_EST_DATA=E, EST_SOURCE=MSR</stp>
        <stp>ACT_EST_MAPPING=PRECISE</stp>
        <stp>FS=MRC</stp>
        <stp>CURRENCY=USD</stp>
        <stp>XLFILL=b</stp>
        <tr r="AI121" s="2"/>
      </tp>
      <tp t="s">
        <v>#N/A Requesting Data...</v>
        <stp/>
        <stp>##V3_BQLV12</stp>
        <stp>[MODL_NOW_US1.xlsx]Single Period!R239C26</stp>
        <stp>NOW US Equity</stp>
        <stp>CFO_TO_SALES</stp>
        <stp>FPR=2021Y</stp>
        <stp>FPT=A</stp>
        <stp>FA_ACT_EST_DATA=E, EST_SOURCE=UBS</stp>
        <stp>ACT_EST_MAPPING=PRECISE</stp>
        <stp>FS=MRC</stp>
        <stp>CURRENCY=USD</stp>
        <stp>XLFILL=b</stp>
        <tr r="Z239" s="2"/>
      </tp>
      <tp t="s">
        <v>#N/A Requesting Data...</v>
        <stp/>
        <stp>##V3_BQLV12</stp>
        <stp>[MODL_NOW_US1.xlsx]Single Period!R116C35</stp>
        <stp>NOW US Equity</stp>
        <stp>GROSS_MARGIN</stp>
        <stp>FPR=2021Y</stp>
        <stp>FPT=A</stp>
        <stp>FA_ACT_EST_DATA=E, EST_SOURCE=MSR</stp>
        <stp>ACT_EST_MAPPING=PRECISE</stp>
        <stp>FS=MRC</stp>
        <stp>CURRENCY=USD</stp>
        <stp>XLFILL=b</stp>
        <tr r="AI116" s="2"/>
      </tp>
      <tp t="s">
        <v>#N/A Requesting Data...</v>
        <stp/>
        <stp>##V3_BQLV12</stp>
        <stp>[MODL_NOW_US1.xlsx]Single Period!R116C44</stp>
        <stp>NOW US Equity</stp>
        <stp>GROSS_MARGIN</stp>
        <stp>FPR=2021Y</stp>
        <stp>FPT=A</stp>
        <stp>FA_ACT_EST_DATA=E, EST_SOURCE=ARE</stp>
        <stp>ACT_EST_MAPPING=PRECISE</stp>
        <stp>FS=MRC</stp>
        <stp>CURRENCY=USD</stp>
        <stp>XLFILL=b</stp>
        <tr r="AR116" s="2"/>
      </tp>
      <tp t="s">
        <v>#N/A Requesting Data...</v>
        <stp/>
        <stp>##V3_BQLV12</stp>
        <stp>[MODL_NOW_US1.xlsx]Single Period!R81C23</stp>
        <stp>NOW US Equity</stp>
        <stp>IS_ADJ_SALES_YOY_CHG_PCT_CC</stp>
        <stp>FPR=2021Y</stp>
        <stp>FPT=A</stp>
        <stp>FA_ACT_EST_DATA=E, EST_SOURCE=ZXS</stp>
        <stp>ACT_EST_MAPPING=PRECISE</stp>
        <stp>FS=MRC</stp>
        <stp>CURRENCY=USD</stp>
        <stp>XLFILL=b</stp>
        <tr r="W81" s="2"/>
      </tp>
      <tp t="s">
        <v>#N/A Requesting Data...</v>
        <stp/>
        <stp>##V3_BQLV12</stp>
        <stp>[MODL_NOW_US1.xlsx]Single Period!R116C42</stp>
        <stp>NOW US Equity</stp>
        <stp>GROSS_MARGIN</stp>
        <stp>FPR=2021Y</stp>
        <stp>FPT=A</stp>
        <stp>FA_ACT_EST_DATA=E, EST_SOURCE=CTI</stp>
        <stp>ACT_EST_MAPPING=PRECISE</stp>
        <stp>FS=MRC</stp>
        <stp>CURRENCY=USD</stp>
        <stp>XLFILL=b</stp>
        <tr r="AP116" s="2"/>
      </tp>
      <tp t="s">
        <v>#N/A Requesting Data...</v>
        <stp/>
        <stp>##V3_BQLV12</stp>
        <stp>[MODL_NOW_US1.xlsx]Single Period!R190C10</stp>
        <stp>NOW US Equity</stp>
        <stp>DEFERRED_REV/1M</stp>
        <stp>FPR=2021Y</stp>
        <stp>FPT=A</stp>
        <stp>FA_ACT_EST_DATA=E, EST_SOURCE=CMPY</stp>
        <stp>ACT_EST_MAPPING=PRECISE</stp>
        <stp>FS=MRC</stp>
        <stp>CURRENCY=USD</stp>
        <stp>XLFILL=b</stp>
        <tr r="J190" s="2"/>
      </tp>
      <tp t="s">
        <v>#N/A Requesting Data...</v>
        <stp/>
        <stp>##V3_BQLV12</stp>
        <stp>[MODL_NOW_US1.xlsx]Single Period!R111C32</stp>
        <stp>NOW US Equity</stp>
        <stp>IS_COGS_TO_FE_AND_PP_AND_G/1M</stp>
        <stp>FPR=2021Y</stp>
        <stp>FPT=A</stp>
        <stp>FA_ACT_EST_DATA=E, EST_SOURCE=FBC</stp>
        <stp>ACT_EST_MAPPING=PRECISE</stp>
        <stp>FS=MRC</stp>
        <stp>CURRENCY=USD</stp>
        <stp>XLFILL=b</stp>
        <tr r="AF111" s="2"/>
      </tp>
      <tp t="s">
        <v>#N/A Requesting Data...</v>
        <stp/>
        <stp>##V3_BQLV12</stp>
        <stp>[MODL_NOW_US1.xlsx]Single Period!R111C27</stp>
        <stp>NOW US Equity</stp>
        <stp>IS_COGS_TO_FE_AND_PP_AND_G/1M</stp>
        <stp>FPR=2021Y</stp>
        <stp>FPT=A</stp>
        <stp>FA_ACT_EST_DATA=E, EST_SOURCE=RBC</stp>
        <stp>ACT_EST_MAPPING=PRECISE</stp>
        <stp>FS=MRC</stp>
        <stp>CURRENCY=USD</stp>
        <stp>XLFILL=b</stp>
        <tr r="AA111" s="2"/>
      </tp>
      <tp t="s">
        <v>#N/A Requesting Data...</v>
        <stp/>
        <stp>##V3_BQLV12</stp>
        <stp>[MODL_NOW_US1.xlsx]Single Period!R141C9</stp>
        <stp>SEG0000230986 Segment</stp>
        <stp>CONTRIBUTOR_STATS(IS_SBC_ATTRIB_TO_COGS_PRETX, MEDIAN)/1M</stp>
        <stp>FPR=2021Y</stp>
        <stp>FPT=A</stp>
        <stp>FA_ACT_EST_DATA=E</stp>
        <stp>ACT_EST_MAPPING=PRECISE</stp>
        <stp>FS=MRC</stp>
        <stp>CURRENCY=USD</stp>
        <stp>XLFILL=b</stp>
        <tr r="I141" s="2"/>
      </tp>
      <tp t="s">
        <v>#N/A Requesting Data...</v>
        <stp/>
        <stp>##V3_BQLV12</stp>
        <stp>[MODL_NOW_US1.xlsx]Single Period!R111C25</stp>
        <stp>NOW US Equity</stp>
        <stp>IS_COGS_TO_FE_AND_PP_AND_G/1M</stp>
        <stp>FPR=2021Y</stp>
        <stp>FPT=A</stp>
        <stp>FA_ACT_EST_DATA=E, EST_SOURCE=DBG</stp>
        <stp>ACT_EST_MAPPING=PRECISE</stp>
        <stp>FS=MRC</stp>
        <stp>CURRENCY=USD</stp>
        <stp>XLFILL=b</stp>
        <tr r="Y111" s="2"/>
      </tp>
      <tp t="s">
        <v>#N/A Requesting Data...</v>
        <stp/>
        <stp>##V3_BQLV12</stp>
        <stp>[MODL_NOW_US1.xlsx]Single Period!R163C15</stp>
        <stp>NOW US Equity</stp>
        <stp>CB_BS_PP_AND_E_NET/1M</stp>
        <stp>FPR=2021Y</stp>
        <stp>FPT=A</stp>
        <stp>FA_ACT_EST_DATA=E, EST_SOURCE=OPY</stp>
        <stp>ACT_EST_MAPPING=PRECISE</stp>
        <stp>FS=MRC</stp>
        <stp>CURRENCY=USD</stp>
        <stp>XLFILL=b</stp>
        <tr r="O163" s="2"/>
      </tp>
      <tp t="s">
        <v>#N/A Requesting Data...</v>
        <stp/>
        <stp>##V3_BQLV12</stp>
        <stp>[MODL_NOW_US1.xlsx]Single Period!R111C12</stp>
        <stp>NOW US Equity</stp>
        <stp>IS_COGS_TO_FE_AND_PP_AND_G/1M</stp>
        <stp>FPR=2021Y</stp>
        <stp>FPT=A</stp>
        <stp>FA_ACT_EST_DATA=E, EST_SOURCE=WBL</stp>
        <stp>ACT_EST_MAPPING=PRECISE</stp>
        <stp>FS=MRC</stp>
        <stp>CURRENCY=USD</stp>
        <stp>XLFILL=b</stp>
        <tr r="L111" s="2"/>
      </tp>
      <tp t="s">
        <v>#N/A Requesting Data...</v>
        <stp/>
        <stp>##V3_BQLV12</stp>
        <stp>[MODL_NOW_US1.xlsx]Single Period!R28C23</stp>
        <stp>NOW US Equity</stp>
        <stp>ADJ_OPERATING_MARGIN</stp>
        <stp>FPR=2021Y</stp>
        <stp>FPT=A</stp>
        <stp>FA_ACT_EST_DATA=E, EST_SOURCE=ZXS</stp>
        <stp>ACT_EST_MAPPING=PRECISE</stp>
        <stp>FS=MRC</stp>
        <stp>CURRENCY=USD</stp>
        <stp>XLFILL=b</stp>
        <tr r="W28" s="2"/>
      </tp>
      <tp t="s">
        <v>#N/A Requesting Data...</v>
        <stp/>
        <stp>##V3_BQLV12</stp>
        <stp>[MODL_NOW_US1.xlsx]Single Period!R127C15</stp>
        <stp>NOW US Equity</stp>
        <stp>PRETAX_INC/1M</stp>
        <stp>FPR=2021Y</stp>
        <stp>FPT=A</stp>
        <stp>FA_ACT_EST_DATA=E, EST_SOURCE=OPY</stp>
        <stp>ACT_EST_MAPPING=PRECISE</stp>
        <stp>FS=MRC</stp>
        <stp>CURRENCY=USD</stp>
        <stp>XLFILL=b</stp>
        <tr r="O127" s="2"/>
      </tp>
      <tp t="s">
        <v>#N/A Requesting Data...</v>
        <stp/>
        <stp>##V3_BQLV12</stp>
        <stp>[MODL_NOW_US1.xlsx]Single Period!R112C9</stp>
        <stp>SEG0000230975 Segment</stp>
        <stp>CONTRIBUTOR_STATS(IS_COGS_TO_FE_AND_PP_AND_G, MEDIAN)/1M</stp>
        <stp>FPR=2021Y</stp>
        <stp>FPT=A</stp>
        <stp>FA_ACT_EST_DATA=E</stp>
        <stp>ACT_EST_MAPPING=PRECISE</stp>
        <stp>FS=MRC</stp>
        <stp>CURRENCY=USD</stp>
        <stp>XLFILL=b</stp>
        <tr r="I112" s="2"/>
      </tp>
      <tp t="s">
        <v>#N/A Requesting Data...</v>
        <stp/>
        <stp>##V3_BQLV12</stp>
        <stp>[MODL_NOW_US1.xlsx]Single Period!R164C38</stp>
        <stp>NOW US Equity</stp>
        <stp>CB_BS_PP_AND_E_NET/1M</stp>
        <stp>FPR=2021Y</stp>
        <stp>FPT=A</stp>
        <stp>FA_ACT_EST_DATA=E, EST_SOURCE=RWB</stp>
        <stp>ACT_EST_MAPPING=PRECISE</stp>
        <stp>FS=MRC</stp>
        <stp>CURRENCY=USD</stp>
        <stp>XLFILL=b</stp>
        <tr r="AL164" s="2"/>
      </tp>
      <tp t="s">
        <v>#N/A Requesting Data...</v>
        <stp/>
        <stp>##V3_BQLV12</stp>
        <stp>[MODL_NOW_US1.xlsx]Single Period!R111C26</stp>
        <stp>NOW US Equity</stp>
        <stp>IS_COGS_TO_FE_AND_PP_AND_G/1M</stp>
        <stp>FPR=2021Y</stp>
        <stp>FPT=A</stp>
        <stp>FA_ACT_EST_DATA=E, EST_SOURCE=UBS</stp>
        <stp>ACT_EST_MAPPING=PRECISE</stp>
        <stp>FS=MRC</stp>
        <stp>CURRENCY=USD</stp>
        <stp>XLFILL=b</stp>
        <tr r="Z111" s="2"/>
      </tp>
      <tp t="s">
        <v>#N/A Requesting Data...</v>
        <stp/>
        <stp>##V3_BQLV12</stp>
        <stp>[MODL_NOW_US1.xlsx]Single Period!R159C42</stp>
        <stp>NOW US Equity</stp>
        <stp>CB_BS_OTHER_CURRENT_ASSETS/1M</stp>
        <stp>FPR=2021Y</stp>
        <stp>FPT=A</stp>
        <stp>FA_ACT_EST_DATA=E, EST_SOURCE=CTI</stp>
        <stp>ACT_EST_MAPPING=PRECISE</stp>
        <stp>FS=MRC</stp>
        <stp>CURRENCY=USD</stp>
        <stp>XLFILL=b</stp>
        <tr r="AP159" s="2"/>
      </tp>
      <tp t="s">
        <v>#N/A Requesting Data...</v>
        <stp/>
        <stp>##V3_BQLV12</stp>
        <stp>[MODL_NOW_US1.xlsx]Single Period!R159C37</stp>
        <stp>NOW US Equity</stp>
        <stp>CB_BS_OTHER_CURRENT_ASSETS/1M</stp>
        <stp>FPR=2021Y</stp>
        <stp>FPT=A</stp>
        <stp>FA_ACT_EST_DATA=E, EST_SOURCE=TTC</stp>
        <stp>ACT_EST_MAPPING=PRECISE</stp>
        <stp>FS=MRC</stp>
        <stp>CURRENCY=USD</stp>
        <stp>XLFILL=b</stp>
        <tr r="AK159" s="2"/>
      </tp>
      <tp t="s">
        <v>#N/A Requesting Data...</v>
        <stp/>
        <stp>##V3_BQLV12</stp>
        <stp>[MODL_NOW_US1.xlsx]Single Period!R127C11</stp>
        <stp>NOW US Equity</stp>
        <stp>PRETAX_INC/1M</stp>
        <stp>FPR=2021Y</stp>
        <stp>FPT=A</stp>
        <stp>FA_ACT_EST_DATA=E, EST_SOURCE=JPM</stp>
        <stp>ACT_EST_MAPPING=PRECISE</stp>
        <stp>FS=MRC</stp>
        <stp>CURRENCY=USD</stp>
        <stp>XLFILL=b</stp>
        <tr r="K127" s="2"/>
      </tp>
      <tp t="s">
        <v>#N/A Requesting Data...</v>
        <stp/>
        <stp>##V3_BQLV12</stp>
        <stp>[MODL_NOW_US1.xlsx]Single Period!R166C17</stp>
        <stp>NOW US Equity</stp>
        <stp>BS_OTHER_INTANGIBLE_ASSETS/1M</stp>
        <stp>FPR=2021Y</stp>
        <stp>FPT=A</stp>
        <stp>FA_ACT_EST_DATA=E, EST_SOURCE=RHR</stp>
        <stp>ACT_EST_MAPPING=PRECISE</stp>
        <stp>FS=MRC</stp>
        <stp>CURRENCY=USD</stp>
        <stp>XLFILL=b</stp>
        <tr r="Q166" s="2"/>
      </tp>
      <tp t="s">
        <v>#N/A Requesting Data...</v>
        <stp/>
        <stp>##V3_BQLV12</stp>
        <stp>[MODL_NOW_US1.xlsx]Single Period!R164C40</stp>
        <stp>NOW US Equity</stp>
        <stp>CB_BS_PP_AND_E_NET/1M</stp>
        <stp>FPR=2021Y</stp>
        <stp>FPT=A</stp>
        <stp>FA_ACT_EST_DATA=E, EST_SOURCE=DWI</stp>
        <stp>ACT_EST_MAPPING=PRECISE</stp>
        <stp>FS=MRC</stp>
        <stp>CURRENCY=USD</stp>
        <stp>XLFILL=b</stp>
        <tr r="AN164" s="2"/>
      </tp>
      <tp t="s">
        <v>#N/A Requesting Data...</v>
        <stp/>
        <stp>##V3_BQLV12</stp>
        <stp>[MODL_NOW_US1.xlsx]Single Period!R164C24</stp>
        <stp>NOW US Equity</stp>
        <stp>CB_BS_PP_AND_E_NET/1M</stp>
        <stp>FPR=2021Y</stp>
        <stp>FPT=A</stp>
        <stp>FA_ACT_EST_DATA=E, EST_SOURCE=CWN</stp>
        <stp>ACT_EST_MAPPING=PRECISE</stp>
        <stp>FS=MRC</stp>
        <stp>CURRENCY=USD</stp>
        <stp>XLFILL=b</stp>
        <tr r="X164" s="2"/>
      </tp>
      <tp t="s">
        <v>#N/A Requesting Data...</v>
        <stp/>
        <stp>##V3_BQLV12</stp>
        <stp>[MODL_NOW_US1.xlsx]Single Period!R113C9</stp>
        <stp>SEG0000230986 Segment</stp>
        <stp>CONTRIBUTOR_STATS(IS_COGS_TO_FE_AND_PP_AND_G, MEDIAN)/1M</stp>
        <stp>FPR=2021Y</stp>
        <stp>FPT=A</stp>
        <stp>FA_ACT_EST_DATA=E</stp>
        <stp>ACT_EST_MAPPING=PRECISE</stp>
        <stp>FS=MRC</stp>
        <stp>CURRENCY=USD</stp>
        <stp>XLFILL=b</stp>
        <tr r="I113" s="2"/>
      </tp>
      <tp t="s">
        <v>#N/A Requesting Data...</v>
        <stp/>
        <stp>##V3_BQLV12</stp>
        <stp>[MODL_NOW_US1.xlsx]Single Period!R163C11</stp>
        <stp>NOW US Equity</stp>
        <stp>CB_BS_PP_AND_E_NET/1M</stp>
        <stp>FPR=2021Y</stp>
        <stp>FPT=A</stp>
        <stp>FA_ACT_EST_DATA=E, EST_SOURCE=JPM</stp>
        <stp>ACT_EST_MAPPING=PRECISE</stp>
        <stp>FS=MRC</stp>
        <stp>CURRENCY=USD</stp>
        <stp>XLFILL=b</stp>
        <tr r="K163" s="2"/>
      </tp>
      <tp t="s">
        <v>#N/A Requesting Data...</v>
        <stp/>
        <stp>##V3_BQLV12</stp>
        <stp>[MODL_NOW_US1.xlsx]Single Period!R117C12</stp>
        <stp>NOW US Equity</stp>
        <stp>IS_TOT_OPER_EXP/1M</stp>
        <stp>FPR=2021Y</stp>
        <stp>FPT=A</stp>
        <stp>FA_ACT_EST_DATA=E, EST_SOURCE=WBL</stp>
        <stp>ACT_EST_MAPPING=PRECISE</stp>
        <stp>FS=MRC</stp>
        <stp>CURRENCY=USD</stp>
        <stp>XLFILL=b</stp>
        <tr r="L117" s="2"/>
      </tp>
      <tp t="s">
        <v>#N/A Requesting Data...</v>
        <stp/>
        <stp>##V3_BQLV12</stp>
        <stp>[MODL_NOW_US1.xlsx]Single Period!R236C15</stp>
        <stp>NOW US Equity</stp>
        <stp>FREE_CASH_FLOW_MARGIN</stp>
        <stp>FPR=2021Y</stp>
        <stp>FPT=A</stp>
        <stp>FA_ACT_EST_DATA=E, EST_SOURCE=OPY</stp>
        <stp>ACT_EST_MAPPING=PRECISE</stp>
        <stp>FS=MRC</stp>
        <stp>CURRENCY=USD</stp>
        <stp>XLFILL=b</stp>
        <tr r="O236" s="2"/>
      </tp>
      <tp t="s">
        <v>#N/A Requesting Data...</v>
        <stp/>
        <stp>##V3_BQLV12</stp>
        <stp>[MODL_NOW_US1.xlsx]Single Period!R181C33</stp>
        <stp>NOW US Equity</stp>
        <stp>BS_LONG_TERM_BORROWINGS/1M</stp>
        <stp>FPR=2021Y</stp>
        <stp>FPT=A</stp>
        <stp>FA_ACT_EST_DATA=E, EST_SOURCE=MAC</stp>
        <stp>ACT_EST_MAPPING=PRECISE</stp>
        <stp>FS=MRC</stp>
        <stp>CURRENCY=USD</stp>
        <stp>XLFILL=b</stp>
        <tr r="AG181" s="2"/>
      </tp>
      <tp t="s">
        <v>#N/A Requesting Data...</v>
        <stp/>
        <stp>##V3_BQLV12</stp>
        <stp>[MODL_NOW_US1.xlsx]Single Period!R219C21</stp>
        <stp>NOW US Equity</stp>
        <stp>CF_PURCHSS_OF_INVSTMNTS/1M</stp>
        <stp>FPR=2021Y</stp>
        <stp>FPT=A</stp>
        <stp>FA_ACT_EST_DATA=E, EST_SOURCE=JMP</stp>
        <stp>ACT_EST_MAPPING=PRECISE</stp>
        <stp>FS=MRC</stp>
        <stp>CURRENCY=USD</stp>
        <stp>XLFILL=b</stp>
        <tr r="U219" s="2"/>
      </tp>
      <tp t="s">
        <v>#N/A Requesting Data...</v>
        <stp/>
        <stp>##V3_BQLV12</stp>
        <stp>[MODL_NOW_US1.xlsx]Single Period!R199C24</stp>
        <stp>NOW US Equity</stp>
        <stp>IS_COMP_NET_INCOME_GAAP/1M</stp>
        <stp>FPR=2021Y</stp>
        <stp>FPT=A</stp>
        <stp>FA_ACT_EST_DATA=E, EST_SOURCE=CWN</stp>
        <stp>ACT_EST_MAPPING=PRECISE</stp>
        <stp>FS=MRC</stp>
        <stp>CURRENCY=USD</stp>
        <stp>XLFILL=b</stp>
        <tr r="X199" s="2"/>
      </tp>
      <tp t="s">
        <v>#N/A Requesting Data...</v>
        <stp/>
        <stp>##V3_BQLV12</stp>
        <stp>[MODL_NOW_US1.xlsx]Single Period!R130C24</stp>
        <stp>NOW US Equity</stp>
        <stp>IS_COMP_NET_INCOME_GAAP/1M</stp>
        <stp>FPR=2021Y</stp>
        <stp>FPT=A</stp>
        <stp>FA_ACT_EST_DATA=E, EST_SOURCE=CWN</stp>
        <stp>ACT_EST_MAPPING=PRECISE</stp>
        <stp>FS=MRC</stp>
        <stp>CURRENCY=USD</stp>
        <stp>XLFILL=b</stp>
        <tr r="X130" s="2"/>
      </tp>
      <tp t="s">
        <v>#N/A Requesting Data...</v>
        <stp/>
        <stp>##V3_BQLV12</stp>
        <stp>[MODL_NOW_US1.xlsx]Single Period!R199C40</stp>
        <stp>NOW US Equity</stp>
        <stp>IS_COMP_NET_INCOME_GAAP/1M</stp>
        <stp>FPR=2021Y</stp>
        <stp>FPT=A</stp>
        <stp>FA_ACT_EST_DATA=E, EST_SOURCE=DWI</stp>
        <stp>ACT_EST_MAPPING=PRECISE</stp>
        <stp>FS=MRC</stp>
        <stp>CURRENCY=USD</stp>
        <stp>XLFILL=b</stp>
        <tr r="AN199" s="2"/>
      </tp>
      <tp t="s">
        <v>#N/A Requesting Data...</v>
        <stp/>
        <stp>##V3_BQLV12</stp>
        <stp>[MODL_NOW_US1.xlsx]Single Period!R130C40</stp>
        <stp>NOW US Equity</stp>
        <stp>IS_COMP_NET_INCOME_GAAP/1M</stp>
        <stp>FPR=2021Y</stp>
        <stp>FPT=A</stp>
        <stp>FA_ACT_EST_DATA=E, EST_SOURCE=DWI</stp>
        <stp>ACT_EST_MAPPING=PRECISE</stp>
        <stp>FS=MRC</stp>
        <stp>CURRENCY=USD</stp>
        <stp>XLFILL=b</stp>
        <tr r="AN130" s="2"/>
      </tp>
      <tp t="s">
        <v>#N/A Requesting Data...</v>
        <stp/>
        <stp>##V3_BQLV12</stp>
        <stp>[MODL_NOW_US1.xlsx]Single Period!R117C25</stp>
        <stp>NOW US Equity</stp>
        <stp>IS_TOT_OPER_EXP/1M</stp>
        <stp>FPR=2021Y</stp>
        <stp>FPT=A</stp>
        <stp>FA_ACT_EST_DATA=E, EST_SOURCE=DBG</stp>
        <stp>ACT_EST_MAPPING=PRECISE</stp>
        <stp>FS=MRC</stp>
        <stp>CURRENCY=USD</stp>
        <stp>XLFILL=b</stp>
        <tr r="Y117" s="2"/>
      </tp>
      <tp t="s">
        <v>#N/A Requesting Data...</v>
        <stp/>
        <stp>##V3_BQLV12</stp>
        <stp>[MODL_NOW_US1.xlsx]Single Period!R181C20</stp>
        <stp>NOW US Equity</stp>
        <stp>BS_LONG_TERM_BORROWINGS/1M</stp>
        <stp>FPR=2021Y</stp>
        <stp>FPT=A</stp>
        <stp>FA_ACT_EST_DATA=E, EST_SOURCE=CAN</stp>
        <stp>ACT_EST_MAPPING=PRECISE</stp>
        <stp>FS=MRC</stp>
        <stp>CURRENCY=USD</stp>
        <stp>XLFILL=b</stp>
        <tr r="T181" s="2"/>
      </tp>
      <tp t="s">
        <v>#N/A Requesting Data...</v>
        <stp/>
        <stp>##V3_BQLV12</stp>
        <stp>[MODL_NOW_US1.xlsx]Single Period!R160C49</stp>
        <stp>NOW US Equity</stp>
        <stp>PREPAID_EXPNSS_AND_OTHR/1M</stp>
        <stp>FPR=2021Y</stp>
        <stp>FPT=A</stp>
        <stp>FA_ACT_EST_DATA=E, EST_SOURCE=SCB</stp>
        <stp>ACT_EST_MAPPING=PRECISE</stp>
        <stp>FS=MRC</stp>
        <stp>CURRENCY=USD</stp>
        <stp>XLFILL=b</stp>
        <tr r="AW160" s="2"/>
      </tp>
      <tp t="s">
        <v>#N/A Requesting Data...</v>
        <stp/>
        <stp>##V3_BQLV12</stp>
        <stp>[MODL_NOW_US1.xlsx]Single Period!R50C5</stp>
        <stp>NOW US Equity</stp>
        <stp>NUM_CSTMR_CNTRCT_OVER_1_MILLN</stp>
        <stp>FPR=2021Y</stp>
        <stp>FPT=A</stp>
        <stp>FA_ACT_EST_DATA=E</stp>
        <stp>ACT_EST_MAPPING=PRECISE</stp>
        <stp>FS=MRC</stp>
        <stp>CURRENCY=USD</stp>
        <stp>XLFILL=b</stp>
        <tr r="E50" s="2"/>
      </tp>
      <tp t="s">
        <v>#N/A Requesting Data...</v>
        <stp/>
        <stp>##V3_BQLV12</stp>
        <stp>[MODL_NOW_US1.xlsx]Single Period!R42C22</stp>
        <stp>SEG0000230975 Segment</stp>
        <stp>IS_BILLINGS/1M</stp>
        <stp>FPR=2021Y</stp>
        <stp>FPT=A</stp>
        <stp>FA_ACT_EST_DATA=E, EST_SOURCE=NDH</stp>
        <stp>ACT_EST_MAPPING=PRECISE</stp>
        <stp>FS=MRC</stp>
        <stp>CURRENCY=USD</stp>
        <stp>XLFILL=b</stp>
        <tr r="V42" s="2"/>
      </tp>
      <tp t="s">
        <v>#N/A Requesting Data...</v>
        <stp/>
        <stp>##V3_BQLV12</stp>
        <stp>[MODL_NOW_US1.xlsx]Single Period!R17C22</stp>
        <stp>SEG0000230975 Segment</stp>
        <stp>IS_BILLINGS/1M</stp>
        <stp>FPR=2021Y</stp>
        <stp>FPT=A</stp>
        <stp>FA_ACT_EST_DATA=E, EST_SOURCE=NDH</stp>
        <stp>ACT_EST_MAPPING=PRECISE</stp>
        <stp>FS=MRC</stp>
        <stp>CURRENCY=USD</stp>
        <stp>XLFILL=b</stp>
        <tr r="V17" s="2"/>
      </tp>
      <tp t="s">
        <v>#N/A Requesting Data...</v>
        <stp/>
        <stp>##V3_BQLV12</stp>
        <stp>[MODL_NOW_US1.xlsx]Single Period!R181C30</stp>
        <stp>NOW US Equity</stp>
        <stp>BS_LONG_TERM_BORROWINGS/1M</stp>
        <stp>FPR=2021Y</stp>
        <stp>FPT=A</stp>
        <stp>FA_ACT_EST_DATA=E, EST_SOURCE=BAM</stp>
        <stp>ACT_EST_MAPPING=PRECISE</stp>
        <stp>FS=MRC</stp>
        <stp>CURRENCY=USD</stp>
        <stp>XLFILL=b</stp>
        <tr r="AD181" s="2"/>
      </tp>
      <tp t="s">
        <v>#N/A Requesting Data...</v>
        <stp/>
        <stp>##V3_BQLV12</stp>
        <stp>[MODL_NOW_US1.xlsx]Single Period!R130C38</stp>
        <stp>NOW US Equity</stp>
        <stp>IS_COMP_NET_INCOME_GAAP/1M</stp>
        <stp>FPR=2021Y</stp>
        <stp>FPT=A</stp>
        <stp>FA_ACT_EST_DATA=E, EST_SOURCE=RWB</stp>
        <stp>ACT_EST_MAPPING=PRECISE</stp>
        <stp>FS=MRC</stp>
        <stp>CURRENCY=USD</stp>
        <stp>XLFILL=b</stp>
        <tr r="AL130" s="2"/>
      </tp>
      <tp t="s">
        <v>#N/A Requesting Data...</v>
        <stp/>
        <stp>##V3_BQLV12</stp>
        <stp>[MODL_NOW_US1.xlsx]Single Period!R199C38</stp>
        <stp>NOW US Equity</stp>
        <stp>IS_COMP_NET_INCOME_GAAP/1M</stp>
        <stp>FPR=2021Y</stp>
        <stp>FPT=A</stp>
        <stp>FA_ACT_EST_DATA=E, EST_SOURCE=RWB</stp>
        <stp>ACT_EST_MAPPING=PRECISE</stp>
        <stp>FS=MRC</stp>
        <stp>CURRENCY=USD</stp>
        <stp>XLFILL=b</stp>
        <tr r="AL199" s="2"/>
      </tp>
      <tp t="s">
        <v>#N/A Requesting Data...</v>
        <stp/>
        <stp>##V3_BQLV12</stp>
        <stp>[MODL_NOW_US1.xlsx]Single Period!R117C27</stp>
        <stp>NOW US Equity</stp>
        <stp>IS_TOT_OPER_EXP/1M</stp>
        <stp>FPR=2021Y</stp>
        <stp>FPT=A</stp>
        <stp>FA_ACT_EST_DATA=E, EST_SOURCE=RBC</stp>
        <stp>ACT_EST_MAPPING=PRECISE</stp>
        <stp>FS=MRC</stp>
        <stp>CURRENCY=USD</stp>
        <stp>XLFILL=b</stp>
        <tr r="AA117" s="2"/>
      </tp>
      <tp t="s">
        <v>#N/A Requesting Data...</v>
        <stp/>
        <stp>##V3_BQLV12</stp>
        <stp>[MODL_NOW_US1.xlsx]Single Period!R205C28</stp>
        <stp>NOW US Equity</stp>
        <stp>CB_CF_OTHR_NONCSH_ITEMS/1M</stp>
        <stp>FPR=2021Y</stp>
        <stp>FPT=A</stp>
        <stp>FA_ACT_EST_DATA=E, EST_SOURCE=EVR</stp>
        <stp>ACT_EST_MAPPING=PRECISE</stp>
        <stp>FS=MRC</stp>
        <stp>CURRENCY=USD</stp>
        <stp>XLFILL=b</stp>
        <tr r="AB205" s="2"/>
      </tp>
      <tp t="s">
        <v>#N/A Requesting Data...</v>
        <stp/>
        <stp>##V3_BQLV12</stp>
        <stp>[MODL_NOW_US1.xlsx]Single Period!R117C32</stp>
        <stp>NOW US Equity</stp>
        <stp>IS_TOT_OPER_EXP/1M</stp>
        <stp>FPR=2021Y</stp>
        <stp>FPT=A</stp>
        <stp>FA_ACT_EST_DATA=E, EST_SOURCE=FBC</stp>
        <stp>ACT_EST_MAPPING=PRECISE</stp>
        <stp>FS=MRC</stp>
        <stp>CURRENCY=USD</stp>
        <stp>XLFILL=b</stp>
        <tr r="AF117" s="2"/>
      </tp>
      <tp t="s">
        <v>#N/A Requesting Data...</v>
        <stp/>
        <stp>##V3_BQLV12</stp>
        <stp>[MODL_NOW_US1.xlsx]Single Period!R160C16</stp>
        <stp>NOW US Equity</stp>
        <stp>PREPAID_EXPNSS_AND_OTHR/1M</stp>
        <stp>FPR=2021Y</stp>
        <stp>FPT=A</stp>
        <stp>FA_ACT_EST_DATA=E, EST_SOURCE=BCA</stp>
        <stp>ACT_EST_MAPPING=PRECISE</stp>
        <stp>FS=MRC</stp>
        <stp>CURRENCY=USD</stp>
        <stp>XLFILL=b</stp>
        <tr r="P160" s="2"/>
      </tp>
      <tp t="s">
        <v>#N/A Requesting Data...</v>
        <stp/>
        <stp>##V3_BQLV12</stp>
        <stp>[MODL_NOW_US1.xlsx]Single Period!R91C6</stp>
        <stp>NOW US Equity</stp>
        <stp>CONTRIBUTOR_STATS(ADJ_R_AND_D_TO_SALES, MIN)</stp>
        <stp>FPR=2021Y</stp>
        <stp>FPT=A</stp>
        <stp>FA_ACT_EST_DATA=E</stp>
        <stp>ACT_EST_MAPPING=PRECISE</stp>
        <stp>FS=MRC</stp>
        <stp>CURRENCY=USD</stp>
        <stp>XLFILL=b</stp>
        <tr r="F91" s="2"/>
      </tp>
      <tp t="s">
        <v>#N/A Requesting Data...</v>
        <stp/>
        <stp>##V3_BQLV12</stp>
        <stp>[MODL_NOW_US1.xlsx]Single Period!R236C11</stp>
        <stp>NOW US Equity</stp>
        <stp>FREE_CASH_FLOW_MARGIN</stp>
        <stp>FPR=2021Y</stp>
        <stp>FPT=A</stp>
        <stp>FA_ACT_EST_DATA=E, EST_SOURCE=JPM</stp>
        <stp>ACT_EST_MAPPING=PRECISE</stp>
        <stp>FS=MRC</stp>
        <stp>CURRENCY=USD</stp>
        <stp>XLFILL=b</stp>
        <tr r="K236" s="2"/>
      </tp>
      <tp t="s">
        <v>#N/A Requesting Data...</v>
        <stp/>
        <stp>##V3_BQLV12</stp>
        <stp>[MODL_NOW_US1.xlsx]Single Period!R174C38</stp>
        <stp>NOW US Equity</stp>
        <stp>BS_ACCT_PAYABLE/1M</stp>
        <stp>FPR=2021Y</stp>
        <stp>FPT=A</stp>
        <stp>FA_ACT_EST_DATA=E, EST_SOURCE=RWB</stp>
        <stp>ACT_EST_MAPPING=PRECISE</stp>
        <stp>FS=MRC</stp>
        <stp>CURRENCY=USD</stp>
        <stp>XLFILL=b</stp>
        <tr r="AL174" s="2"/>
      </tp>
      <tp t="s">
        <v>#N/A Requesting Data...</v>
        <stp/>
        <stp>##V3_BQLV12</stp>
        <stp>[MODL_NOW_US1.xlsx]Single Period!R219C14</stp>
        <stp>NOW US Equity</stp>
        <stp>CF_PURCHSS_OF_INVSTMNTS/1M</stp>
        <stp>FPR=2021Y</stp>
        <stp>FPT=A</stp>
        <stp>FA_ACT_EST_DATA=E, EST_SOURCE=BMO</stp>
        <stp>ACT_EST_MAPPING=PRECISE</stp>
        <stp>FS=MRC</stp>
        <stp>CURRENCY=USD</stp>
        <stp>XLFILL=b</stp>
        <tr r="N219" s="2"/>
      </tp>
      <tp t="s">
        <v>#N/A Requesting Data...</v>
        <stp/>
        <stp>##V3_BQLV12</stp>
        <stp>[MODL_NOW_US1.xlsx]Single Period!R174C24</stp>
        <stp>NOW US Equity</stp>
        <stp>BS_ACCT_PAYABLE/1M</stp>
        <stp>FPR=2021Y</stp>
        <stp>FPT=A</stp>
        <stp>FA_ACT_EST_DATA=E, EST_SOURCE=CWN</stp>
        <stp>ACT_EST_MAPPING=PRECISE</stp>
        <stp>FS=MRC</stp>
        <stp>CURRENCY=USD</stp>
        <stp>XLFILL=b</stp>
        <tr r="X174" s="2"/>
      </tp>
      <tp t="s">
        <v>#N/A Requesting Data...</v>
        <stp/>
        <stp>##V3_BQLV12</stp>
        <stp>[MODL_NOW_US1.xlsx]Single Period!R174C40</stp>
        <stp>NOW US Equity</stp>
        <stp>BS_ACCT_PAYABLE/1M</stp>
        <stp>FPR=2021Y</stp>
        <stp>FPT=A</stp>
        <stp>FA_ACT_EST_DATA=E, EST_SOURCE=DWI</stp>
        <stp>ACT_EST_MAPPING=PRECISE</stp>
        <stp>FS=MRC</stp>
        <stp>CURRENCY=USD</stp>
        <stp>XLFILL=b</stp>
        <tr r="AN174" s="2"/>
      </tp>
      <tp t="s">
        <v>#N/A Requesting Data...</v>
        <stp/>
        <stp>##V3_BQLV12</stp>
        <stp>[MODL_NOW_US1.xlsx]Single Period!R117C26</stp>
        <stp>NOW US Equity</stp>
        <stp>IS_TOT_OPER_EXP/1M</stp>
        <stp>FPR=2021Y</stp>
        <stp>FPT=A</stp>
        <stp>FA_ACT_EST_DATA=E, EST_SOURCE=UBS</stp>
        <stp>ACT_EST_MAPPING=PRECISE</stp>
        <stp>FS=MRC</stp>
        <stp>CURRENCY=USD</stp>
        <stp>XLFILL=b</stp>
        <tr r="Z117" s="2"/>
      </tp>
      <tp t="s">
        <v>#N/A Requesting Data...</v>
        <stp/>
        <stp>##V3_BQLV12</stp>
        <stp>[MODL_NOW_US1.xlsx]Single Period!R182C17</stp>
        <stp>NOW US Equity</stp>
        <stp>BS_OTHER_NONCURRENT_LIABILITIES/1M</stp>
        <stp>FPR=2021Y</stp>
        <stp>FPT=A</stp>
        <stp>FA_ACT_EST_DATA=E, EST_SOURCE=RHR</stp>
        <stp>ACT_EST_MAPPING=PRECISE</stp>
        <stp>FS=MRC</stp>
        <stp>CURRENCY=USD</stp>
        <stp>XLFILL=b</stp>
        <tr r="Q182" s="2"/>
      </tp>
      <tp t="s">
        <v>#N/A Requesting Data...</v>
        <stp/>
        <stp>##V3_BQLV12</stp>
        <stp>[MODL_NOW_US1.xlsx]Single Period!R66C7</stp>
        <stp>SEG0000230986 Segment</stp>
        <stp>CONTRIBUTOR_STATS(SALES_REV_TURN, MAX)/1M</stp>
        <stp>FPR=2021Y</stp>
        <stp>FPT=A</stp>
        <stp>FA_ACT_EST_DATA=E</stp>
        <stp>ACT_EST_MAPPING=PRECISE</stp>
        <stp>FS=MRC</stp>
        <stp>CURRENCY=USD</stp>
        <stp>XLFILL=b</stp>
        <tr r="G66" s="2"/>
      </tp>
      <tp t="s">
        <v>#N/A Requesting Data...</v>
        <stp/>
        <stp>##V3_BQLV12</stp>
        <stp>[MODL_NOW_US1.xlsx]Single Period!R66C6</stp>
        <stp>SEG0000230986 Segment</stp>
        <stp>CONTRIBUTOR_STATS(SALES_REV_TURN, MIN)/1M</stp>
        <stp>FPR=2021Y</stp>
        <stp>FPT=A</stp>
        <stp>FA_ACT_EST_DATA=E</stp>
        <stp>ACT_EST_MAPPING=PRECISE</stp>
        <stp>FS=MRC</stp>
        <stp>CURRENCY=USD</stp>
        <stp>XLFILL=b</stp>
        <tr r="F66" s="2"/>
      </tp>
      <tp t="s">
        <v>#N/A Requesting Data...</v>
        <stp/>
        <stp>##V3_BQLV12</stp>
        <stp>[MODL_NOW_US1.xlsx]Single Period!R155C22</stp>
        <stp>NOW US Equity</stp>
        <stp>BS_CASH_CASH_EQUIVALENTS_AND_STI/1M</stp>
        <stp>FPR=2021Y</stp>
        <stp>FPT=A</stp>
        <stp>FA_ACT_EST_DATA=E, EST_SOURCE=NDH</stp>
        <stp>ACT_EST_MAPPING=PRECISE</stp>
        <stp>FS=MRC</stp>
        <stp>CURRENCY=USD</stp>
        <stp>XLFILL=b</stp>
        <tr r="V155" s="2"/>
      </tp>
      <tp t="s">
        <v>#N/A Requesting Data...</v>
        <stp/>
        <stp>##V3_BQLV12</stp>
        <stp>[MODL_NOW_US1.xlsx]Single Period!R75C7</stp>
        <stp>SEG0000230992 Segment</stp>
        <stp>CONTRIBUTOR_STATS(SALES_REV_TURN, MAX)/1M</stp>
        <stp>FPR=2021Y</stp>
        <stp>FPT=A</stp>
        <stp>FA_ACT_EST_DATA=E</stp>
        <stp>ACT_EST_MAPPING=PRECISE</stp>
        <stp>FS=MRC</stp>
        <stp>CURRENCY=USD</stp>
        <stp>XLFILL=b</stp>
        <tr r="G75" s="2"/>
      </tp>
      <tp t="s">
        <v>#N/A Requesting Data...</v>
        <stp/>
        <stp>##V3_BQLV12</stp>
        <stp>[MODL_NOW_US1.xlsx]Single Period!R75C6</stp>
        <stp>SEG0000230992 Segment</stp>
        <stp>CONTRIBUTOR_STATS(SALES_REV_TURN, MIN)/1M</stp>
        <stp>FPR=2021Y</stp>
        <stp>FPT=A</stp>
        <stp>FA_ACT_EST_DATA=E</stp>
        <stp>ACT_EST_MAPPING=PRECISE</stp>
        <stp>FS=MRC</stp>
        <stp>CURRENCY=USD</stp>
        <stp>XLFILL=b</stp>
        <tr r="F75" s="2"/>
      </tp>
      <tp t="s">
        <v>#N/A Requesting Data...</v>
        <stp/>
        <stp>##V3_BQLV12</stp>
        <stp>[MODL_NOW_US1.xlsx]Single Period!R221C14</stp>
        <stp>NOW US Equity</stp>
        <stp>CB_CF_OTHER_INVESTING_ACTIVITIES/1M</stp>
        <stp>FPR=2021Y</stp>
        <stp>FPT=A</stp>
        <stp>FA_ACT_EST_DATA=E, EST_SOURCE=BMO</stp>
        <stp>ACT_EST_MAPPING=PRECISE</stp>
        <stp>FS=MRC</stp>
        <stp>CURRENCY=USD</stp>
        <stp>XLFILL=b</stp>
        <tr r="N221" s="2"/>
      </tp>
      <tp t="s">
        <v>#N/A Requesting Data...</v>
        <stp/>
        <stp>##V3_BQLV12</stp>
        <stp>[MODL_NOW_US1.xlsx]Single Period!R175C31</stp>
        <stp>NOW US Equity</stp>
        <stp>BS_ACCRUD_EXPNSS_AND_OTHR/1M</stp>
        <stp>FPR=2021Y</stp>
        <stp>FPT=A</stp>
        <stp>FA_ACT_EST_DATA=E, EST_SOURCE=GSR</stp>
        <stp>ACT_EST_MAPPING=PRECISE</stp>
        <stp>FS=MRC</stp>
        <stp>CURRENCY=USD</stp>
        <stp>XLFILL=b</stp>
        <tr r="AE175" s="2"/>
      </tp>
      <tp t="s">
        <v>#N/A Requesting Data...</v>
        <stp/>
        <stp>##V3_BQLV12</stp>
        <stp>[MODL_NOW_US1.xlsx]Single Period!R155C36</stp>
        <stp>NOW US Equity</stp>
        <stp>BS_CASH_CASH_EQUIVALENTS_AND_STI/1M</stp>
        <stp>FPR=2021Y</stp>
        <stp>FPT=A</stp>
        <stp>FA_ACT_EST_DATA=E, EST_SOURCE=JEF</stp>
        <stp>ACT_EST_MAPPING=PRECISE</stp>
        <stp>FS=MRC</stp>
        <stp>CURRENCY=USD</stp>
        <stp>XLFILL=b</stp>
        <tr r="AJ155" s="2"/>
      </tp>
      <tp t="s">
        <v>#N/A Requesting Data...</v>
        <stp/>
        <stp>##V3_BQLV12</stp>
        <stp>[MODL_NOW_US1.xlsx]Single Period!R63C34</stp>
        <stp>SEG0000230975 Segment</stp>
        <stp>CB_IS_GROSS_PROFIT/1M</stp>
        <stp>FPR=2021Y</stp>
        <stp>FPT=A</stp>
        <stp>FA_ACT_EST_DATA=E, EST_SOURCE=PSG</stp>
        <stp>ACT_EST_MAPPING=PRECISE</stp>
        <stp>FS=MRC</stp>
        <stp>CURRENCY=USD</stp>
        <stp>XLFILL=b</stp>
        <tr r="AH63" s="2"/>
      </tp>
      <tp t="s">
        <v>#N/A Requesting Data...</v>
        <stp/>
        <stp>##V3_BQLV12</stp>
        <stp>[MODL_NOW_US1.xlsx]Single Period!R148C33</stp>
        <stp>NOW US Equity</stp>
        <stp>IS_AMORT_ACQD_INTANGIBLES_R_AND_D/1M</stp>
        <stp>FPR=2021Y</stp>
        <stp>FPT=A</stp>
        <stp>FA_ACT_EST_DATA=E, EST_SOURCE=MAC</stp>
        <stp>ACT_EST_MAPPING=PRECISE</stp>
        <stp>FS=MRC</stp>
        <stp>CURRENCY=USD</stp>
        <stp>XLFILL=b</stp>
        <tr r="AG148" s="2"/>
      </tp>
      <tp t="s">
        <v>#N/A Requesting Data...</v>
        <stp/>
        <stp>##V3_BQLV12</stp>
        <stp>[MODL_NOW_US1.xlsx]Single Period!R177C15</stp>
        <stp>NOW US Equity</stp>
        <stp>BS_ST_CPTL_LEA_AND_OP_LEA_LIABS/1M</stp>
        <stp>FPR=2021Y</stp>
        <stp>FPT=A</stp>
        <stp>FA_ACT_EST_DATA=E, EST_SOURCE=OPY</stp>
        <stp>ACT_EST_MAPPING=PRECISE</stp>
        <stp>FS=MRC</stp>
        <stp>CURRENCY=USD</stp>
        <stp>XLFILL=b</stp>
        <tr r="O177" s="2"/>
      </tp>
      <tp t="s">
        <v>#N/A Requesting Data...</v>
        <stp/>
        <stp>##V3_BQLV12</stp>
        <stp>[MODL_NOW_US1.xlsx]Single Period!R213C19</stp>
        <stp>NOW US Equity</stp>
        <stp>CF_CASH_FROM_OPER/1M</stp>
        <stp>FPR=2021Y</stp>
        <stp>FPT=A</stp>
        <stp>FA_ACT_EST_DATA=E, EST_SOURCE=MSV</stp>
        <stp>ACT_EST_MAPPING=PRECISE</stp>
        <stp>FS=MRC</stp>
        <stp>CURRENCY=USD</stp>
        <stp>XLFILL=b</stp>
        <tr r="S213" s="2"/>
      </tp>
      <tp t="s">
        <v>#N/A Requesting Data...</v>
        <stp/>
        <stp>##V3_BQLV12</stp>
        <stp>[MODL_NOW_US1.xlsx]Single Period!R225C22</stp>
        <stp>NOW US Equity</stp>
        <stp>CF_INCR_CAP_STOCK/1M</stp>
        <stp>FPR=2021Y</stp>
        <stp>FPT=A</stp>
        <stp>FA_ACT_EST_DATA=E, EST_SOURCE=NDH</stp>
        <stp>ACT_EST_MAPPING=PRECISE</stp>
        <stp>FS=MRC</stp>
        <stp>CURRENCY=USD</stp>
        <stp>XLFILL=b</stp>
        <tr r="V225" s="2"/>
      </tp>
      <tp t="s">
        <v>#N/A Requesting Data...</v>
        <stp/>
        <stp>##V3_BQLV12</stp>
        <stp>[MODL_NOW_US1.xlsx]Single Period!R202C41</stp>
        <stp>NOW US Equity</stp>
        <stp>CF_AMORTIZATN_OF_DEFRRD_COMPNSTN/1M</stp>
        <stp>FPR=2021Y</stp>
        <stp>FPT=A</stp>
        <stp>FA_ACT_EST_DATA=E, EST_SOURCE=ARG</stp>
        <stp>ACT_EST_MAPPING=PRECISE</stp>
        <stp>FS=MRC</stp>
        <stp>CURRENCY=USD</stp>
        <stp>XLFILL=b</stp>
        <tr r="AO202" s="2"/>
      </tp>
      <tp t="s">
        <v>#N/A Requesting Data...</v>
        <stp/>
        <stp>##V3_BQLV12</stp>
        <stp>[MODL_NOW_US1.xlsx]Single Period!R194C5</stp>
        <stp>NOW US Equity</stp>
        <stp>CB_BS_OTHER_CURRENT_ASSETS/1M</stp>
        <stp>FPR=2021Y</stp>
        <stp>FPT=A</stp>
        <stp>FA_ACT_EST_DATA=E</stp>
        <stp>ACT_EST_MAPPING=PRECISE</stp>
        <stp>FS=MRC</stp>
        <stp>CURRENCY=USD</stp>
        <stp>XLFILL=b</stp>
        <tr r="E194" s="2"/>
      </tp>
      <tp t="s">
        <v>#N/A Requesting Data...</v>
        <stp/>
        <stp>##V3_BQLV12</stp>
        <stp>[MODL_NOW_US1.xlsx]Single Period!R121C15</stp>
        <stp>NOW US Equity</stp>
        <stp>CB_IS_GENL_AND_ADMIN_EXPN/1M</stp>
        <stp>FPR=2021Y</stp>
        <stp>FPT=A</stp>
        <stp>FA_ACT_EST_DATA=E, EST_SOURCE=OPY</stp>
        <stp>ACT_EST_MAPPING=PRECISE</stp>
        <stp>FS=MRC</stp>
        <stp>CURRENCY=USD</stp>
        <stp>XLFILL=b</stp>
        <tr r="O121" s="2"/>
      </tp>
      <tp t="s">
        <v>#N/A Requesting Data...</v>
        <stp/>
        <stp>##V3_BQLV12</stp>
        <stp>[MODL_NOW_US1.xlsx]Single Period!R221C29</stp>
        <stp>NOW US Equity</stp>
        <stp>CB_CF_OTHER_INVESTING_ACTIVITIES/1M</stp>
        <stp>FPR=2021Y</stp>
        <stp>FPT=A</stp>
        <stp>FA_ACT_EST_DATA=E, EST_SOURCE=BNS</stp>
        <stp>ACT_EST_MAPPING=PRECISE</stp>
        <stp>FS=MRC</stp>
        <stp>CURRENCY=USD</stp>
        <stp>XLFILL=b</stp>
        <tr r="AC221" s="2"/>
      </tp>
      <tp t="s">
        <v>#N/A Requesting Data...</v>
        <stp/>
        <stp>##V3_BQLV12</stp>
        <stp>[MODL_NOW_US1.xlsx]Single Period!R227C18</stp>
        <stp>NOW US Equity</stp>
        <stp>CF_NET_CSH_PROV_BY_FINANCING_ACT/1M</stp>
        <stp>FPR=2021Y</stp>
        <stp>FPT=A</stp>
        <stp>FA_ACT_EST_DATA=E, EST_SOURCE=SNR</stp>
        <stp>ACT_EST_MAPPING=PRECISE</stp>
        <stp>FS=MRC</stp>
        <stp>CURRENCY=USD</stp>
        <stp>XLFILL=b</stp>
        <tr r="R227" s="2"/>
      </tp>
      <tp t="s">
        <v>#N/A Requesting Data...</v>
        <stp/>
        <stp>##V3_BQLV12</stp>
        <stp>[MODL_NOW_US1.xlsx]Single Period!R202C44</stp>
        <stp>NOW US Equity</stp>
        <stp>CF_AMORTIZATN_OF_DEFRRD_COMPNSTN/1M</stp>
        <stp>FPR=2021Y</stp>
        <stp>FPT=A</stp>
        <stp>FA_ACT_EST_DATA=E, EST_SOURCE=ARE</stp>
        <stp>ACT_EST_MAPPING=PRECISE</stp>
        <stp>FS=MRC</stp>
        <stp>CURRENCY=USD</stp>
        <stp>XLFILL=b</stp>
        <tr r="AR202" s="2"/>
      </tp>
      <tp t="s">
        <v>#N/A Requesting Data...</v>
        <stp/>
        <stp>##V3_BQLV12</stp>
        <stp>[MODL_NOW_US1.xlsx]Single Period!R175C47</stp>
        <stp>NOW US Equity</stp>
        <stp>BS_ACCRUD_EXPNSS_AND_OTHR/1M</stp>
        <stp>FPR=2021Y</stp>
        <stp>FPT=A</stp>
        <stp>FA_ACT_EST_DATA=E, EST_SOURCE=SUM</stp>
        <stp>ACT_EST_MAPPING=PRECISE</stp>
        <stp>FS=MRC</stp>
        <stp>CURRENCY=USD</stp>
        <stp>XLFILL=b</stp>
        <tr r="AU175" s="2"/>
      </tp>
      <tp t="s">
        <v>#N/A Requesting Data...</v>
        <stp/>
        <stp>##V3_BQLV12</stp>
        <stp>[MODL_NOW_US1.xlsx]Single Period!R225C18</stp>
        <stp>NOW US Equity</stp>
        <stp>CF_INCR_CAP_STOCK/1M</stp>
        <stp>FPR=2021Y</stp>
        <stp>FPT=A</stp>
        <stp>FA_ACT_EST_DATA=E, EST_SOURCE=SNR</stp>
        <stp>ACT_EST_MAPPING=PRECISE</stp>
        <stp>FS=MRC</stp>
        <stp>CURRENCY=USD</stp>
        <stp>XLFILL=b</stp>
        <tr r="R225" s="2"/>
      </tp>
      <tp t="s">
        <v>#N/A Requesting Data...</v>
        <stp/>
        <stp>##V3_BQLV12</stp>
        <stp>[MODL_NOW_US1.xlsx]Single Period!R177C11</stp>
        <stp>NOW US Equity</stp>
        <stp>BS_ST_CPTL_LEA_AND_OP_LEA_LIABS/1M</stp>
        <stp>FPR=2021Y</stp>
        <stp>FPT=A</stp>
        <stp>FA_ACT_EST_DATA=E, EST_SOURCE=JPM</stp>
        <stp>ACT_EST_MAPPING=PRECISE</stp>
        <stp>FS=MRC</stp>
        <stp>CURRENCY=USD</stp>
        <stp>XLFILL=b</stp>
        <tr r="K177" s="2"/>
      </tp>
      <tp t="s">
        <v>#N/A Requesting Data...</v>
        <stp/>
        <stp>##V3_BQLV12</stp>
        <stp>[MODL_NOW_US1.xlsx]Single Period!R213C48</stp>
        <stp>NOW US Equity</stp>
        <stp>CF_CASH_FROM_OPER/1M</stp>
        <stp>FPR=2021Y</stp>
        <stp>FPT=A</stp>
        <stp>FA_ACT_EST_DATA=E, EST_SOURCE=CRC</stp>
        <stp>ACT_EST_MAPPING=PRECISE</stp>
        <stp>FS=MRC</stp>
        <stp>CURRENCY=USD</stp>
        <stp>XLFILL=b</stp>
        <tr r="AV213" s="2"/>
      </tp>
      <tp t="s">
        <v>#N/A Requesting Data...</v>
        <stp/>
        <stp>##V3_BQLV12</stp>
        <stp>[MODL_NOW_US1.xlsx]Single Period!R75C8</stp>
        <stp>SEG0000230992 Segment</stp>
        <stp>CONTRIBUTOR_STATS(SALES_REV_TURN, STD)/1M</stp>
        <stp>FPR=2021Y</stp>
        <stp>FPT=A</stp>
        <stp>FA_ACT_EST_DATA=E</stp>
        <stp>ACT_EST_MAPPING=PRECISE</stp>
        <stp>FS=MRC</stp>
        <stp>CURRENCY=USD</stp>
        <stp>XLFILL=b</stp>
        <tr r="H75" s="2"/>
      </tp>
      <tp t="s">
        <v>#N/A Requesting Data...</v>
        <stp/>
        <stp>##V3_BQLV12</stp>
        <stp>[MODL_NOW_US1.xlsx]Single Period!R63C19</stp>
        <stp>SEG0000230975 Segment</stp>
        <stp>CB_IS_GROSS_PROFIT/1M</stp>
        <stp>FPR=2021Y</stp>
        <stp>FPT=A</stp>
        <stp>FA_ACT_EST_DATA=E, EST_SOURCE=MSV</stp>
        <stp>ACT_EST_MAPPING=PRECISE</stp>
        <stp>FS=MRC</stp>
        <stp>CURRENCY=USD</stp>
        <stp>XLFILL=b</stp>
        <tr r="S63" s="2"/>
      </tp>
      <tp t="s">
        <v>#N/A Requesting Data...</v>
        <stp/>
        <stp>##V3_BQLV12</stp>
        <stp>[MODL_NOW_US1.xlsx]Single Period!R227C21</stp>
        <stp>NOW US Equity</stp>
        <stp>CF_NET_CSH_PROV_BY_FINANCING_ACT/1M</stp>
        <stp>FPR=2021Y</stp>
        <stp>FPT=A</stp>
        <stp>FA_ACT_EST_DATA=E, EST_SOURCE=JMP</stp>
        <stp>ACT_EST_MAPPING=PRECISE</stp>
        <stp>FS=MRC</stp>
        <stp>CURRENCY=USD</stp>
        <stp>XLFILL=b</stp>
        <tr r="U227" s="2"/>
      </tp>
      <tp t="s">
        <v>#N/A Requesting Data...</v>
        <stp/>
        <stp>##V3_BQLV12</stp>
        <stp>[MODL_NOW_US1.xlsx]Single Period!R225C13</stp>
        <stp>NOW US Equity</stp>
        <stp>CF_INCR_CAP_STOCK/1M</stp>
        <stp>FPR=2021Y</stp>
        <stp>FPT=A</stp>
        <stp>FA_ACT_EST_DATA=E, EST_SOURCE=KEY</stp>
        <stp>ACT_EST_MAPPING=PRECISE</stp>
        <stp>FS=MRC</stp>
        <stp>CURRENCY=USD</stp>
        <stp>XLFILL=b</stp>
        <tr r="M225" s="2"/>
      </tp>
      <tp t="s">
        <v>#N/A Requesting Data...</v>
        <stp/>
        <stp>##V3_BQLV12</stp>
        <stp>[MODL_NOW_US1.xlsx]Single Period!R66C8</stp>
        <stp>SEG0000230986 Segment</stp>
        <stp>CONTRIBUTOR_STATS(SALES_REV_TURN, STD)/1M</stp>
        <stp>FPR=2021Y</stp>
        <stp>FPT=A</stp>
        <stp>FA_ACT_EST_DATA=E</stp>
        <stp>ACT_EST_MAPPING=PRECISE</stp>
        <stp>FS=MRC</stp>
        <stp>CURRENCY=USD</stp>
        <stp>XLFILL=b</stp>
        <tr r="H66" s="2"/>
      </tp>
      <tp t="s">
        <v>#N/A Requesting Data...</v>
        <stp/>
        <stp>##V3_BQLV12</stp>
        <stp>[MODL_NOW_US1.xlsx]Single Period!R202C48</stp>
        <stp>NOW US Equity</stp>
        <stp>CF_AMORTIZATN_OF_DEFRRD_COMPNSTN/1M</stp>
        <stp>FPR=2021Y</stp>
        <stp>FPT=A</stp>
        <stp>FA_ACT_EST_DATA=E, EST_SOURCE=CRC</stp>
        <stp>ACT_EST_MAPPING=PRECISE</stp>
        <stp>FS=MRC</stp>
        <stp>CURRENCY=USD</stp>
        <stp>XLFILL=b</stp>
        <tr r="AV202" s="2"/>
      </tp>
      <tp t="s">
        <v>#N/A Requesting Data...</v>
        <stp/>
        <stp>##V3_BQLV12</stp>
        <stp>[MODL_NOW_US1.xlsx]Single Period!R218C43</stp>
        <stp>NOW US Equity</stp>
        <stp>CF_ACQUISITION_OF_INTANG_ASSETS/1M</stp>
        <stp>FPR=2021Y</stp>
        <stp>FPT=A</stp>
        <stp>FA_ACT_EST_DATA=E, EST_SOURCE=WFT</stp>
        <stp>ACT_EST_MAPPING=PRECISE</stp>
        <stp>FS=MRC</stp>
        <stp>CURRENCY=USD</stp>
        <stp>XLFILL=b</stp>
        <tr r="AQ218" s="2"/>
      </tp>
      <tp t="s">
        <v>#N/A Requesting Data...</v>
        <stp/>
        <stp>##V3_BQLV12</stp>
        <stp>[MODL_NOW_US1.xlsx]Single Period!R63C35</stp>
        <stp>SEG0000230975 Segment</stp>
        <stp>CB_IS_GROSS_PROFIT/1M</stp>
        <stp>FPR=2021Y</stp>
        <stp>FPT=A</stp>
        <stp>FA_ACT_EST_DATA=E, EST_SOURCE=MSR</stp>
        <stp>ACT_EST_MAPPING=PRECISE</stp>
        <stp>FS=MRC</stp>
        <stp>CURRENCY=USD</stp>
        <stp>XLFILL=b</stp>
        <tr r="AI63" s="2"/>
      </tp>
      <tp t="s">
        <v>#N/A Requesting Data...</v>
        <stp/>
        <stp>##V3_BQLV12</stp>
        <stp>[MODL_NOW_US1.xlsx]Single Period!R63C31</stp>
        <stp>SEG0000230975 Segment</stp>
        <stp>CB_IS_GROSS_PROFIT/1M</stp>
        <stp>FPR=2021Y</stp>
        <stp>FPT=A</stp>
        <stp>FA_ACT_EST_DATA=E, EST_SOURCE=GSR</stp>
        <stp>ACT_EST_MAPPING=PRECISE</stp>
        <stp>FS=MRC</stp>
        <stp>CURRENCY=USD</stp>
        <stp>XLFILL=b</stp>
        <tr r="AE63" s="2"/>
      </tp>
      <tp t="s">
        <v>#N/A Requesting Data...</v>
        <stp/>
        <stp>##V3_BQLV12</stp>
        <stp>[MODL_NOW_US1.xlsx]Single Period!R239C29</stp>
        <stp>NOW US Equity</stp>
        <stp>CFO_TO_SALES</stp>
        <stp>FPR=2021Y</stp>
        <stp>FPT=A</stp>
        <stp>FA_ACT_EST_DATA=E, EST_SOURCE=BNS</stp>
        <stp>ACT_EST_MAPPING=PRECISE</stp>
        <stp>FS=MRC</stp>
        <stp>CURRENCY=USD</stp>
        <stp>XLFILL=b</stp>
        <tr r="AC239" s="2"/>
      </tp>
      <tp t="s">
        <v>#N/A Requesting Data...</v>
        <stp/>
        <stp>##V3_BQLV12</stp>
        <stp>[MODL_NOW_US1.xlsx]Single Period!R116C15</stp>
        <stp>NOW US Equity</stp>
        <stp>GROSS_MARGIN</stp>
        <stp>FPR=2021Y</stp>
        <stp>FPT=A</stp>
        <stp>FA_ACT_EST_DATA=E, EST_SOURCE=OPY</stp>
        <stp>ACT_EST_MAPPING=PRECISE</stp>
        <stp>FS=MRC</stp>
        <stp>CURRENCY=USD</stp>
        <stp>XLFILL=b</stp>
        <tr r="O116" s="2"/>
      </tp>
      <tp t="s">
        <v>#N/A Requesting Data...</v>
        <stp/>
        <stp>##V3_BQLV12</stp>
        <stp>[MODL_NOW_US1.xlsx]Single Period!R81C39</stp>
        <stp>NOW US Equity</stp>
        <stp>IS_ADJ_SALES_YOY_CHG_PCT_CC</stp>
        <stp>FPR=2021Y</stp>
        <stp>FPT=A</stp>
        <stp>FA_ACT_EST_DATA=E, EST_SOURCE=DZB</stp>
        <stp>ACT_EST_MAPPING=PRECISE</stp>
        <stp>FS=MRC</stp>
        <stp>CURRENCY=USD</stp>
        <stp>XLFILL=b</stp>
        <tr r="AM81" s="2"/>
      </tp>
      <tp t="s">
        <v>#N/A Requesting Data...</v>
        <stp/>
        <stp>##V3_BQLV12</stp>
        <stp>[MODL_NOW_US1.xlsx]Single Period!R129C39</stp>
        <stp>NOW US Equity</stp>
        <stp>EFF_TAX_RATE</stp>
        <stp>FPR=2021Y</stp>
        <stp>FPT=A</stp>
        <stp>FA_ACT_EST_DATA=E, EST_SOURCE=DZB</stp>
        <stp>ACT_EST_MAPPING=PRECISE</stp>
        <stp>FS=MRC</stp>
        <stp>CURRENCY=USD</stp>
        <stp>XLFILL=b</stp>
        <tr r="AM129" s="2"/>
      </tp>
      <tp t="s">
        <v>#N/A Requesting Data...</v>
        <stp/>
        <stp>##V3_BQLV12</stp>
        <stp>[MODL_NOW_US1.xlsx]Single Period!R129C37</stp>
        <stp>NOW US Equity</stp>
        <stp>EFF_TAX_RATE</stp>
        <stp>FPR=2021Y</stp>
        <stp>FPT=A</stp>
        <stp>FA_ACT_EST_DATA=E, EST_SOURCE=TTC</stp>
        <stp>ACT_EST_MAPPING=PRECISE</stp>
        <stp>FS=MRC</stp>
        <stp>CURRENCY=USD</stp>
        <stp>XLFILL=b</stp>
        <tr r="AK129" s="2"/>
      </tp>
      <tp t="s">
        <v>#N/A Requesting Data...</v>
        <stp/>
        <stp>##V3_BQLV12</stp>
        <stp>[MODL_NOW_US1.xlsx]Single Period!R239C25</stp>
        <stp>NOW US Equity</stp>
        <stp>CFO_TO_SALES</stp>
        <stp>FPR=2021Y</stp>
        <stp>FPT=A</stp>
        <stp>FA_ACT_EST_DATA=E, EST_SOURCE=DBG</stp>
        <stp>ACT_EST_MAPPING=PRECISE</stp>
        <stp>FS=MRC</stp>
        <stp>CURRENCY=USD</stp>
        <stp>XLFILL=b</stp>
        <tr r="Y239" s="2"/>
      </tp>
      <tp t="s">
        <v>#N/A Requesting Data...</v>
        <stp/>
        <stp>##V3_BQLV12</stp>
        <stp>[MODL_NOW_US1.xlsx]Single Period!R129C41</stp>
        <stp>NOW US Equity</stp>
        <stp>EFF_TAX_RATE</stp>
        <stp>FPR=2021Y</stp>
        <stp>FPT=A</stp>
        <stp>FA_ACT_EST_DATA=E, EST_SOURCE=ARG</stp>
        <stp>ACT_EST_MAPPING=PRECISE</stp>
        <stp>FS=MRC</stp>
        <stp>CURRENCY=USD</stp>
        <stp>XLFILL=b</stp>
        <tr r="AO129" s="2"/>
      </tp>
      <tp t="s">
        <v>#N/A Requesting Data...</v>
        <stp/>
        <stp>##V3_BQLV12</stp>
        <stp>[MODL_NOW_US1.xlsx]Single Period!R129C24</stp>
        <stp>NOW US Equity</stp>
        <stp>EFF_TAX_RATE</stp>
        <stp>FPR=2021Y</stp>
        <stp>FPT=A</stp>
        <stp>FA_ACT_EST_DATA=E, EST_SOURCE=CWN</stp>
        <stp>ACT_EST_MAPPING=PRECISE</stp>
        <stp>FS=MRC</stp>
        <stp>CURRENCY=USD</stp>
        <stp>XLFILL=b</stp>
        <tr r="X129" s="2"/>
      </tp>
      <tp t="s">
        <v>#N/A Requesting Data...</v>
        <stp/>
        <stp>##V3_BQLV12</stp>
        <stp>[MODL_NOW_US1.xlsx]Single Period!R127C19</stp>
        <stp>NOW US Equity</stp>
        <stp>PRETAX_INC/1M</stp>
        <stp>FPR=2021Y</stp>
        <stp>FPT=A</stp>
        <stp>FA_ACT_EST_DATA=E, EST_SOURCE=MSV</stp>
        <stp>ACT_EST_MAPPING=PRECISE</stp>
        <stp>FS=MRC</stp>
        <stp>CURRENCY=USD</stp>
        <stp>XLFILL=b</stp>
        <tr r="S127" s="2"/>
      </tp>
      <tp t="s">
        <v>#N/A Requesting Data...</v>
        <stp/>
        <stp>##V3_BQLV12</stp>
        <stp>[MODL_NOW_US1.xlsx]Single Period!R163C35</stp>
        <stp>NOW US Equity</stp>
        <stp>CB_BS_PP_AND_E_NET/1M</stp>
        <stp>FPR=2021Y</stp>
        <stp>FPT=A</stp>
        <stp>FA_ACT_EST_DATA=E, EST_SOURCE=MSR</stp>
        <stp>ACT_EST_MAPPING=PRECISE</stp>
        <stp>FS=MRC</stp>
        <stp>CURRENCY=USD</stp>
        <stp>XLFILL=b</stp>
        <tr r="AI163" s="2"/>
      </tp>
      <tp t="s">
        <v>#N/A Requesting Data...</v>
        <stp/>
        <stp>##V3_BQLV12</stp>
        <stp>[MODL_NOW_US1.xlsx]Single Period!R163C31</stp>
        <stp>NOW US Equity</stp>
        <stp>CB_BS_PP_AND_E_NET/1M</stp>
        <stp>FPR=2021Y</stp>
        <stp>FPT=A</stp>
        <stp>FA_ACT_EST_DATA=E, EST_SOURCE=GSR</stp>
        <stp>ACT_EST_MAPPING=PRECISE</stp>
        <stp>FS=MRC</stp>
        <stp>CURRENCY=USD</stp>
        <stp>XLFILL=b</stp>
        <tr r="AE163" s="2"/>
      </tp>
      <tp t="s">
        <v>#N/A Requesting Data...</v>
        <stp/>
        <stp>##V3_BQLV12</stp>
        <stp>[MODL_NOW_US1.xlsx]Single Period!R111C33</stp>
        <stp>NOW US Equity</stp>
        <stp>IS_COGS_TO_FE_AND_PP_AND_G/1M</stp>
        <stp>FPR=2021Y</stp>
        <stp>FPT=A</stp>
        <stp>FA_ACT_EST_DATA=E, EST_SOURCE=MAC</stp>
        <stp>ACT_EST_MAPPING=PRECISE</stp>
        <stp>FS=MRC</stp>
        <stp>CURRENCY=USD</stp>
        <stp>XLFILL=b</stp>
        <tr r="AG111" s="2"/>
      </tp>
      <tp t="s">
        <v>#N/A Requesting Data...</v>
        <stp/>
        <stp>##V3_BQLV12</stp>
        <stp>[MODL_NOW_US1.xlsx]Single Period!R127C31</stp>
        <stp>NOW US Equity</stp>
        <stp>PRETAX_INC/1M</stp>
        <stp>FPR=2021Y</stp>
        <stp>FPT=A</stp>
        <stp>FA_ACT_EST_DATA=E, EST_SOURCE=GSR</stp>
        <stp>ACT_EST_MAPPING=PRECISE</stp>
        <stp>FS=MRC</stp>
        <stp>CURRENCY=USD</stp>
        <stp>XLFILL=b</stp>
        <tr r="AE127" s="2"/>
      </tp>
      <tp t="s">
        <v>#N/A Requesting Data...</v>
        <stp/>
        <stp>##V3_BQLV12</stp>
        <stp>[MODL_NOW_US1.xlsx]Single Period!R127C35</stp>
        <stp>NOW US Equity</stp>
        <stp>PRETAX_INC/1M</stp>
        <stp>FPR=2021Y</stp>
        <stp>FPT=A</stp>
        <stp>FA_ACT_EST_DATA=E, EST_SOURCE=MSR</stp>
        <stp>ACT_EST_MAPPING=PRECISE</stp>
        <stp>FS=MRC</stp>
        <stp>CURRENCY=USD</stp>
        <stp>XLFILL=b</stp>
        <tr r="AI127" s="2"/>
      </tp>
      <tp t="s">
        <v>#N/A Requesting Data...</v>
        <stp/>
        <stp>##V3_BQLV12</stp>
        <stp>[MODL_NOW_US1.xlsx]Single Period!R53C5</stp>
        <stp>NOW US Equity</stp>
        <stp>ANNUALIZED_DAYS_SALES_OUTSTDG</stp>
        <stp>FPR=2021Y</stp>
        <stp>FPT=A</stp>
        <stp>FA_ACT_EST_DATA=E</stp>
        <stp>ACT_EST_MAPPING=PRECISE</stp>
        <stp>FS=MRC</stp>
        <stp>CURRENCY=USD</stp>
        <stp>XLFILL=b</stp>
        <tr r="E53" s="2"/>
      </tp>
      <tp t="s">
        <v>#N/A Requesting Data...</v>
        <stp/>
        <stp>##V3_BQLV12</stp>
        <stp>[MODL_NOW_US1.xlsx]Single Period!R163C19</stp>
        <stp>NOW US Equity</stp>
        <stp>CB_BS_PP_AND_E_NET/1M</stp>
        <stp>FPR=2021Y</stp>
        <stp>FPT=A</stp>
        <stp>FA_ACT_EST_DATA=E, EST_SOURCE=MSV</stp>
        <stp>ACT_EST_MAPPING=PRECISE</stp>
        <stp>FS=MRC</stp>
        <stp>CURRENCY=USD</stp>
        <stp>XLFILL=b</stp>
        <tr r="S163" s="2"/>
      </tp>
      <tp t="s">
        <v>#N/A Requesting Data...</v>
        <stp/>
        <stp>##V3_BQLV12</stp>
        <stp>[MODL_NOW_US1.xlsx]Single Period!R194C46</stp>
        <stp>NOW US Equity</stp>
        <stp>CB_BS_OTHER_CURRENT_ASSETS/1M</stp>
        <stp>FPR=2021Y</stp>
        <stp>FPT=A</stp>
        <stp>FA_ACT_EST_DATA=E, EST_SOURCE=MZS</stp>
        <stp>ACT_EST_MAPPING=PRECISE</stp>
        <stp>FS=MRC</stp>
        <stp>CURRENCY=USD</stp>
        <stp>XLFILL=b</stp>
        <tr r="AT194" s="2"/>
      </tp>
      <tp t="s">
        <v>#N/A Requesting Data...</v>
        <stp/>
        <stp>##V3_BQLV12</stp>
        <stp>[MODL_NOW_US1.xlsx]Single Period!R111C30</stp>
        <stp>NOW US Equity</stp>
        <stp>IS_COGS_TO_FE_AND_PP_AND_G/1M</stp>
        <stp>FPR=2021Y</stp>
        <stp>FPT=A</stp>
        <stp>FA_ACT_EST_DATA=E, EST_SOURCE=BAM</stp>
        <stp>ACT_EST_MAPPING=PRECISE</stp>
        <stp>FS=MRC</stp>
        <stp>CURRENCY=USD</stp>
        <stp>XLFILL=b</stp>
        <tr r="AD111" s="2"/>
      </tp>
      <tp t="s">
        <v>#N/A Requesting Data...</v>
        <stp/>
        <stp>##V3_BQLV12</stp>
        <stp>[MODL_NOW_US1.xlsx]Single Period!R111C20</stp>
        <stp>NOW US Equity</stp>
        <stp>IS_COGS_TO_FE_AND_PP_AND_G/1M</stp>
        <stp>FPR=2021Y</stp>
        <stp>FPT=A</stp>
        <stp>FA_ACT_EST_DATA=E, EST_SOURCE=CAN</stp>
        <stp>ACT_EST_MAPPING=PRECISE</stp>
        <stp>FS=MRC</stp>
        <stp>CURRENCY=USD</stp>
        <stp>XLFILL=b</stp>
        <tr r="T111" s="2"/>
      </tp>
      <tp t="s">
        <v>#N/A Requesting Data...</v>
        <stp/>
        <stp>##V3_BQLV12</stp>
        <stp>[MODL_NOW_US1.xlsx]Single Period!R96C37</stp>
        <stp>NOW US Equity</stp>
        <stp>ADJ_OPERATING_MARGIN</stp>
        <stp>FPR=2021Y</stp>
        <stp>FPT=A</stp>
        <stp>FA_ACT_EST_DATA=E, EST_SOURCE=TTC</stp>
        <stp>ACT_EST_MAPPING=PRECISE</stp>
        <stp>FS=MRC</stp>
        <stp>CURRENCY=USD</stp>
        <stp>XLFILL=b</stp>
        <tr r="AK96" s="2"/>
      </tp>
      <tp t="s">
        <v>#N/A Requesting Data...</v>
        <stp/>
        <stp>##V3_BQLV12</stp>
        <stp>[MODL_NOW_US1.xlsx]Single Period!R127C34</stp>
        <stp>NOW US Equity</stp>
        <stp>PRETAX_INC/1M</stp>
        <stp>FPR=2021Y</stp>
        <stp>FPT=A</stp>
        <stp>FA_ACT_EST_DATA=E, EST_SOURCE=PSG</stp>
        <stp>ACT_EST_MAPPING=PRECISE</stp>
        <stp>FS=MRC</stp>
        <stp>CURRENCY=USD</stp>
        <stp>XLFILL=b</stp>
        <tr r="AH127" s="2"/>
      </tp>
      <tp t="s">
        <v>#N/A Requesting Data...</v>
        <stp/>
        <stp>##V3_BQLV12</stp>
        <stp>[MODL_NOW_US1.xlsx]Single Period!R164C37</stp>
        <stp>NOW US Equity</stp>
        <stp>CB_BS_PP_AND_E_NET/1M</stp>
        <stp>FPR=2021Y</stp>
        <stp>FPT=A</stp>
        <stp>FA_ACT_EST_DATA=E, EST_SOURCE=TTC</stp>
        <stp>ACT_EST_MAPPING=PRECISE</stp>
        <stp>FS=MRC</stp>
        <stp>CURRENCY=USD</stp>
        <stp>XLFILL=b</stp>
        <tr r="AK164" s="2"/>
      </tp>
      <tp t="s">
        <v>#N/A Requesting Data...</v>
        <stp/>
        <stp>##V3_BQLV12</stp>
        <stp>[MODL_NOW_US1.xlsx]Single Period!R96C39</stp>
        <stp>NOW US Equity</stp>
        <stp>ADJ_OPERATING_MARGIN</stp>
        <stp>FPR=2021Y</stp>
        <stp>FPT=A</stp>
        <stp>FA_ACT_EST_DATA=E, EST_SOURCE=DZB</stp>
        <stp>ACT_EST_MAPPING=PRECISE</stp>
        <stp>FS=MRC</stp>
        <stp>CURRENCY=USD</stp>
        <stp>XLFILL=b</stp>
        <tr r="AM96" s="2"/>
      </tp>
      <tp t="s">
        <v>#N/A Requesting Data...</v>
        <stp/>
        <stp>##V3_BQLV12</stp>
        <stp>[MODL_NOW_US1.xlsx]Single Period!R212C23</stp>
        <stp>NOW US Equity</stp>
        <stp>CF_CHANGE_IN_ACCRUD_EXPNSS/1M</stp>
        <stp>FPR=2021Y</stp>
        <stp>FPT=A</stp>
        <stp>FA_ACT_EST_DATA=E, EST_SOURCE=ZXS</stp>
        <stp>ACT_EST_MAPPING=PRECISE</stp>
        <stp>FS=MRC</stp>
        <stp>CURRENCY=USD</stp>
        <stp>XLFILL=b</stp>
        <tr r="W212" s="2"/>
      </tp>
      <tp t="s">
        <v>#N/A Requesting Data...</v>
        <stp/>
        <stp>##V3_BQLV12</stp>
        <stp>[MODL_NOW_US1.xlsx]Single Period!R159C40</stp>
        <stp>NOW US Equity</stp>
        <stp>CB_BS_OTHER_CURRENT_ASSETS/1M</stp>
        <stp>FPR=2021Y</stp>
        <stp>FPT=A</stp>
        <stp>FA_ACT_EST_DATA=E, EST_SOURCE=DWI</stp>
        <stp>ACT_EST_MAPPING=PRECISE</stp>
        <stp>FS=MRC</stp>
        <stp>CURRENCY=USD</stp>
        <stp>XLFILL=b</stp>
        <tr r="AN159" s="2"/>
      </tp>
      <tp t="s">
        <v>#N/A Requesting Data...</v>
        <stp/>
        <stp>##V3_BQLV12</stp>
        <stp>[MODL_NOW_US1.xlsx]Single Period!R96C41</stp>
        <stp>NOW US Equity</stp>
        <stp>ADJ_OPERATING_MARGIN</stp>
        <stp>FPR=2021Y</stp>
        <stp>FPT=A</stp>
        <stp>FA_ACT_EST_DATA=E, EST_SOURCE=ARG</stp>
        <stp>ACT_EST_MAPPING=PRECISE</stp>
        <stp>FS=MRC</stp>
        <stp>CURRENCY=USD</stp>
        <stp>XLFILL=b</stp>
        <tr r="AO96" s="2"/>
      </tp>
      <tp t="s">
        <v>#N/A Requesting Data...</v>
        <stp/>
        <stp>##V3_BQLV12</stp>
        <stp>[MODL_NOW_US1.xlsx]Single Period!R159C24</stp>
        <stp>NOW US Equity</stp>
        <stp>CB_BS_OTHER_CURRENT_ASSETS/1M</stp>
        <stp>FPR=2021Y</stp>
        <stp>FPT=A</stp>
        <stp>FA_ACT_EST_DATA=E, EST_SOURCE=CWN</stp>
        <stp>ACT_EST_MAPPING=PRECISE</stp>
        <stp>FS=MRC</stp>
        <stp>CURRENCY=USD</stp>
        <stp>XLFILL=b</stp>
        <tr r="X159" s="2"/>
      </tp>
      <tp t="s">
        <v>#N/A Requesting Data...</v>
        <stp/>
        <stp>##V3_BQLV12</stp>
        <stp>[MODL_NOW_US1.xlsx]Single Period!R163C34</stp>
        <stp>NOW US Equity</stp>
        <stp>CB_BS_PP_AND_E_NET/1M</stp>
        <stp>FPR=2021Y</stp>
        <stp>FPT=A</stp>
        <stp>FA_ACT_EST_DATA=E, EST_SOURCE=PSG</stp>
        <stp>ACT_EST_MAPPING=PRECISE</stp>
        <stp>FS=MRC</stp>
        <stp>CURRENCY=USD</stp>
        <stp>XLFILL=b</stp>
        <tr r="AH163" s="2"/>
      </tp>
      <tp t="s">
        <v>#N/A Requesting Data...</v>
        <stp/>
        <stp>##V3_BQLV12</stp>
        <stp>[MODL_NOW_US1.xlsx]Single Period!R99C10</stp>
        <stp>NOW US Equity</stp>
        <stp>IS_COMPARABLE_EBITDA/1M</stp>
        <stp>FPR=2021Y</stp>
        <stp>FPT=A</stp>
        <stp>FA_ACT_EST_DATA=E, EST_SOURCE=CMPY</stp>
        <stp>ACT_EST_MAPPING=PRECISE</stp>
        <stp>FS=MRC</stp>
        <stp>CURRENCY=USD</stp>
        <stp>XLFILL=b</stp>
        <tr r="J99" s="2"/>
      </tp>
      <tp t="s">
        <v>#N/A Requesting Data...</v>
        <stp/>
        <stp>##V3_BQLV12</stp>
        <stp>[MODL_NOW_US1.xlsx]Single Period!R159C38</stp>
        <stp>NOW US Equity</stp>
        <stp>CB_BS_OTHER_CURRENT_ASSETS/1M</stp>
        <stp>FPR=2021Y</stp>
        <stp>FPT=A</stp>
        <stp>FA_ACT_EST_DATA=E, EST_SOURCE=RWB</stp>
        <stp>ACT_EST_MAPPING=PRECISE</stp>
        <stp>FS=MRC</stp>
        <stp>CURRENCY=USD</stp>
        <stp>XLFILL=b</stp>
        <tr r="AL159" s="2"/>
      </tp>
      <tp t="s">
        <v>#N/A Requesting Data...</v>
        <stp/>
        <stp>##V3_BQLV12</stp>
        <stp>[MODL_NOW_US1.xlsx]Single Period!R194C39</stp>
        <stp>NOW US Equity</stp>
        <stp>CB_BS_OTHER_CURRENT_ASSETS/1M</stp>
        <stp>FPR=2021Y</stp>
        <stp>FPT=A</stp>
        <stp>FA_ACT_EST_DATA=E, EST_SOURCE=DZB</stp>
        <stp>ACT_EST_MAPPING=PRECISE</stp>
        <stp>FS=MRC</stp>
        <stp>CURRENCY=USD</stp>
        <stp>XLFILL=b</stp>
        <tr r="AM194" s="2"/>
      </tp>
      <tp t="s">
        <v>#N/A Requesting Data...</v>
        <stp/>
        <stp>##V3_BQLV12</stp>
        <stp>[MODL_NOW_US1.xlsx]Single Period!R164C42</stp>
        <stp>NOW US Equity</stp>
        <stp>CB_BS_PP_AND_E_NET/1M</stp>
        <stp>FPR=2021Y</stp>
        <stp>FPT=A</stp>
        <stp>FA_ACT_EST_DATA=E, EST_SOURCE=CTI</stp>
        <stp>ACT_EST_MAPPING=PRECISE</stp>
        <stp>FS=MRC</stp>
        <stp>CURRENCY=USD</stp>
        <stp>XLFILL=b</stp>
        <tr r="AP164" s="2"/>
      </tp>
      <tp t="s">
        <v>#N/A Requesting Data...</v>
        <stp/>
        <stp>##V3_BQLV12</stp>
        <stp>[MODL_NOW_US1.xlsx]Single Period!R96C24</stp>
        <stp>NOW US Equity</stp>
        <stp>ADJ_OPERATING_MARGIN</stp>
        <stp>FPR=2021Y</stp>
        <stp>FPT=A</stp>
        <stp>FA_ACT_EST_DATA=E, EST_SOURCE=CWN</stp>
        <stp>ACT_EST_MAPPING=PRECISE</stp>
        <stp>FS=MRC</stp>
        <stp>CURRENCY=USD</stp>
        <stp>XLFILL=b</stp>
        <tr r="X96" s="2"/>
      </tp>
      <tp t="s">
        <v>#N/A Requesting Data...</v>
        <stp/>
        <stp>##V3_BQLV12</stp>
        <stp>[MODL_NOW_US1.xlsx]Single Period!R138C14</stp>
        <stp>NOW US Equity</stp>
        <stp>SBC_NON_GAAP_TO_SALES</stp>
        <stp>FPR=2021Y</stp>
        <stp>FPT=A</stp>
        <stp>FA_ACT_EST_DATA=E, EST_SOURCE=BMO</stp>
        <stp>ACT_EST_MAPPING=PRECISE</stp>
        <stp>FS=MRC</stp>
        <stp>CURRENCY=USD</stp>
        <stp>XLFILL=b</stp>
        <tr r="N138" s="2"/>
      </tp>
      <tp t="s">
        <v>#N/A Requesting Data...</v>
        <stp/>
        <stp>##V3_BQLV12</stp>
        <stp>[MODL_NOW_US1.xlsx]Single Period!R160C12</stp>
        <stp>NOW US Equity</stp>
        <stp>PREPAID_EXPNSS_AND_OTHR/1M</stp>
        <stp>FPR=2021Y</stp>
        <stp>FPT=A</stp>
        <stp>FA_ACT_EST_DATA=E, EST_SOURCE=WBL</stp>
        <stp>ACT_EST_MAPPING=PRECISE</stp>
        <stp>FS=MRC</stp>
        <stp>CURRENCY=USD</stp>
        <stp>XLFILL=b</stp>
        <tr r="L160" s="2"/>
      </tp>
      <tp t="s">
        <v>#N/A Requesting Data...</v>
        <stp/>
        <stp>##V3_BQLV12</stp>
        <stp>[MODL_NOW_US1.xlsx]Single Period!R17C36</stp>
        <stp>SEG0000230975 Segment</stp>
        <stp>IS_BILLINGS/1M</stp>
        <stp>FPR=2021Y</stp>
        <stp>FPT=A</stp>
        <stp>FA_ACT_EST_DATA=E, EST_SOURCE=JEF</stp>
        <stp>ACT_EST_MAPPING=PRECISE</stp>
        <stp>FS=MRC</stp>
        <stp>CURRENCY=USD</stp>
        <stp>XLFILL=b</stp>
        <tr r="AJ17" s="2"/>
      </tp>
      <tp t="s">
        <v>#N/A Requesting Data...</v>
        <stp/>
        <stp>##V3_BQLV12</stp>
        <stp>[MODL_NOW_US1.xlsx]Single Period!R42C36</stp>
        <stp>SEG0000230975 Segment</stp>
        <stp>IS_BILLINGS/1M</stp>
        <stp>FPR=2021Y</stp>
        <stp>FPT=A</stp>
        <stp>FA_ACT_EST_DATA=E, EST_SOURCE=JEF</stp>
        <stp>ACT_EST_MAPPING=PRECISE</stp>
        <stp>FS=MRC</stp>
        <stp>CURRENCY=USD</stp>
        <stp>XLFILL=b</stp>
        <tr r="AJ42" s="2"/>
      </tp>
      <tp t="s">
        <v>#N/A Requesting Data...</v>
        <stp/>
        <stp>##V3_BQLV12</stp>
        <stp>[MODL_NOW_US1.xlsx]Single Period!R174C28</stp>
        <stp>NOW US Equity</stp>
        <stp>BS_ACCT_PAYABLE/1M</stp>
        <stp>FPR=2021Y</stp>
        <stp>FPT=A</stp>
        <stp>FA_ACT_EST_DATA=E, EST_SOURCE=EVR</stp>
        <stp>ACT_EST_MAPPING=PRECISE</stp>
        <stp>FS=MRC</stp>
        <stp>CURRENCY=USD</stp>
        <stp>XLFILL=b</stp>
        <tr r="AB174" s="2"/>
      </tp>
      <tp t="s">
        <v>#N/A Requesting Data...</v>
        <stp/>
        <stp>##V3_BQLV12</stp>
        <stp>[MODL_NOW_US1.xlsx]Single Period!R125C15</stp>
        <stp>NOW US Equity</stp>
        <stp>OPER_INC_TO_NET_SALES</stp>
        <stp>FPR=2021Y</stp>
        <stp>FPT=A</stp>
        <stp>FA_ACT_EST_DATA=E, EST_SOURCE=OPY</stp>
        <stp>ACT_EST_MAPPING=PRECISE</stp>
        <stp>FS=MRC</stp>
        <stp>CURRENCY=USD</stp>
        <stp>XLFILL=b</stp>
        <tr r="O125" s="2"/>
      </tp>
      <tp t="s">
        <v>#N/A Requesting Data...</v>
        <stp/>
        <stp>##V3_BQLV12</stp>
        <stp>[MODL_NOW_US1.xlsx]Single Period!R47C14</stp>
        <stp>SEG0000230986 Segment</stp>
        <stp>CB_ADJ_BILLINGS_AMT/1M</stp>
        <stp>FPR=2021Y</stp>
        <stp>FPT=A</stp>
        <stp>FA_ACT_EST_DATA=E, EST_SOURCE=BMO</stp>
        <stp>ACT_EST_MAPPING=PRECISE</stp>
        <stp>FS=MRC</stp>
        <stp>CURRENCY=USD</stp>
        <stp>XLFILL=b</stp>
        <tr r="N47" s="2"/>
      </tp>
      <tp t="s">
        <v>#N/A Requesting Data...</v>
        <stp/>
        <stp>##V3_BQLV12</stp>
        <stp>[MODL_NOW_US1.xlsx]Single Period!R160C25</stp>
        <stp>NOW US Equity</stp>
        <stp>PREPAID_EXPNSS_AND_OTHR/1M</stp>
        <stp>FPR=2021Y</stp>
        <stp>FPT=A</stp>
        <stp>FA_ACT_EST_DATA=E, EST_SOURCE=DBG</stp>
        <stp>ACT_EST_MAPPING=PRECISE</stp>
        <stp>FS=MRC</stp>
        <stp>CURRENCY=USD</stp>
        <stp>XLFILL=b</stp>
        <tr r="Y160" s="2"/>
      </tp>
      <tp t="s">
        <v>#N/A Requesting Data...</v>
        <stp/>
        <stp>##V3_BQLV12</stp>
        <stp>[MODL_NOW_US1.xlsx]Single Period!R117C49</stp>
        <stp>NOW US Equity</stp>
        <stp>IS_TOT_OPER_EXP/1M</stp>
        <stp>FPR=2021Y</stp>
        <stp>FPT=A</stp>
        <stp>FA_ACT_EST_DATA=E, EST_SOURCE=SCB</stp>
        <stp>ACT_EST_MAPPING=PRECISE</stp>
        <stp>FS=MRC</stp>
        <stp>CURRENCY=USD</stp>
        <stp>XLFILL=b</stp>
        <tr r="AW117" s="2"/>
      </tp>
      <tp t="s">
        <v>#N/A Requesting Data...</v>
        <stp/>
        <stp>##V3_BQLV12</stp>
        <stp>[MODL_NOW_US1.xlsx]Single Period!R117C16</stp>
        <stp>NOW US Equity</stp>
        <stp>IS_TOT_OPER_EXP/1M</stp>
        <stp>FPR=2021Y</stp>
        <stp>FPT=A</stp>
        <stp>FA_ACT_EST_DATA=E, EST_SOURCE=BCA</stp>
        <stp>ACT_EST_MAPPING=PRECISE</stp>
        <stp>FS=MRC</stp>
        <stp>CURRENCY=USD</stp>
        <stp>XLFILL=b</stp>
        <tr r="P117" s="2"/>
      </tp>
      <tp t="s">
        <v>#N/A Requesting Data...</v>
        <stp/>
        <stp>##V3_BQLV12</stp>
        <stp>[MODL_NOW_US1.xlsx]Single Period!R160C32</stp>
        <stp>NOW US Equity</stp>
        <stp>PREPAID_EXPNSS_AND_OTHR/1M</stp>
        <stp>FPR=2021Y</stp>
        <stp>FPT=A</stp>
        <stp>FA_ACT_EST_DATA=E, EST_SOURCE=FBC</stp>
        <stp>ACT_EST_MAPPING=PRECISE</stp>
        <stp>FS=MRC</stp>
        <stp>CURRENCY=USD</stp>
        <stp>XLFILL=b</stp>
        <tr r="AF160" s="2"/>
      </tp>
      <tp t="s">
        <v>#N/A Requesting Data...</v>
        <stp/>
        <stp>##V3_BQLV12</stp>
        <stp>[MODL_NOW_US1.xlsx]Single Period!R160C27</stp>
        <stp>NOW US Equity</stp>
        <stp>PREPAID_EXPNSS_AND_OTHR/1M</stp>
        <stp>FPR=2021Y</stp>
        <stp>FPT=A</stp>
        <stp>FA_ACT_EST_DATA=E, EST_SOURCE=RBC</stp>
        <stp>ACT_EST_MAPPING=PRECISE</stp>
        <stp>FS=MRC</stp>
        <stp>CURRENCY=USD</stp>
        <stp>XLFILL=b</stp>
        <tr r="AA160" s="2"/>
      </tp>
      <tp t="s">
        <v>#N/A Requesting Data...</v>
        <stp/>
        <stp>##V3_BQLV12</stp>
        <stp>[MODL_NOW_US1.xlsx]Single Period!R46C43</stp>
        <stp>SEG0000230986 Segment</stp>
        <stp>IS_BILLINGS/1M</stp>
        <stp>FPR=2021Y</stp>
        <stp>FPT=A</stp>
        <stp>FA_ACT_EST_DATA=E, EST_SOURCE=WFT</stp>
        <stp>ACT_EST_MAPPING=PRECISE</stp>
        <stp>FS=MRC</stp>
        <stp>CURRENCY=USD</stp>
        <stp>XLFILL=b</stp>
        <tr r="AQ46" s="2"/>
      </tp>
      <tp t="s">
        <v>#N/A Requesting Data...</v>
        <stp/>
        <stp>##V3_BQLV12</stp>
        <stp>[MODL_NOW_US1.xlsx]Single Period!R21C43</stp>
        <stp>SEG0000230986 Segment</stp>
        <stp>IS_BILLINGS/1M</stp>
        <stp>FPR=2021Y</stp>
        <stp>FPT=A</stp>
        <stp>FA_ACT_EST_DATA=E, EST_SOURCE=WFT</stp>
        <stp>ACT_EST_MAPPING=PRECISE</stp>
        <stp>FS=MRC</stp>
        <stp>CURRENCY=USD</stp>
        <stp>XLFILL=b</stp>
        <tr r="AQ21" s="2"/>
      </tp>
      <tp t="s">
        <v>#N/A Requesting Data...</v>
        <stp/>
        <stp>##V3_BQLV12</stp>
        <stp>[MODL_NOW_US1.xlsx]Single Period!R205C24</stp>
        <stp>NOW US Equity</stp>
        <stp>CB_CF_OTHR_NONCSH_ITEMS/1M</stp>
        <stp>FPR=2021Y</stp>
        <stp>FPT=A</stp>
        <stp>FA_ACT_EST_DATA=E, EST_SOURCE=CWN</stp>
        <stp>ACT_EST_MAPPING=PRECISE</stp>
        <stp>FS=MRC</stp>
        <stp>CURRENCY=USD</stp>
        <stp>XLFILL=b</stp>
        <tr r="X205" s="2"/>
      </tp>
      <tp t="s">
        <v>#N/A Requesting Data...</v>
        <stp/>
        <stp>##V3_BQLV12</stp>
        <stp>[MODL_NOW_US1.xlsx]Single Period!R205C40</stp>
        <stp>NOW US Equity</stp>
        <stp>CB_CF_OTHR_NONCSH_ITEMS/1M</stp>
        <stp>FPR=2021Y</stp>
        <stp>FPT=A</stp>
        <stp>FA_ACT_EST_DATA=E, EST_SOURCE=DWI</stp>
        <stp>ACT_EST_MAPPING=PRECISE</stp>
        <stp>FS=MRC</stp>
        <stp>CURRENCY=USD</stp>
        <stp>XLFILL=b</stp>
        <tr r="AN205" s="2"/>
      </tp>
      <tp t="s">
        <v>#N/A Requesting Data...</v>
        <stp/>
        <stp>##V3_BQLV12</stp>
        <stp>[MODL_NOW_US1.xlsx]Single Period!R125C11</stp>
        <stp>NOW US Equity</stp>
        <stp>OPER_INC_TO_NET_SALES</stp>
        <stp>FPR=2021Y</stp>
        <stp>FPT=A</stp>
        <stp>FA_ACT_EST_DATA=E, EST_SOURCE=JPM</stp>
        <stp>ACT_EST_MAPPING=PRECISE</stp>
        <stp>FS=MRC</stp>
        <stp>CURRENCY=USD</stp>
        <stp>XLFILL=b</stp>
        <tr r="K125" s="2"/>
      </tp>
      <tp t="s">
        <v>#N/A Requesting Data...</v>
        <stp/>
        <stp>##V3_BQLV12</stp>
        <stp>[MODL_NOW_US1.xlsx]Single Period!R47C21</stp>
        <stp>SEG0000230986 Segment</stp>
        <stp>CB_ADJ_BILLINGS_AMT/1M</stp>
        <stp>FPR=2021Y</stp>
        <stp>FPT=A</stp>
        <stp>FA_ACT_EST_DATA=E, EST_SOURCE=JMP</stp>
        <stp>ACT_EST_MAPPING=PRECISE</stp>
        <stp>FS=MRC</stp>
        <stp>CURRENCY=USD</stp>
        <stp>XLFILL=b</stp>
        <tr r="U47" s="2"/>
      </tp>
      <tp t="s">
        <v>#N/A Requesting Data...</v>
        <stp/>
        <stp>##V3_BQLV12</stp>
        <stp>[MODL_NOW_US1.xlsx]Single Period!R43C18</stp>
        <stp>SEG0000230975 Segment</stp>
        <stp>CB_ADJ_BILLINGS_AMT/1M</stp>
        <stp>FPR=2021Y</stp>
        <stp>FPT=A</stp>
        <stp>FA_ACT_EST_DATA=E, EST_SOURCE=SNR</stp>
        <stp>ACT_EST_MAPPING=PRECISE</stp>
        <stp>FS=MRC</stp>
        <stp>CURRENCY=USD</stp>
        <stp>XLFILL=b</stp>
        <tr r="R43" s="2"/>
      </tp>
      <tp t="s">
        <v>#N/A Requesting Data...</v>
        <stp/>
        <stp>##V3_BQLV12</stp>
        <stp>[MODL_NOW_US1.xlsx]Single Period!R43C29</stp>
        <stp>SEG0000230975 Segment</stp>
        <stp>CB_ADJ_BILLINGS_AMT/1M</stp>
        <stp>FPR=2021Y</stp>
        <stp>FPT=A</stp>
        <stp>FA_ACT_EST_DATA=E, EST_SOURCE=BNS</stp>
        <stp>ACT_EST_MAPPING=PRECISE</stp>
        <stp>FS=MRC</stp>
        <stp>CURRENCY=USD</stp>
        <stp>XLFILL=b</stp>
        <tr r="AC43" s="2"/>
      </tp>
      <tp t="s">
        <v>#N/A Requesting Data...</v>
        <stp/>
        <stp>##V3_BQLV12</stp>
        <stp>[MODL_NOW_US1.xlsx]Single Period!R28C10</stp>
        <stp>NOW US Equity</stp>
        <stp>ADJ_OPERATING_MARGIN</stp>
        <stp>FPR=2021Y</stp>
        <stp>FPT=A</stp>
        <stp>FA_ACT_EST_DATA=E, EST_SOURCE=CMPY</stp>
        <stp>ACT_EST_MAPPING=PRECISE</stp>
        <stp>FS=MRC</stp>
        <stp>CURRENCY=USD</stp>
        <stp>XLFILL=b</stp>
        <tr r="J28" s="2"/>
      </tp>
      <tp t="s">
        <v>#N/A Requesting Data...</v>
        <stp/>
        <stp>##V3_BQLV12</stp>
        <stp>[MODL_NOW_US1.xlsx]Single Period!R42C13</stp>
        <stp>SEG0000230975 Segment</stp>
        <stp>IS_BILLINGS/1M</stp>
        <stp>FPR=2021Y</stp>
        <stp>FPT=A</stp>
        <stp>FA_ACT_EST_DATA=E, EST_SOURCE=KEY</stp>
        <stp>ACT_EST_MAPPING=PRECISE</stp>
        <stp>FS=MRC</stp>
        <stp>CURRENCY=USD</stp>
        <stp>XLFILL=b</stp>
        <tr r="M42" s="2"/>
      </tp>
      <tp t="s">
        <v>#N/A Requesting Data...</v>
        <stp/>
        <stp>##V3_BQLV12</stp>
        <stp>[MODL_NOW_US1.xlsx]Single Period!R17C13</stp>
        <stp>SEG0000230975 Segment</stp>
        <stp>IS_BILLINGS/1M</stp>
        <stp>FPR=2021Y</stp>
        <stp>FPT=A</stp>
        <stp>FA_ACT_EST_DATA=E, EST_SOURCE=KEY</stp>
        <stp>ACT_EST_MAPPING=PRECISE</stp>
        <stp>FS=MRC</stp>
        <stp>CURRENCY=USD</stp>
        <stp>XLFILL=b</stp>
        <tr r="M17" s="2"/>
      </tp>
      <tp t="s">
        <v>#N/A Requesting Data...</v>
        <stp/>
        <stp>##V3_BQLV12</stp>
        <stp>[MODL_NOW_US1.xlsx]Single Period!R91C7</stp>
        <stp>NOW US Equity</stp>
        <stp>CONTRIBUTOR_STATS(ADJ_R_AND_D_TO_SALES, MAX)</stp>
        <stp>FPR=2021Y</stp>
        <stp>FPT=A</stp>
        <stp>FA_ACT_EST_DATA=E</stp>
        <stp>ACT_EST_MAPPING=PRECISE</stp>
        <stp>FS=MRC</stp>
        <stp>CURRENCY=USD</stp>
        <stp>XLFILL=b</stp>
        <tr r="G91" s="2"/>
      </tp>
      <tp t="s">
        <v>#N/A Requesting Data...</v>
        <stp/>
        <stp>##V3_BQLV12</stp>
        <stp>[MODL_NOW_US1.xlsx]Single Period!R130C28</stp>
        <stp>NOW US Equity</stp>
        <stp>IS_COMP_NET_INCOME_GAAP/1M</stp>
        <stp>FPR=2021Y</stp>
        <stp>FPT=A</stp>
        <stp>FA_ACT_EST_DATA=E, EST_SOURCE=EVR</stp>
        <stp>ACT_EST_MAPPING=PRECISE</stp>
        <stp>FS=MRC</stp>
        <stp>CURRENCY=USD</stp>
        <stp>XLFILL=b</stp>
        <tr r="AB130" s="2"/>
      </tp>
      <tp t="s">
        <v>#N/A Requesting Data...</v>
        <stp/>
        <stp>##V3_BQLV12</stp>
        <stp>[MODL_NOW_US1.xlsx]Single Period!R199C28</stp>
        <stp>NOW US Equity</stp>
        <stp>IS_COMP_NET_INCOME_GAAP/1M</stp>
        <stp>FPR=2021Y</stp>
        <stp>FPT=A</stp>
        <stp>FA_ACT_EST_DATA=E, EST_SOURCE=EVR</stp>
        <stp>ACT_EST_MAPPING=PRECISE</stp>
        <stp>FS=MRC</stp>
        <stp>CURRENCY=USD</stp>
        <stp>XLFILL=b</stp>
        <tr r="AB199" s="2"/>
      </tp>
      <tp t="s">
        <v>#N/A Requesting Data...</v>
        <stp/>
        <stp>##V3_BQLV12</stp>
        <stp>[MODL_NOW_US1.xlsx]Single Period!R205C38</stp>
        <stp>NOW US Equity</stp>
        <stp>CB_CF_OTHR_NONCSH_ITEMS/1M</stp>
        <stp>FPR=2021Y</stp>
        <stp>FPT=A</stp>
        <stp>FA_ACT_EST_DATA=E, EST_SOURCE=RWB</stp>
        <stp>ACT_EST_MAPPING=PRECISE</stp>
        <stp>FS=MRC</stp>
        <stp>CURRENCY=USD</stp>
        <stp>XLFILL=b</stp>
        <tr r="AL205" s="2"/>
      </tp>
      <tp t="s">
        <v>#N/A Requesting Data...</v>
        <stp/>
        <stp>##V3_BQLV12</stp>
        <stp>[MODL_NOW_US1.xlsx]Single Period!R138C21</stp>
        <stp>NOW US Equity</stp>
        <stp>SBC_NON_GAAP_TO_SALES</stp>
        <stp>FPR=2021Y</stp>
        <stp>FPT=A</stp>
        <stp>FA_ACT_EST_DATA=E, EST_SOURCE=JMP</stp>
        <stp>ACT_EST_MAPPING=PRECISE</stp>
        <stp>FS=MRC</stp>
        <stp>CURRENCY=USD</stp>
        <stp>XLFILL=b</stp>
        <tr r="U138" s="2"/>
      </tp>
      <tp t="s">
        <v>#N/A Requesting Data...</v>
        <stp/>
        <stp>##V3_BQLV12</stp>
        <stp>[MODL_NOW_US1.xlsx]Single Period!R160C26</stp>
        <stp>NOW US Equity</stp>
        <stp>PREPAID_EXPNSS_AND_OTHR/1M</stp>
        <stp>FPR=2021Y</stp>
        <stp>FPT=A</stp>
        <stp>FA_ACT_EST_DATA=E, EST_SOURCE=UBS</stp>
        <stp>ACT_EST_MAPPING=PRECISE</stp>
        <stp>FS=MRC</stp>
        <stp>CURRENCY=USD</stp>
        <stp>XLFILL=b</stp>
        <tr r="Z160" s="2"/>
      </tp>
      <tp t="s">
        <v>#N/A Requesting Data...</v>
        <stp/>
        <stp>##V3_BQLV12</stp>
        <stp>[MODL_NOW_US1.xlsx]Single Period!R155C49</stp>
        <stp>NOW US Equity</stp>
        <stp>BS_CASH_CASH_EQUIVALENTS_AND_STI/1M</stp>
        <stp>FPR=2021Y</stp>
        <stp>FPT=A</stp>
        <stp>FA_ACT_EST_DATA=E, EST_SOURCE=SCB</stp>
        <stp>ACT_EST_MAPPING=PRECISE</stp>
        <stp>FS=MRC</stp>
        <stp>CURRENCY=USD</stp>
        <stp>XLFILL=b</stp>
        <tr r="AW155" s="2"/>
      </tp>
      <tp t="s">
        <v>#N/A Requesting Data...</v>
        <stp/>
        <stp>##V3_BQLV12</stp>
        <stp>[MODL_NOW_US1.xlsx]Single Period!R225C25</stp>
        <stp>NOW US Equity</stp>
        <stp>CF_INCR_CAP_STOCK/1M</stp>
        <stp>FPR=2021Y</stp>
        <stp>FPT=A</stp>
        <stp>FA_ACT_EST_DATA=E, EST_SOURCE=DBG</stp>
        <stp>ACT_EST_MAPPING=PRECISE</stp>
        <stp>FS=MRC</stp>
        <stp>CURRENCY=USD</stp>
        <stp>XLFILL=b</stp>
        <tr r="Y225" s="2"/>
      </tp>
      <tp t="s">
        <v>#N/A Requesting Data...</v>
        <stp/>
        <stp>##V3_BQLV12</stp>
        <stp>[MODL_NOW_US1.xlsx]Single Period!R104C33</stp>
        <stp>NOW US Equity</stp>
        <stp>IS_COMP_NET_INC_EXCL_STOCK_COMP/1M</stp>
        <stp>FPR=2021Y</stp>
        <stp>FPT=A</stp>
        <stp>FA_ACT_EST_DATA=E, EST_SOURCE=MAC</stp>
        <stp>ACT_EST_MAPPING=PRECISE</stp>
        <stp>FS=MRC</stp>
        <stp>CURRENCY=USD</stp>
        <stp>XLFILL=b</stp>
        <tr r="AG104" s="2"/>
      </tp>
      <tp t="s">
        <v>#N/A Requesting Data...</v>
        <stp/>
        <stp>##V3_BQLV12</stp>
        <stp>[MODL_NOW_US1.xlsx]Single Period!R63C44</stp>
        <stp>SEG0000230975 Segment</stp>
        <stp>CB_IS_GROSS_PROFIT/1M</stp>
        <stp>FPR=2021Y</stp>
        <stp>FPT=A</stp>
        <stp>FA_ACT_EST_DATA=E, EST_SOURCE=ARE</stp>
        <stp>ACT_EST_MAPPING=PRECISE</stp>
        <stp>FS=MRC</stp>
        <stp>CURRENCY=USD</stp>
        <stp>XLFILL=b</stp>
        <tr r="AR63" s="2"/>
      </tp>
      <tp t="s">
        <v>#N/A Requesting Data...</v>
        <stp/>
        <stp>##V3_BQLV12</stp>
        <stp>[MODL_NOW_US1.xlsx]Single Period!R213C23</stp>
        <stp>NOW US Equity</stp>
        <stp>CF_CASH_FROM_OPER/1M</stp>
        <stp>FPR=2021Y</stp>
        <stp>FPT=A</stp>
        <stp>FA_ACT_EST_DATA=E, EST_SOURCE=ZXS</stp>
        <stp>ACT_EST_MAPPING=PRECISE</stp>
        <stp>FS=MRC</stp>
        <stp>CURRENCY=USD</stp>
        <stp>XLFILL=b</stp>
        <tr r="W213" s="2"/>
      </tp>
      <tp t="s">
        <v>#N/A Requesting Data...</v>
        <stp/>
        <stp>##V3_BQLV12</stp>
        <stp>[MODL_NOW_US1.xlsx]Single Period!R104C20</stp>
        <stp>NOW US Equity</stp>
        <stp>IS_COMP_NET_INC_EXCL_STOCK_COMP/1M</stp>
        <stp>FPR=2021Y</stp>
        <stp>FPT=A</stp>
        <stp>FA_ACT_EST_DATA=E, EST_SOURCE=CAN</stp>
        <stp>ACT_EST_MAPPING=PRECISE</stp>
        <stp>FS=MRC</stp>
        <stp>CURRENCY=USD</stp>
        <stp>XLFILL=b</stp>
        <tr r="T104" s="2"/>
      </tp>
      <tp t="s">
        <v>#N/A Requesting Data...</v>
        <stp/>
        <stp>##V3_BQLV12</stp>
        <stp>[MODL_NOW_US1.xlsx]Single Period!R63C41</stp>
        <stp>SEG0000230975 Segment</stp>
        <stp>CB_IS_GROSS_PROFIT/1M</stp>
        <stp>FPR=2021Y</stp>
        <stp>FPT=A</stp>
        <stp>FA_ACT_EST_DATA=E, EST_SOURCE=ARG</stp>
        <stp>ACT_EST_MAPPING=PRECISE</stp>
        <stp>FS=MRC</stp>
        <stp>CURRENCY=USD</stp>
        <stp>XLFILL=b</stp>
        <tr r="AO63" s="2"/>
      </tp>
      <tp t="s">
        <v>#N/A Requesting Data...</v>
        <stp/>
        <stp>##V3_BQLV12</stp>
        <stp>[MODL_NOW_US1.xlsx]Single Period!R104C30</stp>
        <stp>NOW US Equity</stp>
        <stp>IS_COMP_NET_INC_EXCL_STOCK_COMP/1M</stp>
        <stp>FPR=2021Y</stp>
        <stp>FPT=A</stp>
        <stp>FA_ACT_EST_DATA=E, EST_SOURCE=BAM</stp>
        <stp>ACT_EST_MAPPING=PRECISE</stp>
        <stp>FS=MRC</stp>
        <stp>CURRENCY=USD</stp>
        <stp>XLFILL=b</stp>
        <tr r="AD104" s="2"/>
      </tp>
      <tp t="s">
        <v>#N/A Requesting Data...</v>
        <stp/>
        <stp>##V3_BQLV12</stp>
        <stp>[MODL_NOW_US1.xlsx]Single Period!R227C45</stp>
        <stp>NOW US Equity</stp>
        <stp>CF_NET_CSH_PROV_BY_FINANCING_ACT/1M</stp>
        <stp>FPR=2021Y</stp>
        <stp>FPT=A</stp>
        <stp>FA_ACT_EST_DATA=E, EST_SOURCE=PJE</stp>
        <stp>ACT_EST_MAPPING=PRECISE</stp>
        <stp>FS=MRC</stp>
        <stp>CURRENCY=USD</stp>
        <stp>XLFILL=b</stp>
        <tr r="AS227" s="2"/>
      </tp>
      <tp t="s">
        <v>#N/A Requesting Data...</v>
        <stp/>
        <stp>##V3_BQLV12</stp>
        <stp>[MODL_NOW_US1.xlsx]Single Period!R63C48</stp>
        <stp>SEG0000230975 Segment</stp>
        <stp>CB_IS_GROSS_PROFIT/1M</stp>
        <stp>FPR=2021Y</stp>
        <stp>FPT=A</stp>
        <stp>FA_ACT_EST_DATA=E, EST_SOURCE=CRC</stp>
        <stp>ACT_EST_MAPPING=PRECISE</stp>
        <stp>FS=MRC</stp>
        <stp>CURRENCY=USD</stp>
        <stp>XLFILL=b</stp>
        <tr r="AV63" s="2"/>
      </tp>
      <tp t="s">
        <v>#N/A Requesting Data...</v>
        <stp/>
        <stp>##V3_BQLV12</stp>
        <stp>[MODL_NOW_US1.xlsx]Single Period!R148C36</stp>
        <stp>NOW US Equity</stp>
        <stp>IS_AMORT_ACQD_INTANGIBLES_R_AND_D/1M</stp>
        <stp>FPR=2021Y</stp>
        <stp>FPT=A</stp>
        <stp>FA_ACT_EST_DATA=E, EST_SOURCE=JEF</stp>
        <stp>ACT_EST_MAPPING=PRECISE</stp>
        <stp>FS=MRC</stp>
        <stp>CURRENCY=USD</stp>
        <stp>XLFILL=b</stp>
        <tr r="AJ148" s="2"/>
      </tp>
      <tp t="s">
        <v>#N/A Requesting Data...</v>
        <stp/>
        <stp>##V3_BQLV12</stp>
        <stp>[MODL_NOW_US1.xlsx]Single Period!R202C37</stp>
        <stp>NOW US Equity</stp>
        <stp>CF_AMORTIZATN_OF_DEFRRD_COMPNSTN/1M</stp>
        <stp>FPR=2021Y</stp>
        <stp>FPT=A</stp>
        <stp>FA_ACT_EST_DATA=E, EST_SOURCE=TTC</stp>
        <stp>ACT_EST_MAPPING=PRECISE</stp>
        <stp>FS=MRC</stp>
        <stp>CURRENCY=USD</stp>
        <stp>XLFILL=b</stp>
        <tr r="AK202" s="2"/>
      </tp>
      <tp t="s">
        <v>#N/A Requesting Data...</v>
        <stp/>
        <stp>##V3_BQLV12</stp>
        <stp>[MODL_NOW_US1.xlsx]Single Period!R175C24</stp>
        <stp>NOW US Equity</stp>
        <stp>BS_ACCRUD_EXPNSS_AND_OTHR/1M</stp>
        <stp>FPR=2021Y</stp>
        <stp>FPT=A</stp>
        <stp>FA_ACT_EST_DATA=E, EST_SOURCE=CWN</stp>
        <stp>ACT_EST_MAPPING=PRECISE</stp>
        <stp>FS=MRC</stp>
        <stp>CURRENCY=USD</stp>
        <stp>XLFILL=b</stp>
        <tr r="X175" s="2"/>
      </tp>
      <tp t="s">
        <v>#N/A Requesting Data...</v>
        <stp/>
        <stp>##V3_BQLV12</stp>
        <stp>[MODL_NOW_US1.xlsx]Single Period!R225C29</stp>
        <stp>NOW US Equity</stp>
        <stp>CF_INCR_CAP_STOCK/1M</stp>
        <stp>FPR=2021Y</stp>
        <stp>FPT=A</stp>
        <stp>FA_ACT_EST_DATA=E, EST_SOURCE=BNS</stp>
        <stp>ACT_EST_MAPPING=PRECISE</stp>
        <stp>FS=MRC</stp>
        <stp>CURRENCY=USD</stp>
        <stp>XLFILL=b</stp>
        <tr r="AC225" s="2"/>
      </tp>
      <tp t="s">
        <v>#N/A Requesting Data...</v>
        <stp/>
        <stp>##V3_BQLV12</stp>
        <stp>[MODL_NOW_US1.xlsx]Single Period!R175C39</stp>
        <stp>NOW US Equity</stp>
        <stp>BS_ACCRUD_EXPNSS_AND_OTHR/1M</stp>
        <stp>FPR=2021Y</stp>
        <stp>FPT=A</stp>
        <stp>FA_ACT_EST_DATA=E, EST_SOURCE=DZB</stp>
        <stp>ACT_EST_MAPPING=PRECISE</stp>
        <stp>FS=MRC</stp>
        <stp>CURRENCY=USD</stp>
        <stp>XLFILL=b</stp>
        <tr r="AM175" s="2"/>
      </tp>
      <tp t="s">
        <v>#N/A Requesting Data...</v>
        <stp/>
        <stp>##V3_BQLV12</stp>
        <stp>[MODL_NOW_US1.xlsx]Single Period!R175C37</stp>
        <stp>NOW US Equity</stp>
        <stp>BS_ACCRUD_EXPNSS_AND_OTHR/1M</stp>
        <stp>FPR=2021Y</stp>
        <stp>FPT=A</stp>
        <stp>FA_ACT_EST_DATA=E, EST_SOURCE=TTC</stp>
        <stp>ACT_EST_MAPPING=PRECISE</stp>
        <stp>FS=MRC</stp>
        <stp>CURRENCY=USD</stp>
        <stp>XLFILL=b</stp>
        <tr r="AK175" s="2"/>
      </tp>
      <tp t="s">
        <v>#N/A Requesting Data...</v>
        <stp/>
        <stp>##V3_BQLV12</stp>
        <stp>[MODL_NOW_US1.xlsx]Single Period!R107C15</stp>
        <stp>NOW US Equity</stp>
        <stp>CB_IS_ADJ_DILUTED_AVG_SHS/1M</stp>
        <stp>FPR=2021Y</stp>
        <stp>FPT=A</stp>
        <stp>FA_ACT_EST_DATA=E, EST_SOURCE=OPY</stp>
        <stp>ACT_EST_MAPPING=PRECISE</stp>
        <stp>FS=MRC</stp>
        <stp>CURRENCY=USD</stp>
        <stp>XLFILL=b</stp>
        <tr r="O107" s="2"/>
      </tp>
      <tp t="s">
        <v>#N/A Requesting Data...</v>
        <stp/>
        <stp>##V3_BQLV12</stp>
        <stp>[MODL_NOW_US1.xlsx]Single Period!R163C5</stp>
        <stp>NOW US Equity</stp>
        <stp>CB_BS_PP_AND_E_NET/1M</stp>
        <stp>FPR=2021Y</stp>
        <stp>FPT=A</stp>
        <stp>FA_ACT_EST_DATA=E</stp>
        <stp>ACT_EST_MAPPING=PRECISE</stp>
        <stp>FS=MRC</stp>
        <stp>CURRENCY=USD</stp>
        <stp>XLFILL=b</stp>
        <tr r="E163" s="2"/>
      </tp>
      <tp t="s">
        <v>#N/A Requesting Data...</v>
        <stp/>
        <stp>##V3_BQLV12</stp>
        <stp>[MODL_NOW_US1.xlsx]Single Period!R127C5</stp>
        <stp>NOW US Equity</stp>
        <stp>PRETAX_INC/1M</stp>
        <stp>FPR=2021Y</stp>
        <stp>FPT=A</stp>
        <stp>FA_ACT_EST_DATA=E</stp>
        <stp>ACT_EST_MAPPING=PRECISE</stp>
        <stp>FS=MRC</stp>
        <stp>CURRENCY=USD</stp>
        <stp>XLFILL=b</stp>
        <tr r="E127" s="2"/>
      </tp>
      <tp t="s">
        <v>#N/A Requesting Data...</v>
        <stp/>
        <stp>##V3_BQLV12</stp>
        <stp>[MODL_NOW_US1.xlsx]Single Period!R164C5</stp>
        <stp>NOW US Equity</stp>
        <stp>CB_BS_PP_AND_E_NET/1M</stp>
        <stp>FPR=2021Y</stp>
        <stp>FPT=A</stp>
        <stp>FA_ACT_EST_DATA=E</stp>
        <stp>ACT_EST_MAPPING=PRECISE</stp>
        <stp>FS=MRC</stp>
        <stp>CURRENCY=USD</stp>
        <stp>XLFILL=b</stp>
        <tr r="E164" s="2"/>
      </tp>
      <tp t="s">
        <v>#N/A Requesting Data...</v>
        <stp/>
        <stp>##V3_BQLV12</stp>
        <stp>[MODL_NOW_US1.xlsx]Single Period!R175C41</stp>
        <stp>NOW US Equity</stp>
        <stp>BS_ACCRUD_EXPNSS_AND_OTHR/1M</stp>
        <stp>FPR=2021Y</stp>
        <stp>FPT=A</stp>
        <stp>FA_ACT_EST_DATA=E, EST_SOURCE=ARG</stp>
        <stp>ACT_EST_MAPPING=PRECISE</stp>
        <stp>FS=MRC</stp>
        <stp>CURRENCY=USD</stp>
        <stp>XLFILL=b</stp>
        <tr r="AO175" s="2"/>
      </tp>
      <tp t="s">
        <v>#N/A Requesting Data...</v>
        <stp/>
        <stp>##V3_BQLV12</stp>
        <stp>[MODL_NOW_US1.xlsx]Single Period!R239C18</stp>
        <stp>NOW US Equity</stp>
        <stp>CFO_TO_SALES</stp>
        <stp>FPR=2021Y</stp>
        <stp>FPT=A</stp>
        <stp>FA_ACT_EST_DATA=E, EST_SOURCE=SNR</stp>
        <stp>ACT_EST_MAPPING=PRECISE</stp>
        <stp>FS=MRC</stp>
        <stp>CURRENCY=USD</stp>
        <stp>XLFILL=b</stp>
        <tr r="R239" s="2"/>
      </tp>
      <tp t="s">
        <v>#N/A Requesting Data...</v>
        <stp/>
        <stp>##V3_BQLV12</stp>
        <stp>[MODL_NOW_US1.xlsx]Single Period!R129C31</stp>
        <stp>NOW US Equity</stp>
        <stp>EFF_TAX_RATE</stp>
        <stp>FPR=2021Y</stp>
        <stp>FPT=A</stp>
        <stp>FA_ACT_EST_DATA=E, EST_SOURCE=GSR</stp>
        <stp>ACT_EST_MAPPING=PRECISE</stp>
        <stp>FS=MRC</stp>
        <stp>CURRENCY=USD</stp>
        <stp>XLFILL=b</stp>
        <tr r="AE129" s="2"/>
      </tp>
      <tp t="s">
        <v>#N/A Requesting Data...</v>
        <stp/>
        <stp>##V3_BQLV12</stp>
        <stp>[MODL_NOW_US1.xlsx]Single Period!R239C13</stp>
        <stp>NOW US Equity</stp>
        <stp>CFO_TO_SALES</stp>
        <stp>FPR=2021Y</stp>
        <stp>FPT=A</stp>
        <stp>FA_ACT_EST_DATA=E, EST_SOURCE=KEY</stp>
        <stp>ACT_EST_MAPPING=PRECISE</stp>
        <stp>FS=MRC</stp>
        <stp>CURRENCY=USD</stp>
        <stp>XLFILL=b</stp>
        <tr r="M239" s="2"/>
      </tp>
      <tp t="s">
        <v>#N/A Requesting Data...</v>
        <stp/>
        <stp>##V3_BQLV12</stp>
        <stp>[MODL_NOW_US1.xlsx]Single Period!R125C5</stp>
        <stp>NOW US Equity</stp>
        <stp>OPER_INC_TO_NET_SALES</stp>
        <stp>FPR=2021Y</stp>
        <stp>FPT=A</stp>
        <stp>FA_ACT_EST_DATA=E</stp>
        <stp>ACT_EST_MAPPING=PRECISE</stp>
        <stp>FS=MRC</stp>
        <stp>CURRENCY=USD</stp>
        <stp>XLFILL=b</stp>
        <tr r="E125" s="2"/>
      </tp>
      <tp t="s">
        <v>#N/A Requesting Data...</v>
        <stp/>
        <stp>##V3_BQLV12</stp>
        <stp>[MODL_NOW_US1.xlsx]Single Period!R239C22</stp>
        <stp>NOW US Equity</stp>
        <stp>CFO_TO_SALES</stp>
        <stp>FPR=2021Y</stp>
        <stp>FPT=A</stp>
        <stp>FA_ACT_EST_DATA=E, EST_SOURCE=NDH</stp>
        <stp>ACT_EST_MAPPING=PRECISE</stp>
        <stp>FS=MRC</stp>
        <stp>CURRENCY=USD</stp>
        <stp>XLFILL=b</stp>
        <tr r="V239" s="2"/>
      </tp>
      <tp t="s">
        <v>#N/A Requesting Data...</v>
        <stp/>
        <stp>##V3_BQLV12</stp>
        <stp>[MODL_NOW_US1.xlsx]Single Period!R129C47</stp>
        <stp>NOW US Equity</stp>
        <stp>EFF_TAX_RATE</stp>
        <stp>FPR=2021Y</stp>
        <stp>FPT=A</stp>
        <stp>FA_ACT_EST_DATA=E, EST_SOURCE=SUM</stp>
        <stp>ACT_EST_MAPPING=PRECISE</stp>
        <stp>FS=MRC</stp>
        <stp>CURRENCY=USD</stp>
        <stp>XLFILL=b</stp>
        <tr r="AU129" s="2"/>
      </tp>
      <tp t="s">
        <v>#N/A Requesting Data...</v>
        <stp/>
        <stp>##V3_BQLV12</stp>
        <stp>[MODL_NOW_US1.xlsx]Single Period!R96C31</stp>
        <stp>NOW US Equity</stp>
        <stp>ADJ_OPERATING_MARGIN</stp>
        <stp>FPR=2021Y</stp>
        <stp>FPT=A</stp>
        <stp>FA_ACT_EST_DATA=E, EST_SOURCE=GSR</stp>
        <stp>ACT_EST_MAPPING=PRECISE</stp>
        <stp>FS=MRC</stp>
        <stp>CURRENCY=USD</stp>
        <stp>XLFILL=b</stp>
        <tr r="AE96" s="2"/>
      </tp>
      <tp t="s">
        <v>#N/A Requesting Data...</v>
        <stp/>
        <stp>##V3_BQLV12</stp>
        <stp>[MODL_NOW_US1.xlsx]Single Period!R159C28</stp>
        <stp>NOW US Equity</stp>
        <stp>CB_BS_OTHER_CURRENT_ASSETS/1M</stp>
        <stp>FPR=2021Y</stp>
        <stp>FPT=A</stp>
        <stp>FA_ACT_EST_DATA=E, EST_SOURCE=EVR</stp>
        <stp>ACT_EST_MAPPING=PRECISE</stp>
        <stp>FS=MRC</stp>
        <stp>CURRENCY=USD</stp>
        <stp>XLFILL=b</stp>
        <tr r="AB159" s="2"/>
      </tp>
      <tp t="s">
        <v>#N/A Requesting Data...</v>
        <stp/>
        <stp>##V3_BQLV12</stp>
        <stp>[MODL_NOW_US1.xlsx]Single Period!R91C49</stp>
        <stp>NOW US Equity</stp>
        <stp>ADJ_R_AND_D_TO_SALES</stp>
        <stp>FPR=2021Y</stp>
        <stp>FPT=A</stp>
        <stp>FA_ACT_EST_DATA=E, EST_SOURCE=SCB</stp>
        <stp>ACT_EST_MAPPING=PRECISE</stp>
        <stp>FS=MRC</stp>
        <stp>CURRENCY=USD</stp>
        <stp>XLFILL=b</stp>
        <tr r="AW91" s="2"/>
      </tp>
      <tp t="s">
        <v>#N/A Requesting Data...</v>
        <stp/>
        <stp>##V3_BQLV12</stp>
        <stp>[MODL_NOW_US1.xlsx]Single Period!R166C45</stp>
        <stp>NOW US Equity</stp>
        <stp>BS_OTHER_INTANGIBLE_ASSETS/1M</stp>
        <stp>FPR=2021Y</stp>
        <stp>FPT=A</stp>
        <stp>FA_ACT_EST_DATA=E, EST_SOURCE=PJE</stp>
        <stp>ACT_EST_MAPPING=PRECISE</stp>
        <stp>FS=MRC</stp>
        <stp>CURRENCY=USD</stp>
        <stp>XLFILL=b</stp>
        <tr r="AS166" s="2"/>
      </tp>
      <tp t="s">
        <v>#N/A Requesting Data...</v>
        <stp/>
        <stp>##V3_BQLV12</stp>
        <stp>[MODL_NOW_US1.xlsx]Single Period!R127C41</stp>
        <stp>NOW US Equity</stp>
        <stp>PRETAX_INC/1M</stp>
        <stp>FPR=2021Y</stp>
        <stp>FPT=A</stp>
        <stp>FA_ACT_EST_DATA=E, EST_SOURCE=ARG</stp>
        <stp>ACT_EST_MAPPING=PRECISE</stp>
        <stp>FS=MRC</stp>
        <stp>CURRENCY=USD</stp>
        <stp>XLFILL=b</stp>
        <tr r="AO127" s="2"/>
      </tp>
      <tp t="s">
        <v>#N/A Requesting Data...</v>
        <stp/>
        <stp>##V3_BQLV12</stp>
        <stp>[MODL_NOW_US1.xlsx]Single Period!R163C48</stp>
        <stp>NOW US Equity</stp>
        <stp>CB_BS_PP_AND_E_NET/1M</stp>
        <stp>FPR=2021Y</stp>
        <stp>FPT=A</stp>
        <stp>FA_ACT_EST_DATA=E, EST_SOURCE=CRC</stp>
        <stp>ACT_EST_MAPPING=PRECISE</stp>
        <stp>FS=MRC</stp>
        <stp>CURRENCY=USD</stp>
        <stp>XLFILL=b</stp>
        <tr r="AV163" s="2"/>
      </tp>
      <tp t="s">
        <v>#N/A Requesting Data...</v>
        <stp/>
        <stp>##V3_BQLV12</stp>
        <stp>[MODL_NOW_US1.xlsx]Single Period!R127C44</stp>
        <stp>NOW US Equity</stp>
        <stp>PRETAX_INC/1M</stp>
        <stp>FPR=2021Y</stp>
        <stp>FPT=A</stp>
        <stp>FA_ACT_EST_DATA=E, EST_SOURCE=ARE</stp>
        <stp>ACT_EST_MAPPING=PRECISE</stp>
        <stp>FS=MRC</stp>
        <stp>CURRENCY=USD</stp>
        <stp>XLFILL=b</stp>
        <tr r="AR127" s="2"/>
      </tp>
      <tp t="s">
        <v>#N/A Requesting Data...</v>
        <stp/>
        <stp>##V3_BQLV12</stp>
        <stp>[MODL_NOW_US1.xlsx]Single Period!R127C48</stp>
        <stp>NOW US Equity</stp>
        <stp>PRETAX_INC/1M</stp>
        <stp>FPR=2021Y</stp>
        <stp>FPT=A</stp>
        <stp>FA_ACT_EST_DATA=E, EST_SOURCE=CRC</stp>
        <stp>ACT_EST_MAPPING=PRECISE</stp>
        <stp>FS=MRC</stp>
        <stp>CURRENCY=USD</stp>
        <stp>XLFILL=b</stp>
        <tr r="AV127" s="2"/>
      </tp>
      <tp t="s">
        <v>#N/A Requesting Data...</v>
        <stp/>
        <stp>##V3_BQLV12</stp>
        <stp>[MODL_NOW_US1.xlsx]Single Period!R163C41</stp>
        <stp>NOW US Equity</stp>
        <stp>CB_BS_PP_AND_E_NET/1M</stp>
        <stp>FPR=2021Y</stp>
        <stp>FPT=A</stp>
        <stp>FA_ACT_EST_DATA=E, EST_SOURCE=ARG</stp>
        <stp>ACT_EST_MAPPING=PRECISE</stp>
        <stp>FS=MRC</stp>
        <stp>CURRENCY=USD</stp>
        <stp>XLFILL=b</stp>
        <tr r="AO163" s="2"/>
      </tp>
      <tp t="s">
        <v>#N/A Requesting Data...</v>
        <stp/>
        <stp>##V3_BQLV12</stp>
        <stp>[MODL_NOW_US1.xlsx]Single Period!R163C44</stp>
        <stp>NOW US Equity</stp>
        <stp>CB_BS_PP_AND_E_NET/1M</stp>
        <stp>FPR=2021Y</stp>
        <stp>FPT=A</stp>
        <stp>FA_ACT_EST_DATA=E, EST_SOURCE=ARE</stp>
        <stp>ACT_EST_MAPPING=PRECISE</stp>
        <stp>FS=MRC</stp>
        <stp>CURRENCY=USD</stp>
        <stp>XLFILL=b</stp>
        <tr r="AR163" s="2"/>
      </tp>
      <tp t="s">
        <v>#N/A Requesting Data...</v>
        <stp/>
        <stp>##V3_BQLV12</stp>
        <stp>[MODL_NOW_US1.xlsx]Single Period!R144C18</stp>
        <stp>NOW US Equity</stp>
        <stp>IS_SBC_ATT_TO_GENL_AND_ADMIN_PRETX/1M</stp>
        <stp>FPR=2021Y</stp>
        <stp>FPT=A</stp>
        <stp>FA_ACT_EST_DATA=E, EST_SOURCE=SNR</stp>
        <stp>ACT_EST_MAPPING=PRECISE</stp>
        <stp>FS=MRC</stp>
        <stp>CURRENCY=USD</stp>
        <stp>XLFILL=b</stp>
        <tr r="R144" s="2"/>
      </tp>
      <tp t="s">
        <v>#N/A Requesting Data...</v>
        <stp/>
        <stp>##V3_BQLV12</stp>
        <stp>[MODL_NOW_US1.xlsx]Single Period!R144C29</stp>
        <stp>NOW US Equity</stp>
        <stp>IS_SBC_ATT_TO_GENL_AND_ADMIN_PRETX/1M</stp>
        <stp>FPR=2021Y</stp>
        <stp>FPT=A</stp>
        <stp>FA_ACT_EST_DATA=E, EST_SOURCE=BNS</stp>
        <stp>ACT_EST_MAPPING=PRECISE</stp>
        <stp>FS=MRC</stp>
        <stp>CURRENCY=USD</stp>
        <stp>XLFILL=b</stp>
        <tr r="AC144" s="2"/>
      </tp>
      <tp t="s">
        <v>#N/A Requesting Data...</v>
        <stp/>
        <stp>##V3_BQLV12</stp>
        <stp>[MODL_NOW_US1.xlsx]Single Period!R96C47</stp>
        <stp>NOW US Equity</stp>
        <stp>ADJ_OPERATING_MARGIN</stp>
        <stp>FPR=2021Y</stp>
        <stp>FPT=A</stp>
        <stp>FA_ACT_EST_DATA=E, EST_SOURCE=SUM</stp>
        <stp>ACT_EST_MAPPING=PRECISE</stp>
        <stp>FS=MRC</stp>
        <stp>CURRENCY=USD</stp>
        <stp>XLFILL=b</stp>
        <tr r="AU96" s="2"/>
      </tp>
      <tp t="s">
        <v>#N/A Requesting Data...</v>
        <stp/>
        <stp>##V3_BQLV12</stp>
        <stp>[MODL_NOW_US1.xlsx]Single Period!R164C47</stp>
        <stp>NOW US Equity</stp>
        <stp>CB_BS_PP_AND_E_NET/1M</stp>
        <stp>FPR=2021Y</stp>
        <stp>FPT=A</stp>
        <stp>FA_ACT_EST_DATA=E, EST_SOURCE=SUM</stp>
        <stp>ACT_EST_MAPPING=PRECISE</stp>
        <stp>FS=MRC</stp>
        <stp>CURRENCY=USD</stp>
        <stp>XLFILL=b</stp>
        <tr r="AU164" s="2"/>
      </tp>
      <tp t="s">
        <v>#N/A Requesting Data...</v>
        <stp/>
        <stp>##V3_BQLV12</stp>
        <stp>[MODL_NOW_US1.xlsx]Single Period!R42C32</stp>
        <stp>SEG0000230975 Segment</stp>
        <stp>IS_BILLINGS/1M</stp>
        <stp>FPR=2021Y</stp>
        <stp>FPT=A</stp>
        <stp>FA_ACT_EST_DATA=E, EST_SOURCE=FBC</stp>
        <stp>ACT_EST_MAPPING=PRECISE</stp>
        <stp>FS=MRC</stp>
        <stp>CURRENCY=USD</stp>
        <stp>XLFILL=b</stp>
        <tr r="AF42" s="2"/>
      </tp>
      <tp t="s">
        <v>#N/A Requesting Data...</v>
        <stp/>
        <stp>##V3_BQLV12</stp>
        <stp>[MODL_NOW_US1.xlsx]Single Period!R46C33</stp>
        <stp>SEG0000230986 Segment</stp>
        <stp>IS_BILLINGS/1M</stp>
        <stp>FPR=2021Y</stp>
        <stp>FPT=A</stp>
        <stp>FA_ACT_EST_DATA=E, EST_SOURCE=MAC</stp>
        <stp>ACT_EST_MAPPING=PRECISE</stp>
        <stp>FS=MRC</stp>
        <stp>CURRENCY=USD</stp>
        <stp>XLFILL=b</stp>
        <tr r="AG46" s="2"/>
      </tp>
      <tp t="s">
        <v>#N/A Requesting Data...</v>
        <stp/>
        <stp>##V3_BQLV12</stp>
        <stp>[MODL_NOW_US1.xlsx]Single Period!R21C33</stp>
        <stp>SEG0000230986 Segment</stp>
        <stp>IS_BILLINGS/1M</stp>
        <stp>FPR=2021Y</stp>
        <stp>FPT=A</stp>
        <stp>FA_ACT_EST_DATA=E, EST_SOURCE=MAC</stp>
        <stp>ACT_EST_MAPPING=PRECISE</stp>
        <stp>FS=MRC</stp>
        <stp>CURRENCY=USD</stp>
        <stp>XLFILL=b</stp>
        <tr r="AG21" s="2"/>
      </tp>
      <tp t="s">
        <v>#N/A Requesting Data...</v>
        <stp/>
        <stp>##V3_BQLV12</stp>
        <stp>[MODL_NOW_US1.xlsx]Single Period!R17C32</stp>
        <stp>SEG0000230975 Segment</stp>
        <stp>IS_BILLINGS/1M</stp>
        <stp>FPR=2021Y</stp>
        <stp>FPT=A</stp>
        <stp>FA_ACT_EST_DATA=E, EST_SOURCE=FBC</stp>
        <stp>ACT_EST_MAPPING=PRECISE</stp>
        <stp>FS=MRC</stp>
        <stp>CURRENCY=USD</stp>
        <stp>XLFILL=b</stp>
        <tr r="AF17" s="2"/>
      </tp>
      <tp t="s">
        <v>#N/A Requesting Data...</v>
        <stp/>
        <stp>##V3_BQLV12</stp>
        <stp>[MODL_NOW_US1.xlsx]Single Period!R17C27</stp>
        <stp>SEG0000230975 Segment</stp>
        <stp>IS_BILLINGS/1M</stp>
        <stp>FPR=2021Y</stp>
        <stp>FPT=A</stp>
        <stp>FA_ACT_EST_DATA=E, EST_SOURCE=RBC</stp>
        <stp>ACT_EST_MAPPING=PRECISE</stp>
        <stp>FS=MRC</stp>
        <stp>CURRENCY=USD</stp>
        <stp>XLFILL=b</stp>
        <tr r="AA17" s="2"/>
      </tp>
      <tp t="s">
        <v>#N/A Requesting Data...</v>
        <stp/>
        <stp>##V3_BQLV12</stp>
        <stp>[MODL_NOW_US1.xlsx]Single Period!R42C27</stp>
        <stp>SEG0000230975 Segment</stp>
        <stp>IS_BILLINGS/1M</stp>
        <stp>FPR=2021Y</stp>
        <stp>FPT=A</stp>
        <stp>FA_ACT_EST_DATA=E, EST_SOURCE=RBC</stp>
        <stp>ACT_EST_MAPPING=PRECISE</stp>
        <stp>FS=MRC</stp>
        <stp>CURRENCY=USD</stp>
        <stp>XLFILL=b</stp>
        <tr r="AA42" s="2"/>
      </tp>
      <tp t="s">
        <v>#N/A Requesting Data...</v>
        <stp/>
        <stp>##V3_BQLV12</stp>
        <stp>[MODL_NOW_US1.xlsx]Single Period!R208C23</stp>
        <stp>NOW US Equity</stp>
        <stp>CF_CHANGE_IN_OTHR_ASSTS/1M</stp>
        <stp>FPR=2021Y</stp>
        <stp>FPT=A</stp>
        <stp>FA_ACT_EST_DATA=E, EST_SOURCE=ZXS</stp>
        <stp>ACT_EST_MAPPING=PRECISE</stp>
        <stp>FS=MRC</stp>
        <stp>CURRENCY=USD</stp>
        <stp>XLFILL=b</stp>
        <tr r="W208" s="2"/>
      </tp>
      <tp t="s">
        <v>#N/A Requesting Data...</v>
        <stp/>
        <stp>##V3_BQLV12</stp>
        <stp>[MODL_NOW_US1.xlsx]Single Period!R205C15</stp>
        <stp>NOW US Equity</stp>
        <stp>CB_CF_OTHR_NONCSH_ITEMS/1M</stp>
        <stp>FPR=2021Y</stp>
        <stp>FPT=A</stp>
        <stp>FA_ACT_EST_DATA=E, EST_SOURCE=OPY</stp>
        <stp>ACT_EST_MAPPING=PRECISE</stp>
        <stp>FS=MRC</stp>
        <stp>CURRENCY=USD</stp>
        <stp>XLFILL=b</stp>
        <tr r="O205" s="2"/>
      </tp>
      <tp t="s">
        <v>#N/A Requesting Data...</v>
        <stp/>
        <stp>##V3_BQLV12</stp>
        <stp>[MODL_NOW_US1.xlsx]Single Period!R17C25</stp>
        <stp>SEG0000230975 Segment</stp>
        <stp>IS_BILLINGS/1M</stp>
        <stp>FPR=2021Y</stp>
        <stp>FPT=A</stp>
        <stp>FA_ACT_EST_DATA=E, EST_SOURCE=DBG</stp>
        <stp>ACT_EST_MAPPING=PRECISE</stp>
        <stp>FS=MRC</stp>
        <stp>CURRENCY=USD</stp>
        <stp>XLFILL=b</stp>
        <tr r="Y17" s="2"/>
      </tp>
      <tp t="s">
        <v>#N/A Requesting Data...</v>
        <stp/>
        <stp>##V3_BQLV12</stp>
        <stp>[MODL_NOW_US1.xlsx]Single Period!R42C25</stp>
        <stp>SEG0000230975 Segment</stp>
        <stp>IS_BILLINGS/1M</stp>
        <stp>FPR=2021Y</stp>
        <stp>FPT=A</stp>
        <stp>FA_ACT_EST_DATA=E, EST_SOURCE=DBG</stp>
        <stp>ACT_EST_MAPPING=PRECISE</stp>
        <stp>FS=MRC</stp>
        <stp>CURRENCY=USD</stp>
        <stp>XLFILL=b</stp>
        <tr r="Y42" s="2"/>
      </tp>
      <tp t="s">
        <v>#N/A Requesting Data...</v>
        <stp/>
        <stp>##V3_BQLV12</stp>
        <stp>[MODL_NOW_US1.xlsx]Single Period!R47C45</stp>
        <stp>SEG0000230986 Segment</stp>
        <stp>CB_ADJ_BILLINGS_AMT/1M</stp>
        <stp>FPR=2021Y</stp>
        <stp>FPT=A</stp>
        <stp>FA_ACT_EST_DATA=E, EST_SOURCE=PJE</stp>
        <stp>ACT_EST_MAPPING=PRECISE</stp>
        <stp>FS=MRC</stp>
        <stp>CURRENCY=USD</stp>
        <stp>XLFILL=b</stp>
        <tr r="AS47" s="2"/>
      </tp>
      <tp t="s">
        <v>#N/A Requesting Data...</v>
        <stp/>
        <stp>##V3_BQLV12</stp>
        <stp>[MODL_NOW_US1.xlsx]Single Period!R117C22</stp>
        <stp>NOW US Equity</stp>
        <stp>IS_TOT_OPER_EXP/1M</stp>
        <stp>FPR=2021Y</stp>
        <stp>FPT=A</stp>
        <stp>FA_ACT_EST_DATA=E, EST_SOURCE=NDH</stp>
        <stp>ACT_EST_MAPPING=PRECISE</stp>
        <stp>FS=MRC</stp>
        <stp>CURRENCY=USD</stp>
        <stp>XLFILL=b</stp>
        <tr r="V117" s="2"/>
      </tp>
      <tp t="s">
        <v>#N/A Requesting Data...</v>
        <stp/>
        <stp>##V3_BQLV12</stp>
        <stp>[MODL_NOW_US1.xlsx]Single Period!R138C45</stp>
        <stp>NOW US Equity</stp>
        <stp>SBC_NON_GAAP_TO_SALES</stp>
        <stp>FPR=2021Y</stp>
        <stp>FPT=A</stp>
        <stp>FA_ACT_EST_DATA=E, EST_SOURCE=PJE</stp>
        <stp>ACT_EST_MAPPING=PRECISE</stp>
        <stp>FS=MRC</stp>
        <stp>CURRENCY=USD</stp>
        <stp>XLFILL=b</stp>
        <tr r="AS138" s="2"/>
      </tp>
      <tp t="s">
        <v>#N/A Requesting Data...</v>
        <stp/>
        <stp>##V3_BQLV12</stp>
        <stp>[MODL_NOW_US1.xlsx]Single Period!R236C28</stp>
        <stp>NOW US Equity</stp>
        <stp>FREE_CASH_FLOW_MARGIN</stp>
        <stp>FPR=2021Y</stp>
        <stp>FPT=A</stp>
        <stp>FA_ACT_EST_DATA=E, EST_SOURCE=EVR</stp>
        <stp>ACT_EST_MAPPING=PRECISE</stp>
        <stp>FS=MRC</stp>
        <stp>CURRENCY=USD</stp>
        <stp>XLFILL=b</stp>
        <tr r="AB236" s="2"/>
      </tp>
      <tp t="s">
        <v>#N/A Requesting Data...</v>
        <stp/>
        <stp>##V3_BQLV12</stp>
        <stp>[MODL_NOW_US1.xlsx]Single Period!R160C36</stp>
        <stp>NOW US Equity</stp>
        <stp>PREPAID_EXPNSS_AND_OTHR/1M</stp>
        <stp>FPR=2021Y</stp>
        <stp>FPT=A</stp>
        <stp>FA_ACT_EST_DATA=E, EST_SOURCE=JEF</stp>
        <stp>ACT_EST_MAPPING=PRECISE</stp>
        <stp>FS=MRC</stp>
        <stp>CURRENCY=USD</stp>
        <stp>XLFILL=b</stp>
        <tr r="AJ160" s="2"/>
      </tp>
      <tp t="s">
        <v>#N/A Requesting Data...</v>
        <stp/>
        <stp>##V3_BQLV12</stp>
        <stp>[MODL_NOW_US1.xlsx]Single Period!R46C20</stp>
        <stp>SEG0000230986 Segment</stp>
        <stp>IS_BILLINGS/1M</stp>
        <stp>FPR=2021Y</stp>
        <stp>FPT=A</stp>
        <stp>FA_ACT_EST_DATA=E, EST_SOURCE=CAN</stp>
        <stp>ACT_EST_MAPPING=PRECISE</stp>
        <stp>FS=MRC</stp>
        <stp>CURRENCY=USD</stp>
        <stp>XLFILL=b</stp>
        <tr r="T46" s="2"/>
      </tp>
      <tp t="s">
        <v>#N/A Requesting Data...</v>
        <stp/>
        <stp>##V3_BQLV12</stp>
        <stp>[MODL_NOW_US1.xlsx]Single Period!R21C20</stp>
        <stp>SEG0000230986 Segment</stp>
        <stp>IS_BILLINGS/1M</stp>
        <stp>FPR=2021Y</stp>
        <stp>FPT=A</stp>
        <stp>FA_ACT_EST_DATA=E, EST_SOURCE=CAN</stp>
        <stp>ACT_EST_MAPPING=PRECISE</stp>
        <stp>FS=MRC</stp>
        <stp>CURRENCY=USD</stp>
        <stp>XLFILL=b</stp>
        <tr r="T21" s="2"/>
      </tp>
      <tp t="s">
        <v>#N/A Requesting Data...</v>
        <stp/>
        <stp>##V3_BQLV12</stp>
        <stp>[MODL_NOW_US1.xlsx]Single Period!R42C12</stp>
        <stp>SEG0000230975 Segment</stp>
        <stp>IS_BILLINGS/1M</stp>
        <stp>FPR=2021Y</stp>
        <stp>FPT=A</stp>
        <stp>FA_ACT_EST_DATA=E, EST_SOURCE=WBL</stp>
        <stp>ACT_EST_MAPPING=PRECISE</stp>
        <stp>FS=MRC</stp>
        <stp>CURRENCY=USD</stp>
        <stp>XLFILL=b</stp>
        <tr r="L42" s="2"/>
      </tp>
      <tp t="s">
        <v>#N/A Requesting Data...</v>
        <stp/>
        <stp>##V3_BQLV12</stp>
        <stp>[MODL_NOW_US1.xlsx]Single Period!R17C12</stp>
        <stp>SEG0000230975 Segment</stp>
        <stp>IS_BILLINGS/1M</stp>
        <stp>FPR=2021Y</stp>
        <stp>FPT=A</stp>
        <stp>FA_ACT_EST_DATA=E, EST_SOURCE=WBL</stp>
        <stp>ACT_EST_MAPPING=PRECISE</stp>
        <stp>FS=MRC</stp>
        <stp>CURRENCY=USD</stp>
        <stp>XLFILL=b</stp>
        <tr r="L17" s="2"/>
      </tp>
      <tp t="s">
        <v>#N/A Requesting Data...</v>
        <stp/>
        <stp>##V3_BQLV12</stp>
        <stp>[MODL_NOW_US1.xlsx]Single Period!R46C30</stp>
        <stp>SEG0000230986 Segment</stp>
        <stp>IS_BILLINGS/1M</stp>
        <stp>FPR=2021Y</stp>
        <stp>FPT=A</stp>
        <stp>FA_ACT_EST_DATA=E, EST_SOURCE=BAM</stp>
        <stp>ACT_EST_MAPPING=PRECISE</stp>
        <stp>FS=MRC</stp>
        <stp>CURRENCY=USD</stp>
        <stp>XLFILL=b</stp>
        <tr r="AD46" s="2"/>
      </tp>
      <tp t="s">
        <v>#N/A Requesting Data...</v>
        <stp/>
        <stp>##V3_BQLV12</stp>
        <stp>[MODL_NOW_US1.xlsx]Single Period!R21C30</stp>
        <stp>SEG0000230986 Segment</stp>
        <stp>IS_BILLINGS/1M</stp>
        <stp>FPR=2021Y</stp>
        <stp>FPT=A</stp>
        <stp>FA_ACT_EST_DATA=E, EST_SOURCE=BAM</stp>
        <stp>ACT_EST_MAPPING=PRECISE</stp>
        <stp>FS=MRC</stp>
        <stp>CURRENCY=USD</stp>
        <stp>XLFILL=b</stp>
        <tr r="AD21" s="2"/>
      </tp>
      <tp t="s">
        <v>#N/A Requesting Data...</v>
        <stp/>
        <stp>##V3_BQLV12</stp>
        <stp>[MODL_NOW_US1.xlsx]Single Period!R125C24</stp>
        <stp>NOW US Equity</stp>
        <stp>OPER_INC_TO_NET_SALES</stp>
        <stp>FPR=2021Y</stp>
        <stp>FPT=A</stp>
        <stp>FA_ACT_EST_DATA=E, EST_SOURCE=CWN</stp>
        <stp>ACT_EST_MAPPING=PRECISE</stp>
        <stp>FS=MRC</stp>
        <stp>CURRENCY=USD</stp>
        <stp>XLFILL=b</stp>
        <tr r="X125" s="2"/>
      </tp>
      <tp t="s">
        <v>#N/A Requesting Data...</v>
        <stp/>
        <stp>##V3_BQLV12</stp>
        <stp>[MODL_NOW_US1.xlsx]Single Period!R205C11</stp>
        <stp>NOW US Equity</stp>
        <stp>CB_CF_OTHR_NONCSH_ITEMS/1M</stp>
        <stp>FPR=2021Y</stp>
        <stp>FPT=A</stp>
        <stp>FA_ACT_EST_DATA=E, EST_SOURCE=JPM</stp>
        <stp>ACT_EST_MAPPING=PRECISE</stp>
        <stp>FS=MRC</stp>
        <stp>CURRENCY=USD</stp>
        <stp>XLFILL=b</stp>
        <tr r="K205" s="2"/>
      </tp>
      <tp t="s">
        <v>#N/A Requesting Data...</v>
        <stp/>
        <stp>##V3_BQLV12</stp>
        <stp>[MODL_NOW_US1.xlsx]Single Period!R17C26</stp>
        <stp>SEG0000230975 Segment</stp>
        <stp>IS_BILLINGS/1M</stp>
        <stp>FPR=2021Y</stp>
        <stp>FPT=A</stp>
        <stp>FA_ACT_EST_DATA=E, EST_SOURCE=UBS</stp>
        <stp>ACT_EST_MAPPING=PRECISE</stp>
        <stp>FS=MRC</stp>
        <stp>CURRENCY=USD</stp>
        <stp>XLFILL=b</stp>
        <tr r="Z17" s="2"/>
      </tp>
      <tp t="s">
        <v>#N/A Requesting Data...</v>
        <stp/>
        <stp>##V3_BQLV12</stp>
        <stp>[MODL_NOW_US1.xlsx]Single Period!R42C26</stp>
        <stp>SEG0000230975 Segment</stp>
        <stp>IS_BILLINGS/1M</stp>
        <stp>FPR=2021Y</stp>
        <stp>FPT=A</stp>
        <stp>FA_ACT_EST_DATA=E, EST_SOURCE=UBS</stp>
        <stp>ACT_EST_MAPPING=PRECISE</stp>
        <stp>FS=MRC</stp>
        <stp>CURRENCY=USD</stp>
        <stp>XLFILL=b</stp>
        <tr r="Z42" s="2"/>
      </tp>
      <tp t="s">
        <v>#N/A Requesting Data...</v>
        <stp/>
        <stp>##V3_BQLV12</stp>
        <stp>[MODL_NOW_US1.xlsx]Single Period!R160C13</stp>
        <stp>NOW US Equity</stp>
        <stp>PREPAID_EXPNSS_AND_OTHR/1M</stp>
        <stp>FPR=2021Y</stp>
        <stp>FPT=A</stp>
        <stp>FA_ACT_EST_DATA=E, EST_SOURCE=KEY</stp>
        <stp>ACT_EST_MAPPING=PRECISE</stp>
        <stp>FS=MRC</stp>
        <stp>CURRENCY=USD</stp>
        <stp>XLFILL=b</stp>
        <tr r="M160" s="2"/>
      </tp>
      <tp t="s">
        <v>#N/A Requesting Data...</v>
        <stp/>
        <stp>##V3_BQLV12</stp>
        <stp>[MODL_NOW_US1.xlsx]Single Period!R125C40</stp>
        <stp>NOW US Equity</stp>
        <stp>OPER_INC_TO_NET_SALES</stp>
        <stp>FPR=2021Y</stp>
        <stp>FPT=A</stp>
        <stp>FA_ACT_EST_DATA=E, EST_SOURCE=DWI</stp>
        <stp>ACT_EST_MAPPING=PRECISE</stp>
        <stp>FS=MRC</stp>
        <stp>CURRENCY=USD</stp>
        <stp>XLFILL=b</stp>
        <tr r="AN125" s="2"/>
      </tp>
      <tp t="s">
        <v>#N/A Requesting Data...</v>
        <stp/>
        <stp>##V3_BQLV12</stp>
        <stp>[MODL_NOW_US1.xlsx]Single Period!R101C10</stp>
        <stp>NOW US Equity</stp>
        <stp>CB_IS_OTHER_NON_OPER_INC_EXPN/1M</stp>
        <stp>FPR=2021Y</stp>
        <stp>FPT=A</stp>
        <stp>FA_ACT_EST_DATA=E, EST_SOURCE=CMPY</stp>
        <stp>ACT_EST_MAPPING=PRECISE</stp>
        <stp>FS=MRC</stp>
        <stp>CURRENCY=USD</stp>
        <stp>XLFILL=b</stp>
        <tr r="J101" s="2"/>
      </tp>
      <tp t="s">
        <v>#N/A Requesting Data...</v>
        <stp/>
        <stp>##V3_BQLV12</stp>
        <stp>[MODL_NOW_US1.xlsx]Single Period!R125C38</stp>
        <stp>NOW US Equity</stp>
        <stp>OPER_INC_TO_NET_SALES</stp>
        <stp>FPR=2021Y</stp>
        <stp>FPT=A</stp>
        <stp>FA_ACT_EST_DATA=E, EST_SOURCE=RWB</stp>
        <stp>ACT_EST_MAPPING=PRECISE</stp>
        <stp>FS=MRC</stp>
        <stp>CURRENCY=USD</stp>
        <stp>XLFILL=b</stp>
        <tr r="AL125" s="2"/>
      </tp>
      <tp t="s">
        <v>#N/A Requesting Data...</v>
        <stp/>
        <stp>##V3_BQLV12</stp>
        <stp>[MODL_NOW_US1.xlsx]Single Period!R63C47</stp>
        <stp>SEG0000230975 Segment</stp>
        <stp>CB_IS_GROSS_PROFIT/1M</stp>
        <stp>FPR=2021Y</stp>
        <stp>FPT=A</stp>
        <stp>FA_ACT_EST_DATA=E, EST_SOURCE=SUM</stp>
        <stp>ACT_EST_MAPPING=PRECISE</stp>
        <stp>FS=MRC</stp>
        <stp>CURRENCY=USD</stp>
        <stp>XLFILL=b</stp>
        <tr r="AU63" s="2"/>
      </tp>
      <tp t="s">
        <v>#N/A Requesting Data...</v>
        <stp/>
        <stp>##V3_BQLV12</stp>
        <stp>[MODL_NOW_US1.xlsx]Single Period!R182C29</stp>
        <stp>NOW US Equity</stp>
        <stp>BS_OTHER_NONCURRENT_LIABILITIES/1M</stp>
        <stp>FPR=2021Y</stp>
        <stp>FPT=A</stp>
        <stp>FA_ACT_EST_DATA=E, EST_SOURCE=BNS</stp>
        <stp>ACT_EST_MAPPING=PRECISE</stp>
        <stp>FS=MRC</stp>
        <stp>CURRENCY=USD</stp>
        <stp>XLFILL=b</stp>
        <tr r="AC182" s="2"/>
      </tp>
      <tp t="s">
        <v>#N/A Requesting Data...</v>
        <stp/>
        <stp>##V3_BQLV12</stp>
        <stp>[MODL_NOW_US1.xlsx]Single Period!R202C35</stp>
        <stp>NOW US Equity</stp>
        <stp>CF_AMORTIZATN_OF_DEFRRD_COMPNSTN/1M</stp>
        <stp>FPR=2021Y</stp>
        <stp>FPT=A</stp>
        <stp>FA_ACT_EST_DATA=E, EST_SOURCE=MSR</stp>
        <stp>ACT_EST_MAPPING=PRECISE</stp>
        <stp>FS=MRC</stp>
        <stp>CURRENCY=USD</stp>
        <stp>XLFILL=b</stp>
        <tr r="AI202" s="2"/>
      </tp>
      <tp t="s">
        <v>#N/A Requesting Data...</v>
        <stp/>
        <stp>##V3_BQLV12</stp>
        <stp>[MODL_NOW_US1.xlsx]Single Period!R182C18</stp>
        <stp>NOW US Equity</stp>
        <stp>BS_OTHER_NONCURRENT_LIABILITIES/1M</stp>
        <stp>FPR=2021Y</stp>
        <stp>FPT=A</stp>
        <stp>FA_ACT_EST_DATA=E, EST_SOURCE=SNR</stp>
        <stp>ACT_EST_MAPPING=PRECISE</stp>
        <stp>FS=MRC</stp>
        <stp>CURRENCY=USD</stp>
        <stp>XLFILL=b</stp>
        <tr r="R182" s="2"/>
      </tp>
      <tp t="s">
        <v>#N/A Requesting Data...</v>
        <stp/>
        <stp>##V3_BQLV12</stp>
        <stp>[MODL_NOW_US1.xlsx]Single Period!R121C24</stp>
        <stp>NOW US Equity</stp>
        <stp>CB_IS_GENL_AND_ADMIN_EXPN/1M</stp>
        <stp>FPR=2021Y</stp>
        <stp>FPT=A</stp>
        <stp>FA_ACT_EST_DATA=E, EST_SOURCE=CWN</stp>
        <stp>ACT_EST_MAPPING=PRECISE</stp>
        <stp>FS=MRC</stp>
        <stp>CURRENCY=USD</stp>
        <stp>XLFILL=b</stp>
        <tr r="X121" s="2"/>
      </tp>
      <tp t="s">
        <v>#N/A Requesting Data...</v>
        <stp/>
        <stp>##V3_BQLV12</stp>
        <stp>[MODL_NOW_US1.xlsx]Single Period!R177C28</stp>
        <stp>NOW US Equity</stp>
        <stp>BS_ST_CPTL_LEA_AND_OP_LEA_LIABS/1M</stp>
        <stp>FPR=2021Y</stp>
        <stp>FPT=A</stp>
        <stp>FA_ACT_EST_DATA=E, EST_SOURCE=EVR</stp>
        <stp>ACT_EST_MAPPING=PRECISE</stp>
        <stp>FS=MRC</stp>
        <stp>CURRENCY=USD</stp>
        <stp>XLFILL=b</stp>
        <tr r="AB177" s="2"/>
      </tp>
      <tp t="s">
        <v>#N/A Requesting Data...</v>
        <stp/>
        <stp>##V3_BQLV12</stp>
        <stp>[MODL_NOW_US1.xlsx]Single Period!R15C7</stp>
        <stp>SEG0000230992 Segment</stp>
        <stp>CONTRIBUTOR_STATS(SALES_REV_TURN, MAX)/1M</stp>
        <stp>FPR=2021Y</stp>
        <stp>FPT=A</stp>
        <stp>FA_ACT_EST_DATA=E</stp>
        <stp>ACT_EST_MAPPING=PRECISE</stp>
        <stp>FS=MRC</stp>
        <stp>CURRENCY=USD</stp>
        <stp>XLFILL=b</stp>
        <tr r="G15" s="2"/>
      </tp>
      <tp t="s">
        <v>#N/A Requesting Data...</v>
        <stp/>
        <stp>##V3_BQLV12</stp>
        <stp>[MODL_NOW_US1.xlsx]Single Period!R15C6</stp>
        <stp>SEG0000230992 Segment</stp>
        <stp>CONTRIBUTOR_STATS(SALES_REV_TURN, MIN)/1M</stp>
        <stp>FPR=2021Y</stp>
        <stp>FPT=A</stp>
        <stp>FA_ACT_EST_DATA=E</stp>
        <stp>ACT_EST_MAPPING=PRECISE</stp>
        <stp>FS=MRC</stp>
        <stp>CURRENCY=USD</stp>
        <stp>XLFILL=b</stp>
        <tr r="F15" s="2"/>
      </tp>
      <tp t="s">
        <v>#N/A Requesting Data...</v>
        <stp/>
        <stp>##V3_BQLV12</stp>
        <stp>[MODL_NOW_US1.xlsx]Single Period!R202C31</stp>
        <stp>NOW US Equity</stp>
        <stp>CF_AMORTIZATN_OF_DEFRRD_COMPNSTN/1M</stp>
        <stp>FPR=2021Y</stp>
        <stp>FPT=A</stp>
        <stp>FA_ACT_EST_DATA=E, EST_SOURCE=GSR</stp>
        <stp>ACT_EST_MAPPING=PRECISE</stp>
        <stp>FS=MRC</stp>
        <stp>CURRENCY=USD</stp>
        <stp>XLFILL=b</stp>
        <tr r="AE202" s="2"/>
      </tp>
      <tp t="s">
        <v>#N/A Requesting Data...</v>
        <stp/>
        <stp>##V3_BQLV12</stp>
        <stp>[MODL_NOW_US1.xlsx]Single Period!R225C32</stp>
        <stp>NOW US Equity</stp>
        <stp>CF_INCR_CAP_STOCK/1M</stp>
        <stp>FPR=2021Y</stp>
        <stp>FPT=A</stp>
        <stp>FA_ACT_EST_DATA=E, EST_SOURCE=FBC</stp>
        <stp>ACT_EST_MAPPING=PRECISE</stp>
        <stp>FS=MRC</stp>
        <stp>CURRENCY=USD</stp>
        <stp>XLFILL=b</stp>
        <tr r="AF225" s="2"/>
      </tp>
      <tp t="s">
        <v>#N/A Requesting Data...</v>
        <stp/>
        <stp>##V3_BQLV12</stp>
        <stp>[MODL_NOW_US1.xlsx]Single Period!R213C46</stp>
        <stp>NOW US Equity</stp>
        <stp>CF_CASH_FROM_OPER/1M</stp>
        <stp>FPR=2021Y</stp>
        <stp>FPT=A</stp>
        <stp>FA_ACT_EST_DATA=E, EST_SOURCE=MZS</stp>
        <stp>ACT_EST_MAPPING=PRECISE</stp>
        <stp>FS=MRC</stp>
        <stp>CURRENCY=USD</stp>
        <stp>XLFILL=b</stp>
        <tr r="AT213" s="2"/>
      </tp>
      <tp t="s">
        <v>#N/A Requesting Data...</v>
        <stp/>
        <stp>##V3_BQLV12</stp>
        <stp>[MODL_NOW_US1.xlsx]Single Period!R225C12</stp>
        <stp>NOW US Equity</stp>
        <stp>CF_INCR_CAP_STOCK/1M</stp>
        <stp>FPR=2021Y</stp>
        <stp>FPT=A</stp>
        <stp>FA_ACT_EST_DATA=E, EST_SOURCE=WBL</stp>
        <stp>ACT_EST_MAPPING=PRECISE</stp>
        <stp>FS=MRC</stp>
        <stp>CURRENCY=USD</stp>
        <stp>XLFILL=b</stp>
        <tr r="L225" s="2"/>
      </tp>
      <tp t="s">
        <v>#N/A Requesting Data...</v>
        <stp/>
        <stp>##V3_BQLV12</stp>
        <stp>[MODL_NOW_US1.xlsx]Single Period!R155C25</stp>
        <stp>NOW US Equity</stp>
        <stp>BS_CASH_CASH_EQUIVALENTS_AND_STI/1M</stp>
        <stp>FPR=2021Y</stp>
        <stp>FPT=A</stp>
        <stp>FA_ACT_EST_DATA=E, EST_SOURCE=DBG</stp>
        <stp>ACT_EST_MAPPING=PRECISE</stp>
        <stp>FS=MRC</stp>
        <stp>CURRENCY=USD</stp>
        <stp>XLFILL=b</stp>
        <tr r="Y155" s="2"/>
      </tp>
      <tp t="s">
        <v>#N/A Requesting Data...</v>
        <stp/>
        <stp>##V3_BQLV12</stp>
        <stp>[MODL_NOW_US1.xlsx]Single Period!R121C41</stp>
        <stp>NOW US Equity</stp>
        <stp>CB_IS_GENL_AND_ADMIN_EXPN/1M</stp>
        <stp>FPR=2021Y</stp>
        <stp>FPT=A</stp>
        <stp>FA_ACT_EST_DATA=E, EST_SOURCE=ARG</stp>
        <stp>ACT_EST_MAPPING=PRECISE</stp>
        <stp>FS=MRC</stp>
        <stp>CURRENCY=USD</stp>
        <stp>XLFILL=b</stp>
        <tr r="AO121" s="2"/>
      </tp>
      <tp t="s">
        <v>#N/A Requesting Data...</v>
        <stp/>
        <stp>##V3_BQLV12</stp>
        <stp>[MODL_NOW_US1.xlsx]Single Period!R155C27</stp>
        <stp>NOW US Equity</stp>
        <stp>BS_CASH_CASH_EQUIVALENTS_AND_STI/1M</stp>
        <stp>FPR=2021Y</stp>
        <stp>FPT=A</stp>
        <stp>FA_ACT_EST_DATA=E, EST_SOURCE=RBC</stp>
        <stp>ACT_EST_MAPPING=PRECISE</stp>
        <stp>FS=MRC</stp>
        <stp>CURRENCY=USD</stp>
        <stp>XLFILL=b</stp>
        <tr r="AA155" s="2"/>
      </tp>
      <tp t="s">
        <v>#N/A Requesting Data...</v>
        <stp/>
        <stp>##V3_BQLV12</stp>
        <stp>[MODL_NOW_US1.xlsx]Single Period!R107C47</stp>
        <stp>NOW US Equity</stp>
        <stp>CB_IS_ADJ_DILUTED_AVG_SHS/1M</stp>
        <stp>FPR=2021Y</stp>
        <stp>FPT=A</stp>
        <stp>FA_ACT_EST_DATA=E, EST_SOURCE=SUM</stp>
        <stp>ACT_EST_MAPPING=PRECISE</stp>
        <stp>FS=MRC</stp>
        <stp>CURRENCY=USD</stp>
        <stp>XLFILL=b</stp>
        <tr r="AU107" s="2"/>
      </tp>
      <tp t="s">
        <v>#N/A Requesting Data...</v>
        <stp/>
        <stp>##V3_BQLV12</stp>
        <stp>[MODL_NOW_US1.xlsx]Single Period!R121C39</stp>
        <stp>NOW US Equity</stp>
        <stp>CB_IS_GENL_AND_ADMIN_EXPN/1M</stp>
        <stp>FPR=2021Y</stp>
        <stp>FPT=A</stp>
        <stp>FA_ACT_EST_DATA=E, EST_SOURCE=DZB</stp>
        <stp>ACT_EST_MAPPING=PRECISE</stp>
        <stp>FS=MRC</stp>
        <stp>CURRENCY=USD</stp>
        <stp>XLFILL=b</stp>
        <tr r="AM121" s="2"/>
      </tp>
      <tp t="s">
        <v>#N/A Requesting Data...</v>
        <stp/>
        <stp>##V3_BQLV12</stp>
        <stp>[MODL_NOW_US1.xlsx]Single Period!R121C37</stp>
        <stp>NOW US Equity</stp>
        <stp>CB_IS_GENL_AND_ADMIN_EXPN/1M</stp>
        <stp>FPR=2021Y</stp>
        <stp>FPT=A</stp>
        <stp>FA_ACT_EST_DATA=E, EST_SOURCE=TTC</stp>
        <stp>ACT_EST_MAPPING=PRECISE</stp>
        <stp>FS=MRC</stp>
        <stp>CURRENCY=USD</stp>
        <stp>XLFILL=b</stp>
        <tr r="AK121" s="2"/>
      </tp>
      <tp t="s">
        <v>#N/A Requesting Data...</v>
        <stp/>
        <stp>##V3_BQLV12</stp>
        <stp>[MODL_NOW_US1.xlsx]Single Period!R107C31</stp>
        <stp>NOW US Equity</stp>
        <stp>CB_IS_ADJ_DILUTED_AVG_SHS/1M</stp>
        <stp>FPR=2021Y</stp>
        <stp>FPT=A</stp>
        <stp>FA_ACT_EST_DATA=E, EST_SOURCE=GSR</stp>
        <stp>ACT_EST_MAPPING=PRECISE</stp>
        <stp>FS=MRC</stp>
        <stp>CURRENCY=USD</stp>
        <stp>XLFILL=b</stp>
        <tr r="AE107" s="2"/>
      </tp>
      <tp t="s">
        <v>#N/A Requesting Data...</v>
        <stp/>
        <stp>##V3_BQLV12</stp>
        <stp>[MODL_NOW_US1.xlsx]Single Period!R104C43</stp>
        <stp>NOW US Equity</stp>
        <stp>IS_COMP_NET_INC_EXCL_STOCK_COMP/1M</stp>
        <stp>FPR=2021Y</stp>
        <stp>FPT=A</stp>
        <stp>FA_ACT_EST_DATA=E, EST_SOURCE=WFT</stp>
        <stp>ACT_EST_MAPPING=PRECISE</stp>
        <stp>FS=MRC</stp>
        <stp>CURRENCY=USD</stp>
        <stp>XLFILL=b</stp>
        <tr r="AQ104" s="2"/>
      </tp>
      <tp t="s">
        <v>#N/A Requesting Data...</v>
        <stp/>
        <stp>##V3_BQLV12</stp>
        <stp>[MODL_NOW_US1.xlsx]Single Period!R202C34</stp>
        <stp>NOW US Equity</stp>
        <stp>CF_AMORTIZATN_OF_DEFRRD_COMPNSTN/1M</stp>
        <stp>FPR=2021Y</stp>
        <stp>FPT=A</stp>
        <stp>FA_ACT_EST_DATA=E, EST_SOURCE=PSG</stp>
        <stp>ACT_EST_MAPPING=PRECISE</stp>
        <stp>FS=MRC</stp>
        <stp>CURRENCY=USD</stp>
        <stp>XLFILL=b</stp>
        <tr r="AH202" s="2"/>
      </tp>
      <tp t="s">
        <v>#N/A Requesting Data...</v>
        <stp/>
        <stp>##V3_BQLV12</stp>
        <stp>[MODL_NOW_US1.xlsx]Single Period!R216C23</stp>
        <stp>NOW US Equity</stp>
        <stp>CF_PURCHASE_OF_FIXED_PROD_ASSETS/1M</stp>
        <stp>FPR=2021Y</stp>
        <stp>FPT=A</stp>
        <stp>FA_ACT_EST_DATA=E, EST_SOURCE=ZXS</stp>
        <stp>ACT_EST_MAPPING=PRECISE</stp>
        <stp>FS=MRC</stp>
        <stp>CURRENCY=USD</stp>
        <stp>XLFILL=b</stp>
        <tr r="W216" s="2"/>
      </tp>
      <tp t="s">
        <v>#N/A Requesting Data...</v>
        <stp/>
        <stp>##V3_BQLV12</stp>
        <stp>[MODL_NOW_US1.xlsx]Single Period!R227C17</stp>
        <stp>NOW US Equity</stp>
        <stp>CF_NET_CSH_PROV_BY_FINANCING_ACT/1M</stp>
        <stp>FPR=2021Y</stp>
        <stp>FPT=A</stp>
        <stp>FA_ACT_EST_DATA=E, EST_SOURCE=RHR</stp>
        <stp>ACT_EST_MAPPING=PRECISE</stp>
        <stp>FS=MRC</stp>
        <stp>CURRENCY=USD</stp>
        <stp>XLFILL=b</stp>
        <tr r="Q227" s="2"/>
      </tp>
      <tp t="s">
        <v>#N/A Requesting Data...</v>
        <stp/>
        <stp>##V3_BQLV12</stp>
        <stp>[MODL_NOW_US1.xlsx]Single Period!R15C8</stp>
        <stp>SEG0000230992 Segment</stp>
        <stp>CONTRIBUTOR_STATS(SALES_REV_TURN, STD)/1M</stp>
        <stp>FPR=2021Y</stp>
        <stp>FPT=A</stp>
        <stp>FA_ACT_EST_DATA=E</stp>
        <stp>ACT_EST_MAPPING=PRECISE</stp>
        <stp>FS=MRC</stp>
        <stp>CURRENCY=USD</stp>
        <stp>XLFILL=b</stp>
        <tr r="H15" s="2"/>
      </tp>
      <tp t="s">
        <v>#N/A Requesting Data...</v>
        <stp/>
        <stp>##V3_BQLV12</stp>
        <stp>[MODL_NOW_US1.xlsx]Single Period!R148C26</stp>
        <stp>NOW US Equity</stp>
        <stp>IS_AMORT_ACQD_INTANGIBLES_R_AND_D/1M</stp>
        <stp>FPR=2021Y</stp>
        <stp>FPT=A</stp>
        <stp>FA_ACT_EST_DATA=E, EST_SOURCE=UBS</stp>
        <stp>ACT_EST_MAPPING=PRECISE</stp>
        <stp>FS=MRC</stp>
        <stp>CURRENCY=USD</stp>
        <stp>XLFILL=b</stp>
        <tr r="Z148" s="2"/>
      </tp>
      <tp t="s">
        <v>#N/A Requesting Data...</v>
        <stp/>
        <stp>##V3_BQLV12</stp>
        <stp>[MODL_NOW_US1.xlsx]Single Period!R155C26</stp>
        <stp>NOW US Equity</stp>
        <stp>BS_CASH_CASH_EQUIVALENTS_AND_STI/1M</stp>
        <stp>FPR=2021Y</stp>
        <stp>FPT=A</stp>
        <stp>FA_ACT_EST_DATA=E, EST_SOURCE=UBS</stp>
        <stp>ACT_EST_MAPPING=PRECISE</stp>
        <stp>FS=MRC</stp>
        <stp>CURRENCY=USD</stp>
        <stp>XLFILL=b</stp>
        <tr r="Z155" s="2"/>
      </tp>
      <tp t="s">
        <v>#N/A Requesting Data...</v>
        <stp/>
        <stp>##V3_BQLV12</stp>
        <stp>[MODL_NOW_US1.xlsx]Single Period!R71C23</stp>
        <stp>SEG0000230986 Segment</stp>
        <stp>CB_IS_GROSS_PROFIT/1M</stp>
        <stp>FPR=2021Y</stp>
        <stp>FPT=A</stp>
        <stp>FA_ACT_EST_DATA=E, EST_SOURCE=ZXS</stp>
        <stp>ACT_EST_MAPPING=PRECISE</stp>
        <stp>FS=MRC</stp>
        <stp>CURRENCY=USD</stp>
        <stp>XLFILL=b</stp>
        <tr r="W71" s="2"/>
      </tp>
      <tp t="s">
        <v>#N/A Requesting Data...</v>
        <stp/>
        <stp>##V3_BQLV12</stp>
        <stp>[MODL_NOW_US1.xlsx]Single Period!R202C42</stp>
        <stp>NOW US Equity</stp>
        <stp>CF_AMORTIZATN_OF_DEFRRD_COMPNSTN/1M</stp>
        <stp>FPR=2021Y</stp>
        <stp>FPT=A</stp>
        <stp>FA_ACT_EST_DATA=E, EST_SOURCE=CTI</stp>
        <stp>ACT_EST_MAPPING=PRECISE</stp>
        <stp>FS=MRC</stp>
        <stp>CURRENCY=USD</stp>
        <stp>XLFILL=b</stp>
        <tr r="AP202" s="2"/>
      </tp>
      <tp t="s">
        <v>#N/A Requesting Data...</v>
        <stp/>
        <stp>##V3_BQLV12</stp>
        <stp>[MODL_NOW_US1.xlsx]Single Period!R99C6</stp>
        <stp>NOW US Equity</stp>
        <stp>CONTRIBUTOR_STATS(IS_COMPARABLE_EBITDA, MIN)/1M</stp>
        <stp>FPR=2021Y</stp>
        <stp>FPT=A</stp>
        <stp>FA_ACT_EST_DATA=E</stp>
        <stp>ACT_EST_MAPPING=PRECISE</stp>
        <stp>FS=MRC</stp>
        <stp>CURRENCY=USD</stp>
        <stp>XLFILL=b</stp>
        <tr r="F99" s="2"/>
      </tp>
      <tp t="s">
        <v>#N/A Requesting Data...</v>
        <stp/>
        <stp>##V3_BQLV12</stp>
        <stp>[MODL_NOW_US1.xlsx]Single Period!R129C15</stp>
        <stp>NOW US Equity</stp>
        <stp>EFF_TAX_RATE</stp>
        <stp>FPR=2021Y</stp>
        <stp>FPT=A</stp>
        <stp>FA_ACT_EST_DATA=E, EST_SOURCE=OPY</stp>
        <stp>ACT_EST_MAPPING=PRECISE</stp>
        <stp>FS=MRC</stp>
        <stp>CURRENCY=USD</stp>
        <stp>XLFILL=b</stp>
        <tr r="O129" s="2"/>
      </tp>
      <tp t="s">
        <v>#N/A Requesting Data...</v>
        <stp/>
        <stp>##V3_BQLV12</stp>
        <stp>[MODL_NOW_US1.xlsx]Single Period!R99C7</stp>
        <stp>NOW US Equity</stp>
        <stp>CONTRIBUTOR_STATS(IS_COMPARABLE_EBITDA, MAX)/1M</stp>
        <stp>FPR=2021Y</stp>
        <stp>FPT=A</stp>
        <stp>FA_ACT_EST_DATA=E</stp>
        <stp>ACT_EST_MAPPING=PRECISE</stp>
        <stp>FS=MRC</stp>
        <stp>CURRENCY=USD</stp>
        <stp>XLFILL=b</stp>
        <tr r="G99" s="2"/>
      </tp>
      <tp t="s">
        <v>#N/A Requesting Data...</v>
        <stp/>
        <stp>##V3_BQLV12</stp>
        <stp>[MODL_NOW_US1.xlsx]Single Period!R116C37</stp>
        <stp>NOW US Equity</stp>
        <stp>GROSS_MARGIN</stp>
        <stp>FPR=2021Y</stp>
        <stp>FPT=A</stp>
        <stp>FA_ACT_EST_DATA=E, EST_SOURCE=TTC</stp>
        <stp>ACT_EST_MAPPING=PRECISE</stp>
        <stp>FS=MRC</stp>
        <stp>CURRENCY=USD</stp>
        <stp>XLFILL=b</stp>
        <tr r="AK116" s="2"/>
      </tp>
      <tp t="s">
        <v>#N/A Requesting Data...</v>
        <stp/>
        <stp>##V3_BQLV12</stp>
        <stp>[MODL_NOW_US1.xlsx]Single Period!R116C39</stp>
        <stp>NOW US Equity</stp>
        <stp>GROSS_MARGIN</stp>
        <stp>FPR=2021Y</stp>
        <stp>FPT=A</stp>
        <stp>FA_ACT_EST_DATA=E, EST_SOURCE=DZB</stp>
        <stp>ACT_EST_MAPPING=PRECISE</stp>
        <stp>FS=MRC</stp>
        <stp>CURRENCY=USD</stp>
        <stp>XLFILL=b</stp>
        <tr r="AM116" s="2"/>
      </tp>
      <tp t="s">
        <v>#N/A Requesting Data...</v>
        <stp/>
        <stp>##V3_BQLV12</stp>
        <stp>[MODL_NOW_US1.xlsx]Single Period!R116C41</stp>
        <stp>NOW US Equity</stp>
        <stp>GROSS_MARGIN</stp>
        <stp>FPR=2021Y</stp>
        <stp>FPT=A</stp>
        <stp>FA_ACT_EST_DATA=E, EST_SOURCE=ARG</stp>
        <stp>ACT_EST_MAPPING=PRECISE</stp>
        <stp>FS=MRC</stp>
        <stp>CURRENCY=USD</stp>
        <stp>XLFILL=b</stp>
        <tr r="AO116" s="2"/>
      </tp>
      <tp t="s">
        <v>#N/A Requesting Data...</v>
        <stp/>
        <stp>##V3_BQLV12</stp>
        <stp>[MODL_NOW_US1.xlsx]Single Period!R99C8</stp>
        <stp>NOW US Equity</stp>
        <stp>CONTRIBUTOR_STATS(IS_COMPARABLE_EBITDA, STD)/1M</stp>
        <stp>FPR=2021Y</stp>
        <stp>FPT=A</stp>
        <stp>FA_ACT_EST_DATA=E</stp>
        <stp>ACT_EST_MAPPING=PRECISE</stp>
        <stp>FS=MRC</stp>
        <stp>CURRENCY=USD</stp>
        <stp>XLFILL=b</stp>
        <tr r="H99" s="2"/>
      </tp>
      <tp t="s">
        <v>#N/A Requesting Data...</v>
        <stp/>
        <stp>##V3_BQLV12</stp>
        <stp>[MODL_NOW_US1.xlsx]Single Period!R239C20</stp>
        <stp>NOW US Equity</stp>
        <stp>CFO_TO_SALES</stp>
        <stp>FPR=2021Y</stp>
        <stp>FPT=A</stp>
        <stp>FA_ACT_EST_DATA=E, EST_SOURCE=CAN</stp>
        <stp>ACT_EST_MAPPING=PRECISE</stp>
        <stp>FS=MRC</stp>
        <stp>CURRENCY=USD</stp>
        <stp>XLFILL=b</stp>
        <tr r="T239" s="2"/>
      </tp>
      <tp t="s">
        <v>#N/A Requesting Data...</v>
        <stp/>
        <stp>##V3_BQLV12</stp>
        <stp>[MODL_NOW_US1.xlsx]Single Period!R116C24</stp>
        <stp>NOW US Equity</stp>
        <stp>GROSS_MARGIN</stp>
        <stp>FPR=2021Y</stp>
        <stp>FPT=A</stp>
        <stp>FA_ACT_EST_DATA=E, EST_SOURCE=CWN</stp>
        <stp>ACT_EST_MAPPING=PRECISE</stp>
        <stp>FS=MRC</stp>
        <stp>CURRENCY=USD</stp>
        <stp>XLFILL=b</stp>
        <tr r="X116" s="2"/>
      </tp>
      <tp t="s">
        <v>#N/A Requesting Data...</v>
        <stp/>
        <stp>##V3_BQLV12</stp>
        <stp>[MODL_NOW_US1.xlsx]Single Period!R239C30</stp>
        <stp>NOW US Equity</stp>
        <stp>CFO_TO_SALES</stp>
        <stp>FPR=2021Y</stp>
        <stp>FPT=A</stp>
        <stp>FA_ACT_EST_DATA=E, EST_SOURCE=BAM</stp>
        <stp>ACT_EST_MAPPING=PRECISE</stp>
        <stp>FS=MRC</stp>
        <stp>CURRENCY=USD</stp>
        <stp>XLFILL=b</stp>
        <tr r="AD239" s="2"/>
      </tp>
      <tp t="s">
        <v>#N/A Requesting Data...</v>
        <stp/>
        <stp>##V3_BQLV12</stp>
        <stp>[MODL_NOW_US1.xlsx]Single Period!R166C14</stp>
        <stp>NOW US Equity</stp>
        <stp>BS_OTHER_INTANGIBLE_ASSETS/1M</stp>
        <stp>FPR=2021Y</stp>
        <stp>FPT=A</stp>
        <stp>FA_ACT_EST_DATA=E, EST_SOURCE=BMO</stp>
        <stp>ACT_EST_MAPPING=PRECISE</stp>
        <stp>FS=MRC</stp>
        <stp>CURRENCY=USD</stp>
        <stp>XLFILL=b</stp>
        <tr r="N166" s="2"/>
      </tp>
      <tp t="s">
        <v>#N/A Requesting Data...</v>
        <stp/>
        <stp>##V3_BQLV12</stp>
        <stp>[MODL_NOW_US1.xlsx]Single Period!R96C15</stp>
        <stp>NOW US Equity</stp>
        <stp>ADJ_OPERATING_MARGIN</stp>
        <stp>FPR=2021Y</stp>
        <stp>FPT=A</stp>
        <stp>FA_ACT_EST_DATA=E, EST_SOURCE=OPY</stp>
        <stp>ACT_EST_MAPPING=PRECISE</stp>
        <stp>FS=MRC</stp>
        <stp>CURRENCY=USD</stp>
        <stp>XLFILL=b</stp>
        <tr r="O96" s="2"/>
      </tp>
      <tp t="s">
        <v>#N/A Requesting Data...</v>
        <stp/>
        <stp>##V3_BQLV12</stp>
        <stp>[MODL_NOW_US1.xlsx]Single Period!R194C10</stp>
        <stp>NOW US Equity</stp>
        <stp>CB_BS_OTHER_CURRENT_ASSETS/1M</stp>
        <stp>FPR=2021Y</stp>
        <stp>FPT=A</stp>
        <stp>FA_ACT_EST_DATA=E, EST_SOURCE=CMPY</stp>
        <stp>ACT_EST_MAPPING=PRECISE</stp>
        <stp>FS=MRC</stp>
        <stp>CURRENCY=USD</stp>
        <stp>XLFILL=b</stp>
        <tr r="J194" s="2"/>
      </tp>
      <tp t="s">
        <v>#N/A Requesting Data...</v>
        <stp/>
        <stp>##V3_BQLV12</stp>
        <stp>[MODL_NOW_US1.xlsx]Single Period!R159C10</stp>
        <stp>NOW US Equity</stp>
        <stp>CB_BS_OTHER_CURRENT_ASSETS/1M</stp>
        <stp>FPR=2021Y</stp>
        <stp>FPT=A</stp>
        <stp>FA_ACT_EST_DATA=E, EST_SOURCE=CMPY</stp>
        <stp>ACT_EST_MAPPING=PRECISE</stp>
        <stp>FS=MRC</stp>
        <stp>CURRENCY=USD</stp>
        <stp>XLFILL=b</stp>
        <tr r="J159" s="2"/>
      </tp>
      <tp t="s">
        <v>#N/A Requesting Data...</v>
        <stp/>
        <stp>##V3_BQLV12</stp>
        <stp>[MODL_NOW_US1.xlsx]Single Period!R28C28</stp>
        <stp>NOW US Equity</stp>
        <stp>ADJ_OPERATING_MARGIN</stp>
        <stp>FPR=2021Y</stp>
        <stp>FPT=A</stp>
        <stp>FA_ACT_EST_DATA=E, EST_SOURCE=EVR</stp>
        <stp>ACT_EST_MAPPING=PRECISE</stp>
        <stp>FS=MRC</stp>
        <stp>CURRENCY=USD</stp>
        <stp>XLFILL=b</stp>
        <tr r="AB28" s="2"/>
      </tp>
      <tp t="s">
        <v>#N/A Requesting Data...</v>
        <stp/>
        <stp>##V3_BQLV12</stp>
        <stp>[MODL_NOW_US1.xlsx]Single Period!R164C48</stp>
        <stp>NOW US Equity</stp>
        <stp>CB_BS_PP_AND_E_NET/1M</stp>
        <stp>FPR=2021Y</stp>
        <stp>FPT=A</stp>
        <stp>FA_ACT_EST_DATA=E, EST_SOURCE=CRC</stp>
        <stp>ACT_EST_MAPPING=PRECISE</stp>
        <stp>FS=MRC</stp>
        <stp>CURRENCY=USD</stp>
        <stp>XLFILL=b</stp>
        <tr r="AV164" s="2"/>
      </tp>
      <tp t="s">
        <v>#N/A Requesting Data...</v>
        <stp/>
        <stp>##V3_BQLV12</stp>
        <stp>[MODL_NOW_US1.xlsx]Single Period!R164C41</stp>
        <stp>NOW US Equity</stp>
        <stp>CB_BS_PP_AND_E_NET/1M</stp>
        <stp>FPR=2021Y</stp>
        <stp>FPT=A</stp>
        <stp>FA_ACT_EST_DATA=E, EST_SOURCE=ARG</stp>
        <stp>ACT_EST_MAPPING=PRECISE</stp>
        <stp>FS=MRC</stp>
        <stp>CURRENCY=USD</stp>
        <stp>XLFILL=b</stp>
        <tr r="AO164" s="2"/>
      </tp>
      <tp t="s">
        <v>#N/A Requesting Data...</v>
        <stp/>
        <stp>##V3_BQLV12</stp>
        <stp>[MODL_NOW_US1.xlsx]Single Period!R164C44</stp>
        <stp>NOW US Equity</stp>
        <stp>CB_BS_PP_AND_E_NET/1M</stp>
        <stp>FPR=2021Y</stp>
        <stp>FPT=A</stp>
        <stp>FA_ACT_EST_DATA=E, EST_SOURCE=ARE</stp>
        <stp>ACT_EST_MAPPING=PRECISE</stp>
        <stp>FS=MRC</stp>
        <stp>CURRENCY=USD</stp>
        <stp>XLFILL=b</stp>
        <tr r="AR164" s="2"/>
      </tp>
      <tp t="s">
        <v>#N/A Requesting Data...</v>
        <stp/>
        <stp>##V3_BQLV12</stp>
        <stp>[MODL_NOW_US1.xlsx]Single Period!R166C21</stp>
        <stp>NOW US Equity</stp>
        <stp>BS_OTHER_INTANGIBLE_ASSETS/1M</stp>
        <stp>FPR=2021Y</stp>
        <stp>FPT=A</stp>
        <stp>FA_ACT_EST_DATA=E, EST_SOURCE=JMP</stp>
        <stp>ACT_EST_MAPPING=PRECISE</stp>
        <stp>FS=MRC</stp>
        <stp>CURRENCY=USD</stp>
        <stp>XLFILL=b</stp>
        <tr r="U166" s="2"/>
      </tp>
      <tp t="s">
        <v>#N/A Requesting Data...</v>
        <stp/>
        <stp>##V3_BQLV12</stp>
        <stp>[MODL_NOW_US1.xlsx]Single Period!R149C23</stp>
        <stp>NOW US Equity</stp>
        <stp>IS_AMORT_ACQD_INTANG_GEN_AND_ADMIN/1M</stp>
        <stp>FPR=2021Y</stp>
        <stp>FPT=A</stp>
        <stp>FA_ACT_EST_DATA=E, EST_SOURCE=ZXS</stp>
        <stp>ACT_EST_MAPPING=PRECISE</stp>
        <stp>FS=MRC</stp>
        <stp>CURRENCY=USD</stp>
        <stp>XLFILL=b</stp>
        <tr r="W149" s="2"/>
      </tp>
      <tp t="s">
        <v>#N/A Requesting Data...</v>
        <stp/>
        <stp>##V3_BQLV12</stp>
        <stp>[MODL_NOW_US1.xlsx]Single Period!R127C47</stp>
        <stp>NOW US Equity</stp>
        <stp>PRETAX_INC/1M</stp>
        <stp>FPR=2021Y</stp>
        <stp>FPT=A</stp>
        <stp>FA_ACT_EST_DATA=E, EST_SOURCE=SUM</stp>
        <stp>ACT_EST_MAPPING=PRECISE</stp>
        <stp>FS=MRC</stp>
        <stp>CURRENCY=USD</stp>
        <stp>XLFILL=b</stp>
        <tr r="AU127" s="2"/>
      </tp>
      <tp t="s">
        <v>#N/A Requesting Data...</v>
        <stp/>
        <stp>##V3_BQLV12</stp>
        <stp>[MODL_NOW_US1.xlsx]Single Period!R163C47</stp>
        <stp>NOW US Equity</stp>
        <stp>CB_BS_PP_AND_E_NET/1M</stp>
        <stp>FPR=2021Y</stp>
        <stp>FPT=A</stp>
        <stp>FA_ACT_EST_DATA=E, EST_SOURCE=SUM</stp>
        <stp>ACT_EST_MAPPING=PRECISE</stp>
        <stp>FS=MRC</stp>
        <stp>CURRENCY=USD</stp>
        <stp>XLFILL=b</stp>
        <tr r="AU163" s="2"/>
      </tp>
      <tp t="s">
        <v>#N/A Requesting Data...</v>
        <stp/>
        <stp>##V3_BQLV12</stp>
        <stp>[MODL_NOW_US1.xlsx]Single Period!R17C16</stp>
        <stp>SEG0000230975 Segment</stp>
        <stp>IS_BILLINGS/1M</stp>
        <stp>FPR=2021Y</stp>
        <stp>FPT=A</stp>
        <stp>FA_ACT_EST_DATA=E, EST_SOURCE=BCA</stp>
        <stp>ACT_EST_MAPPING=PRECISE</stp>
        <stp>FS=MRC</stp>
        <stp>CURRENCY=USD</stp>
        <stp>XLFILL=b</stp>
        <tr r="P17" s="2"/>
      </tp>
      <tp t="s">
        <v>#N/A Requesting Data...</v>
        <stp/>
        <stp>##V3_BQLV12</stp>
        <stp>[MODL_NOW_US1.xlsx]Single Period!R42C16</stp>
        <stp>SEG0000230975 Segment</stp>
        <stp>IS_BILLINGS/1M</stp>
        <stp>FPR=2021Y</stp>
        <stp>FPT=A</stp>
        <stp>FA_ACT_EST_DATA=E, EST_SOURCE=BCA</stp>
        <stp>ACT_EST_MAPPING=PRECISE</stp>
        <stp>FS=MRC</stp>
        <stp>CURRENCY=USD</stp>
        <stp>XLFILL=b</stp>
        <tr r="P42" s="2"/>
      </tp>
      <tp t="s">
        <v>#N/A Requesting Data...</v>
        <stp/>
        <stp>##V3_BQLV12</stp>
        <stp>[MODL_NOW_US1.xlsx]Single Period!R169C10</stp>
        <stp>NOW US Equity</stp>
        <stp>CB_BS_OTHER_NONCURRENT_ASSETS/1M</stp>
        <stp>FPR=2021Y</stp>
        <stp>FPT=A</stp>
        <stp>FA_ACT_EST_DATA=E, EST_SOURCE=CMPY</stp>
        <stp>ACT_EST_MAPPING=PRECISE</stp>
        <stp>FS=MRC</stp>
        <stp>CURRENCY=USD</stp>
        <stp>XLFILL=b</stp>
        <tr r="J169" s="2"/>
      </tp>
      <tp t="s">
        <v>#N/A Requesting Data...</v>
        <stp/>
        <stp>##V3_BQLV12</stp>
        <stp>[MODL_NOW_US1.xlsx]Single Period!R160C22</stp>
        <stp>NOW US Equity</stp>
        <stp>PREPAID_EXPNSS_AND_OTHR/1M</stp>
        <stp>FPR=2021Y</stp>
        <stp>FPT=A</stp>
        <stp>FA_ACT_EST_DATA=E, EST_SOURCE=NDH</stp>
        <stp>ACT_EST_MAPPING=PRECISE</stp>
        <stp>FS=MRC</stp>
        <stp>CURRENCY=USD</stp>
        <stp>XLFILL=b</stp>
        <tr r="V160" s="2"/>
      </tp>
      <tp t="s">
        <v>#N/A Requesting Data...</v>
        <stp/>
        <stp>##V3_BQLV12</stp>
        <stp>[MODL_NOW_US1.xlsx]Single Period!R28C8</stp>
        <stp>NOW US Equity</stp>
        <stp>CONTRIBUTOR_STATS(ADJ_OPERATING_MARGIN, STD)</stp>
        <stp>FPR=2021Y</stp>
        <stp>FPT=A</stp>
        <stp>FA_ACT_EST_DATA=E</stp>
        <stp>ACT_EST_MAPPING=PRECISE</stp>
        <stp>FS=MRC</stp>
        <stp>CURRENCY=USD</stp>
        <stp>XLFILL=b</stp>
        <tr r="H28" s="2"/>
      </tp>
      <tp t="s">
        <v>#N/A Requesting Data...</v>
        <stp/>
        <stp>##V3_BQLV12</stp>
        <stp>[MODL_NOW_US1.xlsx]Single Period!R42C49</stp>
        <stp>SEG0000230975 Segment</stp>
        <stp>IS_BILLINGS/1M</stp>
        <stp>FPR=2021Y</stp>
        <stp>FPT=A</stp>
        <stp>FA_ACT_EST_DATA=E, EST_SOURCE=SCB</stp>
        <stp>ACT_EST_MAPPING=PRECISE</stp>
        <stp>FS=MRC</stp>
        <stp>CURRENCY=USD</stp>
        <stp>XLFILL=b</stp>
        <tr r="AW42" s="2"/>
      </tp>
      <tp t="s">
        <v>#N/A Requesting Data...</v>
        <stp/>
        <stp>##V3_BQLV12</stp>
        <stp>[MODL_NOW_US1.xlsx]Single Period!R17C49</stp>
        <stp>SEG0000230975 Segment</stp>
        <stp>IS_BILLINGS/1M</stp>
        <stp>FPR=2021Y</stp>
        <stp>FPT=A</stp>
        <stp>FA_ACT_EST_DATA=E, EST_SOURCE=SCB</stp>
        <stp>ACT_EST_MAPPING=PRECISE</stp>
        <stp>FS=MRC</stp>
        <stp>CURRENCY=USD</stp>
        <stp>XLFILL=b</stp>
        <tr r="AW17" s="2"/>
      </tp>
      <tp t="s">
        <v>#N/A Requesting Data...</v>
        <stp/>
        <stp>##V3_BQLV12</stp>
        <stp>[MODL_NOW_US1.xlsx]Single Period!R199C11</stp>
        <stp>NOW US Equity</stp>
        <stp>IS_COMP_NET_INCOME_GAAP/1M</stp>
        <stp>FPR=2021Y</stp>
        <stp>FPT=A</stp>
        <stp>FA_ACT_EST_DATA=E, EST_SOURCE=JPM</stp>
        <stp>ACT_EST_MAPPING=PRECISE</stp>
        <stp>FS=MRC</stp>
        <stp>CURRENCY=USD</stp>
        <stp>XLFILL=b</stp>
        <tr r="K199" s="2"/>
      </tp>
      <tp t="s">
        <v>#N/A Requesting Data...</v>
        <stp/>
        <stp>##V3_BQLV12</stp>
        <stp>[MODL_NOW_US1.xlsx]Single Period!R130C11</stp>
        <stp>NOW US Equity</stp>
        <stp>IS_COMP_NET_INCOME_GAAP/1M</stp>
        <stp>FPR=2021Y</stp>
        <stp>FPT=A</stp>
        <stp>FA_ACT_EST_DATA=E, EST_SOURCE=JPM</stp>
        <stp>ACT_EST_MAPPING=PRECISE</stp>
        <stp>FS=MRC</stp>
        <stp>CURRENCY=USD</stp>
        <stp>XLFILL=b</stp>
        <tr r="K130" s="2"/>
      </tp>
      <tp t="s">
        <v>#N/A Requesting Data...</v>
        <stp/>
        <stp>##V3_BQLV12</stp>
        <stp>[MODL_NOW_US1.xlsx]Single Period!R117C36</stp>
        <stp>NOW US Equity</stp>
        <stp>IS_TOT_OPER_EXP/1M</stp>
        <stp>FPR=2021Y</stp>
        <stp>FPT=A</stp>
        <stp>FA_ACT_EST_DATA=E, EST_SOURCE=JEF</stp>
        <stp>ACT_EST_MAPPING=PRECISE</stp>
        <stp>FS=MRC</stp>
        <stp>CURRENCY=USD</stp>
        <stp>XLFILL=b</stp>
        <tr r="AJ117" s="2"/>
      </tp>
      <tp t="s">
        <v>#N/A Requesting Data...</v>
        <stp/>
        <stp>##V3_BQLV12</stp>
        <stp>[MODL_NOW_US1.xlsx]Single Period!R237C9</stp>
        <stp>NOW US Equity</stp>
        <stp>CONTRIBUTOR_STATS(FCF_PER_DIL_SHR, MEDIAN)</stp>
        <stp>FPR=2021Y</stp>
        <stp>FPT=A</stp>
        <stp>FA_ACT_EST_DATA=E</stp>
        <stp>ACT_EST_MAPPING=PRECISE</stp>
        <stp>FS=MRC</stp>
        <stp>CURRENCY=USD</stp>
        <stp>XLFILL=b</stp>
        <tr r="I237" s="2"/>
      </tp>
      <tp t="s">
        <v>#N/A Requesting Data...</v>
        <stp/>
        <stp>##V3_BQLV12</stp>
        <stp>[MODL_NOW_US1.xlsx]Single Period!R125C28</stp>
        <stp>NOW US Equity</stp>
        <stp>OPER_INC_TO_NET_SALES</stp>
        <stp>FPR=2021Y</stp>
        <stp>FPT=A</stp>
        <stp>FA_ACT_EST_DATA=E, EST_SOURCE=EVR</stp>
        <stp>ACT_EST_MAPPING=PRECISE</stp>
        <stp>FS=MRC</stp>
        <stp>CURRENCY=USD</stp>
        <stp>XLFILL=b</stp>
        <tr r="AB125" s="2"/>
      </tp>
      <tp t="s">
        <v>#N/A Requesting Data...</v>
        <stp/>
        <stp>##V3_BQLV12</stp>
        <stp>[MODL_NOW_US1.xlsx]Single Period!R96C8</stp>
        <stp>NOW US Equity</stp>
        <stp>CONTRIBUTOR_STATS(ADJ_OPERATING_MARGIN, STD)</stp>
        <stp>FPR=2021Y</stp>
        <stp>FPT=A</stp>
        <stp>FA_ACT_EST_DATA=E</stp>
        <stp>ACT_EST_MAPPING=PRECISE</stp>
        <stp>FS=MRC</stp>
        <stp>CURRENCY=USD</stp>
        <stp>XLFILL=b</stp>
        <tr r="H96" s="2"/>
      </tp>
      <tp t="s">
        <v>#N/A Requesting Data...</v>
        <stp/>
        <stp>##V3_BQLV12</stp>
        <stp>[MODL_NOW_US1.xlsx]Single Period!R174C15</stp>
        <stp>NOW US Equity</stp>
        <stp>BS_ACCT_PAYABLE/1M</stp>
        <stp>FPR=2021Y</stp>
        <stp>FPT=A</stp>
        <stp>FA_ACT_EST_DATA=E, EST_SOURCE=OPY</stp>
        <stp>ACT_EST_MAPPING=PRECISE</stp>
        <stp>FS=MRC</stp>
        <stp>CURRENCY=USD</stp>
        <stp>XLFILL=b</stp>
        <tr r="O174" s="2"/>
      </tp>
      <tp t="s">
        <v>#N/A Requesting Data...</v>
        <stp/>
        <stp>##V3_BQLV12</stp>
        <stp>[MODL_NOW_US1.xlsx]Single Period!R102C10</stp>
        <stp>NOW US Equity</stp>
        <stp>IS_COMP_PTP_EX_STK_BASED_COMP/1M</stp>
        <stp>FPR=2021Y</stp>
        <stp>FPT=A</stp>
        <stp>FA_ACT_EST_DATA=E, EST_SOURCE=CMPY</stp>
        <stp>ACT_EST_MAPPING=PRECISE</stp>
        <stp>FS=MRC</stp>
        <stp>CURRENCY=USD</stp>
        <stp>XLFILL=b</stp>
        <tr r="J102" s="2"/>
      </tp>
      <tp t="s">
        <v>#N/A Requesting Data...</v>
        <stp/>
        <stp>##V3_BQLV12</stp>
        <stp>[MODL_NOW_US1.xlsx]Single Period!R236C40</stp>
        <stp>NOW US Equity</stp>
        <stp>FREE_CASH_FLOW_MARGIN</stp>
        <stp>FPR=2021Y</stp>
        <stp>FPT=A</stp>
        <stp>FA_ACT_EST_DATA=E, EST_SOURCE=DWI</stp>
        <stp>ACT_EST_MAPPING=PRECISE</stp>
        <stp>FS=MRC</stp>
        <stp>CURRENCY=USD</stp>
        <stp>XLFILL=b</stp>
        <tr r="AN236" s="2"/>
      </tp>
      <tp t="s">
        <v>#N/A Requesting Data...</v>
        <stp/>
        <stp>##V3_BQLV12</stp>
        <stp>[MODL_NOW_US1.xlsx]Single Period!R199C15</stp>
        <stp>NOW US Equity</stp>
        <stp>IS_COMP_NET_INCOME_GAAP/1M</stp>
        <stp>FPR=2021Y</stp>
        <stp>FPT=A</stp>
        <stp>FA_ACT_EST_DATA=E, EST_SOURCE=OPY</stp>
        <stp>ACT_EST_MAPPING=PRECISE</stp>
        <stp>FS=MRC</stp>
        <stp>CURRENCY=USD</stp>
        <stp>XLFILL=b</stp>
        <tr r="O199" s="2"/>
      </tp>
      <tp t="s">
        <v>#N/A Requesting Data...</v>
        <stp/>
        <stp>##V3_BQLV12</stp>
        <stp>[MODL_NOW_US1.xlsx]Single Period!R130C15</stp>
        <stp>NOW US Equity</stp>
        <stp>IS_COMP_NET_INCOME_GAAP/1M</stp>
        <stp>FPR=2021Y</stp>
        <stp>FPT=A</stp>
        <stp>FA_ACT_EST_DATA=E, EST_SOURCE=OPY</stp>
        <stp>ACT_EST_MAPPING=PRECISE</stp>
        <stp>FS=MRC</stp>
        <stp>CURRENCY=USD</stp>
        <stp>XLFILL=b</stp>
        <tr r="O130" s="2"/>
      </tp>
      <tp t="s">
        <v>#N/A Requesting Data...</v>
        <stp/>
        <stp>##V3_BQLV12</stp>
        <stp>[MODL_NOW_US1.xlsx]Single Period!R118C5</stp>
        <stp>NOW US Equity</stp>
        <stp>OPERATING_EXPENSES_TO_NET_SALES</stp>
        <stp>FPR=2021Y</stp>
        <stp>FPT=A</stp>
        <stp>FA_ACT_EST_DATA=E</stp>
        <stp>ACT_EST_MAPPING=PRECISE</stp>
        <stp>FS=MRC</stp>
        <stp>CURRENCY=USD</stp>
        <stp>XLFILL=b</stp>
        <tr r="E118" s="2"/>
      </tp>
      <tp t="s">
        <v>#N/A Requesting Data...</v>
        <stp/>
        <stp>##V3_BQLV12</stp>
        <stp>[MODL_NOW_US1.xlsx]Single Period!R181C43</stp>
        <stp>NOW US Equity</stp>
        <stp>BS_LONG_TERM_BORROWINGS/1M</stp>
        <stp>FPR=2021Y</stp>
        <stp>FPT=A</stp>
        <stp>FA_ACT_EST_DATA=E, EST_SOURCE=WFT</stp>
        <stp>ACT_EST_MAPPING=PRECISE</stp>
        <stp>FS=MRC</stp>
        <stp>CURRENCY=USD</stp>
        <stp>XLFILL=b</stp>
        <tr r="AQ181" s="2"/>
      </tp>
      <tp t="s">
        <v>#N/A Requesting Data...</v>
        <stp/>
        <stp>##V3_BQLV12</stp>
        <stp>[MODL_NOW_US1.xlsx]Single Period!R43C17</stp>
        <stp>SEG0000230975 Segment</stp>
        <stp>CB_ADJ_BILLINGS_AMT/1M</stp>
        <stp>FPR=2021Y</stp>
        <stp>FPT=A</stp>
        <stp>FA_ACT_EST_DATA=E, EST_SOURCE=RHR</stp>
        <stp>ACT_EST_MAPPING=PRECISE</stp>
        <stp>FS=MRC</stp>
        <stp>CURRENCY=USD</stp>
        <stp>XLFILL=b</stp>
        <tr r="Q43" s="2"/>
      </tp>
      <tp t="s">
        <v>#N/A Requesting Data...</v>
        <stp/>
        <stp>##V3_BQLV12</stp>
        <stp>[MODL_NOW_US1.xlsx]Single Period!R117C13</stp>
        <stp>NOW US Equity</stp>
        <stp>IS_TOT_OPER_EXP/1M</stp>
        <stp>FPR=2021Y</stp>
        <stp>FPT=A</stp>
        <stp>FA_ACT_EST_DATA=E, EST_SOURCE=KEY</stp>
        <stp>ACT_EST_MAPPING=PRECISE</stp>
        <stp>FS=MRC</stp>
        <stp>CURRENCY=USD</stp>
        <stp>XLFILL=b</stp>
        <tr r="M117" s="2"/>
      </tp>
      <tp t="s">
        <v>#N/A Requesting Data...</v>
        <stp/>
        <stp>##V3_BQLV12</stp>
        <stp>[MODL_NOW_US1.xlsx]Single Period!R236C24</stp>
        <stp>NOW US Equity</stp>
        <stp>FREE_CASH_FLOW_MARGIN</stp>
        <stp>FPR=2021Y</stp>
        <stp>FPT=A</stp>
        <stp>FA_ACT_EST_DATA=E, EST_SOURCE=CWN</stp>
        <stp>ACT_EST_MAPPING=PRECISE</stp>
        <stp>FS=MRC</stp>
        <stp>CURRENCY=USD</stp>
        <stp>XLFILL=b</stp>
        <tr r="X236" s="2"/>
      </tp>
      <tp t="s">
        <v>#N/A Requesting Data...</v>
        <stp/>
        <stp>##V3_BQLV12</stp>
        <stp>[MODL_NOW_US1.xlsx]Single Period!R219C45</stp>
        <stp>NOW US Equity</stp>
        <stp>CF_PURCHSS_OF_INVSTMNTS/1M</stp>
        <stp>FPR=2021Y</stp>
        <stp>FPT=A</stp>
        <stp>FA_ACT_EST_DATA=E, EST_SOURCE=PJE</stp>
        <stp>ACT_EST_MAPPING=PRECISE</stp>
        <stp>FS=MRC</stp>
        <stp>CURRENCY=USD</stp>
        <stp>XLFILL=b</stp>
        <tr r="AS219" s="2"/>
      </tp>
      <tp t="s">
        <v>#N/A Requesting Data...</v>
        <stp/>
        <stp>##V3_BQLV12</stp>
        <stp>[MODL_NOW_US1.xlsx]Single Period!R174C11</stp>
        <stp>NOW US Equity</stp>
        <stp>BS_ACCT_PAYABLE/1M</stp>
        <stp>FPR=2021Y</stp>
        <stp>FPT=A</stp>
        <stp>FA_ACT_EST_DATA=E, EST_SOURCE=JPM</stp>
        <stp>ACT_EST_MAPPING=PRECISE</stp>
        <stp>FS=MRC</stp>
        <stp>CURRENCY=USD</stp>
        <stp>XLFILL=b</stp>
        <tr r="K174" s="2"/>
      </tp>
      <tp t="s">
        <v>#N/A Requesting Data...</v>
        <stp/>
        <stp>##V3_BQLV12</stp>
        <stp>[MODL_NOW_US1.xlsx]Single Period!R236C38</stp>
        <stp>NOW US Equity</stp>
        <stp>FREE_CASH_FLOW_MARGIN</stp>
        <stp>FPR=2021Y</stp>
        <stp>FPT=A</stp>
        <stp>FA_ACT_EST_DATA=E, EST_SOURCE=RWB</stp>
        <stp>ACT_EST_MAPPING=PRECISE</stp>
        <stp>FS=MRC</stp>
        <stp>CURRENCY=USD</stp>
        <stp>XLFILL=b</stp>
        <tr r="AL236" s="2"/>
      </tp>
      <tp t="s">
        <v>#N/A Requesting Data...</v>
        <stp/>
        <stp>##V3_BQLV12</stp>
        <stp>[MODL_NOW_US1.xlsx]Single Period!R218C30</stp>
        <stp>NOW US Equity</stp>
        <stp>CF_ACQUISITION_OF_INTANG_ASSETS/1M</stp>
        <stp>FPR=2021Y</stp>
        <stp>FPT=A</stp>
        <stp>FA_ACT_EST_DATA=E, EST_SOURCE=BAM</stp>
        <stp>ACT_EST_MAPPING=PRECISE</stp>
        <stp>FS=MRC</stp>
        <stp>CURRENCY=USD</stp>
        <stp>XLFILL=b</stp>
        <tr r="AD218" s="2"/>
      </tp>
      <tp t="s">
        <v>#N/A Requesting Data...</v>
        <stp/>
        <stp>##V3_BQLV12</stp>
        <stp>[MODL_NOW_US1.xlsx]Single Period!R121C47</stp>
        <stp>NOW US Equity</stp>
        <stp>CB_IS_GENL_AND_ADMIN_EXPN/1M</stp>
        <stp>FPR=2021Y</stp>
        <stp>FPT=A</stp>
        <stp>FA_ACT_EST_DATA=E, EST_SOURCE=SUM</stp>
        <stp>ACT_EST_MAPPING=PRECISE</stp>
        <stp>FS=MRC</stp>
        <stp>CURRENCY=USD</stp>
        <stp>XLFILL=b</stp>
        <tr r="AU121" s="2"/>
      </tp>
      <tp t="s">
        <v>#N/A Requesting Data...</v>
        <stp/>
        <stp>##V3_BQLV12</stp>
        <stp>[MODL_NOW_US1.xlsx]Single Period!R218C20</stp>
        <stp>NOW US Equity</stp>
        <stp>CF_ACQUISITION_OF_INTANG_ASSETS/1M</stp>
        <stp>FPR=2021Y</stp>
        <stp>FPT=A</stp>
        <stp>FA_ACT_EST_DATA=E, EST_SOURCE=CAN</stp>
        <stp>ACT_EST_MAPPING=PRECISE</stp>
        <stp>FS=MRC</stp>
        <stp>CURRENCY=USD</stp>
        <stp>XLFILL=b</stp>
        <tr r="T218" s="2"/>
      </tp>
      <tp t="s">
        <v>#N/A Requesting Data...</v>
        <stp/>
        <stp>##V3_BQLV12</stp>
        <stp>[MODL_NOW_US1.xlsx]Single Period!R107C39</stp>
        <stp>NOW US Equity</stp>
        <stp>CB_IS_ADJ_DILUTED_AVG_SHS/1M</stp>
        <stp>FPR=2021Y</stp>
        <stp>FPT=A</stp>
        <stp>FA_ACT_EST_DATA=E, EST_SOURCE=DZB</stp>
        <stp>ACT_EST_MAPPING=PRECISE</stp>
        <stp>FS=MRC</stp>
        <stp>CURRENCY=USD</stp>
        <stp>XLFILL=b</stp>
        <tr r="AM107" s="2"/>
      </tp>
      <tp t="s">
        <v>#N/A Requesting Data...</v>
        <stp/>
        <stp>##V3_BQLV12</stp>
        <stp>[MODL_NOW_US1.xlsx]Single Period!R175C15</stp>
        <stp>NOW US Equity</stp>
        <stp>BS_ACCRUD_EXPNSS_AND_OTHR/1M</stp>
        <stp>FPR=2021Y</stp>
        <stp>FPT=A</stp>
        <stp>FA_ACT_EST_DATA=E, EST_SOURCE=OPY</stp>
        <stp>ACT_EST_MAPPING=PRECISE</stp>
        <stp>FS=MRC</stp>
        <stp>CURRENCY=USD</stp>
        <stp>XLFILL=b</stp>
        <tr r="O175" s="2"/>
      </tp>
      <tp t="s">
        <v>#N/A Requesting Data...</v>
        <stp/>
        <stp>##V3_BQLV12</stp>
        <stp>[MODL_NOW_US1.xlsx]Single Period!R107C37</stp>
        <stp>NOW US Equity</stp>
        <stp>CB_IS_ADJ_DILUTED_AVG_SHS/1M</stp>
        <stp>FPR=2021Y</stp>
        <stp>FPT=A</stp>
        <stp>FA_ACT_EST_DATA=E, EST_SOURCE=TTC</stp>
        <stp>ACT_EST_MAPPING=PRECISE</stp>
        <stp>FS=MRC</stp>
        <stp>CURRENCY=USD</stp>
        <stp>XLFILL=b</stp>
        <tr r="AK107" s="2"/>
      </tp>
      <tp t="s">
        <v>#N/A Requesting Data...</v>
        <stp/>
        <stp>##V3_BQLV12</stp>
        <stp>[MODL_NOW_US1.xlsx]Single Period!R63C42</stp>
        <stp>SEG0000230975 Segment</stp>
        <stp>CB_IS_GROSS_PROFIT/1M</stp>
        <stp>FPR=2021Y</stp>
        <stp>FPT=A</stp>
        <stp>FA_ACT_EST_DATA=E, EST_SOURCE=CTI</stp>
        <stp>ACT_EST_MAPPING=PRECISE</stp>
        <stp>FS=MRC</stp>
        <stp>CURRENCY=USD</stp>
        <stp>XLFILL=b</stp>
        <tr r="AP63" s="2"/>
      </tp>
      <tp t="s">
        <v>#N/A Requesting Data...</v>
        <stp/>
        <stp>##V3_BQLV12</stp>
        <stp>[MODL_NOW_US1.xlsx]Single Period!R107C41</stp>
        <stp>NOW US Equity</stp>
        <stp>CB_IS_ADJ_DILUTED_AVG_SHS/1M</stp>
        <stp>FPR=2021Y</stp>
        <stp>FPT=A</stp>
        <stp>FA_ACT_EST_DATA=E, EST_SOURCE=ARG</stp>
        <stp>ACT_EST_MAPPING=PRECISE</stp>
        <stp>FS=MRC</stp>
        <stp>CURRENCY=USD</stp>
        <stp>XLFILL=b</stp>
        <tr r="AO107" s="2"/>
      </tp>
      <tp t="s">
        <v>#N/A Requesting Data...</v>
        <stp/>
        <stp>##V3_BQLV12</stp>
        <stp>[MODL_NOW_US1.xlsx]Single Period!R155C32</stp>
        <stp>NOW US Equity</stp>
        <stp>BS_CASH_CASH_EQUIVALENTS_AND_STI/1M</stp>
        <stp>FPR=2021Y</stp>
        <stp>FPT=A</stp>
        <stp>FA_ACT_EST_DATA=E, EST_SOURCE=FBC</stp>
        <stp>ACT_EST_MAPPING=PRECISE</stp>
        <stp>FS=MRC</stp>
        <stp>CURRENCY=USD</stp>
        <stp>XLFILL=b</stp>
        <tr r="AF155" s="2"/>
      </tp>
      <tp t="s">
        <v>#N/A Requesting Data...</v>
        <stp/>
        <stp>##V3_BQLV12</stp>
        <stp>[MODL_NOW_US1.xlsx]Single Period!R225C30</stp>
        <stp>NOW US Equity</stp>
        <stp>CF_INCR_CAP_STOCK/1M</stp>
        <stp>FPR=2021Y</stp>
        <stp>FPT=A</stp>
        <stp>FA_ACT_EST_DATA=E, EST_SOURCE=BAM</stp>
        <stp>ACT_EST_MAPPING=PRECISE</stp>
        <stp>FS=MRC</stp>
        <stp>CURRENCY=USD</stp>
        <stp>XLFILL=b</stp>
        <tr r="AD225" s="2"/>
      </tp>
      <tp t="s">
        <v>#N/A Requesting Data...</v>
        <stp/>
        <stp>##V3_BQLV12</stp>
        <stp>[MODL_NOW_US1.xlsx]Single Period!R148C16</stp>
        <stp>NOW US Equity</stp>
        <stp>IS_AMORT_ACQD_INTANGIBLES_R_AND_D/1M</stp>
        <stp>FPR=2021Y</stp>
        <stp>FPT=A</stp>
        <stp>FA_ACT_EST_DATA=E, EST_SOURCE=BCA</stp>
        <stp>ACT_EST_MAPPING=PRECISE</stp>
        <stp>FS=MRC</stp>
        <stp>CURRENCY=USD</stp>
        <stp>XLFILL=b</stp>
        <tr r="P148" s="2"/>
      </tp>
      <tp t="s">
        <v>#N/A Requesting Data...</v>
        <stp/>
        <stp>##V3_BQLV12</stp>
        <stp>[MODL_NOW_US1.xlsx]Single Period!R202C15</stp>
        <stp>NOW US Equity</stp>
        <stp>CF_AMORTIZATN_OF_DEFRRD_COMPNSTN/1M</stp>
        <stp>FPR=2021Y</stp>
        <stp>FPT=A</stp>
        <stp>FA_ACT_EST_DATA=E, EST_SOURCE=OPY</stp>
        <stp>ACT_EST_MAPPING=PRECISE</stp>
        <stp>FS=MRC</stp>
        <stp>CURRENCY=USD</stp>
        <stp>XLFILL=b</stp>
        <tr r="O202" s="2"/>
      </tp>
      <tp t="s">
        <v>#N/A Requesting Data...</v>
        <stp/>
        <stp>##V3_BQLV12</stp>
        <stp>[MODL_NOW_US1.xlsx]Single Period!R225C20</stp>
        <stp>NOW US Equity</stp>
        <stp>CF_INCR_CAP_STOCK/1M</stp>
        <stp>FPR=2021Y</stp>
        <stp>FPT=A</stp>
        <stp>FA_ACT_EST_DATA=E, EST_SOURCE=CAN</stp>
        <stp>ACT_EST_MAPPING=PRECISE</stp>
        <stp>FS=MRC</stp>
        <stp>CURRENCY=USD</stp>
        <stp>XLFILL=b</stp>
        <tr r="T225" s="2"/>
      </tp>
      <tp t="s">
        <v>#N/A Requesting Data...</v>
        <stp/>
        <stp>##V3_BQLV12</stp>
        <stp>[MODL_NOW_US1.xlsx]Single Period!R148C27</stp>
        <stp>NOW US Equity</stp>
        <stp>IS_AMORT_ACQD_INTANGIBLES_R_AND_D/1M</stp>
        <stp>FPR=2021Y</stp>
        <stp>FPT=A</stp>
        <stp>FA_ACT_EST_DATA=E, EST_SOURCE=RBC</stp>
        <stp>ACT_EST_MAPPING=PRECISE</stp>
        <stp>FS=MRC</stp>
        <stp>CURRENCY=USD</stp>
        <stp>XLFILL=b</stp>
        <tr r="AA148" s="2"/>
      </tp>
      <tp t="s">
        <v>#N/A Requesting Data...</v>
        <stp/>
        <stp>##V3_BQLV12</stp>
        <stp>[MODL_NOW_US1.xlsx]Single Period!R63C37</stp>
        <stp>SEG0000230975 Segment</stp>
        <stp>CB_IS_GROSS_PROFIT/1M</stp>
        <stp>FPR=2021Y</stp>
        <stp>FPT=A</stp>
        <stp>FA_ACT_EST_DATA=E, EST_SOURCE=TTC</stp>
        <stp>ACT_EST_MAPPING=PRECISE</stp>
        <stp>FS=MRC</stp>
        <stp>CURRENCY=USD</stp>
        <stp>XLFILL=b</stp>
        <tr r="AK63" s="2"/>
      </tp>
      <tp t="s">
        <v>#N/A Requesting Data...</v>
        <stp/>
        <stp>##V3_BQLV12</stp>
        <stp>[MODL_NOW_US1.xlsx]Single Period!R218C33</stp>
        <stp>NOW US Equity</stp>
        <stp>CF_ACQUISITION_OF_INTANG_ASSETS/1M</stp>
        <stp>FPR=2021Y</stp>
        <stp>FPT=A</stp>
        <stp>FA_ACT_EST_DATA=E, EST_SOURCE=MAC</stp>
        <stp>ACT_EST_MAPPING=PRECISE</stp>
        <stp>FS=MRC</stp>
        <stp>CURRENCY=USD</stp>
        <stp>XLFILL=b</stp>
        <tr r="AG218" s="2"/>
      </tp>
      <tp t="s">
        <v>#N/A Requesting Data...</v>
        <stp/>
        <stp>##V3_BQLV12</stp>
        <stp>[MODL_NOW_US1.xlsx]Single Period!R107C24</stp>
        <stp>NOW US Equity</stp>
        <stp>CB_IS_ADJ_DILUTED_AVG_SHS/1M</stp>
        <stp>FPR=2021Y</stp>
        <stp>FPT=A</stp>
        <stp>FA_ACT_EST_DATA=E, EST_SOURCE=CWN</stp>
        <stp>ACT_EST_MAPPING=PRECISE</stp>
        <stp>FS=MRC</stp>
        <stp>CURRENCY=USD</stp>
        <stp>XLFILL=b</stp>
        <tr r="X107" s="2"/>
      </tp>
      <tp t="s">
        <v>#N/A Requesting Data...</v>
        <stp/>
        <stp>##V3_BQLV12</stp>
        <stp>[MODL_NOW_US1.xlsx]Single Period!R177C38</stp>
        <stp>NOW US Equity</stp>
        <stp>BS_ST_CPTL_LEA_AND_OP_LEA_LIABS/1M</stp>
        <stp>FPR=2021Y</stp>
        <stp>FPT=A</stp>
        <stp>FA_ACT_EST_DATA=E, EST_SOURCE=RWB</stp>
        <stp>ACT_EST_MAPPING=PRECISE</stp>
        <stp>FS=MRC</stp>
        <stp>CURRENCY=USD</stp>
        <stp>XLFILL=b</stp>
        <tr r="AL177" s="2"/>
      </tp>
      <tp t="s">
        <v>#N/A Requesting Data...</v>
        <stp/>
        <stp>##V3_BQLV12</stp>
        <stp>[MODL_NOW_US1.xlsx]Single Period!R177C24</stp>
        <stp>NOW US Equity</stp>
        <stp>BS_ST_CPTL_LEA_AND_OP_LEA_LIABS/1M</stp>
        <stp>FPR=2021Y</stp>
        <stp>FPT=A</stp>
        <stp>FA_ACT_EST_DATA=E, EST_SOURCE=CWN</stp>
        <stp>ACT_EST_MAPPING=PRECISE</stp>
        <stp>FS=MRC</stp>
        <stp>CURRENCY=USD</stp>
        <stp>XLFILL=b</stp>
        <tr r="X177" s="2"/>
      </tp>
      <tp t="s">
        <v>#N/A Requesting Data...</v>
        <stp/>
        <stp>##V3_BQLV12</stp>
        <stp>[MODL_NOW_US1.xlsx]Single Period!R177C40</stp>
        <stp>NOW US Equity</stp>
        <stp>BS_ST_CPTL_LEA_AND_OP_LEA_LIABS/1M</stp>
        <stp>FPR=2021Y</stp>
        <stp>FPT=A</stp>
        <stp>FA_ACT_EST_DATA=E, EST_SOURCE=DWI</stp>
        <stp>ACT_EST_MAPPING=PRECISE</stp>
        <stp>FS=MRC</stp>
        <stp>CURRENCY=USD</stp>
        <stp>XLFILL=b</stp>
        <tr r="AN177" s="2"/>
      </tp>
      <tp t="s">
        <v>#N/A Requesting Data...</v>
        <stp/>
        <stp>##V3_BQLV12</stp>
        <stp>[MODL_NOW_US1.xlsx]Single Period!R202C11</stp>
        <stp>NOW US Equity</stp>
        <stp>CF_AMORTIZATN_OF_DEFRRD_COMPNSTN/1M</stp>
        <stp>FPR=2021Y</stp>
        <stp>FPT=A</stp>
        <stp>FA_ACT_EST_DATA=E, EST_SOURCE=JPM</stp>
        <stp>ACT_EST_MAPPING=PRECISE</stp>
        <stp>FS=MRC</stp>
        <stp>CURRENCY=USD</stp>
        <stp>XLFILL=b</stp>
        <tr r="K202" s="2"/>
      </tp>
      <tp t="s">
        <v>#N/A Requesting Data...</v>
        <stp/>
        <stp>##V3_BQLV12</stp>
        <stp>[MODL_NOW_US1.xlsx]Single Period!R202C47</stp>
        <stp>NOW US Equity</stp>
        <stp>CF_AMORTIZATN_OF_DEFRRD_COMPNSTN/1M</stp>
        <stp>FPR=2021Y</stp>
        <stp>FPT=A</stp>
        <stp>FA_ACT_EST_DATA=E, EST_SOURCE=SUM</stp>
        <stp>ACT_EST_MAPPING=PRECISE</stp>
        <stp>FS=MRC</stp>
        <stp>CURRENCY=USD</stp>
        <stp>XLFILL=b</stp>
        <tr r="AU202" s="2"/>
      </tp>
      <tp t="s">
        <v>#N/A Requesting Data...</v>
        <stp/>
        <stp>##V3_BQLV12</stp>
        <stp>[MODL_NOW_US1.xlsx]Single Period!R148C43</stp>
        <stp>NOW US Equity</stp>
        <stp>IS_AMORT_ACQD_INTANGIBLES_R_AND_D/1M</stp>
        <stp>FPR=2021Y</stp>
        <stp>FPT=A</stp>
        <stp>FA_ACT_EST_DATA=E, EST_SOURCE=WFT</stp>
        <stp>ACT_EST_MAPPING=PRECISE</stp>
        <stp>FS=MRC</stp>
        <stp>CURRENCY=USD</stp>
        <stp>XLFILL=b</stp>
        <tr r="AQ148" s="2"/>
      </tp>
      <tp t="s">
        <v>#N/A Requesting Data...</v>
        <stp/>
        <stp>##V3_BQLV12</stp>
        <stp>[MODL_NOW_US1.xlsx]Single Period!R121C31</stp>
        <stp>NOW US Equity</stp>
        <stp>CB_IS_GENL_AND_ADMIN_EXPN/1M</stp>
        <stp>FPR=2021Y</stp>
        <stp>FPT=A</stp>
        <stp>FA_ACT_EST_DATA=E, EST_SOURCE=GSR</stp>
        <stp>ACT_EST_MAPPING=PRECISE</stp>
        <stp>FS=MRC</stp>
        <stp>CURRENCY=USD</stp>
        <stp>XLFILL=b</stp>
        <tr r="AE121" s="2"/>
      </tp>
      <tp t="s">
        <v>#N/A Requesting Data...</v>
        <stp/>
        <stp>##V3_BQLV12</stp>
        <stp>[MODL_NOW_US1.xlsx]Single Period!R116C31</stp>
        <stp>NOW US Equity</stp>
        <stp>GROSS_MARGIN</stp>
        <stp>FPR=2021Y</stp>
        <stp>FPT=A</stp>
        <stp>FA_ACT_EST_DATA=E, EST_SOURCE=GSR</stp>
        <stp>ACT_EST_MAPPING=PRECISE</stp>
        <stp>FS=MRC</stp>
        <stp>CURRENCY=USD</stp>
        <stp>XLFILL=b</stp>
        <tr r="AE116" s="2"/>
      </tp>
      <tp t="s">
        <v>#N/A Requesting Data...</v>
        <stp/>
        <stp>##V3_BQLV12</stp>
        <stp>[MODL_NOW_US1.xlsx]Single Period!R239C32</stp>
        <stp>NOW US Equity</stp>
        <stp>CFO_TO_SALES</stp>
        <stp>FPR=2021Y</stp>
        <stp>FPT=A</stp>
        <stp>FA_ACT_EST_DATA=E, EST_SOURCE=FBC</stp>
        <stp>ACT_EST_MAPPING=PRECISE</stp>
        <stp>FS=MRC</stp>
        <stp>CURRENCY=USD</stp>
        <stp>XLFILL=b</stp>
        <tr r="AF239" s="2"/>
      </tp>
      <tp t="s">
        <v>#N/A Requesting Data...</v>
        <stp/>
        <stp>##V3_BQLV12</stp>
        <stp>[MODL_NOW_US1.xlsx]Single Period!R81C46</stp>
        <stp>NOW US Equity</stp>
        <stp>IS_ADJ_SALES_YOY_CHG_PCT_CC</stp>
        <stp>FPR=2021Y</stp>
        <stp>FPT=A</stp>
        <stp>FA_ACT_EST_DATA=E, EST_SOURCE=MZS</stp>
        <stp>ACT_EST_MAPPING=PRECISE</stp>
        <stp>FS=MRC</stp>
        <stp>CURRENCY=USD</stp>
        <stp>XLFILL=b</stp>
        <tr r="AT81" s="2"/>
      </tp>
      <tp t="s">
        <v>#N/A Requesting Data...</v>
        <stp/>
        <stp>##V3_BQLV12</stp>
        <stp>[MODL_NOW_US1.xlsx]Single Period!R116C47</stp>
        <stp>NOW US Equity</stp>
        <stp>GROSS_MARGIN</stp>
        <stp>FPR=2021Y</stp>
        <stp>FPT=A</stp>
        <stp>FA_ACT_EST_DATA=E, EST_SOURCE=SUM</stp>
        <stp>ACT_EST_MAPPING=PRECISE</stp>
        <stp>FS=MRC</stp>
        <stp>CURRENCY=USD</stp>
        <stp>XLFILL=b</stp>
        <tr r="AU116" s="2"/>
      </tp>
      <tp t="s">
        <v>#N/A Requesting Data...</v>
        <stp/>
        <stp>##V3_BQLV12</stp>
        <stp>[MODL_NOW_US1.xlsx]Single Period!R239C12</stp>
        <stp>NOW US Equity</stp>
        <stp>CFO_TO_SALES</stp>
        <stp>FPR=2021Y</stp>
        <stp>FPT=A</stp>
        <stp>FA_ACT_EST_DATA=E, EST_SOURCE=WBL</stp>
        <stp>ACT_EST_MAPPING=PRECISE</stp>
        <stp>FS=MRC</stp>
        <stp>CURRENCY=USD</stp>
        <stp>XLFILL=b</stp>
        <tr r="L239" s="2"/>
      </tp>
      <tp t="s">
        <v>#N/A Requesting Data...</v>
        <stp/>
        <stp>##V3_BQLV12</stp>
        <stp>[MODL_NOW_US1.xlsx]Single Period!R164C35</stp>
        <stp>NOW US Equity</stp>
        <stp>CB_BS_PP_AND_E_NET/1M</stp>
        <stp>FPR=2021Y</stp>
        <stp>FPT=A</stp>
        <stp>FA_ACT_EST_DATA=E, EST_SOURCE=MSR</stp>
        <stp>ACT_EST_MAPPING=PRECISE</stp>
        <stp>FS=MRC</stp>
        <stp>CURRENCY=USD</stp>
        <stp>XLFILL=b</stp>
        <tr r="AI164" s="2"/>
      </tp>
      <tp t="s">
        <v>#N/A Requesting Data...</v>
        <stp/>
        <stp>##V3_BQLV12</stp>
        <stp>[MODL_NOW_US1.xlsx]Single Period!R164C31</stp>
        <stp>NOW US Equity</stp>
        <stp>CB_BS_PP_AND_E_NET/1M</stp>
        <stp>FPR=2021Y</stp>
        <stp>FPT=A</stp>
        <stp>FA_ACT_EST_DATA=E, EST_SOURCE=GSR</stp>
        <stp>ACT_EST_MAPPING=PRECISE</stp>
        <stp>FS=MRC</stp>
        <stp>CURRENCY=USD</stp>
        <stp>XLFILL=b</stp>
        <tr r="AE164" s="2"/>
      </tp>
      <tp t="s">
        <v>#N/A Requesting Data...</v>
        <stp/>
        <stp>##V3_BQLV12</stp>
        <stp>[MODL_NOW_US1.xlsx]Single Period!R159C15</stp>
        <stp>NOW US Equity</stp>
        <stp>CB_BS_OTHER_CURRENT_ASSETS/1M</stp>
        <stp>FPR=2021Y</stp>
        <stp>FPT=A</stp>
        <stp>FA_ACT_EST_DATA=E, EST_SOURCE=OPY</stp>
        <stp>ACT_EST_MAPPING=PRECISE</stp>
        <stp>FS=MRC</stp>
        <stp>CURRENCY=USD</stp>
        <stp>XLFILL=b</stp>
        <tr r="O159" s="2"/>
      </tp>
      <tp t="s">
        <v>#N/A Requesting Data...</v>
        <stp/>
        <stp>##V3_BQLV12</stp>
        <stp>[MODL_NOW_US1.xlsx]Single Period!R164C19</stp>
        <stp>NOW US Equity</stp>
        <stp>CB_BS_PP_AND_E_NET/1M</stp>
        <stp>FPR=2021Y</stp>
        <stp>FPT=A</stp>
        <stp>FA_ACT_EST_DATA=E, EST_SOURCE=MSV</stp>
        <stp>ACT_EST_MAPPING=PRECISE</stp>
        <stp>FS=MRC</stp>
        <stp>CURRENCY=USD</stp>
        <stp>XLFILL=b</stp>
        <tr r="S164" s="2"/>
      </tp>
      <tp t="s">
        <v>#N/A Requesting Data...</v>
        <stp/>
        <stp>##V3_BQLV12</stp>
        <stp>[MODL_NOW_US1.xlsx]Single Period!R157C23</stp>
        <stp>NOW US Equity</stp>
        <stp>BS_MKT_SEC_OTHER_ST_INVEST/1M</stp>
        <stp>FPR=2021Y</stp>
        <stp>FPT=A</stp>
        <stp>FA_ACT_EST_DATA=E, EST_SOURCE=ZXS</stp>
        <stp>ACT_EST_MAPPING=PRECISE</stp>
        <stp>FS=MRC</stp>
        <stp>CURRENCY=USD</stp>
        <stp>XLFILL=b</stp>
        <tr r="W157" s="2"/>
      </tp>
      <tp t="s">
        <v>#N/A Requesting Data...</v>
        <stp/>
        <stp>##V3_BQLV12</stp>
        <stp>[MODL_NOW_US1.xlsx]Single Period!R163C37</stp>
        <stp>NOW US Equity</stp>
        <stp>CB_BS_PP_AND_E_NET/1M</stp>
        <stp>FPR=2021Y</stp>
        <stp>FPT=A</stp>
        <stp>FA_ACT_EST_DATA=E, EST_SOURCE=TTC</stp>
        <stp>ACT_EST_MAPPING=PRECISE</stp>
        <stp>FS=MRC</stp>
        <stp>CURRENCY=USD</stp>
        <stp>XLFILL=b</stp>
        <tr r="AK163" s="2"/>
      </tp>
      <tp t="s">
        <v>#N/A Requesting Data...</v>
        <stp/>
        <stp>##V3_BQLV12</stp>
        <stp>[MODL_NOW_US1.xlsx]Single Period!R127C37</stp>
        <stp>NOW US Equity</stp>
        <stp>PRETAX_INC/1M</stp>
        <stp>FPR=2021Y</stp>
        <stp>FPT=A</stp>
        <stp>FA_ACT_EST_DATA=E, EST_SOURCE=TTC</stp>
        <stp>ACT_EST_MAPPING=PRECISE</stp>
        <stp>FS=MRC</stp>
        <stp>CURRENCY=USD</stp>
        <stp>XLFILL=b</stp>
        <tr r="AK127" s="2"/>
      </tp>
      <tp t="s">
        <v>#N/A Requesting Data...</v>
        <stp/>
        <stp>##V3_BQLV12</stp>
        <stp>[MODL_NOW_US1.xlsx]Single Period!R164C34</stp>
        <stp>NOW US Equity</stp>
        <stp>CB_BS_PP_AND_E_NET/1M</stp>
        <stp>FPR=2021Y</stp>
        <stp>FPT=A</stp>
        <stp>FA_ACT_EST_DATA=E, EST_SOURCE=PSG</stp>
        <stp>ACT_EST_MAPPING=PRECISE</stp>
        <stp>FS=MRC</stp>
        <stp>CURRENCY=USD</stp>
        <stp>XLFILL=b</stp>
        <tr r="AH164" s="2"/>
      </tp>
      <tp t="s">
        <v>#N/A Requesting Data...</v>
        <stp/>
        <stp>##V3_BQLV12</stp>
        <stp>[MODL_NOW_US1.xlsx]Single Period!R111C43</stp>
        <stp>NOW US Equity</stp>
        <stp>IS_COGS_TO_FE_AND_PP_AND_G/1M</stp>
        <stp>FPR=2021Y</stp>
        <stp>FPT=A</stp>
        <stp>FA_ACT_EST_DATA=E, EST_SOURCE=WFT</stp>
        <stp>ACT_EST_MAPPING=PRECISE</stp>
        <stp>FS=MRC</stp>
        <stp>CURRENCY=USD</stp>
        <stp>XLFILL=b</stp>
        <tr r="AQ111" s="2"/>
      </tp>
      <tp t="s">
        <v>#N/A Requesting Data...</v>
        <stp/>
        <stp>##V3_BQLV12</stp>
        <stp>[MODL_NOW_US1.xlsx]Single Period!R51C7</stp>
        <stp>NOW US Equity</stp>
        <stp>CONTRIBUTOR_STATS(ACCOUNTS_PAYABLE_TURNOVER_DAYS, MAX)</stp>
        <stp>FPR=2021Y</stp>
        <stp>FPT=A</stp>
        <stp>FA_ACT_EST_DATA=E</stp>
        <stp>ACT_EST_MAPPING=PRECISE</stp>
        <stp>FS=MRC</stp>
        <stp>CURRENCY=USD</stp>
        <stp>XLFILL=b</stp>
        <tr r="G51" s="2"/>
      </tp>
      <tp t="s">
        <v>#N/A Requesting Data...</v>
        <stp/>
        <stp>##V3_BQLV12</stp>
        <stp>[MODL_NOW_US1.xlsx]Single Period!R159C11</stp>
        <stp>NOW US Equity</stp>
        <stp>CB_BS_OTHER_CURRENT_ASSETS/1M</stp>
        <stp>FPR=2021Y</stp>
        <stp>FPT=A</stp>
        <stp>FA_ACT_EST_DATA=E, EST_SOURCE=JPM</stp>
        <stp>ACT_EST_MAPPING=PRECISE</stp>
        <stp>FS=MRC</stp>
        <stp>CURRENCY=USD</stp>
        <stp>XLFILL=b</stp>
        <tr r="K159" s="2"/>
      </tp>
      <tp t="s">
        <v>#N/A Requesting Data...</v>
        <stp/>
        <stp>##V3_BQLV12</stp>
        <stp>[MODL_NOW_US1.xlsx]Single Period!R52C5</stp>
        <stp>NOW US Equity</stp>
        <stp>ACCT_RCV_DAYS</stp>
        <stp>FPR=2021Y</stp>
        <stp>FPT=A</stp>
        <stp>FA_ACT_EST_DATA=E</stp>
        <stp>ACT_EST_MAPPING=PRECISE</stp>
        <stp>FS=MRC</stp>
        <stp>CURRENCY=USD</stp>
        <stp>XLFILL=b</stp>
        <tr r="E52" s="2"/>
      </tp>
      <tp t="s">
        <v>#N/A Requesting Data...</v>
        <stp/>
        <stp>##V3_BQLV12</stp>
        <stp>[MODL_NOW_US1.xlsx]Single Period!R190C5</stp>
        <stp>NOW US Equity</stp>
        <stp>DEFERRED_REV/1M</stp>
        <stp>FPR=2021Y</stp>
        <stp>FPT=A</stp>
        <stp>FA_ACT_EST_DATA=E</stp>
        <stp>ACT_EST_MAPPING=PRECISE</stp>
        <stp>FS=MRC</stp>
        <stp>CURRENCY=USD</stp>
        <stp>XLFILL=b</stp>
        <tr r="E190" s="2"/>
      </tp>
      <tp t="s">
        <v>#N/A Requesting Data...</v>
        <stp/>
        <stp>##V3_BQLV12</stp>
        <stp>[MODL_NOW_US1.xlsx]Single Period!R163C42</stp>
        <stp>NOW US Equity</stp>
        <stp>CB_BS_PP_AND_E_NET/1M</stp>
        <stp>FPR=2021Y</stp>
        <stp>FPT=A</stp>
        <stp>FA_ACT_EST_DATA=E, EST_SOURCE=CTI</stp>
        <stp>ACT_EST_MAPPING=PRECISE</stp>
        <stp>FS=MRC</stp>
        <stp>CURRENCY=USD</stp>
        <stp>XLFILL=b</stp>
        <tr r="AP163" s="2"/>
      </tp>
      <tp t="s">
        <v>#N/A Requesting Data...</v>
        <stp/>
        <stp>##V3_BQLV12</stp>
        <stp>[MODL_NOW_US1.xlsx]Single Period!R91C21</stp>
        <stp>NOW US Equity</stp>
        <stp>ADJ_R_AND_D_TO_SALES</stp>
        <stp>FPR=2021Y</stp>
        <stp>FPT=A</stp>
        <stp>FA_ACT_EST_DATA=E, EST_SOURCE=JMP</stp>
        <stp>ACT_EST_MAPPING=PRECISE</stp>
        <stp>FS=MRC</stp>
        <stp>CURRENCY=USD</stp>
        <stp>XLFILL=b</stp>
        <tr r="U91" s="2"/>
      </tp>
      <tp t="s">
        <v>#N/A Requesting Data...</v>
        <stp/>
        <stp>##V3_BQLV12</stp>
        <stp>[MODL_NOW_US1.xlsx]Single Period!R144C17</stp>
        <stp>NOW US Equity</stp>
        <stp>IS_SBC_ATT_TO_GENL_AND_ADMIN_PRETX/1M</stp>
        <stp>FPR=2021Y</stp>
        <stp>FPT=A</stp>
        <stp>FA_ACT_EST_DATA=E, EST_SOURCE=RHR</stp>
        <stp>ACT_EST_MAPPING=PRECISE</stp>
        <stp>FS=MRC</stp>
        <stp>CURRENCY=USD</stp>
        <stp>XLFILL=b</stp>
        <tr r="Q144" s="2"/>
      </tp>
      <tp t="s">
        <v>#N/A Requesting Data...</v>
        <stp/>
        <stp>##V3_BQLV12</stp>
        <stp>[MODL_NOW_US1.xlsx]Single Period!R51C6</stp>
        <stp>NOW US Equity</stp>
        <stp>CONTRIBUTOR_STATS(ACCOUNTS_PAYABLE_TURNOVER_DAYS, MIN)</stp>
        <stp>FPR=2021Y</stp>
        <stp>FPT=A</stp>
        <stp>FA_ACT_EST_DATA=E</stp>
        <stp>ACT_EST_MAPPING=PRECISE</stp>
        <stp>FS=MRC</stp>
        <stp>CURRENCY=USD</stp>
        <stp>XLFILL=b</stp>
        <tr r="F51" s="2"/>
      </tp>
      <tp t="s">
        <v>#N/A Requesting Data...</v>
        <stp/>
        <stp>##V3_BQLV12</stp>
        <stp>[MODL_NOW_US1.xlsx]Single Period!R127C42</stp>
        <stp>NOW US Equity</stp>
        <stp>PRETAX_INC/1M</stp>
        <stp>FPR=2021Y</stp>
        <stp>FPT=A</stp>
        <stp>FA_ACT_EST_DATA=E, EST_SOURCE=CTI</stp>
        <stp>ACT_EST_MAPPING=PRECISE</stp>
        <stp>FS=MRC</stp>
        <stp>CURRENCY=USD</stp>
        <stp>XLFILL=b</stp>
        <tr r="AP127" s="2"/>
      </tp>
      <tp t="s">
        <v>#N/A Requesting Data...</v>
        <stp/>
        <stp>##V3_BQLV12</stp>
        <stp>[MODL_NOW_US1.xlsx]Single Period!R28C38</stp>
        <stp>NOW US Equity</stp>
        <stp>ADJ_OPERATING_MARGIN</stp>
        <stp>FPR=2021Y</stp>
        <stp>FPT=A</stp>
        <stp>FA_ACT_EST_DATA=E, EST_SOURCE=RWB</stp>
        <stp>ACT_EST_MAPPING=PRECISE</stp>
        <stp>FS=MRC</stp>
        <stp>CURRENCY=USD</stp>
        <stp>XLFILL=b</stp>
        <tr r="AL28" s="2"/>
      </tp>
      <tp t="s">
        <v>#N/A Requesting Data...</v>
        <stp/>
        <stp>##V3_BQLV12</stp>
        <stp>[MODL_NOW_US1.xlsx]Single Period!R21C16</stp>
        <stp>SEG0000230986 Segment</stp>
        <stp>IS_BILLINGS/1M</stp>
        <stp>FPR=2021Y</stp>
        <stp>FPT=A</stp>
        <stp>FA_ACT_EST_DATA=E, EST_SOURCE=BCA</stp>
        <stp>ACT_EST_MAPPING=PRECISE</stp>
        <stp>FS=MRC</stp>
        <stp>CURRENCY=USD</stp>
        <stp>XLFILL=b</stp>
        <tr r="P21" s="2"/>
      </tp>
      <tp t="s">
        <v>#N/A Requesting Data...</v>
        <stp/>
        <stp>##V3_BQLV12</stp>
        <stp>[MODL_NOW_US1.xlsx]Single Period!R46C16</stp>
        <stp>SEG0000230986 Segment</stp>
        <stp>IS_BILLINGS/1M</stp>
        <stp>FPR=2021Y</stp>
        <stp>FPT=A</stp>
        <stp>FA_ACT_EST_DATA=E, EST_SOURCE=BCA</stp>
        <stp>ACT_EST_MAPPING=PRECISE</stp>
        <stp>FS=MRC</stp>
        <stp>CURRENCY=USD</stp>
        <stp>XLFILL=b</stp>
        <tr r="P46" s="2"/>
      </tp>
      <tp t="s">
        <v>#N/A Requesting Data...</v>
        <stp/>
        <stp>##V3_BQLV12</stp>
        <stp>[MODL_NOW_US1.xlsx]Single Period!R181C36</stp>
        <stp>NOW US Equity</stp>
        <stp>BS_LONG_TERM_BORROWINGS/1M</stp>
        <stp>FPR=2021Y</stp>
        <stp>FPT=A</stp>
        <stp>FA_ACT_EST_DATA=E, EST_SOURCE=JEF</stp>
        <stp>ACT_EST_MAPPING=PRECISE</stp>
        <stp>FS=MRC</stp>
        <stp>CURRENCY=USD</stp>
        <stp>XLFILL=b</stp>
        <tr r="AJ181" s="2"/>
      </tp>
      <tp t="s">
        <v>#N/A Requesting Data...</v>
        <stp/>
        <stp>##V3_BQLV12</stp>
        <stp>[MODL_NOW_US1.xlsx]Single Period!R174C19</stp>
        <stp>NOW US Equity</stp>
        <stp>BS_ACCT_PAYABLE/1M</stp>
        <stp>FPR=2021Y</stp>
        <stp>FPT=A</stp>
        <stp>FA_ACT_EST_DATA=E, EST_SOURCE=MSV</stp>
        <stp>ACT_EST_MAPPING=PRECISE</stp>
        <stp>FS=MRC</stp>
        <stp>CURRENCY=USD</stp>
        <stp>XLFILL=b</stp>
        <tr r="S174" s="2"/>
      </tp>
      <tp t="s">
        <v>#N/A Requesting Data...</v>
        <stp/>
        <stp>##V3_BQLV12</stp>
        <stp>[MODL_NOW_US1.xlsx]Single Period!R208C46</stp>
        <stp>NOW US Equity</stp>
        <stp>CF_CHANGE_IN_OTHR_ASSTS/1M</stp>
        <stp>FPR=2021Y</stp>
        <stp>FPT=A</stp>
        <stp>FA_ACT_EST_DATA=E, EST_SOURCE=MZS</stp>
        <stp>ACT_EST_MAPPING=PRECISE</stp>
        <stp>FS=MRC</stp>
        <stp>CURRENCY=USD</stp>
        <stp>XLFILL=b</stp>
        <tr r="AT208" s="2"/>
      </tp>
      <tp t="s">
        <v>#N/A Requesting Data...</v>
        <stp/>
        <stp>##V3_BQLV12</stp>
        <stp>[MODL_NOW_US1.xlsx]Single Period!R46C49</stp>
        <stp>SEG0000230986 Segment</stp>
        <stp>IS_BILLINGS/1M</stp>
        <stp>FPR=2021Y</stp>
        <stp>FPT=A</stp>
        <stp>FA_ACT_EST_DATA=E, EST_SOURCE=SCB</stp>
        <stp>ACT_EST_MAPPING=PRECISE</stp>
        <stp>FS=MRC</stp>
        <stp>CURRENCY=USD</stp>
        <stp>XLFILL=b</stp>
        <tr r="AW46" s="2"/>
      </tp>
      <tp t="s">
        <v>#N/A Requesting Data...</v>
        <stp/>
        <stp>##V3_BQLV12</stp>
        <stp>[MODL_NOW_US1.xlsx]Single Period!R21C49</stp>
        <stp>SEG0000230986 Segment</stp>
        <stp>IS_BILLINGS/1M</stp>
        <stp>FPR=2021Y</stp>
        <stp>FPT=A</stp>
        <stp>FA_ACT_EST_DATA=E, EST_SOURCE=SCB</stp>
        <stp>ACT_EST_MAPPING=PRECISE</stp>
        <stp>FS=MRC</stp>
        <stp>CURRENCY=USD</stp>
        <stp>XLFILL=b</stp>
        <tr r="AW21" s="2"/>
      </tp>
      <tp t="s">
        <v>#N/A Requesting Data...</v>
        <stp/>
        <stp>##V3_BQLV12</stp>
        <stp>[MODL_NOW_US1.xlsx]Single Period!R174C31</stp>
        <stp>NOW US Equity</stp>
        <stp>BS_ACCT_PAYABLE/1M</stp>
        <stp>FPR=2021Y</stp>
        <stp>FPT=A</stp>
        <stp>FA_ACT_EST_DATA=E, EST_SOURCE=GSR</stp>
        <stp>ACT_EST_MAPPING=PRECISE</stp>
        <stp>FS=MRC</stp>
        <stp>CURRENCY=USD</stp>
        <stp>XLFILL=b</stp>
        <tr r="AE174" s="2"/>
      </tp>
      <tp t="s">
        <v>#N/A Requesting Data...</v>
        <stp/>
        <stp>##V3_BQLV12</stp>
        <stp>[MODL_NOW_US1.xlsx]Single Period!R174C35</stp>
        <stp>NOW US Equity</stp>
        <stp>BS_ACCT_PAYABLE/1M</stp>
        <stp>FPR=2021Y</stp>
        <stp>FPT=A</stp>
        <stp>FA_ACT_EST_DATA=E, EST_SOURCE=MSR</stp>
        <stp>ACT_EST_MAPPING=PRECISE</stp>
        <stp>FS=MRC</stp>
        <stp>CURRENCY=USD</stp>
        <stp>XLFILL=b</stp>
        <tr r="AI174" s="2"/>
      </tp>
      <tp t="s">
        <v>#N/A Requesting Data...</v>
        <stp/>
        <stp>##V3_BQLV12</stp>
        <stp>[MODL_NOW_US1.xlsx]Single Period!R11C5</stp>
        <stp>NOW US Equity</stp>
        <stp>NUM_CSTMR_CNTRCT_OVER_1_MILLN</stp>
        <stp>FPR=2021Y</stp>
        <stp>FPT=A</stp>
        <stp>FA_ACT_EST_DATA=E</stp>
        <stp>ACT_EST_MAPPING=PRECISE</stp>
        <stp>FS=MRC</stp>
        <stp>CURRENCY=USD</stp>
        <stp>XLFILL=b</stp>
        <tr r="E11" s="2"/>
      </tp>
      <tp t="s">
        <v>#N/A Requesting Data...</v>
        <stp/>
        <stp>##V3_BQLV12</stp>
        <stp>[MODL_NOW_US1.xlsx]Single Period!R199C34</stp>
        <stp>NOW US Equity</stp>
        <stp>IS_COMP_NET_INCOME_GAAP/1M</stp>
        <stp>FPR=2021Y</stp>
        <stp>FPT=A</stp>
        <stp>FA_ACT_EST_DATA=E, EST_SOURCE=PSG</stp>
        <stp>ACT_EST_MAPPING=PRECISE</stp>
        <stp>FS=MRC</stp>
        <stp>CURRENCY=USD</stp>
        <stp>XLFILL=b</stp>
        <tr r="AH199" s="2"/>
      </tp>
      <tp t="s">
        <v>#N/A Requesting Data...</v>
        <stp/>
        <stp>##V3_BQLV12</stp>
        <stp>[MODL_NOW_US1.xlsx]Single Period!R130C34</stp>
        <stp>NOW US Equity</stp>
        <stp>IS_COMP_NET_INCOME_GAAP/1M</stp>
        <stp>FPR=2021Y</stp>
        <stp>FPT=A</stp>
        <stp>FA_ACT_EST_DATA=E, EST_SOURCE=PSG</stp>
        <stp>ACT_EST_MAPPING=PRECISE</stp>
        <stp>FS=MRC</stp>
        <stp>CURRENCY=USD</stp>
        <stp>XLFILL=b</stp>
        <tr r="AH130" s="2"/>
      </tp>
      <tp t="s">
        <v>#N/A Requesting Data...</v>
        <stp/>
        <stp>##V3_BQLV12</stp>
        <stp>[MODL_NOW_US1.xlsx]Single Period!R236C42</stp>
        <stp>NOW US Equity</stp>
        <stp>FREE_CASH_FLOW_MARGIN</stp>
        <stp>FPR=2021Y</stp>
        <stp>FPT=A</stp>
        <stp>FA_ACT_EST_DATA=E, EST_SOURCE=CTI</stp>
        <stp>ACT_EST_MAPPING=PRECISE</stp>
        <stp>FS=MRC</stp>
        <stp>CURRENCY=USD</stp>
        <stp>XLFILL=b</stp>
        <tr r="AP236" s="2"/>
      </tp>
      <tp t="s">
        <v>#N/A Requesting Data...</v>
        <stp/>
        <stp>##V3_BQLV12</stp>
        <stp>[MODL_NOW_US1.xlsx]Single Period!R174C34</stp>
        <stp>NOW US Equity</stp>
        <stp>BS_ACCT_PAYABLE/1M</stp>
        <stp>FPR=2021Y</stp>
        <stp>FPT=A</stp>
        <stp>FA_ACT_EST_DATA=E, EST_SOURCE=PSG</stp>
        <stp>ACT_EST_MAPPING=PRECISE</stp>
        <stp>FS=MRC</stp>
        <stp>CURRENCY=USD</stp>
        <stp>XLFILL=b</stp>
        <tr r="AH174" s="2"/>
      </tp>
      <tp t="s">
        <v>#N/A Requesting Data...</v>
        <stp/>
        <stp>##V3_BQLV12</stp>
        <stp>[MODL_NOW_US1.xlsx]Single Period!R208C39</stp>
        <stp>NOW US Equity</stp>
        <stp>CF_CHANGE_IN_OTHR_ASSTS/1M</stp>
        <stp>FPR=2021Y</stp>
        <stp>FPT=A</stp>
        <stp>FA_ACT_EST_DATA=E, EST_SOURCE=DZB</stp>
        <stp>ACT_EST_MAPPING=PRECISE</stp>
        <stp>FS=MRC</stp>
        <stp>CURRENCY=USD</stp>
        <stp>XLFILL=b</stp>
        <tr r="AM208" s="2"/>
      </tp>
      <tp t="s">
        <v>#N/A Requesting Data...</v>
        <stp/>
        <stp>##V3_BQLV12</stp>
        <stp>[MODL_NOW_US1.xlsx]Single Period!R125C47</stp>
        <stp>NOW US Equity</stp>
        <stp>OPER_INC_TO_NET_SALES</stp>
        <stp>FPR=2021Y</stp>
        <stp>FPT=A</stp>
        <stp>FA_ACT_EST_DATA=E, EST_SOURCE=SUM</stp>
        <stp>ACT_EST_MAPPING=PRECISE</stp>
        <stp>FS=MRC</stp>
        <stp>CURRENCY=USD</stp>
        <stp>XLFILL=b</stp>
        <tr r="AU125" s="2"/>
      </tp>
      <tp t="s">
        <v>#N/A Requesting Data...</v>
        <stp/>
        <stp>##V3_BQLV12</stp>
        <stp>[MODL_NOW_US1.xlsx]Single Period!R47C17</stp>
        <stp>SEG0000230986 Segment</stp>
        <stp>CB_ADJ_BILLINGS_AMT/1M</stp>
        <stp>FPR=2021Y</stp>
        <stp>FPT=A</stp>
        <stp>FA_ACT_EST_DATA=E, EST_SOURCE=RHR</stp>
        <stp>ACT_EST_MAPPING=PRECISE</stp>
        <stp>FS=MRC</stp>
        <stp>CURRENCY=USD</stp>
        <stp>XLFILL=b</stp>
        <tr r="Q47" s="2"/>
      </tp>
      <tp t="s">
        <v>#N/A Requesting Data...</v>
        <stp/>
        <stp>##V3_BQLV12</stp>
        <stp>[MODL_NOW_US1.xlsx]Single Period!R236C37</stp>
        <stp>NOW US Equity</stp>
        <stp>FREE_CASH_FLOW_MARGIN</stp>
        <stp>FPR=2021Y</stp>
        <stp>FPT=A</stp>
        <stp>FA_ACT_EST_DATA=E, EST_SOURCE=TTC</stp>
        <stp>ACT_EST_MAPPING=PRECISE</stp>
        <stp>FS=MRC</stp>
        <stp>CURRENCY=USD</stp>
        <stp>XLFILL=b</stp>
        <tr r="AK236" s="2"/>
      </tp>
      <tp t="s">
        <v>#N/A Requesting Data...</v>
        <stp/>
        <stp>##V3_BQLV12</stp>
        <stp>[MODL_NOW_US1.xlsx]Single Period!R205C48</stp>
        <stp>NOW US Equity</stp>
        <stp>CB_CF_OTHR_NONCSH_ITEMS/1M</stp>
        <stp>FPR=2021Y</stp>
        <stp>FPT=A</stp>
        <stp>FA_ACT_EST_DATA=E, EST_SOURCE=CRC</stp>
        <stp>ACT_EST_MAPPING=PRECISE</stp>
        <stp>FS=MRC</stp>
        <stp>CURRENCY=USD</stp>
        <stp>XLFILL=b</stp>
        <tr r="AV205" s="2"/>
      </tp>
      <tp t="s">
        <v>#N/A Requesting Data...</v>
        <stp/>
        <stp>##V3_BQLV12</stp>
        <stp>[MODL_NOW_US1.xlsx]Single Period!R199C31</stp>
        <stp>NOW US Equity</stp>
        <stp>IS_COMP_NET_INCOME_GAAP/1M</stp>
        <stp>FPR=2021Y</stp>
        <stp>FPT=A</stp>
        <stp>FA_ACT_EST_DATA=E, EST_SOURCE=GSR</stp>
        <stp>ACT_EST_MAPPING=PRECISE</stp>
        <stp>FS=MRC</stp>
        <stp>CURRENCY=USD</stp>
        <stp>XLFILL=b</stp>
        <tr r="AE199" s="2"/>
      </tp>
      <tp t="s">
        <v>#N/A Requesting Data...</v>
        <stp/>
        <stp>##V3_BQLV12</stp>
        <stp>[MODL_NOW_US1.xlsx]Single Period!R199C35</stp>
        <stp>NOW US Equity</stp>
        <stp>IS_COMP_NET_INCOME_GAAP/1M</stp>
        <stp>FPR=2021Y</stp>
        <stp>FPT=A</stp>
        <stp>FA_ACT_EST_DATA=E, EST_SOURCE=MSR</stp>
        <stp>ACT_EST_MAPPING=PRECISE</stp>
        <stp>FS=MRC</stp>
        <stp>CURRENCY=USD</stp>
        <stp>XLFILL=b</stp>
        <tr r="AI199" s="2"/>
      </tp>
      <tp t="s">
        <v>#N/A Requesting Data...</v>
        <stp/>
        <stp>##V3_BQLV12</stp>
        <stp>[MODL_NOW_US1.xlsx]Single Period!R130C31</stp>
        <stp>NOW US Equity</stp>
        <stp>IS_COMP_NET_INCOME_GAAP/1M</stp>
        <stp>FPR=2021Y</stp>
        <stp>FPT=A</stp>
        <stp>FA_ACT_EST_DATA=E, EST_SOURCE=GSR</stp>
        <stp>ACT_EST_MAPPING=PRECISE</stp>
        <stp>FS=MRC</stp>
        <stp>CURRENCY=USD</stp>
        <stp>XLFILL=b</stp>
        <tr r="AE130" s="2"/>
      </tp>
      <tp t="s">
        <v>#N/A Requesting Data...</v>
        <stp/>
        <stp>##V3_BQLV12</stp>
        <stp>[MODL_NOW_US1.xlsx]Single Period!R130C35</stp>
        <stp>NOW US Equity</stp>
        <stp>IS_COMP_NET_INCOME_GAAP/1M</stp>
        <stp>FPR=2021Y</stp>
        <stp>FPT=A</stp>
        <stp>FA_ACT_EST_DATA=E, EST_SOURCE=MSR</stp>
        <stp>ACT_EST_MAPPING=PRECISE</stp>
        <stp>FS=MRC</stp>
        <stp>CURRENCY=USD</stp>
        <stp>XLFILL=b</stp>
        <tr r="AI130" s="2"/>
      </tp>
      <tp t="s">
        <v>#N/A Requesting Data...</v>
        <stp/>
        <stp>##V3_BQLV12</stp>
        <stp>[MODL_NOW_US1.xlsx]Single Period!R181C13</stp>
        <stp>NOW US Equity</stp>
        <stp>BS_LONG_TERM_BORROWINGS/1M</stp>
        <stp>FPR=2021Y</stp>
        <stp>FPT=A</stp>
        <stp>FA_ACT_EST_DATA=E, EST_SOURCE=KEY</stp>
        <stp>ACT_EST_MAPPING=PRECISE</stp>
        <stp>FS=MRC</stp>
        <stp>CURRENCY=USD</stp>
        <stp>XLFILL=b</stp>
        <tr r="M181" s="2"/>
      </tp>
      <tp t="s">
        <v>#N/A Requesting Data...</v>
        <stp/>
        <stp>##V3_BQLV12</stp>
        <stp>[MODL_NOW_US1.xlsx]Single Period!R117C43</stp>
        <stp>NOW US Equity</stp>
        <stp>IS_TOT_OPER_EXP/1M</stp>
        <stp>FPR=2021Y</stp>
        <stp>FPT=A</stp>
        <stp>FA_ACT_EST_DATA=E, EST_SOURCE=WFT</stp>
        <stp>ACT_EST_MAPPING=PRECISE</stp>
        <stp>FS=MRC</stp>
        <stp>CURRENCY=USD</stp>
        <stp>XLFILL=b</stp>
        <tr r="AQ117" s="2"/>
      </tp>
      <tp t="s">
        <v>#N/A Requesting Data...</v>
        <stp/>
        <stp>##V3_BQLV12</stp>
        <stp>[MODL_NOW_US1.xlsx]Single Period!R130C19</stp>
        <stp>NOW US Equity</stp>
        <stp>IS_COMP_NET_INCOME_GAAP/1M</stp>
        <stp>FPR=2021Y</stp>
        <stp>FPT=A</stp>
        <stp>FA_ACT_EST_DATA=E, EST_SOURCE=MSV</stp>
        <stp>ACT_EST_MAPPING=PRECISE</stp>
        <stp>FS=MRC</stp>
        <stp>CURRENCY=USD</stp>
        <stp>XLFILL=b</stp>
        <tr r="S130" s="2"/>
      </tp>
      <tp t="s">
        <v>#N/A Requesting Data...</v>
        <stp/>
        <stp>##V3_BQLV12</stp>
        <stp>[MODL_NOW_US1.xlsx]Single Period!R199C19</stp>
        <stp>NOW US Equity</stp>
        <stp>IS_COMP_NET_INCOME_GAAP/1M</stp>
        <stp>FPR=2021Y</stp>
        <stp>FPT=A</stp>
        <stp>FA_ACT_EST_DATA=E, EST_SOURCE=MSV</stp>
        <stp>ACT_EST_MAPPING=PRECISE</stp>
        <stp>FS=MRC</stp>
        <stp>CURRENCY=USD</stp>
        <stp>XLFILL=b</stp>
        <tr r="S199" s="2"/>
      </tp>
      <tp t="s">
        <v>#N/A Requesting Data...</v>
        <stp/>
        <stp>##V3_BQLV12</stp>
        <stp>[MODL_NOW_US1.xlsx]Single Period!R205C44</stp>
        <stp>NOW US Equity</stp>
        <stp>CB_CF_OTHR_NONCSH_ITEMS/1M</stp>
        <stp>FPR=2021Y</stp>
        <stp>FPT=A</stp>
        <stp>FA_ACT_EST_DATA=E, EST_SOURCE=ARE</stp>
        <stp>ACT_EST_MAPPING=PRECISE</stp>
        <stp>FS=MRC</stp>
        <stp>CURRENCY=USD</stp>
        <stp>XLFILL=b</stp>
        <tr r="AR205" s="2"/>
      </tp>
      <tp t="s">
        <v>#N/A Requesting Data...</v>
        <stp/>
        <stp>##V3_BQLV12</stp>
        <stp>[MODL_NOW_US1.xlsx]Single Period!R205C41</stp>
        <stp>NOW US Equity</stp>
        <stp>CB_CF_OTHR_NONCSH_ITEMS/1M</stp>
        <stp>FPR=2021Y</stp>
        <stp>FPT=A</stp>
        <stp>FA_ACT_EST_DATA=E, EST_SOURCE=ARG</stp>
        <stp>ACT_EST_MAPPING=PRECISE</stp>
        <stp>FS=MRC</stp>
        <stp>CURRENCY=USD</stp>
        <stp>XLFILL=b</stp>
        <tr r="AO205" s="2"/>
      </tp>
      <tp t="s">
        <v>#N/A Requesting Data...</v>
        <stp/>
        <stp>##V3_BQLV12</stp>
        <stp>[MODL_NOW_US1.xlsx]Single Period!R138C17</stp>
        <stp>NOW US Equity</stp>
        <stp>SBC_NON_GAAP_TO_SALES</stp>
        <stp>FPR=2021Y</stp>
        <stp>FPT=A</stp>
        <stp>FA_ACT_EST_DATA=E, EST_SOURCE=RHR</stp>
        <stp>ACT_EST_MAPPING=PRECISE</stp>
        <stp>FS=MRC</stp>
        <stp>CURRENCY=USD</stp>
        <stp>XLFILL=b</stp>
        <tr r="Q138" s="2"/>
      </tp>
      <tp t="s">
        <v>#N/A Requesting Data...</v>
        <stp/>
        <stp>##V3_BQLV12</stp>
        <stp>[MODL_NOW_US1.xlsx]Single Period!R148C22</stp>
        <stp>NOW US Equity</stp>
        <stp>IS_AMORT_ACQD_INTANGIBLES_R_AND_D/1M</stp>
        <stp>FPR=2021Y</stp>
        <stp>FPT=A</stp>
        <stp>FA_ACT_EST_DATA=E, EST_SOURCE=NDH</stp>
        <stp>ACT_EST_MAPPING=PRECISE</stp>
        <stp>FS=MRC</stp>
        <stp>CURRENCY=USD</stp>
        <stp>XLFILL=b</stp>
        <tr r="V148" s="2"/>
      </tp>
      <tp t="s">
        <v>#N/A Requesting Data...</v>
        <stp/>
        <stp>##V3_BQLV12</stp>
        <stp>[MODL_NOW_US1.xlsx]Single Period!R121C11</stp>
        <stp>NOW US Equity</stp>
        <stp>CB_IS_GENL_AND_ADMIN_EXPN/1M</stp>
        <stp>FPR=2021Y</stp>
        <stp>FPT=A</stp>
        <stp>FA_ACT_EST_DATA=E, EST_SOURCE=JPM</stp>
        <stp>ACT_EST_MAPPING=PRECISE</stp>
        <stp>FS=MRC</stp>
        <stp>CURRENCY=USD</stp>
        <stp>XLFILL=b</stp>
        <tr r="K121" s="2"/>
      </tp>
      <tp t="s">
        <v>#N/A Requesting Data...</v>
        <stp/>
        <stp>##V3_BQLV12</stp>
        <stp>[MODL_NOW_US1.xlsx]Single Period!R63C24</stp>
        <stp>SEG0000230975 Segment</stp>
        <stp>CB_IS_GROSS_PROFIT/1M</stp>
        <stp>FPR=2021Y</stp>
        <stp>FPT=A</stp>
        <stp>FA_ACT_EST_DATA=E, EST_SOURCE=CWN</stp>
        <stp>ACT_EST_MAPPING=PRECISE</stp>
        <stp>FS=MRC</stp>
        <stp>CURRENCY=USD</stp>
        <stp>XLFILL=b</stp>
        <tr r="X63" s="2"/>
      </tp>
      <tp t="s">
        <v>#N/A Requesting Data...</v>
        <stp/>
        <stp>##V3_BQLV12</stp>
        <stp>[MODL_NOW_US1.xlsx]Single Period!R218C12</stp>
        <stp>NOW US Equity</stp>
        <stp>CF_ACQUISITION_OF_INTANG_ASSETS/1M</stp>
        <stp>FPR=2021Y</stp>
        <stp>FPT=A</stp>
        <stp>FA_ACT_EST_DATA=E, EST_SOURCE=WBL</stp>
        <stp>ACT_EST_MAPPING=PRECISE</stp>
        <stp>FS=MRC</stp>
        <stp>CURRENCY=USD</stp>
        <stp>XLFILL=b</stp>
        <tr r="L218" s="2"/>
      </tp>
      <tp t="s">
        <v>#N/A Requesting Data...</v>
        <stp/>
        <stp>##V3_BQLV12</stp>
        <stp>[MODL_NOW_US1.xlsx]Single Period!R63C40</stp>
        <stp>SEG0000230975 Segment</stp>
        <stp>CB_IS_GROSS_PROFIT/1M</stp>
        <stp>FPR=2021Y</stp>
        <stp>FPT=A</stp>
        <stp>FA_ACT_EST_DATA=E, EST_SOURCE=DWI</stp>
        <stp>ACT_EST_MAPPING=PRECISE</stp>
        <stp>FS=MRC</stp>
        <stp>CURRENCY=USD</stp>
        <stp>XLFILL=b</stp>
        <tr r="AN63" s="2"/>
      </tp>
      <tp t="s">
        <v>#N/A Requesting Data...</v>
        <stp/>
        <stp>##V3_BQLV12</stp>
        <stp>[MODL_NOW_US1.xlsx]Single Period!R155C30</stp>
        <stp>NOW US Equity</stp>
        <stp>BS_CASH_CASH_EQUIVALENTS_AND_STI/1M</stp>
        <stp>FPR=2021Y</stp>
        <stp>FPT=A</stp>
        <stp>FA_ACT_EST_DATA=E, EST_SOURCE=BAM</stp>
        <stp>ACT_EST_MAPPING=PRECISE</stp>
        <stp>FS=MRC</stp>
        <stp>CURRENCY=USD</stp>
        <stp>XLFILL=b</stp>
        <tr r="AD155" s="2"/>
      </tp>
      <tp t="s">
        <v>#N/A Requesting Data...</v>
        <stp/>
        <stp>##V3_BQLV12</stp>
        <stp>[MODL_NOW_US1.xlsx]Single Period!R20C7</stp>
        <stp>SEG0000230986 Segment</stp>
        <stp>CONTRIBUTOR_STATS(SALES_REV_TURN, MAX)/1M</stp>
        <stp>FPR=2021Y</stp>
        <stp>FPT=A</stp>
        <stp>FA_ACT_EST_DATA=E</stp>
        <stp>ACT_EST_MAPPING=PRECISE</stp>
        <stp>FS=MRC</stp>
        <stp>CURRENCY=USD</stp>
        <stp>XLFILL=b</stp>
        <tr r="G20" s="2"/>
      </tp>
      <tp t="s">
        <v>#N/A Requesting Data...</v>
        <stp/>
        <stp>##V3_BQLV12</stp>
        <stp>[MODL_NOW_US1.xlsx]Single Period!R20C6</stp>
        <stp>SEG0000230986 Segment</stp>
        <stp>CONTRIBUTOR_STATS(SALES_REV_TURN, MIN)/1M</stp>
        <stp>FPR=2021Y</stp>
        <stp>FPT=A</stp>
        <stp>FA_ACT_EST_DATA=E</stp>
        <stp>ACT_EST_MAPPING=PRECISE</stp>
        <stp>FS=MRC</stp>
        <stp>CURRENCY=USD</stp>
        <stp>XLFILL=b</stp>
        <tr r="F20" s="2"/>
      </tp>
      <tp t="s">
        <v>#N/A Requesting Data...</v>
        <stp/>
        <stp>##V3_BQLV12</stp>
        <stp>[MODL_NOW_US1.xlsx]Single Period!R225C33</stp>
        <stp>NOW US Equity</stp>
        <stp>CF_INCR_CAP_STOCK/1M</stp>
        <stp>FPR=2021Y</stp>
        <stp>FPT=A</stp>
        <stp>FA_ACT_EST_DATA=E, EST_SOURCE=MAC</stp>
        <stp>ACT_EST_MAPPING=PRECISE</stp>
        <stp>FS=MRC</stp>
        <stp>CURRENCY=USD</stp>
        <stp>XLFILL=b</stp>
        <tr r="AG225" s="2"/>
      </tp>
      <tp t="s">
        <v>#N/A Requesting Data...</v>
        <stp/>
        <stp>##V3_BQLV12</stp>
        <stp>[MODL_NOW_US1.xlsx]Single Period!R175C35</stp>
        <stp>NOW US Equity</stp>
        <stp>BS_ACCRUD_EXPNSS_AND_OTHR/1M</stp>
        <stp>FPR=2021Y</stp>
        <stp>FPT=A</stp>
        <stp>FA_ACT_EST_DATA=E, EST_SOURCE=MSR</stp>
        <stp>ACT_EST_MAPPING=PRECISE</stp>
        <stp>FS=MRC</stp>
        <stp>CURRENCY=USD</stp>
        <stp>XLFILL=b</stp>
        <tr r="AI175" s="2"/>
      </tp>
      <tp t="s">
        <v>#N/A Requesting Data...</v>
        <stp/>
        <stp>##V3_BQLV12</stp>
        <stp>[MODL_NOW_US1.xlsx]Single Period!R149C5</stp>
        <stp>NOW US Equity</stp>
        <stp>IS_AMORT_ACQD_INTANG_GEN_AND_ADMIN/1M</stp>
        <stp>FPR=2021Y</stp>
        <stp>FPT=A</stp>
        <stp>FA_ACT_EST_DATA=E</stp>
        <stp>ACT_EST_MAPPING=PRECISE</stp>
        <stp>FS=MRC</stp>
        <stp>CURRENCY=USD</stp>
        <stp>XLFILL=b</stp>
        <tr r="E149" s="2"/>
      </tp>
      <tp t="s">
        <v>#N/A Requesting Data...</v>
        <stp/>
        <stp>##V3_BQLV12</stp>
        <stp>[MODL_NOW_US1.xlsx]Single Period!R155C33</stp>
        <stp>NOW US Equity</stp>
        <stp>BS_CASH_CASH_EQUIVALENTS_AND_STI/1M</stp>
        <stp>FPR=2021Y</stp>
        <stp>FPT=A</stp>
        <stp>FA_ACT_EST_DATA=E, EST_SOURCE=MAC</stp>
        <stp>ACT_EST_MAPPING=PRECISE</stp>
        <stp>FS=MRC</stp>
        <stp>CURRENCY=USD</stp>
        <stp>XLFILL=b</stp>
        <tr r="AG155" s="2"/>
      </tp>
      <tp t="s">
        <v>#N/A Requesting Data...</v>
        <stp/>
        <stp>##V3_BQLV12</stp>
        <stp>[MODL_NOW_US1.xlsx]Single Period!R202C19</stp>
        <stp>NOW US Equity</stp>
        <stp>CF_AMORTIZATN_OF_DEFRRD_COMPNSTN/1M</stp>
        <stp>FPR=2021Y</stp>
        <stp>FPT=A</stp>
        <stp>FA_ACT_EST_DATA=E, EST_SOURCE=MSV</stp>
        <stp>ACT_EST_MAPPING=PRECISE</stp>
        <stp>FS=MRC</stp>
        <stp>CURRENCY=USD</stp>
        <stp>XLFILL=b</stp>
        <tr r="S202" s="2"/>
      </tp>
      <tp t="s">
        <v>#N/A Requesting Data...</v>
        <stp/>
        <stp>##V3_BQLV12</stp>
        <stp>[MODL_NOW_US1.xlsx]Single Period!R213C28</stp>
        <stp>NOW US Equity</stp>
        <stp>CF_CASH_FROM_OPER/1M</stp>
        <stp>FPR=2021Y</stp>
        <stp>FPT=A</stp>
        <stp>FA_ACT_EST_DATA=E, EST_SOURCE=EVR</stp>
        <stp>ACT_EST_MAPPING=PRECISE</stp>
        <stp>FS=MRC</stp>
        <stp>CURRENCY=USD</stp>
        <stp>XLFILL=b</stp>
        <tr r="AB213" s="2"/>
      </tp>
      <tp t="s">
        <v>#N/A Requesting Data...</v>
        <stp/>
        <stp>##V3_BQLV12</stp>
        <stp>[MODL_NOW_US1.xlsx]Single Period!R218C25</stp>
        <stp>NOW US Equity</stp>
        <stp>CF_ACQUISITION_OF_INTANG_ASSETS/1M</stp>
        <stp>FPR=2021Y</stp>
        <stp>FPT=A</stp>
        <stp>FA_ACT_EST_DATA=E, EST_SOURCE=DBG</stp>
        <stp>ACT_EST_MAPPING=PRECISE</stp>
        <stp>FS=MRC</stp>
        <stp>CURRENCY=USD</stp>
        <stp>XLFILL=b</stp>
        <tr r="Y218" s="2"/>
      </tp>
      <tp t="s">
        <v>#N/A Requesting Data...</v>
        <stp/>
        <stp>##V3_BQLV12</stp>
        <stp>[MODL_NOW_US1.xlsx]Single Period!R71C39</stp>
        <stp>SEG0000230986 Segment</stp>
        <stp>CB_IS_GROSS_PROFIT/1M</stp>
        <stp>FPR=2021Y</stp>
        <stp>FPT=A</stp>
        <stp>FA_ACT_EST_DATA=E, EST_SOURCE=DZB</stp>
        <stp>ACT_EST_MAPPING=PRECISE</stp>
        <stp>FS=MRC</stp>
        <stp>CURRENCY=USD</stp>
        <stp>XLFILL=b</stp>
        <tr r="AM71" s="2"/>
      </tp>
      <tp t="s">
        <v>#N/A Requesting Data...</v>
        <stp/>
        <stp>##V3_BQLV12</stp>
        <stp>[MODL_NOW_US1.xlsx]Single Period!R218C32</stp>
        <stp>NOW US Equity</stp>
        <stp>CF_ACQUISITION_OF_INTANG_ASSETS/1M</stp>
        <stp>FPR=2021Y</stp>
        <stp>FPT=A</stp>
        <stp>FA_ACT_EST_DATA=E, EST_SOURCE=FBC</stp>
        <stp>ACT_EST_MAPPING=PRECISE</stp>
        <stp>FS=MRC</stp>
        <stp>CURRENCY=USD</stp>
        <stp>XLFILL=b</stp>
        <tr r="AF218" s="2"/>
      </tp>
      <tp t="s">
        <v>#N/A Requesting Data...</v>
        <stp/>
        <stp>##V3_BQLV12</stp>
        <stp>[MODL_NOW_US1.xlsx]Single Period!R155C16</stp>
        <stp>NOW US Equity</stp>
        <stp>BS_CASH_CASH_EQUIVALENTS_AND_STI/1M</stp>
        <stp>FPR=2021Y</stp>
        <stp>FPT=A</stp>
        <stp>FA_ACT_EST_DATA=E, EST_SOURCE=BCA</stp>
        <stp>ACT_EST_MAPPING=PRECISE</stp>
        <stp>FS=MRC</stp>
        <stp>CURRENCY=USD</stp>
        <stp>XLFILL=b</stp>
        <tr r="P155" s="2"/>
      </tp>
      <tp t="s">
        <v>#N/A Requesting Data...</v>
        <stp/>
        <stp>##V3_BQLV12</stp>
        <stp>[MODL_NOW_US1.xlsx]Single Period!R63C38</stp>
        <stp>SEG0000230975 Segment</stp>
        <stp>CB_IS_GROSS_PROFIT/1M</stp>
        <stp>FPR=2021Y</stp>
        <stp>FPT=A</stp>
        <stp>FA_ACT_EST_DATA=E, EST_SOURCE=RWB</stp>
        <stp>ACT_EST_MAPPING=PRECISE</stp>
        <stp>FS=MRC</stp>
        <stp>CURRENCY=USD</stp>
        <stp>XLFILL=b</stp>
        <tr r="AL63" s="2"/>
      </tp>
      <tp t="s">
        <v>#N/A Requesting Data...</v>
        <stp/>
        <stp>##V3_BQLV12</stp>
        <stp>[MODL_NOW_US1.xlsx]Single Period!R104C22</stp>
        <stp>NOW US Equity</stp>
        <stp>IS_COMP_NET_INC_EXCL_STOCK_COMP/1M</stp>
        <stp>FPR=2021Y</stp>
        <stp>FPT=A</stp>
        <stp>FA_ACT_EST_DATA=E, EST_SOURCE=NDH</stp>
        <stp>ACT_EST_MAPPING=PRECISE</stp>
        <stp>FS=MRC</stp>
        <stp>CURRENCY=USD</stp>
        <stp>XLFILL=b</stp>
        <tr r="V104" s="2"/>
      </tp>
      <tp t="s">
        <v>#N/A Requesting Data...</v>
        <stp/>
        <stp>##V3_BQLV12</stp>
        <stp>[MODL_NOW_US1.xlsx]Single Period!R218C27</stp>
        <stp>NOW US Equity</stp>
        <stp>CF_ACQUISITION_OF_INTANG_ASSETS/1M</stp>
        <stp>FPR=2021Y</stp>
        <stp>FPT=A</stp>
        <stp>FA_ACT_EST_DATA=E, EST_SOURCE=RBC</stp>
        <stp>ACT_EST_MAPPING=PRECISE</stp>
        <stp>FS=MRC</stp>
        <stp>CURRENCY=USD</stp>
        <stp>XLFILL=b</stp>
        <tr r="AA218" s="2"/>
      </tp>
      <tp t="s">
        <v>#N/A Requesting Data...</v>
        <stp/>
        <stp>##V3_BQLV12</stp>
        <stp>[MODL_NOW_US1.xlsx]Single Period!R148C13</stp>
        <stp>NOW US Equity</stp>
        <stp>IS_AMORT_ACQD_INTANGIBLES_R_AND_D/1M</stp>
        <stp>FPR=2021Y</stp>
        <stp>FPT=A</stp>
        <stp>FA_ACT_EST_DATA=E, EST_SOURCE=KEY</stp>
        <stp>ACT_EST_MAPPING=PRECISE</stp>
        <stp>FS=MRC</stp>
        <stp>CURRENCY=USD</stp>
        <stp>XLFILL=b</stp>
        <tr r="M148" s="2"/>
      </tp>
      <tp t="s">
        <v>#N/A Requesting Data...</v>
        <stp/>
        <stp>##V3_BQLV12</stp>
        <stp>[MODL_NOW_US1.xlsx]Single Period!R175C42</stp>
        <stp>NOW US Equity</stp>
        <stp>BS_ACCRUD_EXPNSS_AND_OTHR/1M</stp>
        <stp>FPR=2021Y</stp>
        <stp>FPT=A</stp>
        <stp>FA_ACT_EST_DATA=E, EST_SOURCE=CTI</stp>
        <stp>ACT_EST_MAPPING=PRECISE</stp>
        <stp>FS=MRC</stp>
        <stp>CURRENCY=USD</stp>
        <stp>XLFILL=b</stp>
        <tr r="AP175" s="2"/>
      </tp>
      <tp t="s">
        <v>#N/A Requesting Data...</v>
        <stp/>
        <stp>##V3_BQLV12</stp>
        <stp>[MODL_NOW_US1.xlsx]Single Period!R177C37</stp>
        <stp>NOW US Equity</stp>
        <stp>BS_ST_CPTL_LEA_AND_OP_LEA_LIABS/1M</stp>
        <stp>FPR=2021Y</stp>
        <stp>FPT=A</stp>
        <stp>FA_ACT_EST_DATA=E, EST_SOURCE=TTC</stp>
        <stp>ACT_EST_MAPPING=PRECISE</stp>
        <stp>FS=MRC</stp>
        <stp>CURRENCY=USD</stp>
        <stp>XLFILL=b</stp>
        <tr r="AK177" s="2"/>
      </tp>
      <tp t="s">
        <v>#N/A Requesting Data...</v>
        <stp/>
        <stp>##V3_BQLV12</stp>
        <stp>[MODL_NOW_US1.xlsx]Single Period!R177C42</stp>
        <stp>NOW US Equity</stp>
        <stp>BS_ST_CPTL_LEA_AND_OP_LEA_LIABS/1M</stp>
        <stp>FPR=2021Y</stp>
        <stp>FPT=A</stp>
        <stp>FA_ACT_EST_DATA=E, EST_SOURCE=CTI</stp>
        <stp>ACT_EST_MAPPING=PRECISE</stp>
        <stp>FS=MRC</stp>
        <stp>CURRENCY=USD</stp>
        <stp>XLFILL=b</stp>
        <tr r="AP177" s="2"/>
      </tp>
      <tp t="s">
        <v>#N/A Requesting Data...</v>
        <stp/>
        <stp>##V3_BQLV12</stp>
        <stp>[MODL_NOW_US1.xlsx]Single Period!R148C18</stp>
        <stp>NOW US Equity</stp>
        <stp>IS_AMORT_ACQD_INTANGIBLES_R_AND_D/1M</stp>
        <stp>FPR=2021Y</stp>
        <stp>FPT=A</stp>
        <stp>FA_ACT_EST_DATA=E, EST_SOURCE=SNR</stp>
        <stp>ACT_EST_MAPPING=PRECISE</stp>
        <stp>FS=MRC</stp>
        <stp>CURRENCY=USD</stp>
        <stp>XLFILL=b</stp>
        <tr r="R148" s="2"/>
      </tp>
      <tp t="s">
        <v>#N/A Requesting Data...</v>
        <stp/>
        <stp>##V3_BQLV12</stp>
        <stp>[MODL_NOW_US1.xlsx]Single Period!R20C8</stp>
        <stp>SEG0000230986 Segment</stp>
        <stp>CONTRIBUTOR_STATS(SALES_REV_TURN, STD)/1M</stp>
        <stp>FPR=2021Y</stp>
        <stp>FPT=A</stp>
        <stp>FA_ACT_EST_DATA=E</stp>
        <stp>ACT_EST_MAPPING=PRECISE</stp>
        <stp>FS=MRC</stp>
        <stp>CURRENCY=USD</stp>
        <stp>XLFILL=b</stp>
        <tr r="H20" s="2"/>
      </tp>
      <tp t="s">
        <v>#N/A Requesting Data...</v>
        <stp/>
        <stp>##V3_BQLV12</stp>
        <stp>[MODL_NOW_US1.xlsx]Single Period!R71C46</stp>
        <stp>SEG0000230986 Segment</stp>
        <stp>CB_IS_GROSS_PROFIT/1M</stp>
        <stp>FPR=2021Y</stp>
        <stp>FPT=A</stp>
        <stp>FA_ACT_EST_DATA=E, EST_SOURCE=MZS</stp>
        <stp>ACT_EST_MAPPING=PRECISE</stp>
        <stp>FS=MRC</stp>
        <stp>CURRENCY=USD</stp>
        <stp>XLFILL=b</stp>
        <tr r="AT71" s="2"/>
      </tp>
      <tp t="s">
        <v>#N/A Requesting Data...</v>
        <stp/>
        <stp>##V3_BQLV12</stp>
        <stp>[MODL_NOW_US1.xlsx]Single Period!R155C43</stp>
        <stp>NOW US Equity</stp>
        <stp>BS_CASH_CASH_EQUIVALENTS_AND_STI/1M</stp>
        <stp>FPR=2021Y</stp>
        <stp>FPT=A</stp>
        <stp>FA_ACT_EST_DATA=E, EST_SOURCE=WFT</stp>
        <stp>ACT_EST_MAPPING=PRECISE</stp>
        <stp>FS=MRC</stp>
        <stp>CURRENCY=USD</stp>
        <stp>XLFILL=b</stp>
        <tr r="AQ155" s="2"/>
      </tp>
      <tp t="s">
        <v>#N/A Requesting Data...</v>
        <stp/>
        <stp>##V3_BQLV12</stp>
        <stp>[MODL_NOW_US1.xlsx]Single Period!R218C26</stp>
        <stp>NOW US Equity</stp>
        <stp>CF_ACQUISITION_OF_INTANG_ASSETS/1M</stp>
        <stp>FPR=2021Y</stp>
        <stp>FPT=A</stp>
        <stp>FA_ACT_EST_DATA=E, EST_SOURCE=UBS</stp>
        <stp>ACT_EST_MAPPING=PRECISE</stp>
        <stp>FS=MRC</stp>
        <stp>CURRENCY=USD</stp>
        <stp>XLFILL=b</stp>
        <tr r="Z218" s="2"/>
      </tp>
      <tp t="s">
        <v>#N/A Requesting Data...</v>
        <stp/>
        <stp>##V3_BQLV12</stp>
        <stp>[MODL_NOW_US1.xlsx]Single Period!R175C44</stp>
        <stp>NOW US Equity</stp>
        <stp>BS_ACCRUD_EXPNSS_AND_OTHR/1M</stp>
        <stp>FPR=2021Y</stp>
        <stp>FPT=A</stp>
        <stp>FA_ACT_EST_DATA=E, EST_SOURCE=ARE</stp>
        <stp>ACT_EST_MAPPING=PRECISE</stp>
        <stp>FS=MRC</stp>
        <stp>CURRENCY=USD</stp>
        <stp>XLFILL=b</stp>
        <tr r="AR175" s="2"/>
      </tp>
      <tp t="s">
        <v>#N/A Requesting Data...</v>
        <stp/>
        <stp>##V3_BQLV12</stp>
        <stp>[MODL_NOW_US1.xlsx]Single Period!R239C36</stp>
        <stp>NOW US Equity</stp>
        <stp>CFO_TO_SALES</stp>
        <stp>FPR=2021Y</stp>
        <stp>FPT=A</stp>
        <stp>FA_ACT_EST_DATA=E, EST_SOURCE=JEF</stp>
        <stp>ACT_EST_MAPPING=PRECISE</stp>
        <stp>FS=MRC</stp>
        <stp>CURRENCY=USD</stp>
        <stp>XLFILL=b</stp>
        <tr r="AJ239" s="2"/>
      </tp>
      <tp t="s">
        <v>#N/A Requesting Data...</v>
        <stp/>
        <stp>##V3_BQLV12</stp>
        <stp>[MODL_NOW_US1.xlsx]Single Period!R129C34</stp>
        <stp>NOW US Equity</stp>
        <stp>EFF_TAX_RATE</stp>
        <stp>FPR=2021Y</stp>
        <stp>FPT=A</stp>
        <stp>FA_ACT_EST_DATA=E, EST_SOURCE=PSG</stp>
        <stp>ACT_EST_MAPPING=PRECISE</stp>
        <stp>FS=MRC</stp>
        <stp>CURRENCY=USD</stp>
        <stp>XLFILL=b</stp>
        <tr r="AH129" s="2"/>
      </tp>
      <tp t="s">
        <v>#N/A Requesting Data...</v>
        <stp/>
        <stp>##V3_BQLV12</stp>
        <stp>[MODL_NOW_US1.xlsx]Single Period!R129C40</stp>
        <stp>NOW US Equity</stp>
        <stp>EFF_TAX_RATE</stp>
        <stp>FPR=2021Y</stp>
        <stp>FPT=A</stp>
        <stp>FA_ACT_EST_DATA=E, EST_SOURCE=DWI</stp>
        <stp>ACT_EST_MAPPING=PRECISE</stp>
        <stp>FS=MRC</stp>
        <stp>CURRENCY=USD</stp>
        <stp>XLFILL=b</stp>
        <tr r="AN129" s="2"/>
      </tp>
      <tp t="s">
        <v>#N/A Requesting Data...</v>
        <stp/>
        <stp>##V3_BQLV12</stp>
        <stp>[MODL_NOW_US1.xlsx]Single Period!R116C11</stp>
        <stp>NOW US Equity</stp>
        <stp>GROSS_MARGIN</stp>
        <stp>FPR=2021Y</stp>
        <stp>FPT=A</stp>
        <stp>FA_ACT_EST_DATA=E, EST_SOURCE=JPM</stp>
        <stp>ACT_EST_MAPPING=PRECISE</stp>
        <stp>FS=MRC</stp>
        <stp>CURRENCY=USD</stp>
        <stp>XLFILL=b</stp>
        <tr r="K116" s="2"/>
      </tp>
      <tp t="s">
        <v>#N/A Requesting Data...</v>
        <stp/>
        <stp>##V3_BQLV12</stp>
        <stp>[MODL_NOW_US1.xlsx]Single Period!R111C36</stp>
        <stp>NOW US Equity</stp>
        <stp>IS_COGS_TO_FE_AND_PP_AND_G/1M</stp>
        <stp>FPR=2021Y</stp>
        <stp>FPT=A</stp>
        <stp>FA_ACT_EST_DATA=E, EST_SOURCE=JEF</stp>
        <stp>ACT_EST_MAPPING=PRECISE</stp>
        <stp>FS=MRC</stp>
        <stp>CURRENCY=USD</stp>
        <stp>XLFILL=b</stp>
        <tr r="AJ111" s="2"/>
      </tp>
      <tp t="s">
        <v>#N/A Requesting Data...</v>
        <stp/>
        <stp>##V3_BQLV12</stp>
        <stp>[MODL_NOW_US1.xlsx]Single Period!R159C31</stp>
        <stp>NOW US Equity</stp>
        <stp>CB_BS_OTHER_CURRENT_ASSETS/1M</stp>
        <stp>FPR=2021Y</stp>
        <stp>FPT=A</stp>
        <stp>FA_ACT_EST_DATA=E, EST_SOURCE=GSR</stp>
        <stp>ACT_EST_MAPPING=PRECISE</stp>
        <stp>FS=MRC</stp>
        <stp>CURRENCY=USD</stp>
        <stp>XLFILL=b</stp>
        <tr r="AE159" s="2"/>
      </tp>
      <tp t="s">
        <v>#N/A Requesting Data...</v>
        <stp/>
        <stp>##V3_BQLV12</stp>
        <stp>[MODL_NOW_US1.xlsx]Single Period!R159C35</stp>
        <stp>NOW US Equity</stp>
        <stp>CB_BS_OTHER_CURRENT_ASSETS/1M</stp>
        <stp>FPR=2021Y</stp>
        <stp>FPT=A</stp>
        <stp>FA_ACT_EST_DATA=E, EST_SOURCE=MSR</stp>
        <stp>ACT_EST_MAPPING=PRECISE</stp>
        <stp>FS=MRC</stp>
        <stp>CURRENCY=USD</stp>
        <stp>XLFILL=b</stp>
        <tr r="AI159" s="2"/>
      </tp>
      <tp t="s">
        <v>#N/A Requesting Data...</v>
        <stp/>
        <stp>##V3_BQLV12</stp>
        <stp>[MODL_NOW_US1.xlsx]Single Period!R149C39</stp>
        <stp>NOW US Equity</stp>
        <stp>IS_AMORT_ACQD_INTANG_GEN_AND_ADMIN/1M</stp>
        <stp>FPR=2021Y</stp>
        <stp>FPT=A</stp>
        <stp>FA_ACT_EST_DATA=E, EST_SOURCE=DZB</stp>
        <stp>ACT_EST_MAPPING=PRECISE</stp>
        <stp>FS=MRC</stp>
        <stp>CURRENCY=USD</stp>
        <stp>XLFILL=b</stp>
        <tr r="AM149" s="2"/>
      </tp>
      <tp t="s">
        <v>#N/A Requesting Data...</v>
        <stp/>
        <stp>##V3_BQLV12</stp>
        <stp>[MODL_NOW_US1.xlsx]Single Period!R164C15</stp>
        <stp>NOW US Equity</stp>
        <stp>CB_BS_PP_AND_E_NET/1M</stp>
        <stp>FPR=2021Y</stp>
        <stp>FPT=A</stp>
        <stp>FA_ACT_EST_DATA=E, EST_SOURCE=OPY</stp>
        <stp>ACT_EST_MAPPING=PRECISE</stp>
        <stp>FS=MRC</stp>
        <stp>CURRENCY=USD</stp>
        <stp>XLFILL=b</stp>
        <tr r="O164" s="2"/>
      </tp>
      <tp t="s">
        <v>#N/A Requesting Data...</v>
        <stp/>
        <stp>##V3_BQLV12</stp>
        <stp>[MODL_NOW_US1.xlsx]Single Period!R159C19</stp>
        <stp>NOW US Equity</stp>
        <stp>CB_BS_OTHER_CURRENT_ASSETS/1M</stp>
        <stp>FPR=2021Y</stp>
        <stp>FPT=A</stp>
        <stp>FA_ACT_EST_DATA=E, EST_SOURCE=MSV</stp>
        <stp>ACT_EST_MAPPING=PRECISE</stp>
        <stp>FS=MRC</stp>
        <stp>CURRENCY=USD</stp>
        <stp>XLFILL=b</stp>
        <tr r="S159" s="2"/>
      </tp>
      <tp t="s">
        <v>#N/A Requesting Data...</v>
        <stp/>
        <stp>##V3_BQLV12</stp>
        <stp>[MODL_NOW_US1.xlsx]Single Period!R91C45</stp>
        <stp>NOW US Equity</stp>
        <stp>ADJ_R_AND_D_TO_SALES</stp>
        <stp>FPR=2021Y</stp>
        <stp>FPT=A</stp>
        <stp>FA_ACT_EST_DATA=E, EST_SOURCE=PJE</stp>
        <stp>ACT_EST_MAPPING=PRECISE</stp>
        <stp>FS=MRC</stp>
        <stp>CURRENCY=USD</stp>
        <stp>XLFILL=b</stp>
        <tr r="AS91" s="2"/>
      </tp>
      <tp t="s">
        <v>#N/A Requesting Data...</v>
        <stp/>
        <stp>##V3_BQLV12</stp>
        <stp>[MODL_NOW_US1.xlsx]Single Period!R28C46</stp>
        <stp>NOW US Equity</stp>
        <stp>ADJ_OPERATING_MARGIN</stp>
        <stp>FPR=2021Y</stp>
        <stp>FPT=A</stp>
        <stp>FA_ACT_EST_DATA=E, EST_SOURCE=MZS</stp>
        <stp>ACT_EST_MAPPING=PRECISE</stp>
        <stp>FS=MRC</stp>
        <stp>CURRENCY=USD</stp>
        <stp>XLFILL=b</stp>
        <tr r="AT28" s="2"/>
      </tp>
      <tp t="s">
        <v>#N/A Requesting Data...</v>
        <stp/>
        <stp>##V3_BQLV12</stp>
        <stp>[MODL_NOW_US1.xlsx]Single Period!R163C38</stp>
        <stp>NOW US Equity</stp>
        <stp>CB_BS_PP_AND_E_NET/1M</stp>
        <stp>FPR=2021Y</stp>
        <stp>FPT=A</stp>
        <stp>FA_ACT_EST_DATA=E, EST_SOURCE=RWB</stp>
        <stp>ACT_EST_MAPPING=PRECISE</stp>
        <stp>FS=MRC</stp>
        <stp>CURRENCY=USD</stp>
        <stp>XLFILL=b</stp>
        <tr r="AL163" s="2"/>
      </tp>
      <tp t="s">
        <v>#N/A Requesting Data...</v>
        <stp/>
        <stp>##V3_BQLV12</stp>
        <stp>[MODL_NOW_US1.xlsx]Single Period!R28C5</stp>
        <stp>NOW US Equity</stp>
        <stp>ADJ_OPERATING_MARGIN</stp>
        <stp>FPR=2021Y</stp>
        <stp>FPT=A</stp>
        <stp>FA_ACT_EST_DATA=E</stp>
        <stp>ACT_EST_MAPPING=PRECISE</stp>
        <stp>FS=MRC</stp>
        <stp>CURRENCY=USD</stp>
        <stp>XLFILL=b</stp>
        <tr r="E28" s="2"/>
      </tp>
      <tp t="s">
        <v>#N/A Requesting Data...</v>
        <stp/>
        <stp>##V3_BQLV12</stp>
        <stp>[MODL_NOW_US1.xlsx]Single Period!R96C34</stp>
        <stp>NOW US Equity</stp>
        <stp>ADJ_OPERATING_MARGIN</stp>
        <stp>FPR=2021Y</stp>
        <stp>FPT=A</stp>
        <stp>FA_ACT_EST_DATA=E, EST_SOURCE=PSG</stp>
        <stp>ACT_EST_MAPPING=PRECISE</stp>
        <stp>FS=MRC</stp>
        <stp>CURRENCY=USD</stp>
        <stp>XLFILL=b</stp>
        <tr r="AH96" s="2"/>
      </tp>
      <tp t="s">
        <v>#N/A Requesting Data...</v>
        <stp/>
        <stp>##V3_BQLV12</stp>
        <stp>[MODL_NOW_US1.xlsx]Single Period!R127C38</stp>
        <stp>NOW US Equity</stp>
        <stp>PRETAX_INC/1M</stp>
        <stp>FPR=2021Y</stp>
        <stp>FPT=A</stp>
        <stp>FA_ACT_EST_DATA=E, EST_SOURCE=RWB</stp>
        <stp>ACT_EST_MAPPING=PRECISE</stp>
        <stp>FS=MRC</stp>
        <stp>CURRENCY=USD</stp>
        <stp>XLFILL=b</stp>
        <tr r="AL127" s="2"/>
      </tp>
      <tp t="s">
        <v>#N/A Requesting Data...</v>
        <stp/>
        <stp>##V3_BQLV12</stp>
        <stp>[MODL_NOW_US1.xlsx]Single Period!R111C13</stp>
        <stp>NOW US Equity</stp>
        <stp>IS_COGS_TO_FE_AND_PP_AND_G/1M</stp>
        <stp>FPR=2021Y</stp>
        <stp>FPT=A</stp>
        <stp>FA_ACT_EST_DATA=E, EST_SOURCE=KEY</stp>
        <stp>ACT_EST_MAPPING=PRECISE</stp>
        <stp>FS=MRC</stp>
        <stp>CURRENCY=USD</stp>
        <stp>XLFILL=b</stp>
        <tr r="M111" s="2"/>
      </tp>
      <tp t="s">
        <v>#N/A Requesting Data...</v>
        <stp/>
        <stp>##V3_BQLV12</stp>
        <stp>[MODL_NOW_US1.xlsx]Single Period!R96C5</stp>
        <stp>NOW US Equity</stp>
        <stp>ADJ_OPERATING_MARGIN</stp>
        <stp>FPR=2021Y</stp>
        <stp>FPT=A</stp>
        <stp>FA_ACT_EST_DATA=E</stp>
        <stp>ACT_EST_MAPPING=PRECISE</stp>
        <stp>FS=MRC</stp>
        <stp>CURRENCY=USD</stp>
        <stp>XLFILL=b</stp>
        <tr r="E96" s="2"/>
      </tp>
      <tp t="s">
        <v>#N/A Requesting Data...</v>
        <stp/>
        <stp>##V3_BQLV12</stp>
        <stp>[MODL_NOW_US1.xlsx]Single Period!R149C46</stp>
        <stp>NOW US Equity</stp>
        <stp>IS_AMORT_ACQD_INTANG_GEN_AND_ADMIN/1M</stp>
        <stp>FPR=2021Y</stp>
        <stp>FPT=A</stp>
        <stp>FA_ACT_EST_DATA=E, EST_SOURCE=MZS</stp>
        <stp>ACT_EST_MAPPING=PRECISE</stp>
        <stp>FS=MRC</stp>
        <stp>CURRENCY=USD</stp>
        <stp>XLFILL=b</stp>
        <tr r="AT149" s="2"/>
      </tp>
      <tp t="s">
        <v>#N/A Requesting Data...</v>
        <stp/>
        <stp>##V3_BQLV12</stp>
        <stp>[MODL_NOW_US1.xlsx]Single Period!R91C17</stp>
        <stp>NOW US Equity</stp>
        <stp>ADJ_R_AND_D_TO_SALES</stp>
        <stp>FPR=2021Y</stp>
        <stp>FPT=A</stp>
        <stp>FA_ACT_EST_DATA=E, EST_SOURCE=RHR</stp>
        <stp>ACT_EST_MAPPING=PRECISE</stp>
        <stp>FS=MRC</stp>
        <stp>CURRENCY=USD</stp>
        <stp>XLFILL=b</stp>
        <tr r="Q91" s="2"/>
      </tp>
      <tp t="s">
        <v>#N/A Requesting Data...</v>
        <stp/>
        <stp>##V3_BQLV12</stp>
        <stp>[MODL_NOW_US1.xlsx]Single Period!R127C24</stp>
        <stp>NOW US Equity</stp>
        <stp>PRETAX_INC/1M</stp>
        <stp>FPR=2021Y</stp>
        <stp>FPT=A</stp>
        <stp>FA_ACT_EST_DATA=E, EST_SOURCE=CWN</stp>
        <stp>ACT_EST_MAPPING=PRECISE</stp>
        <stp>FS=MRC</stp>
        <stp>CURRENCY=USD</stp>
        <stp>XLFILL=b</stp>
        <tr r="X127" s="2"/>
      </tp>
      <tp t="s">
        <v>#N/A Requesting Data...</v>
        <stp/>
        <stp>##V3_BQLV12</stp>
        <stp>[MODL_NOW_US1.xlsx]Single Period!R96C40</stp>
        <stp>NOW US Equity</stp>
        <stp>ADJ_OPERATING_MARGIN</stp>
        <stp>FPR=2021Y</stp>
        <stp>FPT=A</stp>
        <stp>FA_ACT_EST_DATA=E, EST_SOURCE=DWI</stp>
        <stp>ACT_EST_MAPPING=PRECISE</stp>
        <stp>FS=MRC</stp>
        <stp>CURRENCY=USD</stp>
        <stp>XLFILL=b</stp>
        <tr r="AN96" s="2"/>
      </tp>
      <tp t="s">
        <v>#N/A Requesting Data...</v>
        <stp/>
        <stp>##V3_BQLV12</stp>
        <stp>[MODL_NOW_US1.xlsx]Single Period!R163C40</stp>
        <stp>NOW US Equity</stp>
        <stp>CB_BS_PP_AND_E_NET/1M</stp>
        <stp>FPR=2021Y</stp>
        <stp>FPT=A</stp>
        <stp>FA_ACT_EST_DATA=E, EST_SOURCE=DWI</stp>
        <stp>ACT_EST_MAPPING=PRECISE</stp>
        <stp>FS=MRC</stp>
        <stp>CURRENCY=USD</stp>
        <stp>XLFILL=b</stp>
        <tr r="AN163" s="2"/>
      </tp>
      <tp t="s">
        <v>#N/A Requesting Data...</v>
        <stp/>
        <stp>##V3_BQLV12</stp>
        <stp>[MODL_NOW_US1.xlsx]Single Period!R159C34</stp>
        <stp>NOW US Equity</stp>
        <stp>CB_BS_OTHER_CURRENT_ASSETS/1M</stp>
        <stp>FPR=2021Y</stp>
        <stp>FPT=A</stp>
        <stp>FA_ACT_EST_DATA=E, EST_SOURCE=PSG</stp>
        <stp>ACT_EST_MAPPING=PRECISE</stp>
        <stp>FS=MRC</stp>
        <stp>CURRENCY=USD</stp>
        <stp>XLFILL=b</stp>
        <tr r="AH159" s="2"/>
      </tp>
      <tp t="s">
        <v>#N/A Requesting Data...</v>
        <stp/>
        <stp>##V3_BQLV12</stp>
        <stp>[MODL_NOW_US1.xlsx]Single Period!R163C24</stp>
        <stp>NOW US Equity</stp>
        <stp>CB_BS_PP_AND_E_NET/1M</stp>
        <stp>FPR=2021Y</stp>
        <stp>FPT=A</stp>
        <stp>FA_ACT_EST_DATA=E, EST_SOURCE=CWN</stp>
        <stp>ACT_EST_MAPPING=PRECISE</stp>
        <stp>FS=MRC</stp>
        <stp>CURRENCY=USD</stp>
        <stp>XLFILL=b</stp>
        <tr r="X163" s="2"/>
      </tp>
      <tp t="s">
        <v>#N/A Requesting Data...</v>
        <stp/>
        <stp>##V3_BQLV12</stp>
        <stp>[MODL_NOW_US1.xlsx]Single Period!R127C40</stp>
        <stp>NOW US Equity</stp>
        <stp>PRETAX_INC/1M</stp>
        <stp>FPR=2021Y</stp>
        <stp>FPT=A</stp>
        <stp>FA_ACT_EST_DATA=E, EST_SOURCE=DWI</stp>
        <stp>ACT_EST_MAPPING=PRECISE</stp>
        <stp>FS=MRC</stp>
        <stp>CURRENCY=USD</stp>
        <stp>XLFILL=b</stp>
        <tr r="AN127" s="2"/>
      </tp>
      <tp t="s">
        <v>#N/A Requesting Data...</v>
        <stp/>
        <stp>##V3_BQLV12</stp>
        <stp>[MODL_NOW_US1.xlsx]Single Period!R164C11</stp>
        <stp>NOW US Equity</stp>
        <stp>CB_BS_PP_AND_E_NET/1M</stp>
        <stp>FPR=2021Y</stp>
        <stp>FPT=A</stp>
        <stp>FA_ACT_EST_DATA=E, EST_SOURCE=JPM</stp>
        <stp>ACT_EST_MAPPING=PRECISE</stp>
        <stp>FS=MRC</stp>
        <stp>CURRENCY=USD</stp>
        <stp>XLFILL=b</stp>
        <tr r="K164" s="2"/>
      </tp>
      <tp t="s">
        <v>#N/A Requesting Data...</v>
        <stp/>
        <stp>##V3_BQLV12</stp>
        <stp>[MODL_NOW_US1.xlsx]Single Period!R46C32</stp>
        <stp>SEG0000230986 Segment</stp>
        <stp>IS_BILLINGS/1M</stp>
        <stp>FPR=2021Y</stp>
        <stp>FPT=A</stp>
        <stp>FA_ACT_EST_DATA=E, EST_SOURCE=FBC</stp>
        <stp>ACT_EST_MAPPING=PRECISE</stp>
        <stp>FS=MRC</stp>
        <stp>CURRENCY=USD</stp>
        <stp>XLFILL=b</stp>
        <tr r="AF46" s="2"/>
      </tp>
      <tp t="s">
        <v>#N/A Requesting Data...</v>
        <stp/>
        <stp>##V3_BQLV12</stp>
        <stp>[MODL_NOW_US1.xlsx]Single Period!R42C33</stp>
        <stp>SEG0000230975 Segment</stp>
        <stp>IS_BILLINGS/1M</stp>
        <stp>FPR=2021Y</stp>
        <stp>FPT=A</stp>
        <stp>FA_ACT_EST_DATA=E, EST_SOURCE=MAC</stp>
        <stp>ACT_EST_MAPPING=PRECISE</stp>
        <stp>FS=MRC</stp>
        <stp>CURRENCY=USD</stp>
        <stp>XLFILL=b</stp>
        <tr r="AG42" s="2"/>
      </tp>
      <tp t="s">
        <v>#N/A Requesting Data...</v>
        <stp/>
        <stp>##V3_BQLV12</stp>
        <stp>[MODL_NOW_US1.xlsx]Single Period!R21C32</stp>
        <stp>SEG0000230986 Segment</stp>
        <stp>IS_BILLINGS/1M</stp>
        <stp>FPR=2021Y</stp>
        <stp>FPT=A</stp>
        <stp>FA_ACT_EST_DATA=E, EST_SOURCE=FBC</stp>
        <stp>ACT_EST_MAPPING=PRECISE</stp>
        <stp>FS=MRC</stp>
        <stp>CURRENCY=USD</stp>
        <stp>XLFILL=b</stp>
        <tr r="AF21" s="2"/>
      </tp>
      <tp t="s">
        <v>#N/A Requesting Data...</v>
        <stp/>
        <stp>##V3_BQLV12</stp>
        <stp>[MODL_NOW_US1.xlsx]Single Period!R17C33</stp>
        <stp>SEG0000230975 Segment</stp>
        <stp>IS_BILLINGS/1M</stp>
        <stp>FPR=2021Y</stp>
        <stp>FPT=A</stp>
        <stp>FA_ACT_EST_DATA=E, EST_SOURCE=MAC</stp>
        <stp>ACT_EST_MAPPING=PRECISE</stp>
        <stp>FS=MRC</stp>
        <stp>CURRENCY=USD</stp>
        <stp>XLFILL=b</stp>
        <tr r="AG17" s="2"/>
      </tp>
      <tp t="s">
        <v>#N/A Requesting Data...</v>
        <stp/>
        <stp>##V3_BQLV12</stp>
        <stp>[MODL_NOW_US1.xlsx]Single Period!R21C27</stp>
        <stp>SEG0000230986 Segment</stp>
        <stp>IS_BILLINGS/1M</stp>
        <stp>FPR=2021Y</stp>
        <stp>FPT=A</stp>
        <stp>FA_ACT_EST_DATA=E, EST_SOURCE=RBC</stp>
        <stp>ACT_EST_MAPPING=PRECISE</stp>
        <stp>FS=MRC</stp>
        <stp>CURRENCY=USD</stp>
        <stp>XLFILL=b</stp>
        <tr r="AA21" s="2"/>
      </tp>
      <tp t="s">
        <v>#N/A Requesting Data...</v>
        <stp/>
        <stp>##V3_BQLV12</stp>
        <stp>[MODL_NOW_US1.xlsx]Single Period!R46C27</stp>
        <stp>SEG0000230986 Segment</stp>
        <stp>IS_BILLINGS/1M</stp>
        <stp>FPR=2021Y</stp>
        <stp>FPT=A</stp>
        <stp>FA_ACT_EST_DATA=E, EST_SOURCE=RBC</stp>
        <stp>ACT_EST_MAPPING=PRECISE</stp>
        <stp>FS=MRC</stp>
        <stp>CURRENCY=USD</stp>
        <stp>XLFILL=b</stp>
        <tr r="AA46" s="2"/>
      </tp>
      <tp t="s">
        <v>#N/A Requesting Data...</v>
        <stp/>
        <stp>##V3_BQLV12</stp>
        <stp>[MODL_NOW_US1.xlsx]Single Period!R150C10</stp>
        <stp>NOW US Equity</stp>
        <stp>IS_INC_TAX_EFFECT_NONGAAP_REC/1M</stp>
        <stp>FPR=2021Y</stp>
        <stp>FPT=A</stp>
        <stp>FA_ACT_EST_DATA=E, EST_SOURCE=CMPY</stp>
        <stp>ACT_EST_MAPPING=PRECISE</stp>
        <stp>FS=MRC</stp>
        <stp>CURRENCY=USD</stp>
        <stp>XLFILL=b</stp>
        <tr r="J150" s="2"/>
      </tp>
      <tp t="s">
        <v>#N/A Requesting Data...</v>
        <stp/>
        <stp>##V3_BQLV12</stp>
        <stp>[MODL_NOW_US1.xlsx]Single Period!R21C25</stp>
        <stp>SEG0000230986 Segment</stp>
        <stp>IS_BILLINGS/1M</stp>
        <stp>FPR=2021Y</stp>
        <stp>FPT=A</stp>
        <stp>FA_ACT_EST_DATA=E, EST_SOURCE=DBG</stp>
        <stp>ACT_EST_MAPPING=PRECISE</stp>
        <stp>FS=MRC</stp>
        <stp>CURRENCY=USD</stp>
        <stp>XLFILL=b</stp>
        <tr r="Y21" s="2"/>
      </tp>
      <tp t="s">
        <v>#N/A Requesting Data...</v>
        <stp/>
        <stp>##V3_BQLV12</stp>
        <stp>[MODL_NOW_US1.xlsx]Single Period!R46C25</stp>
        <stp>SEG0000230986 Segment</stp>
        <stp>IS_BILLINGS/1M</stp>
        <stp>FPR=2021Y</stp>
        <stp>FPT=A</stp>
        <stp>FA_ACT_EST_DATA=E, EST_SOURCE=DBG</stp>
        <stp>ACT_EST_MAPPING=PRECISE</stp>
        <stp>FS=MRC</stp>
        <stp>CURRENCY=USD</stp>
        <stp>XLFILL=b</stp>
        <tr r="Y46" s="2"/>
      </tp>
      <tp t="s">
        <v>#N/A Requesting Data...</v>
        <stp/>
        <stp>##V3_BQLV12</stp>
        <stp>[MODL_NOW_US1.xlsx]Single Period!R219C17</stp>
        <stp>NOW US Equity</stp>
        <stp>CF_PURCHSS_OF_INVSTMNTS/1M</stp>
        <stp>FPR=2021Y</stp>
        <stp>FPT=A</stp>
        <stp>FA_ACT_EST_DATA=E, EST_SOURCE=RHR</stp>
        <stp>ACT_EST_MAPPING=PRECISE</stp>
        <stp>FS=MRC</stp>
        <stp>CURRENCY=USD</stp>
        <stp>XLFILL=b</stp>
        <tr r="Q219" s="2"/>
      </tp>
      <tp t="s">
        <v>#N/A Requesting Data...</v>
        <stp/>
        <stp>##V3_BQLV12</stp>
        <stp>[MODL_NOW_US1.xlsx]Single Period!R43C45</stp>
        <stp>SEG0000230975 Segment</stp>
        <stp>CB_ADJ_BILLINGS_AMT/1M</stp>
        <stp>FPR=2021Y</stp>
        <stp>FPT=A</stp>
        <stp>FA_ACT_EST_DATA=E, EST_SOURCE=PJE</stp>
        <stp>ACT_EST_MAPPING=PRECISE</stp>
        <stp>FS=MRC</stp>
        <stp>CURRENCY=USD</stp>
        <stp>XLFILL=b</stp>
        <tr r="AS43" s="2"/>
      </tp>
      <tp t="s">
        <v>#N/A Requesting Data...</v>
        <stp/>
        <stp>##V3_BQLV12</stp>
        <stp>[MODL_NOW_US1.xlsx]Single Period!R199C41</stp>
        <stp>NOW US Equity</stp>
        <stp>IS_COMP_NET_INCOME_GAAP/1M</stp>
        <stp>FPR=2021Y</stp>
        <stp>FPT=A</stp>
        <stp>FA_ACT_EST_DATA=E, EST_SOURCE=ARG</stp>
        <stp>ACT_EST_MAPPING=PRECISE</stp>
        <stp>FS=MRC</stp>
        <stp>CURRENCY=USD</stp>
        <stp>XLFILL=b</stp>
        <tr r="AO199" s="2"/>
      </tp>
      <tp t="s">
        <v>#N/A Requesting Data...</v>
        <stp/>
        <stp>##V3_BQLV12</stp>
        <stp>[MODL_NOW_US1.xlsx]Single Period!R130C41</stp>
        <stp>NOW US Equity</stp>
        <stp>IS_COMP_NET_INCOME_GAAP/1M</stp>
        <stp>FPR=2021Y</stp>
        <stp>FPT=A</stp>
        <stp>FA_ACT_EST_DATA=E, EST_SOURCE=ARG</stp>
        <stp>ACT_EST_MAPPING=PRECISE</stp>
        <stp>FS=MRC</stp>
        <stp>CURRENCY=USD</stp>
        <stp>XLFILL=b</stp>
        <tr r="AO130" s="2"/>
      </tp>
      <tp t="s">
        <v>#N/A Requesting Data...</v>
        <stp/>
        <stp>##V3_BQLV12</stp>
        <stp>[MODL_NOW_US1.xlsx]Single Period!R205C19</stp>
        <stp>NOW US Equity</stp>
        <stp>CB_CF_OTHR_NONCSH_ITEMS/1M</stp>
        <stp>FPR=2021Y</stp>
        <stp>FPT=A</stp>
        <stp>FA_ACT_EST_DATA=E, EST_SOURCE=MSV</stp>
        <stp>ACT_EST_MAPPING=PRECISE</stp>
        <stp>FS=MRC</stp>
        <stp>CURRENCY=USD</stp>
        <stp>XLFILL=b</stp>
        <tr r="S205" s="2"/>
      </tp>
      <tp t="s">
        <v>#N/A Requesting Data...</v>
        <stp/>
        <stp>##V3_BQLV12</stp>
        <stp>[MODL_NOW_US1.xlsx]Single Period!R199C44</stp>
        <stp>NOW US Equity</stp>
        <stp>IS_COMP_NET_INCOME_GAAP/1M</stp>
        <stp>FPR=2021Y</stp>
        <stp>FPT=A</stp>
        <stp>FA_ACT_EST_DATA=E, EST_SOURCE=ARE</stp>
        <stp>ACT_EST_MAPPING=PRECISE</stp>
        <stp>FS=MRC</stp>
        <stp>CURRENCY=USD</stp>
        <stp>XLFILL=b</stp>
        <tr r="AR199" s="2"/>
      </tp>
      <tp t="s">
        <v>#N/A Requesting Data...</v>
        <stp/>
        <stp>##V3_BQLV12</stp>
        <stp>[MODL_NOW_US1.xlsx]Single Period!R130C44</stp>
        <stp>NOW US Equity</stp>
        <stp>IS_COMP_NET_INCOME_GAAP/1M</stp>
        <stp>FPR=2021Y</stp>
        <stp>FPT=A</stp>
        <stp>FA_ACT_EST_DATA=E, EST_SOURCE=ARE</stp>
        <stp>ACT_EST_MAPPING=PRECISE</stp>
        <stp>FS=MRC</stp>
        <stp>CURRENCY=USD</stp>
        <stp>XLFILL=b</stp>
        <tr r="AR130" s="2"/>
      </tp>
      <tp t="s">
        <v>#N/A Requesting Data...</v>
        <stp/>
        <stp>##V3_BQLV12</stp>
        <stp>[MODL_NOW_US1.xlsx]Single Period!R42C20</stp>
        <stp>SEG0000230975 Segment</stp>
        <stp>IS_BILLINGS/1M</stp>
        <stp>FPR=2021Y</stp>
        <stp>FPT=A</stp>
        <stp>FA_ACT_EST_DATA=E, EST_SOURCE=CAN</stp>
        <stp>ACT_EST_MAPPING=PRECISE</stp>
        <stp>FS=MRC</stp>
        <stp>CURRENCY=USD</stp>
        <stp>XLFILL=b</stp>
        <tr r="T42" s="2"/>
      </tp>
      <tp t="s">
        <v>#N/A Requesting Data...</v>
        <stp/>
        <stp>##V3_BQLV12</stp>
        <stp>[MODL_NOW_US1.xlsx]Single Period!R17C20</stp>
        <stp>SEG0000230975 Segment</stp>
        <stp>IS_BILLINGS/1M</stp>
        <stp>FPR=2021Y</stp>
        <stp>FPT=A</stp>
        <stp>FA_ACT_EST_DATA=E, EST_SOURCE=CAN</stp>
        <stp>ACT_EST_MAPPING=PRECISE</stp>
        <stp>FS=MRC</stp>
        <stp>CURRENCY=USD</stp>
        <stp>XLFILL=b</stp>
        <tr r="T17" s="2"/>
      </tp>
      <tp t="s">
        <v>#N/A Requesting Data...</v>
        <stp/>
        <stp>##V3_BQLV12</stp>
        <stp>[MODL_NOW_US1.xlsx]Single Period!R46C12</stp>
        <stp>SEG0000230986 Segment</stp>
        <stp>IS_BILLINGS/1M</stp>
        <stp>FPR=2021Y</stp>
        <stp>FPT=A</stp>
        <stp>FA_ACT_EST_DATA=E, EST_SOURCE=WBL</stp>
        <stp>ACT_EST_MAPPING=PRECISE</stp>
        <stp>FS=MRC</stp>
        <stp>CURRENCY=USD</stp>
        <stp>XLFILL=b</stp>
        <tr r="L46" s="2"/>
      </tp>
      <tp t="s">
        <v>#N/A Requesting Data...</v>
        <stp/>
        <stp>##V3_BQLV12</stp>
        <stp>[MODL_NOW_US1.xlsx]Single Period!R21C12</stp>
        <stp>SEG0000230986 Segment</stp>
        <stp>IS_BILLINGS/1M</stp>
        <stp>FPR=2021Y</stp>
        <stp>FPT=A</stp>
        <stp>FA_ACT_EST_DATA=E, EST_SOURCE=WBL</stp>
        <stp>ACT_EST_MAPPING=PRECISE</stp>
        <stp>FS=MRC</stp>
        <stp>CURRENCY=USD</stp>
        <stp>XLFILL=b</stp>
        <tr r="L21" s="2"/>
      </tp>
      <tp t="s">
        <v>#N/A Requesting Data...</v>
        <stp/>
        <stp>##V3_BQLV12</stp>
        <stp>[MODL_NOW_US1.xlsx]Single Period!R130C48</stp>
        <stp>NOW US Equity</stp>
        <stp>IS_COMP_NET_INCOME_GAAP/1M</stp>
        <stp>FPR=2021Y</stp>
        <stp>FPT=A</stp>
        <stp>FA_ACT_EST_DATA=E, EST_SOURCE=CRC</stp>
        <stp>ACT_EST_MAPPING=PRECISE</stp>
        <stp>FS=MRC</stp>
        <stp>CURRENCY=USD</stp>
        <stp>XLFILL=b</stp>
        <tr r="AV130" s="2"/>
      </tp>
      <tp t="s">
        <v>#N/A Requesting Data...</v>
        <stp/>
        <stp>##V3_BQLV12</stp>
        <stp>[MODL_NOW_US1.xlsx]Single Period!R205C31</stp>
        <stp>NOW US Equity</stp>
        <stp>CB_CF_OTHR_NONCSH_ITEMS/1M</stp>
        <stp>FPR=2021Y</stp>
        <stp>FPT=A</stp>
        <stp>FA_ACT_EST_DATA=E, EST_SOURCE=GSR</stp>
        <stp>ACT_EST_MAPPING=PRECISE</stp>
        <stp>FS=MRC</stp>
        <stp>CURRENCY=USD</stp>
        <stp>XLFILL=b</stp>
        <tr r="AE205" s="2"/>
      </tp>
      <tp t="s">
        <v>#N/A Requesting Data...</v>
        <stp/>
        <stp>##V3_BQLV12</stp>
        <stp>[MODL_NOW_US1.xlsx]Single Period!R199C48</stp>
        <stp>NOW US Equity</stp>
        <stp>IS_COMP_NET_INCOME_GAAP/1M</stp>
        <stp>FPR=2021Y</stp>
        <stp>FPT=A</stp>
        <stp>FA_ACT_EST_DATA=E, EST_SOURCE=CRC</stp>
        <stp>ACT_EST_MAPPING=PRECISE</stp>
        <stp>FS=MRC</stp>
        <stp>CURRENCY=USD</stp>
        <stp>XLFILL=b</stp>
        <tr r="AV199" s="2"/>
      </tp>
      <tp t="s">
        <v>#N/A Requesting Data...</v>
        <stp/>
        <stp>##V3_BQLV12</stp>
        <stp>[MODL_NOW_US1.xlsx]Single Period!R205C35</stp>
        <stp>NOW US Equity</stp>
        <stp>CB_CF_OTHR_NONCSH_ITEMS/1M</stp>
        <stp>FPR=2021Y</stp>
        <stp>FPT=A</stp>
        <stp>FA_ACT_EST_DATA=E, EST_SOURCE=MSR</stp>
        <stp>ACT_EST_MAPPING=PRECISE</stp>
        <stp>FS=MRC</stp>
        <stp>CURRENCY=USD</stp>
        <stp>XLFILL=b</stp>
        <tr r="AI205" s="2"/>
      </tp>
      <tp t="s">
        <v>#N/A Requesting Data...</v>
        <stp/>
        <stp>##V3_BQLV12</stp>
        <stp>[MODL_NOW_US1.xlsx]Single Period!R42C30</stp>
        <stp>SEG0000230975 Segment</stp>
        <stp>IS_BILLINGS/1M</stp>
        <stp>FPR=2021Y</stp>
        <stp>FPT=A</stp>
        <stp>FA_ACT_EST_DATA=E, EST_SOURCE=BAM</stp>
        <stp>ACT_EST_MAPPING=PRECISE</stp>
        <stp>FS=MRC</stp>
        <stp>CURRENCY=USD</stp>
        <stp>XLFILL=b</stp>
        <tr r="AD42" s="2"/>
      </tp>
      <tp t="s">
        <v>#N/A Requesting Data...</v>
        <stp/>
        <stp>##V3_BQLV12</stp>
        <stp>[MODL_NOW_US1.xlsx]Single Period!R17C30</stp>
        <stp>SEG0000230975 Segment</stp>
        <stp>IS_BILLINGS/1M</stp>
        <stp>FPR=2021Y</stp>
        <stp>FPT=A</stp>
        <stp>FA_ACT_EST_DATA=E, EST_SOURCE=BAM</stp>
        <stp>ACT_EST_MAPPING=PRECISE</stp>
        <stp>FS=MRC</stp>
        <stp>CURRENCY=USD</stp>
        <stp>XLFILL=b</stp>
        <tr r="AD17" s="2"/>
      </tp>
      <tp t="s">
        <v>#N/A Requesting Data...</v>
        <stp/>
        <stp>##V3_BQLV12</stp>
        <stp>[MODL_NOW_US1.xlsx]Single Period!R181C22</stp>
        <stp>NOW US Equity</stp>
        <stp>BS_LONG_TERM_BORROWINGS/1M</stp>
        <stp>FPR=2021Y</stp>
        <stp>FPT=A</stp>
        <stp>FA_ACT_EST_DATA=E, EST_SOURCE=NDH</stp>
        <stp>ACT_EST_MAPPING=PRECISE</stp>
        <stp>FS=MRC</stp>
        <stp>CURRENCY=USD</stp>
        <stp>XLFILL=b</stp>
        <tr r="V181" s="2"/>
      </tp>
      <tp t="s">
        <v>#N/A Requesting Data...</v>
        <stp/>
        <stp>##V3_BQLV12</stp>
        <stp>[MODL_NOW_US1.xlsx]Single Period!R21C26</stp>
        <stp>SEG0000230986 Segment</stp>
        <stp>IS_BILLINGS/1M</stp>
        <stp>FPR=2021Y</stp>
        <stp>FPT=A</stp>
        <stp>FA_ACT_EST_DATA=E, EST_SOURCE=UBS</stp>
        <stp>ACT_EST_MAPPING=PRECISE</stp>
        <stp>FS=MRC</stp>
        <stp>CURRENCY=USD</stp>
        <stp>XLFILL=b</stp>
        <tr r="Z21" s="2"/>
      </tp>
      <tp t="s">
        <v>#N/A Requesting Data...</v>
        <stp/>
        <stp>##V3_BQLV12</stp>
        <stp>[MODL_NOW_US1.xlsx]Single Period!R46C26</stp>
        <stp>SEG0000230986 Segment</stp>
        <stp>IS_BILLINGS/1M</stp>
        <stp>FPR=2021Y</stp>
        <stp>FPT=A</stp>
        <stp>FA_ACT_EST_DATA=E, EST_SOURCE=UBS</stp>
        <stp>ACT_EST_MAPPING=PRECISE</stp>
        <stp>FS=MRC</stp>
        <stp>CURRENCY=USD</stp>
        <stp>XLFILL=b</stp>
        <tr r="Z46" s="2"/>
      </tp>
      <tp t="s">
        <v>#N/A Requesting Data...</v>
        <stp/>
        <stp>##V3_BQLV12</stp>
        <stp>[MODL_NOW_US1.xlsx]Single Period!R174C48</stp>
        <stp>NOW US Equity</stp>
        <stp>BS_ACCT_PAYABLE/1M</stp>
        <stp>FPR=2021Y</stp>
        <stp>FPT=A</stp>
        <stp>FA_ACT_EST_DATA=E, EST_SOURCE=CRC</stp>
        <stp>ACT_EST_MAPPING=PRECISE</stp>
        <stp>FS=MRC</stp>
        <stp>CURRENCY=USD</stp>
        <stp>XLFILL=b</stp>
        <tr r="AV174" s="2"/>
      </tp>
      <tp t="s">
        <v>#N/A Requesting Data...</v>
        <stp/>
        <stp>##V3_BQLV12</stp>
        <stp>[MODL_NOW_US1.xlsx]Single Period!R174C41</stp>
        <stp>NOW US Equity</stp>
        <stp>BS_ACCT_PAYABLE/1M</stp>
        <stp>FPR=2021Y</stp>
        <stp>FPT=A</stp>
        <stp>FA_ACT_EST_DATA=E, EST_SOURCE=ARG</stp>
        <stp>ACT_EST_MAPPING=PRECISE</stp>
        <stp>FS=MRC</stp>
        <stp>CURRENCY=USD</stp>
        <stp>XLFILL=b</stp>
        <tr r="AO174" s="2"/>
      </tp>
      <tp t="s">
        <v>#N/A Requesting Data...</v>
        <stp/>
        <stp>##V3_BQLV12</stp>
        <stp>[MODL_NOW_US1.xlsx]Single Period!R236C47</stp>
        <stp>NOW US Equity</stp>
        <stp>FREE_CASH_FLOW_MARGIN</stp>
        <stp>FPR=2021Y</stp>
        <stp>FPT=A</stp>
        <stp>FA_ACT_EST_DATA=E, EST_SOURCE=SUM</stp>
        <stp>ACT_EST_MAPPING=PRECISE</stp>
        <stp>FS=MRC</stp>
        <stp>CURRENCY=USD</stp>
        <stp>XLFILL=b</stp>
        <tr r="AU236" s="2"/>
      </tp>
      <tp t="s">
        <v>#N/A Requesting Data...</v>
        <stp/>
        <stp>##V3_BQLV12</stp>
        <stp>[MODL_NOW_US1.xlsx]Single Period!R174C44</stp>
        <stp>NOW US Equity</stp>
        <stp>BS_ACCT_PAYABLE/1M</stp>
        <stp>FPR=2021Y</stp>
        <stp>FPT=A</stp>
        <stp>FA_ACT_EST_DATA=E, EST_SOURCE=ARE</stp>
        <stp>ACT_EST_MAPPING=PRECISE</stp>
        <stp>FS=MRC</stp>
        <stp>CURRENCY=USD</stp>
        <stp>XLFILL=b</stp>
        <tr r="AR174" s="2"/>
      </tp>
      <tp t="s">
        <v>#N/A Requesting Data...</v>
        <stp/>
        <stp>##V3_BQLV12</stp>
        <stp>[MODL_NOW_US1.xlsx]Single Period!R125C42</stp>
        <stp>NOW US Equity</stp>
        <stp>OPER_INC_TO_NET_SALES</stp>
        <stp>FPR=2021Y</stp>
        <stp>FPT=A</stp>
        <stp>FA_ACT_EST_DATA=E, EST_SOURCE=CTI</stp>
        <stp>ACT_EST_MAPPING=PRECISE</stp>
        <stp>FS=MRC</stp>
        <stp>CURRENCY=USD</stp>
        <stp>XLFILL=b</stp>
        <tr r="AP125" s="2"/>
      </tp>
      <tp t="s">
        <v>#N/A Requesting Data...</v>
        <stp/>
        <stp>##V3_BQLV12</stp>
        <stp>[MODL_NOW_US1.xlsx]Single Period!R205C34</stp>
        <stp>NOW US Equity</stp>
        <stp>CB_CF_OTHR_NONCSH_ITEMS/1M</stp>
        <stp>FPR=2021Y</stp>
        <stp>FPT=A</stp>
        <stp>FA_ACT_EST_DATA=E, EST_SOURCE=PSG</stp>
        <stp>ACT_EST_MAPPING=PRECISE</stp>
        <stp>FS=MRC</stp>
        <stp>CURRENCY=USD</stp>
        <stp>XLFILL=b</stp>
        <tr r="AH205" s="2"/>
      </tp>
      <tp t="s">
        <v>#N/A Requesting Data...</v>
        <stp/>
        <stp>##V3_BQLV12</stp>
        <stp>[MODL_NOW_US1.xlsx]Single Period!R125C37</stp>
        <stp>NOW US Equity</stp>
        <stp>OPER_INC_TO_NET_SALES</stp>
        <stp>FPR=2021Y</stp>
        <stp>FPT=A</stp>
        <stp>FA_ACT_EST_DATA=E, EST_SOURCE=TTC</stp>
        <stp>ACT_EST_MAPPING=PRECISE</stp>
        <stp>FS=MRC</stp>
        <stp>CURRENCY=USD</stp>
        <stp>XLFILL=b</stp>
        <tr r="AK125" s="2"/>
      </tp>
      <tp t="s">
        <v>#N/A Requesting Data...</v>
        <stp/>
        <stp>##V3_BQLV12</stp>
        <stp>[MODL_NOW_US1.xlsx]Single Period!R160C43</stp>
        <stp>NOW US Equity</stp>
        <stp>PREPAID_EXPNSS_AND_OTHR/1M</stp>
        <stp>FPR=2021Y</stp>
        <stp>FPT=A</stp>
        <stp>FA_ACT_EST_DATA=E, EST_SOURCE=WFT</stp>
        <stp>ACT_EST_MAPPING=PRECISE</stp>
        <stp>FS=MRC</stp>
        <stp>CURRENCY=USD</stp>
        <stp>XLFILL=b</stp>
        <tr r="AQ160" s="2"/>
      </tp>
      <tp t="s">
        <v>#N/A Requesting Data...</v>
        <stp/>
        <stp>##V3_BQLV12</stp>
        <stp>[MODL_NOW_US1.xlsx]Single Period!R104C36</stp>
        <stp>NOW US Equity</stp>
        <stp>IS_COMP_NET_INC_EXCL_STOCK_COMP/1M</stp>
        <stp>FPR=2021Y</stp>
        <stp>FPT=A</stp>
        <stp>FA_ACT_EST_DATA=E, EST_SOURCE=JEF</stp>
        <stp>ACT_EST_MAPPING=PRECISE</stp>
        <stp>FS=MRC</stp>
        <stp>CURRENCY=USD</stp>
        <stp>XLFILL=b</stp>
        <tr r="AJ104" s="2"/>
      </tp>
      <tp t="s">
        <v>#N/A Requesting Data...</v>
        <stp/>
        <stp>##V3_BQLV12</stp>
        <stp>[MODL_NOW_US1.xlsx]Single Period!R182C21</stp>
        <stp>NOW US Equity</stp>
        <stp>BS_OTHER_NONCURRENT_LIABILITIES/1M</stp>
        <stp>FPR=2021Y</stp>
        <stp>FPT=A</stp>
        <stp>FA_ACT_EST_DATA=E, EST_SOURCE=JMP</stp>
        <stp>ACT_EST_MAPPING=PRECISE</stp>
        <stp>FS=MRC</stp>
        <stp>CURRENCY=USD</stp>
        <stp>XLFILL=b</stp>
        <tr r="U182" s="2"/>
      </tp>
      <tp t="s">
        <v>#N/A Requesting Data...</v>
        <stp/>
        <stp>##V3_BQLV12</stp>
        <stp>[MODL_NOW_US1.xlsx]Single Period!R225C36</stp>
        <stp>NOW US Equity</stp>
        <stp>CF_INCR_CAP_STOCK/1M</stp>
        <stp>FPR=2021Y</stp>
        <stp>FPT=A</stp>
        <stp>FA_ACT_EST_DATA=E, EST_SOURCE=JEF</stp>
        <stp>ACT_EST_MAPPING=PRECISE</stp>
        <stp>FS=MRC</stp>
        <stp>CURRENCY=USD</stp>
        <stp>XLFILL=b</stp>
        <tr r="AJ225" s="2"/>
      </tp>
      <tp t="s">
        <v>#N/A Requesting Data...</v>
        <stp/>
        <stp>##V3_BQLV12</stp>
        <stp>[MODL_NOW_US1.xlsx]Single Period!R155C12</stp>
        <stp>NOW US Equity</stp>
        <stp>BS_CASH_CASH_EQUIVALENTS_AND_STI/1M</stp>
        <stp>FPR=2021Y</stp>
        <stp>FPT=A</stp>
        <stp>FA_ACT_EST_DATA=E, EST_SOURCE=WBL</stp>
        <stp>ACT_EST_MAPPING=PRECISE</stp>
        <stp>FS=MRC</stp>
        <stp>CURRENCY=USD</stp>
        <stp>XLFILL=b</stp>
        <tr r="L155" s="2"/>
      </tp>
      <tp t="s">
        <v>#N/A Requesting Data...</v>
        <stp/>
        <stp>##V3_BQLV12</stp>
        <stp>[MODL_NOW_US1.xlsx]Single Period!R155C20</stp>
        <stp>NOW US Equity</stp>
        <stp>BS_CASH_CASH_EQUIVALENTS_AND_STI/1M</stp>
        <stp>FPR=2021Y</stp>
        <stp>FPT=A</stp>
        <stp>FA_ACT_EST_DATA=E, EST_SOURCE=CAN</stp>
        <stp>ACT_EST_MAPPING=PRECISE</stp>
        <stp>FS=MRC</stp>
        <stp>CURRENCY=USD</stp>
        <stp>XLFILL=b</stp>
        <tr r="T155" s="2"/>
      </tp>
      <tp t="s">
        <v>#N/A Requesting Data...</v>
        <stp/>
        <stp>##V3_BQLV12</stp>
        <stp>[MODL_NOW_US1.xlsx]Single Period!R218C49</stp>
        <stp>NOW US Equity</stp>
        <stp>CF_ACQUISITION_OF_INTANG_ASSETS/1M</stp>
        <stp>FPR=2021Y</stp>
        <stp>FPT=A</stp>
        <stp>FA_ACT_EST_DATA=E, EST_SOURCE=SCB</stp>
        <stp>ACT_EST_MAPPING=PRECISE</stp>
        <stp>FS=MRC</stp>
        <stp>CURRENCY=USD</stp>
        <stp>XLFILL=b</stp>
        <tr r="AW218" s="2"/>
      </tp>
      <tp t="s">
        <v>#N/A Requesting Data...</v>
        <stp/>
        <stp>##V3_BQLV12</stp>
        <stp>[MODL_NOW_US1.xlsx]Single Period!R216C39</stp>
        <stp>NOW US Equity</stp>
        <stp>CF_PURCHASE_OF_FIXED_PROD_ASSETS/1M</stp>
        <stp>FPR=2021Y</stp>
        <stp>FPT=A</stp>
        <stp>FA_ACT_EST_DATA=E, EST_SOURCE=DZB</stp>
        <stp>ACT_EST_MAPPING=PRECISE</stp>
        <stp>FS=MRC</stp>
        <stp>CURRENCY=USD</stp>
        <stp>XLFILL=b</stp>
        <tr r="AM216" s="2"/>
      </tp>
      <tp t="s">
        <v>#N/A Requesting Data...</v>
        <stp/>
        <stp>##V3_BQLV12</stp>
        <stp>[MODL_NOW_US1.xlsx]Single Period!R107C11</stp>
        <stp>NOW US Equity</stp>
        <stp>CB_IS_ADJ_DILUTED_AVG_SHS/1M</stp>
        <stp>FPR=2021Y</stp>
        <stp>FPT=A</stp>
        <stp>FA_ACT_EST_DATA=E, EST_SOURCE=JPM</stp>
        <stp>ACT_EST_MAPPING=PRECISE</stp>
        <stp>FS=MRC</stp>
        <stp>CURRENCY=USD</stp>
        <stp>XLFILL=b</stp>
        <tr r="K107" s="2"/>
      </tp>
      <tp t="s">
        <v>#N/A Requesting Data...</v>
        <stp/>
        <stp>##V3_BQLV12</stp>
        <stp>[MODL_NOW_US1.xlsx]Single Period!R218C16</stp>
        <stp>NOW US Equity</stp>
        <stp>CF_ACQUISITION_OF_INTANG_ASSETS/1M</stp>
        <stp>FPR=2021Y</stp>
        <stp>FPT=A</stp>
        <stp>FA_ACT_EST_DATA=E, EST_SOURCE=BCA</stp>
        <stp>ACT_EST_MAPPING=PRECISE</stp>
        <stp>FS=MRC</stp>
        <stp>CURRENCY=USD</stp>
        <stp>XLFILL=b</stp>
        <tr r="P218" s="2"/>
      </tp>
      <tp t="s">
        <v>#N/A Requesting Data...</v>
        <stp/>
        <stp>##V3_BQLV12</stp>
        <stp>[MODL_NOW_US1.xlsx]Single Period!R148C25</stp>
        <stp>NOW US Equity</stp>
        <stp>IS_AMORT_ACQD_INTANGIBLES_R_AND_D/1M</stp>
        <stp>FPR=2021Y</stp>
        <stp>FPT=A</stp>
        <stp>FA_ACT_EST_DATA=E, EST_SOURCE=DBG</stp>
        <stp>ACT_EST_MAPPING=PRECISE</stp>
        <stp>FS=MRC</stp>
        <stp>CURRENCY=USD</stp>
        <stp>XLFILL=b</stp>
        <tr r="Y148" s="2"/>
      </tp>
      <tp t="s">
        <v>#N/A Requesting Data...</v>
        <stp/>
        <stp>##V3_BQLV12</stp>
        <stp>[MODL_NOW_US1.xlsx]Single Period!R175C40</stp>
        <stp>NOW US Equity</stp>
        <stp>BS_ACCRUD_EXPNSS_AND_OTHR/1M</stp>
        <stp>FPR=2021Y</stp>
        <stp>FPT=A</stp>
        <stp>FA_ACT_EST_DATA=E, EST_SOURCE=DWI</stp>
        <stp>ACT_EST_MAPPING=PRECISE</stp>
        <stp>FS=MRC</stp>
        <stp>CURRENCY=USD</stp>
        <stp>XLFILL=b</stp>
        <tr r="AN175" s="2"/>
      </tp>
      <tp t="s">
        <v>#N/A Requesting Data...</v>
        <stp/>
        <stp>##V3_BQLV12</stp>
        <stp>[MODL_NOW_US1.xlsx]Single Period!R221C17</stp>
        <stp>NOW US Equity</stp>
        <stp>CB_CF_OTHER_INVESTING_ACTIVITIES/1M</stp>
        <stp>FPR=2021Y</stp>
        <stp>FPT=A</stp>
        <stp>FA_ACT_EST_DATA=E, EST_SOURCE=RHR</stp>
        <stp>ACT_EST_MAPPING=PRECISE</stp>
        <stp>FS=MRC</stp>
        <stp>CURRENCY=USD</stp>
        <stp>XLFILL=b</stp>
        <tr r="Q221" s="2"/>
      </tp>
      <tp t="s">
        <v>#N/A Requesting Data...</v>
        <stp/>
        <stp>##V3_BQLV12</stp>
        <stp>[MODL_NOW_US1.xlsx]Single Period!R213C38</stp>
        <stp>NOW US Equity</stp>
        <stp>CF_CASH_FROM_OPER/1M</stp>
        <stp>FPR=2021Y</stp>
        <stp>FPT=A</stp>
        <stp>FA_ACT_EST_DATA=E, EST_SOURCE=RWB</stp>
        <stp>ACT_EST_MAPPING=PRECISE</stp>
        <stp>FS=MRC</stp>
        <stp>CURRENCY=USD</stp>
        <stp>XLFILL=b</stp>
        <tr r="AL213" s="2"/>
      </tp>
      <tp t="s">
        <v>#N/A Requesting Data...</v>
        <stp/>
        <stp>##V3_BQLV12</stp>
        <stp>[MODL_NOW_US1.xlsx]Single Period!R148C29</stp>
        <stp>NOW US Equity</stp>
        <stp>IS_AMORT_ACQD_INTANGIBLES_R_AND_D/1M</stp>
        <stp>FPR=2021Y</stp>
        <stp>FPT=A</stp>
        <stp>FA_ACT_EST_DATA=E, EST_SOURCE=BNS</stp>
        <stp>ACT_EST_MAPPING=PRECISE</stp>
        <stp>FS=MRC</stp>
        <stp>CURRENCY=USD</stp>
        <stp>XLFILL=b</stp>
        <tr r="AC148" s="2"/>
      </tp>
      <tp t="s">
        <v>#N/A Requesting Data...</v>
        <stp/>
        <stp>##V3_BQLV12</stp>
        <stp>[MODL_NOW_US1.xlsx]Single Period!R104C13</stp>
        <stp>NOW US Equity</stp>
        <stp>IS_COMP_NET_INC_EXCL_STOCK_COMP/1M</stp>
        <stp>FPR=2021Y</stp>
        <stp>FPT=A</stp>
        <stp>FA_ACT_EST_DATA=E, EST_SOURCE=KEY</stp>
        <stp>ACT_EST_MAPPING=PRECISE</stp>
        <stp>FS=MRC</stp>
        <stp>CURRENCY=USD</stp>
        <stp>XLFILL=b</stp>
        <tr r="M104" s="2"/>
      </tp>
      <tp t="s">
        <v>#N/A Requesting Data...</v>
        <stp/>
        <stp>##V3_BQLV12</stp>
        <stp>[MODL_NOW_US1.xlsx]Single Period!R177C47</stp>
        <stp>NOW US Equity</stp>
        <stp>BS_ST_CPTL_LEA_AND_OP_LEA_LIABS/1M</stp>
        <stp>FPR=2021Y</stp>
        <stp>FPT=A</stp>
        <stp>FA_ACT_EST_DATA=E, EST_SOURCE=SUM</stp>
        <stp>ACT_EST_MAPPING=PRECISE</stp>
        <stp>FS=MRC</stp>
        <stp>CURRENCY=USD</stp>
        <stp>XLFILL=b</stp>
        <tr r="AU177" s="2"/>
      </tp>
      <tp t="s">
        <v>#N/A Requesting Data...</v>
        <stp/>
        <stp>##V3_BQLV12</stp>
        <stp>[MODL_NOW_US1.xlsx]Single Period!R175C34</stp>
        <stp>NOW US Equity</stp>
        <stp>BS_ACCRUD_EXPNSS_AND_OTHR/1M</stp>
        <stp>FPR=2021Y</stp>
        <stp>FPT=A</stp>
        <stp>FA_ACT_EST_DATA=E, EST_SOURCE=PSG</stp>
        <stp>ACT_EST_MAPPING=PRECISE</stp>
        <stp>FS=MRC</stp>
        <stp>CURRENCY=USD</stp>
        <stp>XLFILL=b</stp>
        <tr r="AH175" s="2"/>
      </tp>
      <tp t="s">
        <v>#N/A Requesting Data...</v>
        <stp/>
        <stp>##V3_BQLV12</stp>
        <stp>[MODL_NOW_US1.xlsx]Single Period!R63C28</stp>
        <stp>SEG0000230975 Segment</stp>
        <stp>CB_IS_GROSS_PROFIT/1M</stp>
        <stp>FPR=2021Y</stp>
        <stp>FPT=A</stp>
        <stp>FA_ACT_EST_DATA=E, EST_SOURCE=EVR</stp>
        <stp>ACT_EST_MAPPING=PRECISE</stp>
        <stp>FS=MRC</stp>
        <stp>CURRENCY=USD</stp>
        <stp>XLFILL=b</stp>
        <tr r="AB63" s="2"/>
      </tp>
      <tp t="s">
        <v>#N/A Requesting Data...</v>
        <stp/>
        <stp>##V3_BQLV12</stp>
        <stp>[MODL_NOW_US1.xlsx]Single Period!R182C14</stp>
        <stp>NOW US Equity</stp>
        <stp>BS_OTHER_NONCURRENT_LIABILITIES/1M</stp>
        <stp>FPR=2021Y</stp>
        <stp>FPT=A</stp>
        <stp>FA_ACT_EST_DATA=E, EST_SOURCE=BMO</stp>
        <stp>ACT_EST_MAPPING=PRECISE</stp>
        <stp>FS=MRC</stp>
        <stp>CURRENCY=USD</stp>
        <stp>XLFILL=b</stp>
        <tr r="N182" s="2"/>
      </tp>
      <tp t="s">
        <v>#N/A Requesting Data...</v>
        <stp/>
        <stp>##V3_BQLV12</stp>
        <stp>[MODL_NOW_US1.xlsx]Single Period!R202C40</stp>
        <stp>NOW US Equity</stp>
        <stp>CF_AMORTIZATN_OF_DEFRRD_COMPNSTN/1M</stp>
        <stp>FPR=2021Y</stp>
        <stp>FPT=A</stp>
        <stp>FA_ACT_EST_DATA=E, EST_SOURCE=DWI</stp>
        <stp>ACT_EST_MAPPING=PRECISE</stp>
        <stp>FS=MRC</stp>
        <stp>CURRENCY=USD</stp>
        <stp>XLFILL=b</stp>
        <tr r="AN202" s="2"/>
      </tp>
      <tp t="s">
        <v>#N/A Requesting Data...</v>
        <stp/>
        <stp>##V3_BQLV12</stp>
        <stp>[MODL_NOW_US1.xlsx]Single Period!R129C35</stp>
        <stp>NOW US Equity</stp>
        <stp>EFF_TAX_RATE</stp>
        <stp>FPR=2021Y</stp>
        <stp>FPT=A</stp>
        <stp>FA_ACT_EST_DATA=E, EST_SOURCE=MSR</stp>
        <stp>ACT_EST_MAPPING=PRECISE</stp>
        <stp>FS=MRC</stp>
        <stp>CURRENCY=USD</stp>
        <stp>XLFILL=b</stp>
        <tr r="AI129" s="2"/>
      </tp>
    </main>
    <main first="bloomberg.rtd">
      <tp t="s">
        <v>#N/A Requesting Data...</v>
        <stp/>
        <stp>##V3_BQLV12</stp>
        <stp>[MODL_NOW_US1.xlsx]Single Period!R43C9</stp>
        <stp>SEG0000230975 Segment</stp>
        <stp>CONTRIBUTOR_STATS(CB_ADJ_BILLINGS_AMT, MEDIAN)/1M</stp>
        <stp>FPR=2021Y</stp>
        <stp>FPT=A</stp>
        <stp>FA_ACT_EST_DATA=E</stp>
        <stp>ACT_EST_MAPPING=PRECISE</stp>
        <stp>FS=MRC</stp>
        <stp>CURRENCY=USD</stp>
        <stp>XLFILL=b</stp>
        <tr r="I43" s="2"/>
      </tp>
      <tp t="s">
        <v>#N/A Requesting Data...</v>
        <stp/>
        <stp>##V3_BQLV12</stp>
        <stp>[MODL_NOW_US1.xlsx]Single Period!R239C33</stp>
        <stp>NOW US Equity</stp>
        <stp>CFO_TO_SALES</stp>
        <stp>FPR=2021Y</stp>
        <stp>FPT=A</stp>
        <stp>FA_ACT_EST_DATA=E, EST_SOURCE=MAC</stp>
        <stp>ACT_EST_MAPPING=PRECISE</stp>
        <stp>FS=MRC</stp>
        <stp>CURRENCY=USD</stp>
        <stp>XLFILL=b</stp>
        <tr r="AG239" s="2"/>
      </tp>
      <tp t="s">
        <v>#N/A Requesting Data...</v>
        <stp/>
        <stp>##V3_BQLV12</stp>
        <stp>[MODL_NOW_US1.xlsx]Single Period!R222C10</stp>
        <stp>NOW US Equity</stp>
        <stp>CF_CASH_FROM_INV_ACT/1M</stp>
        <stp>FPR=2021Y</stp>
        <stp>FPT=A</stp>
        <stp>FA_ACT_EST_DATA=E, EST_SOURCE=CMPY</stp>
        <stp>ACT_EST_MAPPING=PRECISE</stp>
        <stp>FS=MRC</stp>
        <stp>CURRENCY=USD</stp>
        <stp>XLFILL=b</stp>
        <tr r="J222" s="2"/>
      </tp>
      <tp t="s">
        <v>#N/A Requesting Data...</v>
        <stp/>
        <stp>##V3_BQLV12</stp>
        <stp>[MODL_NOW_US1.xlsx]Single Period!R129C44</stp>
        <stp>NOW US Equity</stp>
        <stp>EFF_TAX_RATE</stp>
        <stp>FPR=2021Y</stp>
        <stp>FPT=A</stp>
        <stp>FA_ACT_EST_DATA=E, EST_SOURCE=ARE</stp>
        <stp>ACT_EST_MAPPING=PRECISE</stp>
        <stp>FS=MRC</stp>
        <stp>CURRENCY=USD</stp>
        <stp>XLFILL=b</stp>
        <tr r="AR129" s="2"/>
      </tp>
      <tp t="s">
        <v>#N/A Requesting Data...</v>
        <stp/>
        <stp>##V3_BQLV12</stp>
        <stp>[MODL_NOW_US1.xlsx]Single Period!R129C42</stp>
        <stp>NOW US Equity</stp>
        <stp>EFF_TAX_RATE</stp>
        <stp>FPR=2021Y</stp>
        <stp>FPT=A</stp>
        <stp>FA_ACT_EST_DATA=E, EST_SOURCE=CTI</stp>
        <stp>ACT_EST_MAPPING=PRECISE</stp>
        <stp>FS=MRC</stp>
        <stp>CURRENCY=USD</stp>
        <stp>XLFILL=b</stp>
        <tr r="AP129" s="2"/>
      </tp>
      <tp t="s">
        <v>#N/A Requesting Data...</v>
        <stp/>
        <stp>##V3_BQLV12</stp>
        <stp>[MODL_NOW_US1.xlsx]Single Period!R96C35</stp>
        <stp>NOW US Equity</stp>
        <stp>ADJ_OPERATING_MARGIN</stp>
        <stp>FPR=2021Y</stp>
        <stp>FPT=A</stp>
        <stp>FA_ACT_EST_DATA=E, EST_SOURCE=MSR</stp>
        <stp>ACT_EST_MAPPING=PRECISE</stp>
        <stp>FS=MRC</stp>
        <stp>CURRENCY=USD</stp>
        <stp>XLFILL=b</stp>
        <tr r="AI96" s="2"/>
      </tp>
      <tp t="s">
        <v>#N/A Requesting Data...</v>
        <stp/>
        <stp>##V3_BQLV12</stp>
        <stp>[MODL_NOW_US1.xlsx]Single Period!R163C28</stp>
        <stp>NOW US Equity</stp>
        <stp>CB_BS_PP_AND_E_NET/1M</stp>
        <stp>FPR=2021Y</stp>
        <stp>FPT=A</stp>
        <stp>FA_ACT_EST_DATA=E, EST_SOURCE=EVR</stp>
        <stp>ACT_EST_MAPPING=PRECISE</stp>
        <stp>FS=MRC</stp>
        <stp>CURRENCY=USD</stp>
        <stp>XLFILL=b</stp>
        <tr r="AB163" s="2"/>
      </tp>
      <tp t="s">
        <v>#N/A Requesting Data...</v>
        <stp/>
        <stp>##V3_BQLV12</stp>
        <stp>[MODL_NOW_US1.xlsx]Single Period!R127C28</stp>
        <stp>NOW US Equity</stp>
        <stp>PRETAX_INC/1M</stp>
        <stp>FPR=2021Y</stp>
        <stp>FPT=A</stp>
        <stp>FA_ACT_EST_DATA=E, EST_SOURCE=EVR</stp>
        <stp>ACT_EST_MAPPING=PRECISE</stp>
        <stp>FS=MRC</stp>
        <stp>CURRENCY=USD</stp>
        <stp>XLFILL=b</stp>
        <tr r="AB127" s="2"/>
      </tp>
      <tp t="s">
        <v>#N/A Requesting Data...</v>
        <stp/>
        <stp>##V3_BQLV12</stp>
        <stp>[MODL_NOW_US1.xlsx]Single Period!R157C46</stp>
        <stp>NOW US Equity</stp>
        <stp>BS_MKT_SEC_OTHER_ST_INVEST/1M</stp>
        <stp>FPR=2021Y</stp>
        <stp>FPT=A</stp>
        <stp>FA_ACT_EST_DATA=E, EST_SOURCE=MZS</stp>
        <stp>ACT_EST_MAPPING=PRECISE</stp>
        <stp>FS=MRC</stp>
        <stp>CURRENCY=USD</stp>
        <stp>XLFILL=b</stp>
        <tr r="AT157" s="2"/>
      </tp>
      <tp t="s">
        <v>#N/A Requesting Data...</v>
        <stp/>
        <stp>##V3_BQLV12</stp>
        <stp>[MODL_NOW_US1.xlsx]Single Period!R111C22</stp>
        <stp>NOW US Equity</stp>
        <stp>IS_COGS_TO_FE_AND_PP_AND_G/1M</stp>
        <stp>FPR=2021Y</stp>
        <stp>FPT=A</stp>
        <stp>FA_ACT_EST_DATA=E, EST_SOURCE=NDH</stp>
        <stp>ACT_EST_MAPPING=PRECISE</stp>
        <stp>FS=MRC</stp>
        <stp>CURRENCY=USD</stp>
        <stp>XLFILL=b</stp>
        <tr r="V111" s="2"/>
      </tp>
      <tp t="s">
        <v>#N/A Requesting Data...</v>
        <stp/>
        <stp>##V3_BQLV12</stp>
        <stp>[MODL_NOW_US1.xlsx]Single Period!R115C5</stp>
        <stp>NOW US Equity</stp>
        <stp>GROSS_PROFIT/1M</stp>
        <stp>FPR=2021Y</stp>
        <stp>FPT=A</stp>
        <stp>FA_ACT_EST_DATA=E</stp>
        <stp>ACT_EST_MAPPING=PRECISE</stp>
        <stp>FS=MRC</stp>
        <stp>CURRENCY=USD</stp>
        <stp>XLFILL=b</stp>
        <tr r="E115" s="2"/>
      </tp>
      <tp t="s">
        <v>#N/A Requesting Data...</v>
        <stp/>
        <stp>##V3_BQLV12</stp>
        <stp>[MODL_NOW_US1.xlsx]Single Period!R144C45</stp>
        <stp>NOW US Equity</stp>
        <stp>IS_SBC_ATT_TO_GENL_AND_ADMIN_PRETX/1M</stp>
        <stp>FPR=2021Y</stp>
        <stp>FPT=A</stp>
        <stp>FA_ACT_EST_DATA=E, EST_SOURCE=PJE</stp>
        <stp>ACT_EST_MAPPING=PRECISE</stp>
        <stp>FS=MRC</stp>
        <stp>CURRENCY=USD</stp>
        <stp>XLFILL=b</stp>
        <tr r="AS144" s="2"/>
      </tp>
      <tp t="s">
        <v>#N/A Requesting Data...</v>
        <stp/>
        <stp>##V3_BQLV12</stp>
        <stp>[MODL_NOW_US1.xlsx]Single Period!R96C44</stp>
        <stp>NOW US Equity</stp>
        <stp>ADJ_OPERATING_MARGIN</stp>
        <stp>FPR=2021Y</stp>
        <stp>FPT=A</stp>
        <stp>FA_ACT_EST_DATA=E, EST_SOURCE=ARE</stp>
        <stp>ACT_EST_MAPPING=PRECISE</stp>
        <stp>FS=MRC</stp>
        <stp>CURRENCY=USD</stp>
        <stp>XLFILL=b</stp>
        <tr r="AR96" s="2"/>
      </tp>
      <tp t="s">
        <v>#N/A Requesting Data...</v>
        <stp/>
        <stp>##V3_BQLV12</stp>
        <stp>[MODL_NOW_US1.xlsx]Single Period!R157C39</stp>
        <stp>NOW US Equity</stp>
        <stp>BS_MKT_SEC_OTHER_ST_INVEST/1M</stp>
        <stp>FPR=2021Y</stp>
        <stp>FPT=A</stp>
        <stp>FA_ACT_EST_DATA=E, EST_SOURCE=DZB</stp>
        <stp>ACT_EST_MAPPING=PRECISE</stp>
        <stp>FS=MRC</stp>
        <stp>CURRENCY=USD</stp>
        <stp>XLFILL=b</stp>
        <tr r="AM157" s="2"/>
      </tp>
      <tp t="s">
        <v>#N/A Requesting Data...</v>
        <stp/>
        <stp>##V3_BQLV12</stp>
        <stp>[MODL_NOW_US1.xlsx]Single Period!R159C48</stp>
        <stp>NOW US Equity</stp>
        <stp>CB_BS_OTHER_CURRENT_ASSETS/1M</stp>
        <stp>FPR=2021Y</stp>
        <stp>FPT=A</stp>
        <stp>FA_ACT_EST_DATA=E, EST_SOURCE=CRC</stp>
        <stp>ACT_EST_MAPPING=PRECISE</stp>
        <stp>FS=MRC</stp>
        <stp>CURRENCY=USD</stp>
        <stp>XLFILL=b</stp>
        <tr r="AV159" s="2"/>
      </tp>
      <tp t="s">
        <v>#N/A Requesting Data...</v>
        <stp/>
        <stp>##V3_BQLV12</stp>
        <stp>[MODL_NOW_US1.xlsx]Single Period!R96C42</stp>
        <stp>NOW US Equity</stp>
        <stp>ADJ_OPERATING_MARGIN</stp>
        <stp>FPR=2021Y</stp>
        <stp>FPT=A</stp>
        <stp>FA_ACT_EST_DATA=E, EST_SOURCE=CTI</stp>
        <stp>ACT_EST_MAPPING=PRECISE</stp>
        <stp>FS=MRC</stp>
        <stp>CURRENCY=USD</stp>
        <stp>XLFILL=b</stp>
        <tr r="AP96" s="2"/>
      </tp>
      <tp t="s">
        <v>#N/A Requesting Data...</v>
        <stp/>
        <stp>##V3_BQLV12</stp>
        <stp>[MODL_NOW_US1.xlsx]Single Period!R166C18</stp>
        <stp>NOW US Equity</stp>
        <stp>BS_OTHER_INTANGIBLE_ASSETS/1M</stp>
        <stp>FPR=2021Y</stp>
        <stp>FPT=A</stp>
        <stp>FA_ACT_EST_DATA=E, EST_SOURCE=SNR</stp>
        <stp>ACT_EST_MAPPING=PRECISE</stp>
        <stp>FS=MRC</stp>
        <stp>CURRENCY=USD</stp>
        <stp>XLFILL=b</stp>
        <tr r="R166" s="2"/>
      </tp>
      <tp t="s">
        <v>#N/A Requesting Data...</v>
        <stp/>
        <stp>##V3_BQLV12</stp>
        <stp>[MODL_NOW_US1.xlsx]Single Period!R166C29</stp>
        <stp>NOW US Equity</stp>
        <stp>BS_OTHER_INTANGIBLE_ASSETS/1M</stp>
        <stp>FPR=2021Y</stp>
        <stp>FPT=A</stp>
        <stp>FA_ACT_EST_DATA=E, EST_SOURCE=BNS</stp>
        <stp>ACT_EST_MAPPING=PRECISE</stp>
        <stp>FS=MRC</stp>
        <stp>CURRENCY=USD</stp>
        <stp>XLFILL=b</stp>
        <tr r="AC166" s="2"/>
      </tp>
      <tp t="s">
        <v>#N/A Requesting Data...</v>
        <stp/>
        <stp>##V3_BQLV12</stp>
        <stp>[MODL_NOW_US1.xlsx]Single Period!R159C41</stp>
        <stp>NOW US Equity</stp>
        <stp>CB_BS_OTHER_CURRENT_ASSETS/1M</stp>
        <stp>FPR=2021Y</stp>
        <stp>FPT=A</stp>
        <stp>FA_ACT_EST_DATA=E, EST_SOURCE=ARG</stp>
        <stp>ACT_EST_MAPPING=PRECISE</stp>
        <stp>FS=MRC</stp>
        <stp>CURRENCY=USD</stp>
        <stp>XLFILL=b</stp>
        <tr r="AO159" s="2"/>
      </tp>
      <tp t="s">
        <v>#N/A Requesting Data...</v>
        <stp/>
        <stp>##V3_BQLV12</stp>
        <stp>[MODL_NOW_US1.xlsx]Single Period!R159C44</stp>
        <stp>NOW US Equity</stp>
        <stp>CB_BS_OTHER_CURRENT_ASSETS/1M</stp>
        <stp>FPR=2021Y</stp>
        <stp>FPT=A</stp>
        <stp>FA_ACT_EST_DATA=E, EST_SOURCE=ARE</stp>
        <stp>ACT_EST_MAPPING=PRECISE</stp>
        <stp>FS=MRC</stp>
        <stp>CURRENCY=USD</stp>
        <stp>XLFILL=b</stp>
        <tr r="AR159" s="2"/>
      </tp>
      <tp t="s">
        <v>#N/A Requesting Data...</v>
        <stp/>
        <stp>##V3_BQLV12</stp>
        <stp>[MODL_NOW_US1.xlsx]Single Period!R43C36</stp>
        <stp>SEG0000230975 Segment</stp>
        <stp>CB_ADJ_BILLINGS_AMT/1M</stp>
        <stp>FPR=2021Y</stp>
        <stp>FPT=A</stp>
        <stp>FA_ACT_EST_DATA=E, EST_SOURCE=JEF</stp>
        <stp>ACT_EST_MAPPING=PRECISE</stp>
        <stp>FS=MRC</stp>
        <stp>CURRENCY=USD</stp>
        <stp>XLFILL=b</stp>
        <tr r="AJ43" s="2"/>
      </tp>
      <tp t="s">
        <v>#N/A Requesting Data...</v>
        <stp/>
        <stp>##V3_BQLV12</stp>
        <stp>[MODL_NOW_US1.xlsx]Single Period!R236C46</stp>
        <stp>NOW US Equity</stp>
        <stp>FREE_CASH_FLOW_MARGIN</stp>
        <stp>FPR=2021Y</stp>
        <stp>FPT=A</stp>
        <stp>FA_ACT_EST_DATA=E, EST_SOURCE=MZS</stp>
        <stp>ACT_EST_MAPPING=PRECISE</stp>
        <stp>FS=MRC</stp>
        <stp>CURRENCY=USD</stp>
        <stp>XLFILL=b</stp>
        <tr r="AT236" s="2"/>
      </tp>
      <tp t="s">
        <v>#N/A Requesting Data...</v>
        <stp/>
        <stp>##V3_BQLV12</stp>
        <stp>[MODL_NOW_US1.xlsx]Single Period!R21C14</stp>
        <stp>SEG0000230986 Segment</stp>
        <stp>IS_BILLINGS/1M</stp>
        <stp>FPR=2021Y</stp>
        <stp>FPT=A</stp>
        <stp>FA_ACT_EST_DATA=E, EST_SOURCE=BMO</stp>
        <stp>ACT_EST_MAPPING=PRECISE</stp>
        <stp>FS=MRC</stp>
        <stp>CURRENCY=USD</stp>
        <stp>XLFILL=b</stp>
        <tr r="N21" s="2"/>
      </tp>
      <tp t="s">
        <v>#N/A Requesting Data...</v>
        <stp/>
        <stp>##V3_BQLV12</stp>
        <stp>[MODL_NOW_US1.xlsx]Single Period!R46C14</stp>
        <stp>SEG0000230986 Segment</stp>
        <stp>IS_BILLINGS/1M</stp>
        <stp>FPR=2021Y</stp>
        <stp>FPT=A</stp>
        <stp>FA_ACT_EST_DATA=E, EST_SOURCE=BMO</stp>
        <stp>ACT_EST_MAPPING=PRECISE</stp>
        <stp>FS=MRC</stp>
        <stp>CURRENCY=USD</stp>
        <stp>XLFILL=b</stp>
        <tr r="N46" s="2"/>
      </tp>
      <tp t="s">
        <v>#N/A Requesting Data...</v>
        <stp/>
        <stp>##V3_BQLV12</stp>
        <stp>[MODL_NOW_US1.xlsx]Single Period!R42C29</stp>
        <stp>SEG0000230975 Segment</stp>
        <stp>IS_BILLINGS/1M</stp>
        <stp>FPR=2021Y</stp>
        <stp>FPT=A</stp>
        <stp>FA_ACT_EST_DATA=E, EST_SOURCE=BNS</stp>
        <stp>ACT_EST_MAPPING=PRECISE</stp>
        <stp>FS=MRC</stp>
        <stp>CURRENCY=USD</stp>
        <stp>XLFILL=b</stp>
        <tr r="AC42" s="2"/>
      </tp>
      <tp t="s">
        <v>#N/A Requesting Data...</v>
        <stp/>
        <stp>##V3_BQLV12</stp>
        <stp>[MODL_NOW_US1.xlsx]Single Period!R17C29</stp>
        <stp>SEG0000230975 Segment</stp>
        <stp>IS_BILLINGS/1M</stp>
        <stp>FPR=2021Y</stp>
        <stp>FPT=A</stp>
        <stp>FA_ACT_EST_DATA=E, EST_SOURCE=BNS</stp>
        <stp>ACT_EST_MAPPING=PRECISE</stp>
        <stp>FS=MRC</stp>
        <stp>CURRENCY=USD</stp>
        <stp>XLFILL=b</stp>
        <tr r="AC17" s="2"/>
      </tp>
      <tp t="s">
        <v>#N/A Requesting Data...</v>
        <stp/>
        <stp>##V3_BQLV12</stp>
        <stp>[MODL_NOW_US1.xlsx]Single Period!R46C21</stp>
        <stp>SEG0000230986 Segment</stp>
        <stp>IS_BILLINGS/1M</stp>
        <stp>FPR=2021Y</stp>
        <stp>FPT=A</stp>
        <stp>FA_ACT_EST_DATA=E, EST_SOURCE=JMP</stp>
        <stp>ACT_EST_MAPPING=PRECISE</stp>
        <stp>FS=MRC</stp>
        <stp>CURRENCY=USD</stp>
        <stp>XLFILL=b</stp>
        <tr r="U46" s="2"/>
      </tp>
      <tp t="s">
        <v>#N/A Requesting Data...</v>
        <stp/>
        <stp>##V3_BQLV12</stp>
        <stp>[MODL_NOW_US1.xlsx]Single Period!R21C21</stp>
        <stp>SEG0000230986 Segment</stp>
        <stp>IS_BILLINGS/1M</stp>
        <stp>FPR=2021Y</stp>
        <stp>FPT=A</stp>
        <stp>FA_ACT_EST_DATA=E, EST_SOURCE=JMP</stp>
        <stp>ACT_EST_MAPPING=PRECISE</stp>
        <stp>FS=MRC</stp>
        <stp>CURRENCY=USD</stp>
        <stp>XLFILL=b</stp>
        <tr r="U21" s="2"/>
      </tp>
      <tp t="s">
        <v>#N/A Requesting Data...</v>
        <stp/>
        <stp>##V3_BQLV12</stp>
        <stp>[MODL_NOW_US1.xlsx]Single Period!R42C18</stp>
        <stp>SEG0000230975 Segment</stp>
        <stp>IS_BILLINGS/1M</stp>
        <stp>FPR=2021Y</stp>
        <stp>FPT=A</stp>
        <stp>FA_ACT_EST_DATA=E, EST_SOURCE=SNR</stp>
        <stp>ACT_EST_MAPPING=PRECISE</stp>
        <stp>FS=MRC</stp>
        <stp>CURRENCY=USD</stp>
        <stp>XLFILL=b</stp>
        <tr r="R42" s="2"/>
      </tp>
      <tp t="s">
        <v>#N/A Requesting Data...</v>
        <stp/>
        <stp>##V3_BQLV12</stp>
        <stp>[MODL_NOW_US1.xlsx]Single Period!R17C18</stp>
        <stp>SEG0000230975 Segment</stp>
        <stp>IS_BILLINGS/1M</stp>
        <stp>FPR=2021Y</stp>
        <stp>FPT=A</stp>
        <stp>FA_ACT_EST_DATA=E, EST_SOURCE=SNR</stp>
        <stp>ACT_EST_MAPPING=PRECISE</stp>
        <stp>FS=MRC</stp>
        <stp>CURRENCY=USD</stp>
        <stp>XLFILL=b</stp>
        <tr r="R17" s="2"/>
      </tp>
      <tp t="s">
        <v>#N/A Requesting Data...</v>
        <stp/>
        <stp>##V3_BQLV12</stp>
        <stp>[MODL_NOW_US1.xlsx]Single Period!R208C37</stp>
        <stp>NOW US Equity</stp>
        <stp>CF_CHANGE_IN_OTHR_ASSTS/1M</stp>
        <stp>FPR=2021Y</stp>
        <stp>FPT=A</stp>
        <stp>FA_ACT_EST_DATA=E, EST_SOURCE=TTC</stp>
        <stp>ACT_EST_MAPPING=PRECISE</stp>
        <stp>FS=MRC</stp>
        <stp>CURRENCY=USD</stp>
        <stp>XLFILL=b</stp>
        <tr r="AK208" s="2"/>
      </tp>
      <tp t="s">
        <v>#N/A Requesting Data...</v>
        <stp/>
        <stp>##V3_BQLV12</stp>
        <stp>[MODL_NOW_US1.xlsx]Single Period!R47C43</stp>
        <stp>SEG0000230986 Segment</stp>
        <stp>CB_ADJ_BILLINGS_AMT/1M</stp>
        <stp>FPR=2021Y</stp>
        <stp>FPT=A</stp>
        <stp>FA_ACT_EST_DATA=E, EST_SOURCE=WFT</stp>
        <stp>ACT_EST_MAPPING=PRECISE</stp>
        <stp>FS=MRC</stp>
        <stp>CURRENCY=USD</stp>
        <stp>XLFILL=b</stp>
        <tr r="AQ47" s="2"/>
      </tp>
      <tp t="s">
        <v>#N/A Requesting Data...</v>
        <stp/>
        <stp>##V3_BQLV12</stp>
        <stp>[MODL_NOW_US1.xlsx]Single Period!R95C5</stp>
        <stp>NOW US Equity</stp>
        <stp>IS_COMPARABLE_EBIT/1M</stp>
        <stp>FPR=2021Y</stp>
        <stp>FPT=A</stp>
        <stp>FA_ACT_EST_DATA=E</stp>
        <stp>ACT_EST_MAPPING=PRECISE</stp>
        <stp>FS=MRC</stp>
        <stp>CURRENCY=USD</stp>
        <stp>XLFILL=b</stp>
        <tr r="E95" s="2"/>
      </tp>
      <tp t="s">
        <v>#N/A Requesting Data...</v>
        <stp/>
        <stp>##V3_BQLV12</stp>
        <stp>[MODL_NOW_US1.xlsx]Single Period!R138C43</stp>
        <stp>NOW US Equity</stp>
        <stp>SBC_NON_GAAP_TO_SALES</stp>
        <stp>FPR=2021Y</stp>
        <stp>FPT=A</stp>
        <stp>FA_ACT_EST_DATA=E, EST_SOURCE=WFT</stp>
        <stp>ACT_EST_MAPPING=PRECISE</stp>
        <stp>FS=MRC</stp>
        <stp>CURRENCY=USD</stp>
        <stp>XLFILL=b</stp>
        <tr r="AQ138" s="2"/>
      </tp>
      <tp t="s">
        <v>#N/A Requesting Data...</v>
        <stp/>
        <stp>##V3_BQLV12</stp>
        <stp>[MODL_NOW_US1.xlsx]Single Period!R236C39</stp>
        <stp>NOW US Equity</stp>
        <stp>FREE_CASH_FLOW_MARGIN</stp>
        <stp>FPR=2021Y</stp>
        <stp>FPT=A</stp>
        <stp>FA_ACT_EST_DATA=E, EST_SOURCE=DZB</stp>
        <stp>ACT_EST_MAPPING=PRECISE</stp>
        <stp>FS=MRC</stp>
        <stp>CURRENCY=USD</stp>
        <stp>XLFILL=b</stp>
        <tr r="AM236" s="2"/>
      </tp>
      <tp t="s">
        <v>#N/A Requesting Data...</v>
        <stp/>
        <stp>##V3_BQLV12</stp>
        <stp>[MODL_NOW_US1.xlsx]Single Period!R43C13</stp>
        <stp>SEG0000230975 Segment</stp>
        <stp>CB_ADJ_BILLINGS_AMT/1M</stp>
        <stp>FPR=2021Y</stp>
        <stp>FPT=A</stp>
        <stp>FA_ACT_EST_DATA=E, EST_SOURCE=KEY</stp>
        <stp>ACT_EST_MAPPING=PRECISE</stp>
        <stp>FS=MRC</stp>
        <stp>CURRENCY=USD</stp>
        <stp>XLFILL=b</stp>
        <tr r="M43" s="2"/>
      </tp>
      <tp t="s">
        <v>#N/A Requesting Data...</v>
        <stp/>
        <stp>##V3_BQLV12</stp>
        <stp>[MODL_NOW_US1.xlsx]Single Period!R117C17</stp>
        <stp>NOW US Equity</stp>
        <stp>IS_TOT_OPER_EXP/1M</stp>
        <stp>FPR=2021Y</stp>
        <stp>FPT=A</stp>
        <stp>FA_ACT_EST_DATA=E, EST_SOURCE=RHR</stp>
        <stp>ACT_EST_MAPPING=PRECISE</stp>
        <stp>FS=MRC</stp>
        <stp>CURRENCY=USD</stp>
        <stp>XLFILL=b</stp>
        <tr r="Q117" s="2"/>
      </tp>
      <tp t="s">
        <v>#N/A Requesting Data...</v>
        <stp/>
        <stp>##V3_BQLV12</stp>
        <stp>[MODL_NOW_US1.xlsx]Single Period!R208C42</stp>
        <stp>NOW US Equity</stp>
        <stp>CF_CHANGE_IN_OTHR_ASSTS/1M</stp>
        <stp>FPR=2021Y</stp>
        <stp>FPT=A</stp>
        <stp>FA_ACT_EST_DATA=E, EST_SOURCE=CTI</stp>
        <stp>ACT_EST_MAPPING=PRECISE</stp>
        <stp>FS=MRC</stp>
        <stp>CURRENCY=USD</stp>
        <stp>XLFILL=b</stp>
        <tr r="AP208" s="2"/>
      </tp>
      <tp t="s">
        <v>#N/A Requesting Data...</v>
        <stp/>
        <stp>##V3_BQLV12</stp>
        <stp>[MODL_NOW_US1.xlsx]Single Period!R182C26</stp>
        <stp>NOW US Equity</stp>
        <stp>BS_OTHER_NONCURRENT_LIABILITIES/1M</stp>
        <stp>FPR=2021Y</stp>
        <stp>FPT=A</stp>
        <stp>FA_ACT_EST_DATA=E, EST_SOURCE=UBS</stp>
        <stp>ACT_EST_MAPPING=PRECISE</stp>
        <stp>FS=MRC</stp>
        <stp>CURRENCY=USD</stp>
        <stp>XLFILL=b</stp>
        <tr r="Z182" s="2"/>
      </tp>
      <tp t="s">
        <v>#N/A Requesting Data...</v>
        <stp/>
        <stp>##V3_BQLV12</stp>
        <stp>[MODL_NOW_US1.xlsx]Single Period!R216C41</stp>
        <stp>NOW US Equity</stp>
        <stp>CF_PURCHASE_OF_FIXED_PROD_ASSETS/1M</stp>
        <stp>FPR=2021Y</stp>
        <stp>FPT=A</stp>
        <stp>FA_ACT_EST_DATA=E, EST_SOURCE=ARG</stp>
        <stp>ACT_EST_MAPPING=PRECISE</stp>
        <stp>FS=MRC</stp>
        <stp>CURRENCY=USD</stp>
        <stp>XLFILL=b</stp>
        <tr r="AO216" s="2"/>
      </tp>
      <tp t="s">
        <v>#N/A Requesting Data...</v>
        <stp/>
        <stp>##V3_BQLV12</stp>
        <stp>[MODL_NOW_US1.xlsx]Single Period!R155C14</stp>
        <stp>NOW US Equity</stp>
        <stp>BS_CASH_CASH_EQUIVALENTS_AND_STI/1M</stp>
        <stp>FPR=2021Y</stp>
        <stp>FPT=A</stp>
        <stp>FA_ACT_EST_DATA=E, EST_SOURCE=BMO</stp>
        <stp>ACT_EST_MAPPING=PRECISE</stp>
        <stp>FS=MRC</stp>
        <stp>CURRENCY=USD</stp>
        <stp>XLFILL=b</stp>
        <tr r="N155" s="2"/>
      </tp>
      <tp t="s">
        <v>#N/A Requesting Data...</v>
        <stp/>
        <stp>##V3_BQLV12</stp>
        <stp>[MODL_NOW_US1.xlsx]Single Period!R177C46</stp>
        <stp>NOW US Equity</stp>
        <stp>BS_ST_CPTL_LEA_AND_OP_LEA_LIABS/1M</stp>
        <stp>FPR=2021Y</stp>
        <stp>FPT=A</stp>
        <stp>FA_ACT_EST_DATA=E, EST_SOURCE=MZS</stp>
        <stp>ACT_EST_MAPPING=PRECISE</stp>
        <stp>FS=MRC</stp>
        <stp>CURRENCY=USD</stp>
        <stp>XLFILL=b</stp>
        <tr r="AT177" s="2"/>
      </tp>
      <tp t="s">
        <v>#N/A Requesting Data...</v>
        <stp/>
        <stp>##V3_BQLV12</stp>
        <stp>[MODL_NOW_US1.xlsx]Single Period!R104C45</stp>
        <stp>NOW US Equity</stp>
        <stp>IS_COMP_NET_INC_EXCL_STOCK_COMP/1M</stp>
        <stp>FPR=2021Y</stp>
        <stp>FPT=A</stp>
        <stp>FA_ACT_EST_DATA=E, EST_SOURCE=PJE</stp>
        <stp>ACT_EST_MAPPING=PRECISE</stp>
        <stp>FS=MRC</stp>
        <stp>CURRENCY=USD</stp>
        <stp>XLFILL=b</stp>
        <tr r="AS104" s="2"/>
      </tp>
      <tp t="s">
        <v>#N/A Requesting Data...</v>
        <stp/>
        <stp>##V3_BQLV12</stp>
        <stp>[MODL_NOW_US1.xlsx]Single Period!R216C44</stp>
        <stp>NOW US Equity</stp>
        <stp>CF_PURCHASE_OF_FIXED_PROD_ASSETS/1M</stp>
        <stp>FPR=2021Y</stp>
        <stp>FPT=A</stp>
        <stp>FA_ACT_EST_DATA=E, EST_SOURCE=ARE</stp>
        <stp>ACT_EST_MAPPING=PRECISE</stp>
        <stp>FS=MRC</stp>
        <stp>CURRENCY=USD</stp>
        <stp>XLFILL=b</stp>
        <tr r="AR216" s="2"/>
      </tp>
      <tp t="s">
        <v>#N/A Requesting Data...</v>
        <stp/>
        <stp>##V3_BQLV12</stp>
        <stp>[MODL_NOW_US1.xlsx]Single Period!R71C42</stp>
        <stp>SEG0000230986 Segment</stp>
        <stp>CB_IS_GROSS_PROFIT/1M</stp>
        <stp>FPR=2021Y</stp>
        <stp>FPT=A</stp>
        <stp>FA_ACT_EST_DATA=E, EST_SOURCE=CTI</stp>
        <stp>ACT_EST_MAPPING=PRECISE</stp>
        <stp>FS=MRC</stp>
        <stp>CURRENCY=USD</stp>
        <stp>XLFILL=b</stp>
        <tr r="AP71" s="2"/>
      </tp>
      <tp t="s">
        <v>#N/A Requesting Data...</v>
        <stp/>
        <stp>##V3_BQLV12</stp>
        <stp>[MODL_NOW_US1.xlsx]Single Period!R221C22</stp>
        <stp>NOW US Equity</stp>
        <stp>CB_CF_OTHER_INVESTING_ACTIVITIES/1M</stp>
        <stp>FPR=2021Y</stp>
        <stp>FPT=A</stp>
        <stp>FA_ACT_EST_DATA=E, EST_SOURCE=NDH</stp>
        <stp>ACT_EST_MAPPING=PRECISE</stp>
        <stp>FS=MRC</stp>
        <stp>CURRENCY=USD</stp>
        <stp>XLFILL=b</stp>
        <tr r="V221" s="2"/>
      </tp>
      <tp t="s">
        <v>#N/A Requesting Data...</v>
        <stp/>
        <stp>##V3_BQLV12</stp>
        <stp>[MODL_NOW_US1.xlsx]Single Period!R216C48</stp>
        <stp>NOW US Equity</stp>
        <stp>CF_PURCHASE_OF_FIXED_PROD_ASSETS/1M</stp>
        <stp>FPR=2021Y</stp>
        <stp>FPT=A</stp>
        <stp>FA_ACT_EST_DATA=E, EST_SOURCE=CRC</stp>
        <stp>ACT_EST_MAPPING=PRECISE</stp>
        <stp>FS=MRC</stp>
        <stp>CURRENCY=USD</stp>
        <stp>XLFILL=b</stp>
        <tr r="AV216" s="2"/>
      </tp>
      <tp t="s">
        <v>#N/A Requesting Data...</v>
        <stp/>
        <stp>##V3_BQLV12</stp>
        <stp>[MODL_NOW_US1.xlsx]Single Period!R71C37</stp>
        <stp>SEG0000230986 Segment</stp>
        <stp>CB_IS_GROSS_PROFIT/1M</stp>
        <stp>FPR=2021Y</stp>
        <stp>FPT=A</stp>
        <stp>FA_ACT_EST_DATA=E, EST_SOURCE=TTC</stp>
        <stp>ACT_EST_MAPPING=PRECISE</stp>
        <stp>FS=MRC</stp>
        <stp>CURRENCY=USD</stp>
        <stp>XLFILL=b</stp>
        <tr r="AK71" s="2"/>
      </tp>
      <tp t="s">
        <v>#N/A Requesting Data...</v>
        <stp/>
        <stp>##V3_BQLV12</stp>
        <stp>[MODL_NOW_US1.xlsx]Single Period!R221C36</stp>
        <stp>NOW US Equity</stp>
        <stp>CB_CF_OTHER_INVESTING_ACTIVITIES/1M</stp>
        <stp>FPR=2021Y</stp>
        <stp>FPT=A</stp>
        <stp>FA_ACT_EST_DATA=E, EST_SOURCE=JEF</stp>
        <stp>ACT_EST_MAPPING=PRECISE</stp>
        <stp>FS=MRC</stp>
        <stp>CURRENCY=USD</stp>
        <stp>XLFILL=b</stp>
        <tr r="AJ221" s="2"/>
      </tp>
      <tp t="s">
        <v>#N/A Requesting Data...</v>
        <stp/>
        <stp>##V3_BQLV12</stp>
        <stp>[MODL_NOW_US1.xlsx]Single Period!R121C38</stp>
        <stp>NOW US Equity</stp>
        <stp>CB_IS_GENL_AND_ADMIN_EXPN/1M</stp>
        <stp>FPR=2021Y</stp>
        <stp>FPT=A</stp>
        <stp>FA_ACT_EST_DATA=E, EST_SOURCE=RWB</stp>
        <stp>ACT_EST_MAPPING=PRECISE</stp>
        <stp>FS=MRC</stp>
        <stp>CURRENCY=USD</stp>
        <stp>XLFILL=b</stp>
        <tr r="AL121" s="2"/>
      </tp>
      <tp t="s">
        <v>#N/A Requesting Data...</v>
        <stp/>
        <stp>##V3_BQLV12</stp>
        <stp>[MODL_NOW_US1.xlsx]Single Period!R182C27</stp>
        <stp>NOW US Equity</stp>
        <stp>BS_OTHER_NONCURRENT_LIABILITIES/1M</stp>
        <stp>FPR=2021Y</stp>
        <stp>FPT=A</stp>
        <stp>FA_ACT_EST_DATA=E, EST_SOURCE=RBC</stp>
        <stp>ACT_EST_MAPPING=PRECISE</stp>
        <stp>FS=MRC</stp>
        <stp>CURRENCY=USD</stp>
        <stp>XLFILL=b</stp>
        <tr r="AA182" s="2"/>
      </tp>
      <tp t="s">
        <v>#N/A Requesting Data...</v>
        <stp/>
        <stp>##V3_BQLV12</stp>
        <stp>[MODL_NOW_US1.xlsx]Single Period!R182C32</stp>
        <stp>NOW US Equity</stp>
        <stp>BS_OTHER_NONCURRENT_LIABILITIES/1M</stp>
        <stp>FPR=2021Y</stp>
        <stp>FPT=A</stp>
        <stp>FA_ACT_EST_DATA=E, EST_SOURCE=FBC</stp>
        <stp>ACT_EST_MAPPING=PRECISE</stp>
        <stp>FS=MRC</stp>
        <stp>CURRENCY=USD</stp>
        <stp>XLFILL=b</stp>
        <tr r="AF182" s="2"/>
      </tp>
      <tp t="s">
        <v>#N/A Requesting Data...</v>
        <stp/>
        <stp>##V3_BQLV12</stp>
        <stp>[MODL_NOW_US1.xlsx]Single Period!R107C28</stp>
        <stp>NOW US Equity</stp>
        <stp>CB_IS_ADJ_DILUTED_AVG_SHS/1M</stp>
        <stp>FPR=2021Y</stp>
        <stp>FPT=A</stp>
        <stp>FA_ACT_EST_DATA=E, EST_SOURCE=EVR</stp>
        <stp>ACT_EST_MAPPING=PRECISE</stp>
        <stp>FS=MRC</stp>
        <stp>CURRENCY=USD</stp>
        <stp>XLFILL=b</stp>
        <tr r="AB107" s="2"/>
      </tp>
      <tp t="s">
        <v>#N/A Requesting Data...</v>
        <stp/>
        <stp>##V3_BQLV12</stp>
        <stp>[MODL_NOW_US1.xlsx]Single Period!R155C29</stp>
        <stp>NOW US Equity</stp>
        <stp>BS_CASH_CASH_EQUIVALENTS_AND_STI/1M</stp>
        <stp>FPR=2021Y</stp>
        <stp>FPT=A</stp>
        <stp>FA_ACT_EST_DATA=E, EST_SOURCE=BNS</stp>
        <stp>ACT_EST_MAPPING=PRECISE</stp>
        <stp>FS=MRC</stp>
        <stp>CURRENCY=USD</stp>
        <stp>XLFILL=b</stp>
        <tr r="AC155" s="2"/>
      </tp>
      <tp t="s">
        <v>#N/A Requesting Data...</v>
        <stp/>
        <stp>##V3_BQLV12</stp>
        <stp>[MODL_NOW_US1.xlsx]Single Period!R182C25</stp>
        <stp>NOW US Equity</stp>
        <stp>BS_OTHER_NONCURRENT_LIABILITIES/1M</stp>
        <stp>FPR=2021Y</stp>
        <stp>FPT=A</stp>
        <stp>FA_ACT_EST_DATA=E, EST_SOURCE=DBG</stp>
        <stp>ACT_EST_MAPPING=PRECISE</stp>
        <stp>FS=MRC</stp>
        <stp>CURRENCY=USD</stp>
        <stp>XLFILL=b</stp>
        <tr r="Y182" s="2"/>
      </tp>
      <tp t="s">
        <v>#N/A Requesting Data...</v>
        <stp/>
        <stp>##V3_BQLV12</stp>
        <stp>[MODL_NOW_US1.xlsx]Single Period!R177C39</stp>
        <stp>NOW US Equity</stp>
        <stp>BS_ST_CPTL_LEA_AND_OP_LEA_LIABS/1M</stp>
        <stp>FPR=2021Y</stp>
        <stp>FPT=A</stp>
        <stp>FA_ACT_EST_DATA=E, EST_SOURCE=DZB</stp>
        <stp>ACT_EST_MAPPING=PRECISE</stp>
        <stp>FS=MRC</stp>
        <stp>CURRENCY=USD</stp>
        <stp>XLFILL=b</stp>
        <tr r="AM177" s="2"/>
      </tp>
      <tp t="s">
        <v>#N/A Requesting Data...</v>
        <stp/>
        <stp>##V3_BQLV12</stp>
        <stp>[MODL_NOW_US1.xlsx]Single Period!R225C21</stp>
        <stp>NOW US Equity</stp>
        <stp>CF_INCR_CAP_STOCK/1M</stp>
        <stp>FPR=2021Y</stp>
        <stp>FPT=A</stp>
        <stp>FA_ACT_EST_DATA=E, EST_SOURCE=JMP</stp>
        <stp>ACT_EST_MAPPING=PRECISE</stp>
        <stp>FS=MRC</stp>
        <stp>CURRENCY=USD</stp>
        <stp>XLFILL=b</stp>
        <tr r="U225" s="2"/>
      </tp>
      <tp t="s">
        <v>#N/A Requesting Data...</v>
        <stp/>
        <stp>##V3_BQLV12</stp>
        <stp>[MODL_NOW_US1.xlsx]Single Period!R157C5</stp>
        <stp>NOW US Equity</stp>
        <stp>BS_MKT_SEC_OTHER_ST_INVEST/1M</stp>
        <stp>FPR=2021Y</stp>
        <stp>FPT=A</stp>
        <stp>FA_ACT_EST_DATA=E</stp>
        <stp>ACT_EST_MAPPING=PRECISE</stp>
        <stp>FS=MRC</stp>
        <stp>CURRENCY=USD</stp>
        <stp>XLFILL=b</stp>
        <tr r="E157" s="2"/>
      </tp>
      <tp t="s">
        <v>#N/A Requesting Data...</v>
        <stp/>
        <stp>##V3_BQLV12</stp>
        <stp>[MODL_NOW_US1.xlsx]Single Period!R182C12</stp>
        <stp>NOW US Equity</stp>
        <stp>BS_OTHER_NONCURRENT_LIABILITIES/1M</stp>
        <stp>FPR=2021Y</stp>
        <stp>FPT=A</stp>
        <stp>FA_ACT_EST_DATA=E, EST_SOURCE=WBL</stp>
        <stp>ACT_EST_MAPPING=PRECISE</stp>
        <stp>FS=MRC</stp>
        <stp>CURRENCY=USD</stp>
        <stp>XLFILL=b</stp>
        <tr r="L182" s="2"/>
      </tp>
      <tp t="s">
        <v>#N/A Requesting Data...</v>
        <stp/>
        <stp>##V3_BQLV12</stp>
        <stp>[MODL_NOW_US1.xlsx]Single Period!R47C9</stp>
        <stp>SEG0000230986 Segment</stp>
        <stp>CONTRIBUTOR_STATS(CB_ADJ_BILLINGS_AMT, MEDIAN)/1M</stp>
        <stp>FPR=2021Y</stp>
        <stp>FPT=A</stp>
        <stp>FA_ACT_EST_DATA=E</stp>
        <stp>ACT_EST_MAPPING=PRECISE</stp>
        <stp>FS=MRC</stp>
        <stp>CURRENCY=USD</stp>
        <stp>XLFILL=b</stp>
        <tr r="I47" s="2"/>
      </tp>
      <tp t="s">
        <v>#N/A Requesting Data...</v>
        <stp/>
        <stp>##V3_BQLV12</stp>
        <stp>[MODL_NOW_US1.xlsx]Single Period!R81C40</stp>
        <stp>NOW US Equity</stp>
        <stp>IS_ADJ_SALES_YOY_CHG_PCT_CC</stp>
        <stp>FPR=2021Y</stp>
        <stp>FPT=A</stp>
        <stp>FA_ACT_EST_DATA=E, EST_SOURCE=DWI</stp>
        <stp>ACT_EST_MAPPING=PRECISE</stp>
        <stp>FS=MRC</stp>
        <stp>CURRENCY=USD</stp>
        <stp>XLFILL=b</stp>
        <tr r="AN81" s="2"/>
      </tp>
      <tp t="s">
        <v>#N/A Requesting Data...</v>
        <stp/>
        <stp>##V3_BQLV12</stp>
        <stp>[MODL_NOW_US1.xlsx]Single Period!R116C38</stp>
        <stp>NOW US Equity</stp>
        <stp>GROSS_MARGIN</stp>
        <stp>FPR=2021Y</stp>
        <stp>FPT=A</stp>
        <stp>FA_ACT_EST_DATA=E, EST_SOURCE=RWB</stp>
        <stp>ACT_EST_MAPPING=PRECISE</stp>
        <stp>FS=MRC</stp>
        <stp>CURRENCY=USD</stp>
        <stp>XLFILL=b</stp>
        <tr r="AL116" s="2"/>
      </tp>
      <tp t="s">
        <v>#N/A Requesting Data...</v>
        <stp/>
        <stp>##V3_BQLV12</stp>
        <stp>[MODL_NOW_US1.xlsx]Single Period!R212C48</stp>
        <stp>NOW US Equity</stp>
        <stp>CF_CHANGE_IN_ACCRUD_EXPNSS/1M</stp>
        <stp>FPR=2021Y</stp>
        <stp>FPT=A</stp>
        <stp>FA_ACT_EST_DATA=E, EST_SOURCE=CRC</stp>
        <stp>ACT_EST_MAPPING=PRECISE</stp>
        <stp>FS=MRC</stp>
        <stp>CURRENCY=USD</stp>
        <stp>XLFILL=b</stp>
        <tr r="AV212" s="2"/>
      </tp>
      <tp t="s">
        <v>#N/A Requesting Data...</v>
        <stp/>
        <stp>##V3_BQLV12</stp>
        <stp>[MODL_NOW_US1.xlsx]Single Period!R149C42</stp>
        <stp>NOW US Equity</stp>
        <stp>IS_AMORT_ACQD_INTANG_GEN_AND_ADMIN/1M</stp>
        <stp>FPR=2021Y</stp>
        <stp>FPT=A</stp>
        <stp>FA_ACT_EST_DATA=E, EST_SOURCE=CTI</stp>
        <stp>ACT_EST_MAPPING=PRECISE</stp>
        <stp>FS=MRC</stp>
        <stp>CURRENCY=USD</stp>
        <stp>XLFILL=b</stp>
        <tr r="AP149" s="2"/>
      </tp>
      <tp t="s">
        <v>#N/A Requesting Data...</v>
        <stp/>
        <stp>##V3_BQLV12</stp>
        <stp>[MODL_NOW_US1.xlsx]Single Period!R194C15</stp>
        <stp>NOW US Equity</stp>
        <stp>CB_BS_OTHER_CURRENT_ASSETS/1M</stp>
        <stp>FPR=2021Y</stp>
        <stp>FPT=A</stp>
        <stp>FA_ACT_EST_DATA=E, EST_SOURCE=OPY</stp>
        <stp>ACT_EST_MAPPING=PRECISE</stp>
        <stp>FS=MRC</stp>
        <stp>CURRENCY=USD</stp>
        <stp>XLFILL=b</stp>
        <tr r="O194" s="2"/>
      </tp>
      <tp t="s">
        <v>#N/A Requesting Data...</v>
        <stp/>
        <stp>##V3_BQLV12</stp>
        <stp>[MODL_NOW_US1.xlsx]Single Period!R91C20</stp>
        <stp>NOW US Equity</stp>
        <stp>ADJ_R_AND_D_TO_SALES</stp>
        <stp>FPR=2021Y</stp>
        <stp>FPT=A</stp>
        <stp>FA_ACT_EST_DATA=E, EST_SOURCE=CAN</stp>
        <stp>ACT_EST_MAPPING=PRECISE</stp>
        <stp>FS=MRC</stp>
        <stp>CURRENCY=USD</stp>
        <stp>XLFILL=b</stp>
        <tr r="T91" s="2"/>
      </tp>
      <tp t="s">
        <v>#N/A Requesting Data...</v>
        <stp/>
        <stp>##V3_BQLV12</stp>
        <stp>[MODL_NOW_US1.xlsx]Single Period!R212C41</stp>
        <stp>NOW US Equity</stp>
        <stp>CF_CHANGE_IN_ACCRUD_EXPNSS/1M</stp>
        <stp>FPR=2021Y</stp>
        <stp>FPT=A</stp>
        <stp>FA_ACT_EST_DATA=E, EST_SOURCE=ARG</stp>
        <stp>ACT_EST_MAPPING=PRECISE</stp>
        <stp>FS=MRC</stp>
        <stp>CURRENCY=USD</stp>
        <stp>XLFILL=b</stp>
        <tr r="AO212" s="2"/>
      </tp>
      <tp t="s">
        <v>#N/A Requesting Data...</v>
        <stp/>
        <stp>##V3_BQLV12</stp>
        <stp>[MODL_NOW_US1.xlsx]Single Period!R166C30</stp>
        <stp>NOW US Equity</stp>
        <stp>BS_OTHER_INTANGIBLE_ASSETS/1M</stp>
        <stp>FPR=2021Y</stp>
        <stp>FPT=A</stp>
        <stp>FA_ACT_EST_DATA=E, EST_SOURCE=BAM</stp>
        <stp>ACT_EST_MAPPING=PRECISE</stp>
        <stp>FS=MRC</stp>
        <stp>CURRENCY=USD</stp>
        <stp>XLFILL=b</stp>
        <tr r="AD166" s="2"/>
      </tp>
      <tp t="s">
        <v>#N/A Requesting Data...</v>
        <stp/>
        <stp>##V3_BQLV12</stp>
        <stp>[MODL_NOW_US1.xlsx]Single Period!R91C30</stp>
        <stp>NOW US Equity</stp>
        <stp>ADJ_R_AND_D_TO_SALES</stp>
        <stp>FPR=2021Y</stp>
        <stp>FPT=A</stp>
        <stp>FA_ACT_EST_DATA=E, EST_SOURCE=BAM</stp>
        <stp>ACT_EST_MAPPING=PRECISE</stp>
        <stp>FS=MRC</stp>
        <stp>CURRENCY=USD</stp>
        <stp>XLFILL=b</stp>
        <tr r="AD91" s="2"/>
      </tp>
      <tp t="s">
        <v>#N/A Requesting Data...</v>
        <stp/>
        <stp>##V3_BQLV12</stp>
        <stp>[MODL_NOW_US1.xlsx]Single Period!R166C20</stp>
        <stp>NOW US Equity</stp>
        <stp>BS_OTHER_INTANGIBLE_ASSETS/1M</stp>
        <stp>FPR=2021Y</stp>
        <stp>FPT=A</stp>
        <stp>FA_ACT_EST_DATA=E, EST_SOURCE=CAN</stp>
        <stp>ACT_EST_MAPPING=PRECISE</stp>
        <stp>FS=MRC</stp>
        <stp>CURRENCY=USD</stp>
        <stp>XLFILL=b</stp>
        <tr r="T166" s="2"/>
      </tp>
      <tp t="s">
        <v>#N/A Requesting Data...</v>
        <stp/>
        <stp>##V3_BQLV12</stp>
        <stp>[MODL_NOW_US1.xlsx]Single Period!R212C44</stp>
        <stp>NOW US Equity</stp>
        <stp>CF_CHANGE_IN_ACCRUD_EXPNSS/1M</stp>
        <stp>FPR=2021Y</stp>
        <stp>FPT=A</stp>
        <stp>FA_ACT_EST_DATA=E, EST_SOURCE=ARE</stp>
        <stp>ACT_EST_MAPPING=PRECISE</stp>
        <stp>FS=MRC</stp>
        <stp>CURRENCY=USD</stp>
        <stp>XLFILL=b</stp>
        <tr r="AR212" s="2"/>
      </tp>
      <tp t="s">
        <v>#N/A Requesting Data...</v>
        <stp/>
        <stp>##V3_BQLV12</stp>
        <stp>[MODL_NOW_US1.xlsx]Single Period!R144C36</stp>
        <stp>NOW US Equity</stp>
        <stp>IS_SBC_ATT_TO_GENL_AND_ADMIN_PRETX/1M</stp>
        <stp>FPR=2021Y</stp>
        <stp>FPT=A</stp>
        <stp>FA_ACT_EST_DATA=E, EST_SOURCE=JEF</stp>
        <stp>ACT_EST_MAPPING=PRECISE</stp>
        <stp>FS=MRC</stp>
        <stp>CURRENCY=USD</stp>
        <stp>XLFILL=b</stp>
        <tr r="AJ144" s="2"/>
      </tp>
      <tp t="s">
        <v>#N/A Requesting Data...</v>
        <stp/>
        <stp>##V3_BQLV12</stp>
        <stp>[MODL_NOW_US1.xlsx]Single Period!R149C37</stp>
        <stp>NOW US Equity</stp>
        <stp>IS_AMORT_ACQD_INTANG_GEN_AND_ADMIN/1M</stp>
        <stp>FPR=2021Y</stp>
        <stp>FPT=A</stp>
        <stp>FA_ACT_EST_DATA=E, EST_SOURCE=TTC</stp>
        <stp>ACT_EST_MAPPING=PRECISE</stp>
        <stp>FS=MRC</stp>
        <stp>CURRENCY=USD</stp>
        <stp>XLFILL=b</stp>
        <tr r="AK149" s="2"/>
      </tp>
      <tp t="s">
        <v>#N/A Requesting Data...</v>
        <stp/>
        <stp>##V3_BQLV12</stp>
        <stp>[MODL_NOW_US1.xlsx]Single Period!R166C33</stp>
        <stp>NOW US Equity</stp>
        <stp>BS_OTHER_INTANGIBLE_ASSETS/1M</stp>
        <stp>FPR=2021Y</stp>
        <stp>FPT=A</stp>
        <stp>FA_ACT_EST_DATA=E, EST_SOURCE=MAC</stp>
        <stp>ACT_EST_MAPPING=PRECISE</stp>
        <stp>FS=MRC</stp>
        <stp>CURRENCY=USD</stp>
        <stp>XLFILL=b</stp>
        <tr r="AG166" s="2"/>
      </tp>
      <tp t="s">
        <v>#N/A Requesting Data...</v>
        <stp/>
        <stp>##V3_BQLV12</stp>
        <stp>[MODL_NOW_US1.xlsx]Single Period!R28C31</stp>
        <stp>NOW US Equity</stp>
        <stp>ADJ_OPERATING_MARGIN</stp>
        <stp>FPR=2021Y</stp>
        <stp>FPT=A</stp>
        <stp>FA_ACT_EST_DATA=E, EST_SOURCE=GSR</stp>
        <stp>ACT_EST_MAPPING=PRECISE</stp>
        <stp>FS=MRC</stp>
        <stp>CURRENCY=USD</stp>
        <stp>XLFILL=b</stp>
        <tr r="AE28" s="2"/>
      </tp>
      <tp t="s">
        <v>#N/A Requesting Data...</v>
        <stp/>
        <stp>##V3_BQLV12</stp>
        <stp>[MODL_NOW_US1.xlsx]Single Period!R28C47</stp>
        <stp>NOW US Equity</stp>
        <stp>ADJ_OPERATING_MARGIN</stp>
        <stp>FPR=2021Y</stp>
        <stp>FPT=A</stp>
        <stp>FA_ACT_EST_DATA=E, EST_SOURCE=SUM</stp>
        <stp>ACT_EST_MAPPING=PRECISE</stp>
        <stp>FS=MRC</stp>
        <stp>CURRENCY=USD</stp>
        <stp>XLFILL=b</stp>
        <tr r="AU28" s="2"/>
      </tp>
      <tp t="s">
        <v>#N/A Requesting Data...</v>
        <stp/>
        <stp>##V3_BQLV12</stp>
        <stp>[MODL_NOW_US1.xlsx]Single Period!R194C11</stp>
        <stp>NOW US Equity</stp>
        <stp>CB_BS_OTHER_CURRENT_ASSETS/1M</stp>
        <stp>FPR=2021Y</stp>
        <stp>FPT=A</stp>
        <stp>FA_ACT_EST_DATA=E, EST_SOURCE=JPM</stp>
        <stp>ACT_EST_MAPPING=PRECISE</stp>
        <stp>FS=MRC</stp>
        <stp>CURRENCY=USD</stp>
        <stp>XLFILL=b</stp>
        <tr r="K194" s="2"/>
      </tp>
      <tp t="s">
        <v>#N/A Requesting Data...</v>
        <stp/>
        <stp>##V3_BQLV12</stp>
        <stp>[MODL_NOW_US1.xlsx]Single Period!R144C13</stp>
        <stp>NOW US Equity</stp>
        <stp>IS_SBC_ATT_TO_GENL_AND_ADMIN_PRETX/1M</stp>
        <stp>FPR=2021Y</stp>
        <stp>FPT=A</stp>
        <stp>FA_ACT_EST_DATA=E, EST_SOURCE=KEY</stp>
        <stp>ACT_EST_MAPPING=PRECISE</stp>
        <stp>FS=MRC</stp>
        <stp>CURRENCY=USD</stp>
        <stp>XLFILL=b</stp>
        <tr r="M144" s="2"/>
      </tp>
      <tp t="s">
        <v>#N/A Requesting Data...</v>
        <stp/>
        <stp>##V3_BQLV12</stp>
        <stp>[MODL_NOW_US1.xlsx]Single Period!R157C47</stp>
        <stp>NOW US Equity</stp>
        <stp>BS_MKT_SEC_OTHER_ST_INVEST/1M</stp>
        <stp>FPR=2021Y</stp>
        <stp>FPT=A</stp>
        <stp>FA_ACT_EST_DATA=E, EST_SOURCE=SUM</stp>
        <stp>ACT_EST_MAPPING=PRECISE</stp>
        <stp>FS=MRC</stp>
        <stp>CURRENCY=USD</stp>
        <stp>XLFILL=b</stp>
        <tr r="AU157" s="2"/>
      </tp>
      <tp t="s">
        <v>#N/A Requesting Data...</v>
        <stp/>
        <stp>##V3_BQLV12</stp>
        <stp>[MODL_NOW_US1.xlsx]Single Period!R181C45</stp>
        <stp>NOW US Equity</stp>
        <stp>BS_LONG_TERM_BORROWINGS/1M</stp>
        <stp>FPR=2021Y</stp>
        <stp>FPT=A</stp>
        <stp>FA_ACT_EST_DATA=E, EST_SOURCE=PJE</stp>
        <stp>ACT_EST_MAPPING=PRECISE</stp>
        <stp>FS=MRC</stp>
        <stp>CURRENCY=USD</stp>
        <stp>XLFILL=b</stp>
        <tr r="AS181" s="2"/>
      </tp>
      <tp t="s">
        <v>#N/A Requesting Data...</v>
        <stp/>
        <stp>##V3_BQLV12</stp>
        <stp>[MODL_NOW_US1.xlsx]Single Period!R219C43</stp>
        <stp>NOW US Equity</stp>
        <stp>CF_PURCHSS_OF_INVSTMNTS/1M</stp>
        <stp>FPR=2021Y</stp>
        <stp>FPT=A</stp>
        <stp>FA_ACT_EST_DATA=E, EST_SOURCE=WFT</stp>
        <stp>ACT_EST_MAPPING=PRECISE</stp>
        <stp>FS=MRC</stp>
        <stp>CURRENCY=USD</stp>
        <stp>XLFILL=b</stp>
        <tr r="AQ219" s="2"/>
      </tp>
      <tp t="s">
        <v>#N/A Requesting Data...</v>
        <stp/>
        <stp>##V3_BQLV12</stp>
        <stp>[MODL_NOW_US1.xlsx]Single Period!R43C22</stp>
        <stp>SEG0000230975 Segment</stp>
        <stp>CB_ADJ_BILLINGS_AMT/1M</stp>
        <stp>FPR=2021Y</stp>
        <stp>FPT=A</stp>
        <stp>FA_ACT_EST_DATA=E, EST_SOURCE=NDH</stp>
        <stp>ACT_EST_MAPPING=PRECISE</stp>
        <stp>FS=MRC</stp>
        <stp>CURRENCY=USD</stp>
        <stp>XLFILL=b</stp>
        <tr r="V43" s="2"/>
      </tp>
      <tp t="s">
        <v>#N/A Requesting Data...</v>
        <stp/>
        <stp>##V3_BQLV12</stp>
        <stp>[MODL_NOW_US1.xlsx]Single Period!R125C46</stp>
        <stp>NOW US Equity</stp>
        <stp>OPER_INC_TO_NET_SALES</stp>
        <stp>FPR=2021Y</stp>
        <stp>FPT=A</stp>
        <stp>FA_ACT_EST_DATA=E, EST_SOURCE=MZS</stp>
        <stp>ACT_EST_MAPPING=PRECISE</stp>
        <stp>FS=MRC</stp>
        <stp>CURRENCY=USD</stp>
        <stp>XLFILL=b</stp>
        <tr r="AT125" s="2"/>
      </tp>
      <tp t="s">
        <v>#N/A Requesting Data...</v>
        <stp/>
        <stp>##V3_BQLV12</stp>
        <stp>[MODL_NOW_US1.xlsx]Single Period!R208C47</stp>
        <stp>NOW US Equity</stp>
        <stp>CF_CHANGE_IN_OTHR_ASSTS/1M</stp>
        <stp>FPR=2021Y</stp>
        <stp>FPT=A</stp>
        <stp>FA_ACT_EST_DATA=E, EST_SOURCE=SUM</stp>
        <stp>ACT_EST_MAPPING=PRECISE</stp>
        <stp>FS=MRC</stp>
        <stp>CURRENCY=USD</stp>
        <stp>XLFILL=b</stp>
        <tr r="AU208" s="2"/>
      </tp>
      <tp t="s">
        <v>#N/A Requesting Data...</v>
        <stp/>
        <stp>##V3_BQLV12</stp>
        <stp>[MODL_NOW_US1.xlsx]Single Period!R125C39</stp>
        <stp>NOW US Equity</stp>
        <stp>OPER_INC_TO_NET_SALES</stp>
        <stp>FPR=2021Y</stp>
        <stp>FPT=A</stp>
        <stp>FA_ACT_EST_DATA=E, EST_SOURCE=DZB</stp>
        <stp>ACT_EST_MAPPING=PRECISE</stp>
        <stp>FS=MRC</stp>
        <stp>CURRENCY=USD</stp>
        <stp>XLFILL=b</stp>
        <tr r="AM125" s="2"/>
      </tp>
      <tp t="s">
        <v>#N/A Requesting Data...</v>
        <stp/>
        <stp>##V3_BQLV12</stp>
        <stp>[MODL_NOW_US1.xlsx]Single Period!R160C17</stp>
        <stp>NOW US Equity</stp>
        <stp>PREPAID_EXPNSS_AND_OTHR/1M</stp>
        <stp>FPR=2021Y</stp>
        <stp>FPT=A</stp>
        <stp>FA_ACT_EST_DATA=E, EST_SOURCE=RHR</stp>
        <stp>ACT_EST_MAPPING=PRECISE</stp>
        <stp>FS=MRC</stp>
        <stp>CURRENCY=USD</stp>
        <stp>XLFILL=b</stp>
        <tr r="Q160" s="2"/>
      </tp>
      <tp t="s">
        <v>#N/A Requesting Data...</v>
        <stp/>
        <stp>##V3_BQLV12</stp>
        <stp>[MODL_NOW_US1.xlsx]Single Period!R218C14</stp>
        <stp>NOW US Equity</stp>
        <stp>CF_ACQUISITION_OF_INTANG_ASSETS/1M</stp>
        <stp>FPR=2021Y</stp>
        <stp>FPT=A</stp>
        <stp>FA_ACT_EST_DATA=E, EST_SOURCE=BMO</stp>
        <stp>ACT_EST_MAPPING=PRECISE</stp>
        <stp>FS=MRC</stp>
        <stp>CURRENCY=USD</stp>
        <stp>XLFILL=b</stp>
        <tr r="N218" s="2"/>
      </tp>
      <tp t="s">
        <v>#N/A Requesting Data...</v>
        <stp/>
        <stp>##V3_BQLV12</stp>
        <stp>[MODL_NOW_US1.xlsx]Single Period!R107C38</stp>
        <stp>NOW US Equity</stp>
        <stp>CB_IS_ADJ_DILUTED_AVG_SHS/1M</stp>
        <stp>FPR=2021Y</stp>
        <stp>FPT=A</stp>
        <stp>FA_ACT_EST_DATA=E, EST_SOURCE=RWB</stp>
        <stp>ACT_EST_MAPPING=PRECISE</stp>
        <stp>FS=MRC</stp>
        <stp>CURRENCY=USD</stp>
        <stp>XLFILL=b</stp>
        <tr r="AL107" s="2"/>
      </tp>
      <tp t="s">
        <v>#N/A Requesting Data...</v>
        <stp/>
        <stp>##V3_BQLV12</stp>
        <stp>[MODL_NOW_US1.xlsx]Single Period!R71C47</stp>
        <stp>SEG0000230986 Segment</stp>
        <stp>CB_IS_GROSS_PROFIT/1M</stp>
        <stp>FPR=2021Y</stp>
        <stp>FPT=A</stp>
        <stp>FA_ACT_EST_DATA=E, EST_SOURCE=SUM</stp>
        <stp>ACT_EST_MAPPING=PRECISE</stp>
        <stp>FS=MRC</stp>
        <stp>CURRENCY=USD</stp>
        <stp>XLFILL=b</stp>
        <tr r="AU71" s="2"/>
      </tp>
      <tp t="s">
        <v>#N/A Requesting Data...</v>
        <stp/>
        <stp>##V3_BQLV12</stp>
        <stp>[MODL_NOW_US1.xlsx]Single Period!R216C37</stp>
        <stp>NOW US Equity</stp>
        <stp>CF_PURCHASE_OF_FIXED_PROD_ASSETS/1M</stp>
        <stp>FPR=2021Y</stp>
        <stp>FPT=A</stp>
        <stp>FA_ACT_EST_DATA=E, EST_SOURCE=TTC</stp>
        <stp>ACT_EST_MAPPING=PRECISE</stp>
        <stp>FS=MRC</stp>
        <stp>CURRENCY=USD</stp>
        <stp>XLFILL=b</stp>
        <tr r="AK216" s="2"/>
      </tp>
      <tp t="s">
        <v>#N/A Requesting Data...</v>
        <stp/>
        <stp>##V3_BQLV12</stp>
        <stp>[MODL_NOW_US1.xlsx]Single Period!R221C49</stp>
        <stp>NOW US Equity</stp>
        <stp>CB_CF_OTHER_INVESTING_ACTIVITIES/1M</stp>
        <stp>FPR=2021Y</stp>
        <stp>FPT=A</stp>
        <stp>FA_ACT_EST_DATA=E, EST_SOURCE=SCB</stp>
        <stp>ACT_EST_MAPPING=PRECISE</stp>
        <stp>FS=MRC</stp>
        <stp>CURRENCY=USD</stp>
        <stp>XLFILL=b</stp>
        <tr r="AW221" s="2"/>
      </tp>
      <tp t="s">
        <v>#N/A Requesting Data...</v>
        <stp/>
        <stp>##V3_BQLV12</stp>
        <stp>[MODL_NOW_US1.xlsx]Single Period!R148C14</stp>
        <stp>NOW US Equity</stp>
        <stp>IS_AMORT_ACQD_INTANGIBLES_R_AND_D/1M</stp>
        <stp>FPR=2021Y</stp>
        <stp>FPT=A</stp>
        <stp>FA_ACT_EST_DATA=E, EST_SOURCE=BMO</stp>
        <stp>ACT_EST_MAPPING=PRECISE</stp>
        <stp>FS=MRC</stp>
        <stp>CURRENCY=USD</stp>
        <stp>XLFILL=b</stp>
        <tr r="N148" s="2"/>
      </tp>
      <tp t="s">
        <v>#N/A Requesting Data...</v>
        <stp/>
        <stp>##V3_BQLV12</stp>
        <stp>[MODL_NOW_US1.xlsx]Single Period!R182C16</stp>
        <stp>NOW US Equity</stp>
        <stp>BS_OTHER_NONCURRENT_LIABILITIES/1M</stp>
        <stp>FPR=2021Y</stp>
        <stp>FPT=A</stp>
        <stp>FA_ACT_EST_DATA=E, EST_SOURCE=BCA</stp>
        <stp>ACT_EST_MAPPING=PRECISE</stp>
        <stp>FS=MRC</stp>
        <stp>CURRENCY=USD</stp>
        <stp>XLFILL=b</stp>
        <tr r="P182" s="2"/>
      </tp>
      <tp t="s">
        <v>#N/A Requesting Data...</v>
        <stp/>
        <stp>##V3_BQLV12</stp>
        <stp>[MODL_NOW_US1.xlsx]Single Period!R213C11</stp>
        <stp>NOW US Equity</stp>
        <stp>CF_CASH_FROM_OPER/1M</stp>
        <stp>FPR=2021Y</stp>
        <stp>FPT=A</stp>
        <stp>FA_ACT_EST_DATA=E, EST_SOURCE=JPM</stp>
        <stp>ACT_EST_MAPPING=PRECISE</stp>
        <stp>FS=MRC</stp>
        <stp>CURRENCY=USD</stp>
        <stp>XLFILL=b</stp>
        <tr r="K213" s="2"/>
      </tp>
      <tp t="s">
        <v>#N/A Requesting Data...</v>
        <stp/>
        <stp>##V3_BQLV12</stp>
        <stp>[MODL_NOW_US1.xlsx]Single Period!R182C49</stp>
        <stp>NOW US Equity</stp>
        <stp>BS_OTHER_NONCURRENT_LIABILITIES/1M</stp>
        <stp>FPR=2021Y</stp>
        <stp>FPT=A</stp>
        <stp>FA_ACT_EST_DATA=E, EST_SOURCE=SCB</stp>
        <stp>ACT_EST_MAPPING=PRECISE</stp>
        <stp>FS=MRC</stp>
        <stp>CURRENCY=USD</stp>
        <stp>XLFILL=b</stp>
        <tr r="AW182" s="2"/>
      </tp>
      <tp t="s">
        <v>#N/A Requesting Data...</v>
        <stp/>
        <stp>##V3_BQLV12</stp>
        <stp>[MODL_NOW_US1.xlsx]Single Period!R227C13</stp>
        <stp>NOW US Equity</stp>
        <stp>CF_NET_CSH_PROV_BY_FINANCING_ACT/1M</stp>
        <stp>FPR=2021Y</stp>
        <stp>FPT=A</stp>
        <stp>FA_ACT_EST_DATA=E, EST_SOURCE=KEY</stp>
        <stp>ACT_EST_MAPPING=PRECISE</stp>
        <stp>FS=MRC</stp>
        <stp>CURRENCY=USD</stp>
        <stp>XLFILL=b</stp>
        <tr r="M227" s="2"/>
      </tp>
      <tp t="s">
        <v>#N/A Requesting Data...</v>
        <stp/>
        <stp>##V3_BQLV12</stp>
        <stp>[MODL_NOW_US1.xlsx]Single Period!R218C21</stp>
        <stp>NOW US Equity</stp>
        <stp>CF_ACQUISITION_OF_INTANG_ASSETS/1M</stp>
        <stp>FPR=2021Y</stp>
        <stp>FPT=A</stp>
        <stp>FA_ACT_EST_DATA=E, EST_SOURCE=JMP</stp>
        <stp>ACT_EST_MAPPING=PRECISE</stp>
        <stp>FS=MRC</stp>
        <stp>CURRENCY=USD</stp>
        <stp>XLFILL=b</stp>
        <tr r="U218" s="2"/>
      </tp>
      <tp t="s">
        <v>#N/A Requesting Data...</v>
        <stp/>
        <stp>##V3_BQLV12</stp>
        <stp>[MODL_NOW_US1.xlsx]Single Period!R63C23</stp>
        <stp>SEG0000230975 Segment</stp>
        <stp>CB_IS_GROSS_PROFIT/1M</stp>
        <stp>FPR=2021Y</stp>
        <stp>FPT=A</stp>
        <stp>FA_ACT_EST_DATA=E, EST_SOURCE=ZXS</stp>
        <stp>ACT_EST_MAPPING=PRECISE</stp>
        <stp>FS=MRC</stp>
        <stp>CURRENCY=USD</stp>
        <stp>XLFILL=b</stp>
        <tr r="W63" s="2"/>
      </tp>
      <tp t="s">
        <v>#N/A Requesting Data...</v>
        <stp/>
        <stp>##V3_BQLV12</stp>
        <stp>[MODL_NOW_US1.xlsx]Single Period!R121C28</stp>
        <stp>NOW US Equity</stp>
        <stp>CB_IS_GENL_AND_ADMIN_EXPN/1M</stp>
        <stp>FPR=2021Y</stp>
        <stp>FPT=A</stp>
        <stp>FA_ACT_EST_DATA=E, EST_SOURCE=EVR</stp>
        <stp>ACT_EST_MAPPING=PRECISE</stp>
        <stp>FS=MRC</stp>
        <stp>CURRENCY=USD</stp>
        <stp>XLFILL=b</stp>
        <tr r="AB121" s="2"/>
      </tp>
      <tp t="s">
        <v>#N/A Requesting Data...</v>
        <stp/>
        <stp>##V3_BQLV12</stp>
        <stp>[MODL_NOW_US1.xlsx]Single Period!R116C28</stp>
        <stp>NOW US Equity</stp>
        <stp>GROSS_MARGIN</stp>
        <stp>FPR=2021Y</stp>
        <stp>FPT=A</stp>
        <stp>FA_ACT_EST_DATA=E, EST_SOURCE=EVR</stp>
        <stp>ACT_EST_MAPPING=PRECISE</stp>
        <stp>FS=MRC</stp>
        <stp>CURRENCY=USD</stp>
        <stp>XLFILL=b</stp>
        <tr r="AB116" s="2"/>
      </tp>
      <tp t="s">
        <v>#N/A Requesting Data...</v>
        <stp/>
        <stp>##V3_BQLV12</stp>
        <stp>[MODL_NOW_US1.xlsx]Single Period!R239C21</stp>
        <stp>NOW US Equity</stp>
        <stp>CFO_TO_SALES</stp>
        <stp>FPR=2021Y</stp>
        <stp>FPT=A</stp>
        <stp>FA_ACT_EST_DATA=E, EST_SOURCE=JMP</stp>
        <stp>ACT_EST_MAPPING=PRECISE</stp>
        <stp>FS=MRC</stp>
        <stp>CURRENCY=USD</stp>
        <stp>XLFILL=b</stp>
        <tr r="U239" s="2"/>
      </tp>
      <tp t="s">
        <v>#N/A Requesting Data...</v>
        <stp/>
        <stp>##V3_BQLV12</stp>
        <stp>[MODL_NOW_US1.xlsx]Single Period!R81C19</stp>
        <stp>NOW US Equity</stp>
        <stp>IS_ADJ_SALES_YOY_CHG_PCT_CC</stp>
        <stp>FPR=2021Y</stp>
        <stp>FPT=A</stp>
        <stp>FA_ACT_EST_DATA=E, EST_SOURCE=MSV</stp>
        <stp>ACT_EST_MAPPING=PRECISE</stp>
        <stp>FS=MRC</stp>
        <stp>CURRENCY=USD</stp>
        <stp>XLFILL=b</stp>
        <tr r="S81" s="2"/>
      </tp>
      <tp t="s">
        <v>#N/A Requesting Data...</v>
        <stp/>
        <stp>##V3_BQLV12</stp>
        <stp>[MODL_NOW_US1.xlsx]Single Period!R163C23</stp>
        <stp>NOW US Equity</stp>
        <stp>CB_BS_PP_AND_E_NET/1M</stp>
        <stp>FPR=2021Y</stp>
        <stp>FPT=A</stp>
        <stp>FA_ACT_EST_DATA=E, EST_SOURCE=ZXS</stp>
        <stp>ACT_EST_MAPPING=PRECISE</stp>
        <stp>FS=MRC</stp>
        <stp>CURRENCY=USD</stp>
        <stp>XLFILL=b</stp>
        <tr r="W163" s="2"/>
      </tp>
      <tp t="s">
        <v>#N/A Requesting Data...</v>
        <stp/>
        <stp>##V3_BQLV12</stp>
        <stp>[MODL_NOW_US1.xlsx]Single Period!R127C10</stp>
        <stp>NOW US Equity</stp>
        <stp>PRETAX_INC/1M</stp>
        <stp>FPR=2021Y</stp>
        <stp>FPT=A</stp>
        <stp>FA_ACT_EST_DATA=E, EST_SOURCE=CMPY</stp>
        <stp>ACT_EST_MAPPING=PRECISE</stp>
        <stp>FS=MRC</stp>
        <stp>CURRENCY=USD</stp>
        <stp>XLFILL=b</stp>
        <tr r="J127" s="2"/>
      </tp>
      <tp t="s">
        <v>#N/A Requesting Data...</v>
        <stp/>
        <stp>##V3_BQLV12</stp>
        <stp>[MODL_NOW_US1.xlsx]Single Period!R127C23</stp>
        <stp>NOW US Equity</stp>
        <stp>PRETAX_INC/1M</stp>
        <stp>FPR=2021Y</stp>
        <stp>FPT=A</stp>
        <stp>FA_ACT_EST_DATA=E, EST_SOURCE=ZXS</stp>
        <stp>ACT_EST_MAPPING=PRECISE</stp>
        <stp>FS=MRC</stp>
        <stp>CURRENCY=USD</stp>
        <stp>XLFILL=b</stp>
        <tr r="W127" s="2"/>
      </tp>
      <tp t="s">
        <v>#N/A Requesting Data...</v>
        <stp/>
        <stp>##V3_BQLV12</stp>
        <stp>[MODL_NOW_US1.xlsx]Single Period!R111C45</stp>
        <stp>NOW US Equity</stp>
        <stp>IS_COGS_TO_FE_AND_PP_AND_G/1M</stp>
        <stp>FPR=2021Y</stp>
        <stp>FPT=A</stp>
        <stp>FA_ACT_EST_DATA=E, EST_SOURCE=PJE</stp>
        <stp>ACT_EST_MAPPING=PRECISE</stp>
        <stp>FS=MRC</stp>
        <stp>CURRENCY=USD</stp>
        <stp>XLFILL=b</stp>
        <tr r="AS111" s="2"/>
      </tp>
      <tp t="s">
        <v>#N/A Requesting Data...</v>
        <stp/>
        <stp>##V3_BQLV12</stp>
        <stp>[MODL_NOW_US1.xlsx]Single Period!R212C34</stp>
        <stp>NOW US Equity</stp>
        <stp>CF_CHANGE_IN_ACCRUD_EXPNSS/1M</stp>
        <stp>FPR=2021Y</stp>
        <stp>FPT=A</stp>
        <stp>FA_ACT_EST_DATA=E, EST_SOURCE=PSG</stp>
        <stp>ACT_EST_MAPPING=PRECISE</stp>
        <stp>FS=MRC</stp>
        <stp>CURRENCY=USD</stp>
        <stp>XLFILL=b</stp>
        <tr r="AH212" s="2"/>
      </tp>
      <tp t="s">
        <v>#N/A Requesting Data...</v>
        <stp/>
        <stp>##V3_BQLV12</stp>
        <stp>[MODL_NOW_US1.xlsx]Single Period!R149C47</stp>
        <stp>NOW US Equity</stp>
        <stp>IS_AMORT_ACQD_INTANG_GEN_AND_ADMIN/1M</stp>
        <stp>FPR=2021Y</stp>
        <stp>FPT=A</stp>
        <stp>FA_ACT_EST_DATA=E, EST_SOURCE=SUM</stp>
        <stp>ACT_EST_MAPPING=PRECISE</stp>
        <stp>FS=MRC</stp>
        <stp>CURRENCY=USD</stp>
        <stp>XLFILL=b</stp>
        <tr r="AU149" s="2"/>
      </tp>
      <tp t="s">
        <v>#N/A Requesting Data...</v>
        <stp/>
        <stp>##V3_BQLV12</stp>
        <stp>[MODL_NOW_US1.xlsx]Single Period!R144C22</stp>
        <stp>NOW US Equity</stp>
        <stp>IS_SBC_ATT_TO_GENL_AND_ADMIN_PRETX/1M</stp>
        <stp>FPR=2021Y</stp>
        <stp>FPT=A</stp>
        <stp>FA_ACT_EST_DATA=E, EST_SOURCE=NDH</stp>
        <stp>ACT_EST_MAPPING=PRECISE</stp>
        <stp>FS=MRC</stp>
        <stp>CURRENCY=USD</stp>
        <stp>XLFILL=b</stp>
        <tr r="V144" s="2"/>
      </tp>
      <tp t="s">
        <v>#N/A Requesting Data...</v>
        <stp/>
        <stp>##V3_BQLV12</stp>
        <stp>[MODL_NOW_US1.xlsx]Single Period!R91C12</stp>
        <stp>NOW US Equity</stp>
        <stp>ADJ_R_AND_D_TO_SALES</stp>
        <stp>FPR=2021Y</stp>
        <stp>FPT=A</stp>
        <stp>FA_ACT_EST_DATA=E, EST_SOURCE=WBL</stp>
        <stp>ACT_EST_MAPPING=PRECISE</stp>
        <stp>FS=MRC</stp>
        <stp>CURRENCY=USD</stp>
        <stp>XLFILL=b</stp>
        <tr r="L91" s="2"/>
      </tp>
      <tp t="s">
        <v>#N/A Requesting Data...</v>
        <stp/>
        <stp>##V3_BQLV12</stp>
        <stp>[MODL_NOW_US1.xlsx]Single Period!R91C32</stp>
        <stp>NOW US Equity</stp>
        <stp>ADJ_R_AND_D_TO_SALES</stp>
        <stp>FPR=2021Y</stp>
        <stp>FPT=A</stp>
        <stp>FA_ACT_EST_DATA=E, EST_SOURCE=FBC</stp>
        <stp>ACT_EST_MAPPING=PRECISE</stp>
        <stp>FS=MRC</stp>
        <stp>CURRENCY=USD</stp>
        <stp>XLFILL=b</stp>
        <tr r="AF91" s="2"/>
      </tp>
      <tp t="s">
        <v>#N/A Requesting Data...</v>
        <stp/>
        <stp>##V3_BQLV12</stp>
        <stp>[MODL_NOW_US1.xlsx]Single Period!R212C35</stp>
        <stp>NOW US Equity</stp>
        <stp>CF_CHANGE_IN_ACCRUD_EXPNSS/1M</stp>
        <stp>FPR=2021Y</stp>
        <stp>FPT=A</stp>
        <stp>FA_ACT_EST_DATA=E, EST_SOURCE=MSR</stp>
        <stp>ACT_EST_MAPPING=PRECISE</stp>
        <stp>FS=MRC</stp>
        <stp>CURRENCY=USD</stp>
        <stp>XLFILL=b</stp>
        <tr r="AI212" s="2"/>
      </tp>
      <tp t="s">
        <v>#N/A Requesting Data...</v>
        <stp/>
        <stp>##V3_BQLV12</stp>
        <stp>[MODL_NOW_US1.xlsx]Single Period!R212C31</stp>
        <stp>NOW US Equity</stp>
        <stp>CF_CHANGE_IN_ACCRUD_EXPNSS/1M</stp>
        <stp>FPR=2021Y</stp>
        <stp>FPT=A</stp>
        <stp>FA_ACT_EST_DATA=E, EST_SOURCE=GSR</stp>
        <stp>ACT_EST_MAPPING=PRECISE</stp>
        <stp>FS=MRC</stp>
        <stp>CURRENCY=USD</stp>
        <stp>XLFILL=b</stp>
        <tr r="AE212" s="2"/>
      </tp>
      <tp t="s">
        <v>#N/A Requesting Data...</v>
        <stp/>
        <stp>##V3_BQLV12</stp>
        <stp>[MODL_NOW_US1.xlsx]Single Period!R28C24</stp>
        <stp>NOW US Equity</stp>
        <stp>ADJ_OPERATING_MARGIN</stp>
        <stp>FPR=2021Y</stp>
        <stp>FPT=A</stp>
        <stp>FA_ACT_EST_DATA=E, EST_SOURCE=CWN</stp>
        <stp>ACT_EST_MAPPING=PRECISE</stp>
        <stp>FS=MRC</stp>
        <stp>CURRENCY=USD</stp>
        <stp>XLFILL=b</stp>
        <tr r="X28" s="2"/>
      </tp>
      <tp t="s">
        <v>#N/A Requesting Data...</v>
        <stp/>
        <stp>##V3_BQLV12</stp>
        <stp>[MODL_NOW_US1.xlsx]Single Period!R212C19</stp>
        <stp>NOW US Equity</stp>
        <stp>CF_CHANGE_IN_ACCRUD_EXPNSS/1M</stp>
        <stp>FPR=2021Y</stp>
        <stp>FPT=A</stp>
        <stp>FA_ACT_EST_DATA=E, EST_SOURCE=MSV</stp>
        <stp>ACT_EST_MAPPING=PRECISE</stp>
        <stp>FS=MRC</stp>
        <stp>CURRENCY=USD</stp>
        <stp>XLFILL=b</stp>
        <tr r="S212" s="2"/>
      </tp>
      <tp t="s">
        <v>#N/A Requesting Data...</v>
        <stp/>
        <stp>##V3_BQLV12</stp>
        <stp>[MODL_NOW_US1.xlsx]Single Period!R183C5</stp>
        <stp>NOW US Equity</stp>
        <stp>BS_TOTAL_LIABILITIES/1M</stp>
        <stp>FPR=2021Y</stp>
        <stp>FPT=A</stp>
        <stp>FA_ACT_EST_DATA=E</stp>
        <stp>ACT_EST_MAPPING=PRECISE</stp>
        <stp>FS=MRC</stp>
        <stp>CURRENCY=USD</stp>
        <stp>XLFILL=b</stp>
        <tr r="E183" s="2"/>
      </tp>
      <tp t="s">
        <v>#N/A Requesting Data...</v>
        <stp/>
        <stp>##V3_BQLV12</stp>
        <stp>[MODL_NOW_US1.xlsx]Single Period!R157C37</stp>
        <stp>NOW US Equity</stp>
        <stp>BS_MKT_SEC_OTHER_ST_INVEST/1M</stp>
        <stp>FPR=2021Y</stp>
        <stp>FPT=A</stp>
        <stp>FA_ACT_EST_DATA=E, EST_SOURCE=TTC</stp>
        <stp>ACT_EST_MAPPING=PRECISE</stp>
        <stp>FS=MRC</stp>
        <stp>CURRENCY=USD</stp>
        <stp>XLFILL=b</stp>
        <tr r="AK157" s="2"/>
      </tp>
      <tp t="s">
        <v>#N/A Requesting Data...</v>
        <stp/>
        <stp>##V3_BQLV12</stp>
        <stp>[MODL_NOW_US1.xlsx]Single Period!R28C41</stp>
        <stp>NOW US Equity</stp>
        <stp>ADJ_OPERATING_MARGIN</stp>
        <stp>FPR=2021Y</stp>
        <stp>FPT=A</stp>
        <stp>FA_ACT_EST_DATA=E, EST_SOURCE=ARG</stp>
        <stp>ACT_EST_MAPPING=PRECISE</stp>
        <stp>FS=MRC</stp>
        <stp>CURRENCY=USD</stp>
        <stp>XLFILL=b</stp>
        <tr r="AO28" s="2"/>
      </tp>
      <tp t="s">
        <v>#N/A Requesting Data...</v>
        <stp/>
        <stp>##V3_BQLV12</stp>
        <stp>[MODL_NOW_US1.xlsx]Single Period!R157C42</stp>
        <stp>NOW US Equity</stp>
        <stp>BS_MKT_SEC_OTHER_ST_INVEST/1M</stp>
        <stp>FPR=2021Y</stp>
        <stp>FPT=A</stp>
        <stp>FA_ACT_EST_DATA=E, EST_SOURCE=CTI</stp>
        <stp>ACT_EST_MAPPING=PRECISE</stp>
        <stp>FS=MRC</stp>
        <stp>CURRENCY=USD</stp>
        <stp>XLFILL=b</stp>
        <tr r="AP157" s="2"/>
      </tp>
      <tp t="s">
        <v>#N/A Requesting Data...</v>
        <stp/>
        <stp>##V3_BQLV12</stp>
        <stp>[MODL_NOW_US1.xlsx]Single Period!R28C37</stp>
        <stp>NOW US Equity</stp>
        <stp>ADJ_OPERATING_MARGIN</stp>
        <stp>FPR=2021Y</stp>
        <stp>FPT=A</stp>
        <stp>FA_ACT_EST_DATA=E, EST_SOURCE=TTC</stp>
        <stp>ACT_EST_MAPPING=PRECISE</stp>
        <stp>FS=MRC</stp>
        <stp>CURRENCY=USD</stp>
        <stp>XLFILL=b</stp>
        <tr r="AK28" s="2"/>
      </tp>
      <tp t="s">
        <v>#N/A Requesting Data...</v>
        <stp/>
        <stp>##V3_BQLV12</stp>
        <stp>[MODL_NOW_US1.xlsx]Single Period!R28C39</stp>
        <stp>NOW US Equity</stp>
        <stp>ADJ_OPERATING_MARGIN</stp>
        <stp>FPR=2021Y</stp>
        <stp>FPT=A</stp>
        <stp>FA_ACT_EST_DATA=E, EST_SOURCE=DZB</stp>
        <stp>ACT_EST_MAPPING=PRECISE</stp>
        <stp>FS=MRC</stp>
        <stp>CURRENCY=USD</stp>
        <stp>XLFILL=b</stp>
        <tr r="AM28" s="2"/>
      </tp>
      <tp t="s">
        <v>#N/A Requesting Data...</v>
        <stp/>
        <stp>##V3_BQLV12</stp>
        <stp>[MODL_NOW_US1.xlsx]Single Period!R208C28</stp>
        <stp>NOW US Equity</stp>
        <stp>CF_CHANGE_IN_OTHR_ASSTS/1M</stp>
        <stp>FPR=2021Y</stp>
        <stp>FPT=A</stp>
        <stp>FA_ACT_EST_DATA=E, EST_SOURCE=EVR</stp>
        <stp>ACT_EST_MAPPING=PRECISE</stp>
        <stp>FS=MRC</stp>
        <stp>CURRENCY=USD</stp>
        <stp>XLFILL=b</stp>
        <tr r="AB208" s="2"/>
      </tp>
      <tp t="s">
        <v>#N/A Requesting Data...</v>
        <stp/>
        <stp>##V3_BQLV12</stp>
        <stp>[MODL_NOW_US1.xlsx]Single Period!R138C22</stp>
        <stp>NOW US Equity</stp>
        <stp>SBC_NON_GAAP_TO_SALES</stp>
        <stp>FPR=2021Y</stp>
        <stp>FPT=A</stp>
        <stp>FA_ACT_EST_DATA=E, EST_SOURCE=NDH</stp>
        <stp>ACT_EST_MAPPING=PRECISE</stp>
        <stp>FS=MRC</stp>
        <stp>CURRENCY=USD</stp>
        <stp>XLFILL=b</stp>
        <tr r="V138" s="2"/>
      </tp>
      <tp t="s">
        <v>#N/A Requesting Data...</v>
        <stp/>
        <stp>##V3_BQLV12</stp>
        <stp>[MODL_NOW_US1.xlsx]Single Period!R236C23</stp>
        <stp>NOW US Equity</stp>
        <stp>FREE_CASH_FLOW_MARGIN</stp>
        <stp>FPR=2021Y</stp>
        <stp>FPT=A</stp>
        <stp>FA_ACT_EST_DATA=E, EST_SOURCE=ZXS</stp>
        <stp>ACT_EST_MAPPING=PRECISE</stp>
        <stp>FS=MRC</stp>
        <stp>CURRENCY=USD</stp>
        <stp>XLFILL=b</stp>
        <tr r="W236" s="2"/>
      </tp>
      <tp t="s">
        <v>#N/A Requesting Data...</v>
        <stp/>
        <stp>##V3_BQLV12</stp>
        <stp>[MODL_NOW_US1.xlsx]Single Period!R47C22</stp>
        <stp>SEG0000230986 Segment</stp>
        <stp>CB_ADJ_BILLINGS_AMT/1M</stp>
        <stp>FPR=2021Y</stp>
        <stp>FPT=A</stp>
        <stp>FA_ACT_EST_DATA=E, EST_SOURCE=NDH</stp>
        <stp>ACT_EST_MAPPING=PRECISE</stp>
        <stp>FS=MRC</stp>
        <stp>CURRENCY=USD</stp>
        <stp>XLFILL=b</stp>
        <tr r="V47" s="2"/>
      </tp>
      <tp t="s">
        <v>#N/A Requesting Data...</v>
        <stp/>
        <stp>##V3_BQLV12</stp>
        <stp>[MODL_NOW_US1.xlsx]Single Period!R117C45</stp>
        <stp>NOW US Equity</stp>
        <stp>IS_TOT_OPER_EXP/1M</stp>
        <stp>FPR=2021Y</stp>
        <stp>FPT=A</stp>
        <stp>FA_ACT_EST_DATA=E, EST_SOURCE=PJE</stp>
        <stp>ACT_EST_MAPPING=PRECISE</stp>
        <stp>FS=MRC</stp>
        <stp>CURRENCY=USD</stp>
        <stp>XLFILL=b</stp>
        <tr r="AS117" s="2"/>
      </tp>
      <tp t="s">
        <v>#N/A Requesting Data...</v>
        <stp/>
        <stp>##V3_BQLV12</stp>
        <stp>[MODL_NOW_US1.xlsx]Single Period!R219C13</stp>
        <stp>NOW US Equity</stp>
        <stp>CF_PURCHSS_OF_INVSTMNTS/1M</stp>
        <stp>FPR=2021Y</stp>
        <stp>FPT=A</stp>
        <stp>FA_ACT_EST_DATA=E, EST_SOURCE=KEY</stp>
        <stp>ACT_EST_MAPPING=PRECISE</stp>
        <stp>FS=MRC</stp>
        <stp>CURRENCY=USD</stp>
        <stp>XLFILL=b</stp>
        <tr r="M219" s="2"/>
      </tp>
      <tp t="s">
        <v>#N/A Requesting Data...</v>
        <stp/>
        <stp>##V3_BQLV12</stp>
        <stp>[MODL_NOW_US1.xlsx]Single Period!R219C36</stp>
        <stp>NOW US Equity</stp>
        <stp>CF_PURCHSS_OF_INVSTMNTS/1M</stp>
        <stp>FPR=2021Y</stp>
        <stp>FPT=A</stp>
        <stp>FA_ACT_EST_DATA=E, EST_SOURCE=JEF</stp>
        <stp>ACT_EST_MAPPING=PRECISE</stp>
        <stp>FS=MRC</stp>
        <stp>CURRENCY=USD</stp>
        <stp>XLFILL=b</stp>
        <tr r="AJ219" s="2"/>
      </tp>
      <tp t="s">
        <v>#N/A Requesting Data...</v>
        <stp/>
        <stp>##V3_BQLV12</stp>
        <stp>[MODL_NOW_US1.xlsx]Single Period!R14C7</stp>
        <stp>SEG0000230975 Segment</stp>
        <stp>CONTRIBUTOR_STATS(SALES_REV_TURN, MAX)/1M</stp>
        <stp>FPR=2021Y</stp>
        <stp>FPT=A</stp>
        <stp>FA_ACT_EST_DATA=E</stp>
        <stp>ACT_EST_MAPPING=PRECISE</stp>
        <stp>FS=MRC</stp>
        <stp>CURRENCY=USD</stp>
        <stp>XLFILL=b</stp>
        <tr r="G14" s="2"/>
      </tp>
      <tp t="s">
        <v>#N/A Requesting Data...</v>
        <stp/>
        <stp>##V3_BQLV12</stp>
        <stp>[MODL_NOW_US1.xlsx]Single Period!R14C6</stp>
        <stp>SEG0000230975 Segment</stp>
        <stp>CONTRIBUTOR_STATS(SALES_REV_TURN, MIN)/1M</stp>
        <stp>FPR=2021Y</stp>
        <stp>FPT=A</stp>
        <stp>FA_ACT_EST_DATA=E</stp>
        <stp>ACT_EST_MAPPING=PRECISE</stp>
        <stp>FS=MRC</stp>
        <stp>CURRENCY=USD</stp>
        <stp>XLFILL=b</stp>
        <tr r="F14" s="2"/>
      </tp>
      <tp t="s">
        <v>#N/A Requesting Data...</v>
        <stp/>
        <stp>##V3_BQLV12</stp>
        <stp>[MODL_NOW_US1.xlsx]Single Period!R202C46</stp>
        <stp>NOW US Equity</stp>
        <stp>CF_AMORTIZATN_OF_DEFRRD_COMPNSTN/1M</stp>
        <stp>FPR=2021Y</stp>
        <stp>FPT=A</stp>
        <stp>FA_ACT_EST_DATA=E, EST_SOURCE=MZS</stp>
        <stp>ACT_EST_MAPPING=PRECISE</stp>
        <stp>FS=MRC</stp>
        <stp>CURRENCY=USD</stp>
        <stp>XLFILL=b</stp>
        <tr r="AT202" s="2"/>
      </tp>
      <tp t="s">
        <v>#N/A Requesting Data...</v>
        <stp/>
        <stp>##V3_BQLV12</stp>
        <stp>[MODL_NOW_US1.xlsx]Single Period!R25C6</stp>
        <stp>NOW US Equity</stp>
        <stp>CONTRIBUTOR_STATS(IS_COMP_GROSS_MARGIN_PERCENTAGE, MIN)</stp>
        <stp>FPR=2021Y</stp>
        <stp>FPT=A</stp>
        <stp>FA_ACT_EST_DATA=E</stp>
        <stp>ACT_EST_MAPPING=PRECISE</stp>
        <stp>FS=MRC</stp>
        <stp>CURRENCY=USD</stp>
        <stp>XLFILL=b</stp>
        <tr r="F25" s="2"/>
      </tp>
      <tp t="s">
        <v>#N/A Requesting Data...</v>
        <stp/>
        <stp>##V3_BQLV12</stp>
        <stp>[MODL_NOW_US1.xlsx]Single Period!R177C23</stp>
        <stp>NOW US Equity</stp>
        <stp>BS_ST_CPTL_LEA_AND_OP_LEA_LIABS/1M</stp>
        <stp>FPR=2021Y</stp>
        <stp>FPT=A</stp>
        <stp>FA_ACT_EST_DATA=E, EST_SOURCE=ZXS</stp>
        <stp>ACT_EST_MAPPING=PRECISE</stp>
        <stp>FS=MRC</stp>
        <stp>CURRENCY=USD</stp>
        <stp>XLFILL=b</stp>
        <tr r="W177" s="2"/>
      </tp>
      <tp t="s">
        <v>#N/A Requesting Data...</v>
        <stp/>
        <stp>##V3_BQLV12</stp>
        <stp>[MODL_NOW_US1.xlsx]Single Period!R85C6</stp>
        <stp>NOW US Equity</stp>
        <stp>CONTRIBUTOR_STATS(IS_COMP_GROSS_MARGIN_PERCENTAGE, MIN)</stp>
        <stp>FPR=2021Y</stp>
        <stp>FPT=A</stp>
        <stp>FA_ACT_EST_DATA=E</stp>
        <stp>ACT_EST_MAPPING=PRECISE</stp>
        <stp>FS=MRC</stp>
        <stp>CURRENCY=USD</stp>
        <stp>XLFILL=b</stp>
        <tr r="F85" s="2"/>
      </tp>
      <tp t="s">
        <v>#N/A Requesting Data...</v>
        <stp/>
        <stp>##V3_BQLV12</stp>
        <stp>[MODL_NOW_US1.xlsx]Single Period!R227C49</stp>
        <stp>NOW US Equity</stp>
        <stp>CF_NET_CSH_PROV_BY_FINANCING_ACT/1M</stp>
        <stp>FPR=2021Y</stp>
        <stp>FPT=A</stp>
        <stp>FA_ACT_EST_DATA=E, EST_SOURCE=SCB</stp>
        <stp>ACT_EST_MAPPING=PRECISE</stp>
        <stp>FS=MRC</stp>
        <stp>CURRENCY=USD</stp>
        <stp>XLFILL=b</stp>
        <tr r="AW227" s="2"/>
      </tp>
      <tp t="s">
        <v>#N/A Requesting Data...</v>
        <stp/>
        <stp>##V3_BQLV12</stp>
        <stp>[MODL_NOW_US1.xlsx]Single Period!R155C45</stp>
        <stp>NOW US Equity</stp>
        <stp>BS_CASH_CASH_EQUIVALENTS_AND_STI/1M</stp>
        <stp>FPR=2021Y</stp>
        <stp>FPT=A</stp>
        <stp>FA_ACT_EST_DATA=E, EST_SOURCE=PJE</stp>
        <stp>ACT_EST_MAPPING=PRECISE</stp>
        <stp>FS=MRC</stp>
        <stp>CURRENCY=USD</stp>
        <stp>XLFILL=b</stp>
        <tr r="AS155" s="2"/>
      </tp>
      <tp t="s">
        <v>#N/A Requesting Data...</v>
        <stp/>
        <stp>##V3_BQLV12</stp>
        <stp>[MODL_NOW_US1.xlsx]Single Period!R213C31</stp>
        <stp>NOW US Equity</stp>
        <stp>CF_CASH_FROM_OPER/1M</stp>
        <stp>FPR=2021Y</stp>
        <stp>FPT=A</stp>
        <stp>FA_ACT_EST_DATA=E, EST_SOURCE=GSR</stp>
        <stp>ACT_EST_MAPPING=PRECISE</stp>
        <stp>FS=MRC</stp>
        <stp>CURRENCY=USD</stp>
        <stp>XLFILL=b</stp>
        <tr r="AE213" s="2"/>
      </tp>
      <tp t="s">
        <v>#N/A Requesting Data...</v>
        <stp/>
        <stp>##V3_BQLV12</stp>
        <stp>[MODL_NOW_US1.xlsx]Single Period!R148C49</stp>
        <stp>NOW US Equity</stp>
        <stp>IS_AMORT_ACQD_INTANGIBLES_R_AND_D/1M</stp>
        <stp>FPR=2021Y</stp>
        <stp>FPT=A</stp>
        <stp>FA_ACT_EST_DATA=E, EST_SOURCE=SCB</stp>
        <stp>ACT_EST_MAPPING=PRECISE</stp>
        <stp>FS=MRC</stp>
        <stp>CURRENCY=USD</stp>
        <stp>XLFILL=b</stp>
        <tr r="AW148" s="2"/>
      </tp>
      <tp t="s">
        <v>#N/A Requesting Data...</v>
        <stp/>
        <stp>##V3_BQLV12</stp>
        <stp>[MODL_NOW_US1.xlsx]Single Period!R25C7</stp>
        <stp>NOW US Equity</stp>
        <stp>CONTRIBUTOR_STATS(IS_COMP_GROSS_MARGIN_PERCENTAGE, MAX)</stp>
        <stp>FPR=2021Y</stp>
        <stp>FPT=A</stp>
        <stp>FA_ACT_EST_DATA=E</stp>
        <stp>ACT_EST_MAPPING=PRECISE</stp>
        <stp>FS=MRC</stp>
        <stp>CURRENCY=USD</stp>
        <stp>XLFILL=b</stp>
        <tr r="G25" s="2"/>
      </tp>
      <tp t="s">
        <v>#N/A Requesting Data...</v>
        <stp/>
        <stp>##V3_BQLV12</stp>
        <stp>[MODL_NOW_US1.xlsx]Single Period!R85C7</stp>
        <stp>NOW US Equity</stp>
        <stp>CONTRIBUTOR_STATS(IS_COMP_GROSS_MARGIN_PERCENTAGE, MAX)</stp>
        <stp>FPR=2021Y</stp>
        <stp>FPT=A</stp>
        <stp>FA_ACT_EST_DATA=E</stp>
        <stp>ACT_EST_MAPPING=PRECISE</stp>
        <stp>FS=MRC</stp>
        <stp>CURRENCY=USD</stp>
        <stp>XLFILL=b</stp>
        <tr r="G85" s="2"/>
      </tp>
      <tp t="s">
        <v>#N/A Requesting Data...</v>
        <stp/>
        <stp>##V3_BQLV12</stp>
        <stp>[MODL_NOW_US1.xlsx]Single Period!R175C19</stp>
        <stp>NOW US Equity</stp>
        <stp>BS_ACCRUD_EXPNSS_AND_OTHR/1M</stp>
        <stp>FPR=2021Y</stp>
        <stp>FPT=A</stp>
        <stp>FA_ACT_EST_DATA=E, EST_SOURCE=MSV</stp>
        <stp>ACT_EST_MAPPING=PRECISE</stp>
        <stp>FS=MRC</stp>
        <stp>CURRENCY=USD</stp>
        <stp>XLFILL=b</stp>
        <tr r="S175" s="2"/>
      </tp>
      <tp t="s">
        <v>#N/A Requesting Data...</v>
        <stp/>
        <stp>##V3_BQLV12</stp>
        <stp>[MODL_NOW_US1.xlsx]Single Period!R216C38</stp>
        <stp>NOW US Equity</stp>
        <stp>CF_PURCHASE_OF_FIXED_PROD_ASSETS/1M</stp>
        <stp>FPR=2021Y</stp>
        <stp>FPT=A</stp>
        <stp>FA_ACT_EST_DATA=E, EST_SOURCE=RWB</stp>
        <stp>ACT_EST_MAPPING=PRECISE</stp>
        <stp>FS=MRC</stp>
        <stp>CURRENCY=USD</stp>
        <stp>XLFILL=b</stp>
        <tr r="AL216" s="2"/>
      </tp>
      <tp t="s">
        <v>#N/A Requesting Data...</v>
        <stp/>
        <stp>##V3_BQLV12</stp>
        <stp>[MODL_NOW_US1.xlsx]Single Period!R107C46</stp>
        <stp>NOW US Equity</stp>
        <stp>CB_IS_ADJ_DILUTED_AVG_SHS/1M</stp>
        <stp>FPR=2021Y</stp>
        <stp>FPT=A</stp>
        <stp>FA_ACT_EST_DATA=E, EST_SOURCE=MZS</stp>
        <stp>ACT_EST_MAPPING=PRECISE</stp>
        <stp>FS=MRC</stp>
        <stp>CURRENCY=USD</stp>
        <stp>XLFILL=b</stp>
        <tr r="AT107" s="2"/>
      </tp>
      <tp t="s">
        <v>#N/A Requesting Data...</v>
        <stp/>
        <stp>##V3_BQLV12</stp>
        <stp>[MODL_NOW_US1.xlsx]Single Period!R104C17</stp>
        <stp>NOW US Equity</stp>
        <stp>IS_COMP_NET_INC_EXCL_STOCK_COMP/1M</stp>
        <stp>FPR=2021Y</stp>
        <stp>FPT=A</stp>
        <stp>FA_ACT_EST_DATA=E, EST_SOURCE=RHR</stp>
        <stp>ACT_EST_MAPPING=PRECISE</stp>
        <stp>FS=MRC</stp>
        <stp>CURRENCY=USD</stp>
        <stp>XLFILL=b</stp>
        <tr r="Q104" s="2"/>
      </tp>
      <tp t="s">
        <v>#N/A Requesting Data...</v>
        <stp/>
        <stp>##V3_BQLV12</stp>
        <stp>[MODL_NOW_US1.xlsx]Single Period!R213C47</stp>
        <stp>NOW US Equity</stp>
        <stp>CF_CASH_FROM_OPER/1M</stp>
        <stp>FPR=2021Y</stp>
        <stp>FPT=A</stp>
        <stp>FA_ACT_EST_DATA=E, EST_SOURCE=SUM</stp>
        <stp>ACT_EST_MAPPING=PRECISE</stp>
        <stp>FS=MRC</stp>
        <stp>CURRENCY=USD</stp>
        <stp>XLFILL=b</stp>
        <tr r="AU213" s="2"/>
      </tp>
      <tp t="s">
        <v>#N/A Requesting Data...</v>
        <stp/>
        <stp>##V3_BQLV12</stp>
        <stp>[MODL_NOW_US1.xlsx]Single Period!R221C13</stp>
        <stp>NOW US Equity</stp>
        <stp>CB_CF_OTHER_INVESTING_ACTIVITIES/1M</stp>
        <stp>FPR=2021Y</stp>
        <stp>FPT=A</stp>
        <stp>FA_ACT_EST_DATA=E, EST_SOURCE=KEY</stp>
        <stp>ACT_EST_MAPPING=PRECISE</stp>
        <stp>FS=MRC</stp>
        <stp>CURRENCY=USD</stp>
        <stp>XLFILL=b</stp>
        <tr r="M221" s="2"/>
      </tp>
      <tp t="s">
        <v>#N/A Requesting Data...</v>
        <stp/>
        <stp>##V3_BQLV12</stp>
        <stp>[MODL_NOW_US1.xlsx]Single Period!R175C48</stp>
        <stp>NOW US Equity</stp>
        <stp>BS_ACCRUD_EXPNSS_AND_OTHR/1M</stp>
        <stp>FPR=2021Y</stp>
        <stp>FPT=A</stp>
        <stp>FA_ACT_EST_DATA=E, EST_SOURCE=CRC</stp>
        <stp>ACT_EST_MAPPING=PRECISE</stp>
        <stp>FS=MRC</stp>
        <stp>CURRENCY=USD</stp>
        <stp>XLFILL=b</stp>
        <tr r="AV175" s="2"/>
      </tp>
      <tp t="s">
        <v>#N/A Requesting Data...</v>
        <stp/>
        <stp>##V3_BQLV12</stp>
        <stp>[MODL_NOW_US1.xlsx]Single Period!R71C28</stp>
        <stp>SEG0000230986 Segment</stp>
        <stp>CB_IS_GROSS_PROFIT/1M</stp>
        <stp>FPR=2021Y</stp>
        <stp>FPT=A</stp>
        <stp>FA_ACT_EST_DATA=E, EST_SOURCE=EVR</stp>
        <stp>ACT_EST_MAPPING=PRECISE</stp>
        <stp>FS=MRC</stp>
        <stp>CURRENCY=USD</stp>
        <stp>XLFILL=b</stp>
        <tr r="AB71" s="2"/>
      </tp>
      <tp t="s">
        <v>#N/A Requesting Data...</v>
        <stp/>
        <stp>##V3_BQLV12</stp>
        <stp>[MODL_NOW_US1.xlsx]Single Period!R14C8</stp>
        <stp>SEG0000230975 Segment</stp>
        <stp>CONTRIBUTOR_STATS(SALES_REV_TURN, STD)/1M</stp>
        <stp>FPR=2021Y</stp>
        <stp>FPT=A</stp>
        <stp>FA_ACT_EST_DATA=E</stp>
        <stp>ACT_EST_MAPPING=PRECISE</stp>
        <stp>FS=MRC</stp>
        <stp>CURRENCY=USD</stp>
        <stp>XLFILL=b</stp>
        <tr r="H14" s="2"/>
      </tp>
      <tp t="s">
        <v>#N/A Requesting Data...</v>
        <stp/>
        <stp>##V3_BQLV12</stp>
        <stp>[MODL_NOW_US1.xlsx]Single Period!R218C18</stp>
        <stp>NOW US Equity</stp>
        <stp>CF_ACQUISITION_OF_INTANG_ASSETS/1M</stp>
        <stp>FPR=2021Y</stp>
        <stp>FPT=A</stp>
        <stp>FA_ACT_EST_DATA=E, EST_SOURCE=SNR</stp>
        <stp>ACT_EST_MAPPING=PRECISE</stp>
        <stp>FS=MRC</stp>
        <stp>CURRENCY=USD</stp>
        <stp>XLFILL=b</stp>
        <tr r="R218" s="2"/>
      </tp>
      <tp t="s">
        <v>#N/A Requesting Data...</v>
        <stp/>
        <stp>##V3_BQLV12</stp>
        <stp>[MODL_NOW_US1.xlsx]Single Period!R216C28</stp>
        <stp>NOW US Equity</stp>
        <stp>CF_PURCHASE_OF_FIXED_PROD_ASSETS/1M</stp>
        <stp>FPR=2021Y</stp>
        <stp>FPT=A</stp>
        <stp>FA_ACT_EST_DATA=E, EST_SOURCE=EVR</stp>
        <stp>ACT_EST_MAPPING=PRECISE</stp>
        <stp>FS=MRC</stp>
        <stp>CURRENCY=USD</stp>
        <stp>XLFILL=b</stp>
        <tr r="AB216" s="2"/>
      </tp>
      <tp t="s">
        <v>#N/A Requesting Data...</v>
        <stp/>
        <stp>##V3_BQLV12</stp>
        <stp>[MODL_NOW_US1.xlsx]Single Period!R218C29</stp>
        <stp>NOW US Equity</stp>
        <stp>CF_ACQUISITION_OF_INTANG_ASSETS/1M</stp>
        <stp>FPR=2021Y</stp>
        <stp>FPT=A</stp>
        <stp>FA_ACT_EST_DATA=E, EST_SOURCE=BNS</stp>
        <stp>ACT_EST_MAPPING=PRECISE</stp>
        <stp>FS=MRC</stp>
        <stp>CURRENCY=USD</stp>
        <stp>XLFILL=b</stp>
        <tr r="AC218" s="2"/>
      </tp>
      <tp t="s">
        <v>#N/A Requesting Data...</v>
        <stp/>
        <stp>##V3_BQLV12</stp>
        <stp>[MODL_NOW_US1.xlsx]Single Period!R239C17</stp>
        <stp>NOW US Equity</stp>
        <stp>CFO_TO_SALES</stp>
        <stp>FPR=2021Y</stp>
        <stp>FPT=A</stp>
        <stp>FA_ACT_EST_DATA=E, EST_SOURCE=RHR</stp>
        <stp>ACT_EST_MAPPING=PRECISE</stp>
        <stp>FS=MRC</stp>
        <stp>CURRENCY=USD</stp>
        <stp>XLFILL=b</stp>
        <tr r="Q239" s="2"/>
      </tp>
      <tp t="s">
        <v>#N/A Requesting Data...</v>
        <stp/>
        <stp>##V3_BQLV12</stp>
        <stp>[MODL_NOW_US1.xlsx]Single Period!R129C23</stp>
        <stp>NOW US Equity</stp>
        <stp>EFF_TAX_RATE</stp>
        <stp>FPR=2021Y</stp>
        <stp>FPT=A</stp>
        <stp>FA_ACT_EST_DATA=E, EST_SOURCE=ZXS</stp>
        <stp>ACT_EST_MAPPING=PRECISE</stp>
        <stp>FS=MRC</stp>
        <stp>CURRENCY=USD</stp>
        <stp>XLFILL=b</stp>
        <tr r="W129" s="2"/>
      </tp>
      <tp t="s">
        <v>#N/A Requesting Data...</v>
        <stp/>
        <stp>##V3_BQLV12</stp>
        <stp>[MODL_NOW_US1.xlsx]Single Period!R81C11</stp>
        <stp>NOW US Equity</stp>
        <stp>IS_ADJ_SALES_YOY_CHG_PCT_CC</stp>
        <stp>FPR=2021Y</stp>
        <stp>FPT=A</stp>
        <stp>FA_ACT_EST_DATA=E, EST_SOURCE=JPM</stp>
        <stp>ACT_EST_MAPPING=PRECISE</stp>
        <stp>FS=MRC</stp>
        <stp>CURRENCY=USD</stp>
        <stp>XLFILL=b</stp>
        <tr r="K81" s="2"/>
      </tp>
      <tp t="s">
        <v>#N/A Requesting Data...</v>
        <stp/>
        <stp>##V3_BQLV12</stp>
        <stp>[MODL_NOW_US1.xlsx]Single Period!R81C47</stp>
        <stp>NOW US Equity</stp>
        <stp>IS_ADJ_SALES_YOY_CHG_PCT_CC</stp>
        <stp>FPR=2021Y</stp>
        <stp>FPT=A</stp>
        <stp>FA_ACT_EST_DATA=E, EST_SOURCE=SUM</stp>
        <stp>ACT_EST_MAPPING=PRECISE</stp>
        <stp>FS=MRC</stp>
        <stp>CURRENCY=USD</stp>
        <stp>XLFILL=b</stp>
        <tr r="AU81" s="2"/>
      </tp>
      <tp t="s">
        <v>#N/A Requesting Data...</v>
        <stp/>
        <stp>##V3_BQLV12</stp>
        <stp>[MODL_NOW_US1.xlsx]Single Period!R239C45</stp>
        <stp>NOW US Equity</stp>
        <stp>CFO_TO_SALES</stp>
        <stp>FPR=2021Y</stp>
        <stp>FPT=A</stp>
        <stp>FA_ACT_EST_DATA=E, EST_SOURCE=PJE</stp>
        <stp>ACT_EST_MAPPING=PRECISE</stp>
        <stp>FS=MRC</stp>
        <stp>CURRENCY=USD</stp>
        <stp>XLFILL=b</stp>
        <tr r="AS239" s="2"/>
      </tp>
      <tp t="s">
        <v>#N/A Requesting Data...</v>
        <stp/>
        <stp>##V3_BQLV12</stp>
        <stp>[MODL_NOW_US1.xlsx]Single Period!R81C15</stp>
        <stp>NOW US Equity</stp>
        <stp>IS_ADJ_SALES_YOY_CHG_PCT_CC</stp>
        <stp>FPR=2021Y</stp>
        <stp>FPT=A</stp>
        <stp>FA_ACT_EST_DATA=E, EST_SOURCE=OPY</stp>
        <stp>ACT_EST_MAPPING=PRECISE</stp>
        <stp>FS=MRC</stp>
        <stp>CURRENCY=USD</stp>
        <stp>XLFILL=b</stp>
        <tr r="O81" s="2"/>
      </tp>
      <tp t="s">
        <v>#N/A Requesting Data...</v>
        <stp/>
        <stp>##V3_BQLV12</stp>
        <stp>[MODL_NOW_US1.xlsx]Single Period!R96C23</stp>
        <stp>NOW US Equity</stp>
        <stp>ADJ_OPERATING_MARGIN</stp>
        <stp>FPR=2021Y</stp>
        <stp>FPT=A</stp>
        <stp>FA_ACT_EST_DATA=E, EST_SOURCE=ZXS</stp>
        <stp>ACT_EST_MAPPING=PRECISE</stp>
        <stp>FS=MRC</stp>
        <stp>CURRENCY=USD</stp>
        <stp>XLFILL=b</stp>
        <tr r="W96" s="2"/>
      </tp>
      <tp t="s">
        <v>#N/A Requesting Data...</v>
        <stp/>
        <stp>##V3_BQLV12</stp>
        <stp>[MODL_NOW_US1.xlsx]Single Period!R166C16</stp>
        <stp>NOW US Equity</stp>
        <stp>BS_OTHER_INTANGIBLE_ASSETS/1M</stp>
        <stp>FPR=2021Y</stp>
        <stp>FPT=A</stp>
        <stp>FA_ACT_EST_DATA=E, EST_SOURCE=BCA</stp>
        <stp>ACT_EST_MAPPING=PRECISE</stp>
        <stp>FS=MRC</stp>
        <stp>CURRENCY=USD</stp>
        <stp>XLFILL=b</stp>
        <tr r="P166" s="2"/>
      </tp>
      <tp t="s">
        <v>#N/A Requesting Data...</v>
        <stp/>
        <stp>##V3_BQLV12</stp>
        <stp>[MODL_NOW_US1.xlsx]Single Period!R166C49</stp>
        <stp>NOW US Equity</stp>
        <stp>BS_OTHER_INTANGIBLE_ASSETS/1M</stp>
        <stp>FPR=2021Y</stp>
        <stp>FPT=A</stp>
        <stp>FA_ACT_EST_DATA=E, EST_SOURCE=SCB</stp>
        <stp>ACT_EST_MAPPING=PRECISE</stp>
        <stp>FS=MRC</stp>
        <stp>CURRENCY=USD</stp>
        <stp>XLFILL=b</stp>
        <tr r="AW166" s="2"/>
      </tp>
      <tp t="s">
        <v>#N/A Requesting Data...</v>
        <stp/>
        <stp>##V3_BQLV12</stp>
        <stp>[MODL_NOW_US1.xlsx]Single Period!R91C36</stp>
        <stp>NOW US Equity</stp>
        <stp>ADJ_R_AND_D_TO_SALES</stp>
        <stp>FPR=2021Y</stp>
        <stp>FPT=A</stp>
        <stp>FA_ACT_EST_DATA=E, EST_SOURCE=JEF</stp>
        <stp>ACT_EST_MAPPING=PRECISE</stp>
        <stp>FS=MRC</stp>
        <stp>CURRENCY=USD</stp>
        <stp>XLFILL=b</stp>
        <tr r="AJ91" s="2"/>
      </tp>
      <tp t="s">
        <v>#N/A Requesting Data...</v>
        <stp/>
        <stp>##V3_BQLV12</stp>
        <stp>[MODL_NOW_US1.xlsx]Single Period!R212C11</stp>
        <stp>NOW US Equity</stp>
        <stp>CF_CHANGE_IN_ACCRUD_EXPNSS/1M</stp>
        <stp>FPR=2021Y</stp>
        <stp>FPT=A</stp>
        <stp>FA_ACT_EST_DATA=E, EST_SOURCE=JPM</stp>
        <stp>ACT_EST_MAPPING=PRECISE</stp>
        <stp>FS=MRC</stp>
        <stp>CURRENCY=USD</stp>
        <stp>XLFILL=b</stp>
        <tr r="K212" s="2"/>
      </tp>
      <tp t="s">
        <v>#N/A Requesting Data...</v>
        <stp/>
        <stp>##V3_BQLV12</stp>
        <stp>[MODL_NOW_US1.xlsx]Single Period!R157C38</stp>
        <stp>NOW US Equity</stp>
        <stp>BS_MKT_SEC_OTHER_ST_INVEST/1M</stp>
        <stp>FPR=2021Y</stp>
        <stp>FPT=A</stp>
        <stp>FA_ACT_EST_DATA=E, EST_SOURCE=RWB</stp>
        <stp>ACT_EST_MAPPING=PRECISE</stp>
        <stp>FS=MRC</stp>
        <stp>CURRENCY=USD</stp>
        <stp>XLFILL=b</stp>
        <tr r="AL157" s="2"/>
      </tp>
      <tp t="s">
        <v>#N/A Requesting Data...</v>
        <stp/>
        <stp>##V3_BQLV12</stp>
        <stp>[MODL_NOW_US1.xlsx]Single Period!R194C48</stp>
        <stp>NOW US Equity</stp>
        <stp>CB_BS_OTHER_CURRENT_ASSETS/1M</stp>
        <stp>FPR=2021Y</stp>
        <stp>FPT=A</stp>
        <stp>FA_ACT_EST_DATA=E, EST_SOURCE=CRC</stp>
        <stp>ACT_EST_MAPPING=PRECISE</stp>
        <stp>FS=MRC</stp>
        <stp>CURRENCY=USD</stp>
        <stp>XLFILL=b</stp>
        <tr r="AV194" s="2"/>
      </tp>
      <tp t="s">
        <v>#N/A Requesting Data...</v>
        <stp/>
        <stp>##V3_BQLV12</stp>
        <stp>[MODL_NOW_US1.xlsx]Single Period!R149C28</stp>
        <stp>NOW US Equity</stp>
        <stp>IS_AMORT_ACQD_INTANG_GEN_AND_ADMIN/1M</stp>
        <stp>FPR=2021Y</stp>
        <stp>FPT=A</stp>
        <stp>FA_ACT_EST_DATA=E, EST_SOURCE=EVR</stp>
        <stp>ACT_EST_MAPPING=PRECISE</stp>
        <stp>FS=MRC</stp>
        <stp>CURRENCY=USD</stp>
        <stp>XLFILL=b</stp>
        <tr r="AB149" s="2"/>
      </tp>
      <tp t="s">
        <v>#N/A Requesting Data...</v>
        <stp/>
        <stp>##V3_BQLV12</stp>
        <stp>[MODL_NOW_US1.xlsx]Single Period!R157C24</stp>
        <stp>NOW US Equity</stp>
        <stp>BS_MKT_SEC_OTHER_ST_INVEST/1M</stp>
        <stp>FPR=2021Y</stp>
        <stp>FPT=A</stp>
        <stp>FA_ACT_EST_DATA=E, EST_SOURCE=CWN</stp>
        <stp>ACT_EST_MAPPING=PRECISE</stp>
        <stp>FS=MRC</stp>
        <stp>CURRENCY=USD</stp>
        <stp>XLFILL=b</stp>
        <tr r="X157" s="2"/>
      </tp>
      <tp t="s">
        <v>#N/A Requesting Data...</v>
        <stp/>
        <stp>##V3_BQLV12</stp>
        <stp>[MODL_NOW_US1.xlsx]Single Period!R212C15</stp>
        <stp>NOW US Equity</stp>
        <stp>CF_CHANGE_IN_ACCRUD_EXPNSS/1M</stp>
        <stp>FPR=2021Y</stp>
        <stp>FPT=A</stp>
        <stp>FA_ACT_EST_DATA=E, EST_SOURCE=OPY</stp>
        <stp>ACT_EST_MAPPING=PRECISE</stp>
        <stp>FS=MRC</stp>
        <stp>CURRENCY=USD</stp>
        <stp>XLFILL=b</stp>
        <tr r="O212" s="2"/>
      </tp>
      <tp t="s">
        <v>#N/A Requesting Data...</v>
        <stp/>
        <stp>##V3_BQLV12</stp>
        <stp>[MODL_NOW_US1.xlsx]Single Period!R157C40</stp>
        <stp>NOW US Equity</stp>
        <stp>BS_MKT_SEC_OTHER_ST_INVEST/1M</stp>
        <stp>FPR=2021Y</stp>
        <stp>FPT=A</stp>
        <stp>FA_ACT_EST_DATA=E, EST_SOURCE=DWI</stp>
        <stp>ACT_EST_MAPPING=PRECISE</stp>
        <stp>FS=MRC</stp>
        <stp>CURRENCY=USD</stp>
        <stp>XLFILL=b</stp>
        <tr r="AN157" s="2"/>
      </tp>
      <tp t="s">
        <v>#N/A Requesting Data...</v>
        <stp/>
        <stp>##V3_BQLV12</stp>
        <stp>[MODL_NOW_US1.xlsx]Single Period!R194C41</stp>
        <stp>NOW US Equity</stp>
        <stp>CB_BS_OTHER_CURRENT_ASSETS/1M</stp>
        <stp>FPR=2021Y</stp>
        <stp>FPT=A</stp>
        <stp>FA_ACT_EST_DATA=E, EST_SOURCE=ARG</stp>
        <stp>ACT_EST_MAPPING=PRECISE</stp>
        <stp>FS=MRC</stp>
        <stp>CURRENCY=USD</stp>
        <stp>XLFILL=b</stp>
        <tr r="AO194" s="2"/>
      </tp>
      <tp t="s">
        <v>#N/A Requesting Data...</v>
        <stp/>
        <stp>##V3_BQLV12</stp>
        <stp>[MODL_NOW_US1.xlsx]Single Period!R194C44</stp>
        <stp>NOW US Equity</stp>
        <stp>CB_BS_OTHER_CURRENT_ASSETS/1M</stp>
        <stp>FPR=2021Y</stp>
        <stp>FPT=A</stp>
        <stp>FA_ACT_EST_DATA=E, EST_SOURCE=ARE</stp>
        <stp>ACT_EST_MAPPING=PRECISE</stp>
        <stp>FS=MRC</stp>
        <stp>CURRENCY=USD</stp>
        <stp>XLFILL=b</stp>
        <tr r="AR194" s="2"/>
      </tp>
      <tp t="s">
        <v>#N/A Requesting Data...</v>
        <stp/>
        <stp>##V3_BQLV12</stp>
        <stp>[MODL_NOW_US1.xlsx]Single Period!R47C36</stp>
        <stp>SEG0000230986 Segment</stp>
        <stp>CB_ADJ_BILLINGS_AMT/1M</stp>
        <stp>FPR=2021Y</stp>
        <stp>FPT=A</stp>
        <stp>FA_ACT_EST_DATA=E, EST_SOURCE=JEF</stp>
        <stp>ACT_EST_MAPPING=PRECISE</stp>
        <stp>FS=MRC</stp>
        <stp>CURRENCY=USD</stp>
        <stp>XLFILL=b</stp>
        <tr r="AJ47" s="2"/>
      </tp>
      <tp t="s">
        <v>#N/A Requesting Data...</v>
        <stp/>
        <stp>##V3_BQLV12</stp>
        <stp>[MODL_NOW_US1.xlsx]Single Period!R138C36</stp>
        <stp>NOW US Equity</stp>
        <stp>SBC_NON_GAAP_TO_SALES</stp>
        <stp>FPR=2021Y</stp>
        <stp>FPT=A</stp>
        <stp>FA_ACT_EST_DATA=E, EST_SOURCE=JEF</stp>
        <stp>ACT_EST_MAPPING=PRECISE</stp>
        <stp>FS=MRC</stp>
        <stp>CURRENCY=USD</stp>
        <stp>XLFILL=b</stp>
        <tr r="AJ138" s="2"/>
      </tp>
      <tp t="s">
        <v>#N/A Requesting Data...</v>
        <stp/>
        <stp>##V3_BQLV12</stp>
        <stp>[MODL_NOW_US1.xlsx]Single Period!R125C23</stp>
        <stp>NOW US Equity</stp>
        <stp>OPER_INC_TO_NET_SALES</stp>
        <stp>FPR=2021Y</stp>
        <stp>FPT=A</stp>
        <stp>FA_ACT_EST_DATA=E, EST_SOURCE=ZXS</stp>
        <stp>ACT_EST_MAPPING=PRECISE</stp>
        <stp>FS=MRC</stp>
        <stp>CURRENCY=USD</stp>
        <stp>XLFILL=b</stp>
        <tr r="W125" s="2"/>
      </tp>
      <tp t="s">
        <v>#N/A Requesting Data...</v>
        <stp/>
        <stp>##V3_BQLV12</stp>
        <stp>[MODL_NOW_US1.xlsx]Single Period!R17C14</stp>
        <stp>SEG0000230975 Segment</stp>
        <stp>IS_BILLINGS/1M</stp>
        <stp>FPR=2021Y</stp>
        <stp>FPT=A</stp>
        <stp>FA_ACT_EST_DATA=E, EST_SOURCE=BMO</stp>
        <stp>ACT_EST_MAPPING=PRECISE</stp>
        <stp>FS=MRC</stp>
        <stp>CURRENCY=USD</stp>
        <stp>XLFILL=b</stp>
        <tr r="N17" s="2"/>
      </tp>
      <tp t="s">
        <v>#N/A Requesting Data...</v>
        <stp/>
        <stp>##V3_BQLV12</stp>
        <stp>[MODL_NOW_US1.xlsx]Single Period!R42C14</stp>
        <stp>SEG0000230975 Segment</stp>
        <stp>IS_BILLINGS/1M</stp>
        <stp>FPR=2021Y</stp>
        <stp>FPT=A</stp>
        <stp>FA_ACT_EST_DATA=E, EST_SOURCE=BMO</stp>
        <stp>ACT_EST_MAPPING=PRECISE</stp>
        <stp>FS=MRC</stp>
        <stp>CURRENCY=USD</stp>
        <stp>XLFILL=b</stp>
        <tr r="N42" s="2"/>
      </tp>
      <tp t="s">
        <v>#N/A Requesting Data...</v>
        <stp/>
        <stp>##V3_BQLV12</stp>
        <stp>[MODL_NOW_US1.xlsx]Single Period!R160C45</stp>
        <stp>NOW US Equity</stp>
        <stp>PREPAID_EXPNSS_AND_OTHR/1M</stp>
        <stp>FPR=2021Y</stp>
        <stp>FPT=A</stp>
        <stp>FA_ACT_EST_DATA=E, EST_SOURCE=PJE</stp>
        <stp>ACT_EST_MAPPING=PRECISE</stp>
        <stp>FS=MRC</stp>
        <stp>CURRENCY=USD</stp>
        <stp>XLFILL=b</stp>
        <tr r="AS160" s="2"/>
      </tp>
      <tp t="s">
        <v>#N/A Requesting Data...</v>
        <stp/>
        <stp>##V3_BQLV12</stp>
        <stp>[MODL_NOW_US1.xlsx]Single Period!R46C29</stp>
        <stp>SEG0000230986 Segment</stp>
        <stp>IS_BILLINGS/1M</stp>
        <stp>FPR=2021Y</stp>
        <stp>FPT=A</stp>
        <stp>FA_ACT_EST_DATA=E, EST_SOURCE=BNS</stp>
        <stp>ACT_EST_MAPPING=PRECISE</stp>
        <stp>FS=MRC</stp>
        <stp>CURRENCY=USD</stp>
        <stp>XLFILL=b</stp>
        <tr r="AC46" s="2"/>
      </tp>
      <tp t="s">
        <v>#N/A Requesting Data...</v>
        <stp/>
        <stp>##V3_BQLV12</stp>
        <stp>[MODL_NOW_US1.xlsx]Single Period!R21C29</stp>
        <stp>SEG0000230986 Segment</stp>
        <stp>IS_BILLINGS/1M</stp>
        <stp>FPR=2021Y</stp>
        <stp>FPT=A</stp>
        <stp>FA_ACT_EST_DATA=E, EST_SOURCE=BNS</stp>
        <stp>ACT_EST_MAPPING=PRECISE</stp>
        <stp>FS=MRC</stp>
        <stp>CURRENCY=USD</stp>
        <stp>XLFILL=b</stp>
        <tr r="AC21" s="2"/>
      </tp>
      <tp t="s">
        <v>#N/A Requesting Data...</v>
        <stp/>
        <stp>##V3_BQLV12</stp>
        <stp>[MODL_NOW_US1.xlsx]Single Period!R42C21</stp>
        <stp>SEG0000230975 Segment</stp>
        <stp>IS_BILLINGS/1M</stp>
        <stp>FPR=2021Y</stp>
        <stp>FPT=A</stp>
        <stp>FA_ACT_EST_DATA=E, EST_SOURCE=JMP</stp>
        <stp>ACT_EST_MAPPING=PRECISE</stp>
        <stp>FS=MRC</stp>
        <stp>CURRENCY=USD</stp>
        <stp>XLFILL=b</stp>
        <tr r="U42" s="2"/>
      </tp>
      <tp t="s">
        <v>#N/A Requesting Data...</v>
        <stp/>
        <stp>##V3_BQLV12</stp>
        <stp>[MODL_NOW_US1.xlsx]Single Period!R17C21</stp>
        <stp>SEG0000230975 Segment</stp>
        <stp>IS_BILLINGS/1M</stp>
        <stp>FPR=2021Y</stp>
        <stp>FPT=A</stp>
        <stp>FA_ACT_EST_DATA=E, EST_SOURCE=JMP</stp>
        <stp>ACT_EST_MAPPING=PRECISE</stp>
        <stp>FS=MRC</stp>
        <stp>CURRENCY=USD</stp>
        <stp>XLFILL=b</stp>
        <tr r="U17" s="2"/>
      </tp>
      <tp t="s">
        <v>#N/A Requesting Data...</v>
        <stp/>
        <stp>##V3_BQLV12</stp>
        <stp>[MODL_NOW_US1.xlsx]Single Period!R208C38</stp>
        <stp>NOW US Equity</stp>
        <stp>CF_CHANGE_IN_OTHR_ASSTS/1M</stp>
        <stp>FPR=2021Y</stp>
        <stp>FPT=A</stp>
        <stp>FA_ACT_EST_DATA=E, EST_SOURCE=RWB</stp>
        <stp>ACT_EST_MAPPING=PRECISE</stp>
        <stp>FS=MRC</stp>
        <stp>CURRENCY=USD</stp>
        <stp>XLFILL=b</stp>
        <tr r="AL208" s="2"/>
      </tp>
      <tp t="s">
        <v>#N/A Requesting Data...</v>
        <stp/>
        <stp>##V3_BQLV12</stp>
        <stp>[MODL_NOW_US1.xlsx]Single Period!R46C18</stp>
        <stp>SEG0000230986 Segment</stp>
        <stp>IS_BILLINGS/1M</stp>
        <stp>FPR=2021Y</stp>
        <stp>FPT=A</stp>
        <stp>FA_ACT_EST_DATA=E, EST_SOURCE=SNR</stp>
        <stp>ACT_EST_MAPPING=PRECISE</stp>
        <stp>FS=MRC</stp>
        <stp>CURRENCY=USD</stp>
        <stp>XLFILL=b</stp>
        <tr r="R46" s="2"/>
      </tp>
      <tp t="s">
        <v>#N/A Requesting Data...</v>
        <stp/>
        <stp>##V3_BQLV12</stp>
        <stp>[MODL_NOW_US1.xlsx]Single Period!R21C18</stp>
        <stp>SEG0000230986 Segment</stp>
        <stp>IS_BILLINGS/1M</stp>
        <stp>FPR=2021Y</stp>
        <stp>FPT=A</stp>
        <stp>FA_ACT_EST_DATA=E, EST_SOURCE=SNR</stp>
        <stp>ACT_EST_MAPPING=PRECISE</stp>
        <stp>FS=MRC</stp>
        <stp>CURRENCY=USD</stp>
        <stp>XLFILL=b</stp>
        <tr r="R21" s="2"/>
      </tp>
      <tp t="s">
        <v>#N/A Requesting Data...</v>
        <stp/>
        <stp>##V3_BQLV12</stp>
        <stp>[MODL_NOW_US1.xlsx]Single Period!R138C13</stp>
        <stp>NOW US Equity</stp>
        <stp>SBC_NON_GAAP_TO_SALES</stp>
        <stp>FPR=2021Y</stp>
        <stp>FPT=A</stp>
        <stp>FA_ACT_EST_DATA=E, EST_SOURCE=KEY</stp>
        <stp>ACT_EST_MAPPING=PRECISE</stp>
        <stp>FS=MRC</stp>
        <stp>CURRENCY=USD</stp>
        <stp>XLFILL=b</stp>
        <tr r="M138" s="2"/>
      </tp>
      <tp t="s">
        <v>#N/A Requesting Data...</v>
        <stp/>
        <stp>##V3_BQLV12</stp>
        <stp>[MODL_NOW_US1.xlsx]Single Period!R43C43</stp>
        <stp>SEG0000230975 Segment</stp>
        <stp>CB_ADJ_BILLINGS_AMT/1M</stp>
        <stp>FPR=2021Y</stp>
        <stp>FPT=A</stp>
        <stp>FA_ACT_EST_DATA=E, EST_SOURCE=WFT</stp>
        <stp>ACT_EST_MAPPING=PRECISE</stp>
        <stp>FS=MRC</stp>
        <stp>CURRENCY=USD</stp>
        <stp>XLFILL=b</stp>
        <tr r="AQ43" s="2"/>
      </tp>
      <tp t="s">
        <v>#N/A Requesting Data...</v>
        <stp/>
        <stp>##V3_BQLV12</stp>
        <stp>[MODL_NOW_US1.xlsx]Single Period!R181C17</stp>
        <stp>NOW US Equity</stp>
        <stp>BS_LONG_TERM_BORROWINGS/1M</stp>
        <stp>FPR=2021Y</stp>
        <stp>FPT=A</stp>
        <stp>FA_ACT_EST_DATA=E, EST_SOURCE=RHR</stp>
        <stp>ACT_EST_MAPPING=PRECISE</stp>
        <stp>FS=MRC</stp>
        <stp>CURRENCY=USD</stp>
        <stp>XLFILL=b</stp>
        <tr r="Q181" s="2"/>
      </tp>
      <tp t="s">
        <v>#N/A Requesting Data...</v>
        <stp/>
        <stp>##V3_BQLV12</stp>
        <stp>[MODL_NOW_US1.xlsx]Single Period!R219C22</stp>
        <stp>NOW US Equity</stp>
        <stp>CF_PURCHSS_OF_INVSTMNTS/1M</stp>
        <stp>FPR=2021Y</stp>
        <stp>FPT=A</stp>
        <stp>FA_ACT_EST_DATA=E, EST_SOURCE=NDH</stp>
        <stp>ACT_EST_MAPPING=PRECISE</stp>
        <stp>FS=MRC</stp>
        <stp>CURRENCY=USD</stp>
        <stp>XLFILL=b</stp>
        <tr r="V219" s="2"/>
      </tp>
      <tp t="s">
        <v>#N/A Requesting Data...</v>
        <stp/>
        <stp>##V3_BQLV12</stp>
        <stp>[MODL_NOW_US1.xlsx]Single Period!R47C13</stp>
        <stp>SEG0000230986 Segment</stp>
        <stp>CB_ADJ_BILLINGS_AMT/1M</stp>
        <stp>FPR=2021Y</stp>
        <stp>FPT=A</stp>
        <stp>FA_ACT_EST_DATA=E, EST_SOURCE=KEY</stp>
        <stp>ACT_EST_MAPPING=PRECISE</stp>
        <stp>FS=MRC</stp>
        <stp>CURRENCY=USD</stp>
        <stp>XLFILL=b</stp>
        <tr r="M47" s="2"/>
      </tp>
      <tp t="s">
        <v>#N/A Requesting Data...</v>
        <stp/>
        <stp>##V3_BQLV12</stp>
        <stp>[MODL_NOW_US1.xlsx]Single Period!R208C40</stp>
        <stp>NOW US Equity</stp>
        <stp>CF_CHANGE_IN_OTHR_ASSTS/1M</stp>
        <stp>FPR=2021Y</stp>
        <stp>FPT=A</stp>
        <stp>FA_ACT_EST_DATA=E, EST_SOURCE=DWI</stp>
        <stp>ACT_EST_MAPPING=PRECISE</stp>
        <stp>FS=MRC</stp>
        <stp>CURRENCY=USD</stp>
        <stp>XLFILL=b</stp>
        <tr r="AN208" s="2"/>
      </tp>
      <tp t="s">
        <v>#N/A Requesting Data...</v>
        <stp/>
        <stp>##V3_BQLV12</stp>
        <stp>[MODL_NOW_US1.xlsx]Single Period!R208C24</stp>
        <stp>NOW US Equity</stp>
        <stp>CF_CHANGE_IN_OTHR_ASSTS/1M</stp>
        <stp>FPR=2021Y</stp>
        <stp>FPT=A</stp>
        <stp>FA_ACT_EST_DATA=E, EST_SOURCE=CWN</stp>
        <stp>ACT_EST_MAPPING=PRECISE</stp>
        <stp>FS=MRC</stp>
        <stp>CURRENCY=USD</stp>
        <stp>XLFILL=b</stp>
        <tr r="X208" s="2"/>
      </tp>
      <tp t="s">
        <v>#N/A Requesting Data...</v>
        <stp/>
        <stp>##V3_BQLV12</stp>
        <stp>[MODL_NOW_US1.xlsx]Single Period!R71C24</stp>
        <stp>SEG0000230986 Segment</stp>
        <stp>CB_IS_GROSS_PROFIT/1M</stp>
        <stp>FPR=2021Y</stp>
        <stp>FPT=A</stp>
        <stp>FA_ACT_EST_DATA=E, EST_SOURCE=CWN</stp>
        <stp>ACT_EST_MAPPING=PRECISE</stp>
        <stp>FS=MRC</stp>
        <stp>CURRENCY=USD</stp>
        <stp>XLFILL=b</stp>
        <tr r="X71" s="2"/>
      </tp>
      <tp t="s">
        <v>#N/A Requesting Data...</v>
        <stp/>
        <stp>##V3_BQLV12</stp>
        <stp>[MODL_NOW_US1.xlsx]Single Period!R225C45</stp>
        <stp>NOW US Equity</stp>
        <stp>CF_INCR_CAP_STOCK/1M</stp>
        <stp>FPR=2021Y</stp>
        <stp>FPT=A</stp>
        <stp>FA_ACT_EST_DATA=E, EST_SOURCE=PJE</stp>
        <stp>ACT_EST_MAPPING=PRECISE</stp>
        <stp>FS=MRC</stp>
        <stp>CURRENCY=USD</stp>
        <stp>XLFILL=b</stp>
        <tr r="AS225" s="2"/>
      </tp>
      <tp t="s">
        <v>#N/A Requesting Data...</v>
        <stp/>
        <stp>##V3_BQLV12</stp>
        <stp>[MODL_NOW_US1.xlsx]Single Period!R9C6</stp>
        <stp>NOW US Equity</stp>
        <stp>CONTRIBUTOR_STATS(IS_BILLINGS, MIN)/1M</stp>
        <stp>FPR=2021Y</stp>
        <stp>FPT=A</stp>
        <stp>FA_ACT_EST_DATA=E</stp>
        <stp>ACT_EST_MAPPING=PRECISE</stp>
        <stp>FS=MRC</stp>
        <stp>CURRENCY=USD</stp>
        <stp>XLFILL=b</stp>
        <tr r="F9" s="2"/>
      </tp>
      <tp t="s">
        <v>#N/A Requesting Data...</v>
        <stp/>
        <stp>##V3_BQLV12</stp>
        <stp>[MODL_NOW_US1.xlsx]Single Period!R9C7</stp>
        <stp>NOW US Equity</stp>
        <stp>CONTRIBUTOR_STATS(IS_BILLINGS, MAX)/1M</stp>
        <stp>FPR=2021Y</stp>
        <stp>FPT=A</stp>
        <stp>FA_ACT_EST_DATA=E</stp>
        <stp>ACT_EST_MAPPING=PRECISE</stp>
        <stp>FS=MRC</stp>
        <stp>CURRENCY=USD</stp>
        <stp>XLFILL=b</stp>
        <tr r="G9" s="2"/>
      </tp>
      <tp t="s">
        <v>#N/A Requesting Data...</v>
        <stp/>
        <stp>##V3_BQLV12</stp>
        <stp>[MODL_NOW_US1.xlsx]Single Period!R71C40</stp>
        <stp>SEG0000230986 Segment</stp>
        <stp>CB_IS_GROSS_PROFIT/1M</stp>
        <stp>FPR=2021Y</stp>
        <stp>FPT=A</stp>
        <stp>FA_ACT_EST_DATA=E, EST_SOURCE=DWI</stp>
        <stp>ACT_EST_MAPPING=PRECISE</stp>
        <stp>FS=MRC</stp>
        <stp>CURRENCY=USD</stp>
        <stp>XLFILL=b</stp>
        <tr r="AN71" s="2"/>
      </tp>
      <tp t="s">
        <v>#N/A Requesting Data...</v>
        <stp/>
        <stp>##V3_BQLV12</stp>
        <stp>[MODL_NOW_US1.xlsx]Single Period!R227C22</stp>
        <stp>NOW US Equity</stp>
        <stp>CF_NET_CSH_PROV_BY_FINANCING_ACT/1M</stp>
        <stp>FPR=2021Y</stp>
        <stp>FPT=A</stp>
        <stp>FA_ACT_EST_DATA=E, EST_SOURCE=NDH</stp>
        <stp>ACT_EST_MAPPING=PRECISE</stp>
        <stp>FS=MRC</stp>
        <stp>CURRENCY=USD</stp>
        <stp>XLFILL=b</stp>
        <tr r="V227" s="2"/>
      </tp>
      <tp t="s">
        <v>#N/A Requesting Data...</v>
        <stp/>
        <stp>##V3_BQLV12</stp>
        <stp>[MODL_NOW_US1.xlsx]Single Period!R175C23</stp>
        <stp>NOW US Equity</stp>
        <stp>BS_ACCRUD_EXPNSS_AND_OTHR/1M</stp>
        <stp>FPR=2021Y</stp>
        <stp>FPT=A</stp>
        <stp>FA_ACT_EST_DATA=E, EST_SOURCE=ZXS</stp>
        <stp>ACT_EST_MAPPING=PRECISE</stp>
        <stp>FS=MRC</stp>
        <stp>CURRENCY=USD</stp>
        <stp>XLFILL=b</stp>
        <tr r="W175" s="2"/>
      </tp>
      <tp t="s">
        <v>#N/A Requesting Data...</v>
        <stp/>
        <stp>##V3_BQLV12</stp>
        <stp>[MODL_NOW_US1.xlsx]Single Period!R71C38</stp>
        <stp>SEG0000230986 Segment</stp>
        <stp>CB_IS_GROSS_PROFIT/1M</stp>
        <stp>FPR=2021Y</stp>
        <stp>FPT=A</stp>
        <stp>FA_ACT_EST_DATA=E, EST_SOURCE=RWB</stp>
        <stp>ACT_EST_MAPPING=PRECISE</stp>
        <stp>FS=MRC</stp>
        <stp>CURRENCY=USD</stp>
        <stp>XLFILL=b</stp>
        <tr r="AL71" s="2"/>
      </tp>
      <tp t="s">
        <v>#N/A Requesting Data...</v>
        <stp/>
        <stp>##V3_BQLV12</stp>
        <stp>[MODL_NOW_US1.xlsx]Single Period!R16C7</stp>
        <stp>SEG0000230969 Segment</stp>
        <stp>CONTRIBUTOR_STATS(SALES_REV_TURN, MAX)/1M</stp>
        <stp>FPR=2021Y</stp>
        <stp>FPT=A</stp>
        <stp>FA_ACT_EST_DATA=E</stp>
        <stp>ACT_EST_MAPPING=PRECISE</stp>
        <stp>FS=MRC</stp>
        <stp>CURRENCY=USD</stp>
        <stp>XLFILL=b</stp>
        <tr r="G16" s="2"/>
      </tp>
      <tp t="s">
        <v>#N/A Requesting Data...</v>
        <stp/>
        <stp>##V3_BQLV12</stp>
        <stp>[MODL_NOW_US1.xlsx]Single Period!R16C6</stp>
        <stp>SEG0000230969 Segment</stp>
        <stp>CONTRIBUTOR_STATS(SALES_REV_TURN, MIN)/1M</stp>
        <stp>FPR=2021Y</stp>
        <stp>FPT=A</stp>
        <stp>FA_ACT_EST_DATA=E</stp>
        <stp>ACT_EST_MAPPING=PRECISE</stp>
        <stp>FS=MRC</stp>
        <stp>CURRENCY=USD</stp>
        <stp>XLFILL=b</stp>
        <tr r="F16" s="2"/>
      </tp>
      <tp t="s">
        <v>#N/A Requesting Data...</v>
        <stp/>
        <stp>##V3_BQLV12</stp>
        <stp>[MODL_NOW_US1.xlsx]Single Period!R216C24</stp>
        <stp>NOW US Equity</stp>
        <stp>CF_PURCHASE_OF_FIXED_PROD_ASSETS/1M</stp>
        <stp>FPR=2021Y</stp>
        <stp>FPT=A</stp>
        <stp>FA_ACT_EST_DATA=E, EST_SOURCE=CWN</stp>
        <stp>ACT_EST_MAPPING=PRECISE</stp>
        <stp>FS=MRC</stp>
        <stp>CURRENCY=USD</stp>
        <stp>XLFILL=b</stp>
        <tr r="X216" s="2"/>
      </tp>
      <tp t="s">
        <v>#N/A Requesting Data...</v>
        <stp/>
        <stp>##V3_BQLV12</stp>
        <stp>[MODL_NOW_US1.xlsx]Single Period!R227C36</stp>
        <stp>NOW US Equity</stp>
        <stp>CF_NET_CSH_PROV_BY_FINANCING_ACT/1M</stp>
        <stp>FPR=2021Y</stp>
        <stp>FPT=A</stp>
        <stp>FA_ACT_EST_DATA=E, EST_SOURCE=JEF</stp>
        <stp>ACT_EST_MAPPING=PRECISE</stp>
        <stp>FS=MRC</stp>
        <stp>CURRENCY=USD</stp>
        <stp>XLFILL=b</stp>
        <tr r="AJ227" s="2"/>
      </tp>
      <tp t="s">
        <v>#N/A Requesting Data...</v>
        <stp/>
        <stp>##V3_BQLV12</stp>
        <stp>[MODL_NOW_US1.xlsx]Single Period!R63C39</stp>
        <stp>SEG0000230975 Segment</stp>
        <stp>CB_IS_GROSS_PROFIT/1M</stp>
        <stp>FPR=2021Y</stp>
        <stp>FPT=A</stp>
        <stp>FA_ACT_EST_DATA=E, EST_SOURCE=DZB</stp>
        <stp>ACT_EST_MAPPING=PRECISE</stp>
        <stp>FS=MRC</stp>
        <stp>CURRENCY=USD</stp>
        <stp>XLFILL=b</stp>
        <tr r="AM63" s="2"/>
      </tp>
      <tp t="s">
        <v>#N/A Requesting Data...</v>
        <stp/>
        <stp>##V3_BQLV12</stp>
        <stp>[MODL_NOW_US1.xlsx]Single Period!R87C5</stp>
        <stp>NOW US Equity</stp>
        <stp>CB_IS_ADJUSTED_OPEX/1M</stp>
        <stp>FPR=2021Y</stp>
        <stp>FPT=A</stp>
        <stp>FA_ACT_EST_DATA=E</stp>
        <stp>ACT_EST_MAPPING=PRECISE</stp>
        <stp>FS=MRC</stp>
        <stp>CURRENCY=USD</stp>
        <stp>XLFILL=b</stp>
        <tr r="E87" s="2"/>
      </tp>
      <tp t="s">
        <v>#N/A Requesting Data...</v>
        <stp/>
        <stp>##V3_BQLV12</stp>
        <stp>[MODL_NOW_US1.xlsx]Single Period!R182C33</stp>
        <stp>NOW US Equity</stp>
        <stp>BS_OTHER_NONCURRENT_LIABILITIES/1M</stp>
        <stp>FPR=2021Y</stp>
        <stp>FPT=A</stp>
        <stp>FA_ACT_EST_DATA=E, EST_SOURCE=MAC</stp>
        <stp>ACT_EST_MAPPING=PRECISE</stp>
        <stp>FS=MRC</stp>
        <stp>CURRENCY=USD</stp>
        <stp>XLFILL=b</stp>
        <tr r="AG182" s="2"/>
      </tp>
      <tp t="s">
        <v>#N/A Requesting Data...</v>
        <stp/>
        <stp>##V3_BQLV12</stp>
        <stp>[MODL_NOW_US1.xlsx]Single Period!R16C8</stp>
        <stp>SEG0000230969 Segment</stp>
        <stp>CONTRIBUTOR_STATS(SALES_REV_TURN, STD)/1M</stp>
        <stp>FPR=2021Y</stp>
        <stp>FPT=A</stp>
        <stp>FA_ACT_EST_DATA=E</stp>
        <stp>ACT_EST_MAPPING=PRECISE</stp>
        <stp>FS=MRC</stp>
        <stp>CURRENCY=USD</stp>
        <stp>XLFILL=b</stp>
        <tr r="H16" s="2"/>
      </tp>
      <tp t="s">
        <v>#N/A Requesting Data...</v>
        <stp/>
        <stp>##V3_BQLV12</stp>
        <stp>[MODL_NOW_US1.xlsx]Single Period!R155C18</stp>
        <stp>NOW US Equity</stp>
        <stp>BS_CASH_CASH_EQUIVALENTS_AND_STI/1M</stp>
        <stp>FPR=2021Y</stp>
        <stp>FPT=A</stp>
        <stp>FA_ACT_EST_DATA=E, EST_SOURCE=SNR</stp>
        <stp>ACT_EST_MAPPING=PRECISE</stp>
        <stp>FS=MRC</stp>
        <stp>CURRENCY=USD</stp>
        <stp>XLFILL=b</stp>
        <tr r="R155" s="2"/>
      </tp>
      <tp t="s">
        <v>#N/A Requesting Data...</v>
        <stp/>
        <stp>##V3_BQLV12</stp>
        <stp>[MODL_NOW_US1.xlsx]Single Period!R213C24</stp>
        <stp>NOW US Equity</stp>
        <stp>CF_CASH_FROM_OPER/1M</stp>
        <stp>FPR=2021Y</stp>
        <stp>FPT=A</stp>
        <stp>FA_ACT_EST_DATA=E, EST_SOURCE=CWN</stp>
        <stp>ACT_EST_MAPPING=PRECISE</stp>
        <stp>FS=MRC</stp>
        <stp>CURRENCY=USD</stp>
        <stp>XLFILL=b</stp>
        <tr r="X213" s="2"/>
      </tp>
      <tp t="s">
        <v>#N/A Requesting Data...</v>
        <stp/>
        <stp>##V3_BQLV12</stp>
        <stp>[MODL_NOW_US1.xlsx]Single Period!R225C17</stp>
        <stp>NOW US Equity</stp>
        <stp>CF_INCR_CAP_STOCK/1M</stp>
        <stp>FPR=2021Y</stp>
        <stp>FPT=A</stp>
        <stp>FA_ACT_EST_DATA=E, EST_SOURCE=RHR</stp>
        <stp>ACT_EST_MAPPING=PRECISE</stp>
        <stp>FS=MRC</stp>
        <stp>CURRENCY=USD</stp>
        <stp>XLFILL=b</stp>
        <tr r="Q225" s="2"/>
      </tp>
      <tp t="s">
        <v>#N/A Requesting Data...</v>
        <stp/>
        <stp>##V3_BQLV12</stp>
        <stp>[MODL_NOW_US1.xlsx]Single Period!R155C21</stp>
        <stp>NOW US Equity</stp>
        <stp>BS_CASH_CASH_EQUIVALENTS_AND_STI/1M</stp>
        <stp>FPR=2021Y</stp>
        <stp>FPT=A</stp>
        <stp>FA_ACT_EST_DATA=E, EST_SOURCE=JMP</stp>
        <stp>ACT_EST_MAPPING=PRECISE</stp>
        <stp>FS=MRC</stp>
        <stp>CURRENCY=USD</stp>
        <stp>XLFILL=b</stp>
        <tr r="U155" s="2"/>
      </tp>
      <tp t="s">
        <v>#N/A Requesting Data...</v>
        <stp/>
        <stp>##V3_BQLV12</stp>
        <stp>[MODL_NOW_US1.xlsx]Single Period!R213C37</stp>
        <stp>NOW US Equity</stp>
        <stp>CF_CASH_FROM_OPER/1M</stp>
        <stp>FPR=2021Y</stp>
        <stp>FPT=A</stp>
        <stp>FA_ACT_EST_DATA=E, EST_SOURCE=TTC</stp>
        <stp>ACT_EST_MAPPING=PRECISE</stp>
        <stp>FS=MRC</stp>
        <stp>CURRENCY=USD</stp>
        <stp>XLFILL=b</stp>
        <tr r="AK213" s="2"/>
      </tp>
      <tp t="s">
        <v>#N/A Requesting Data...</v>
        <stp/>
        <stp>##V3_BQLV12</stp>
        <stp>[MODL_NOW_US1.xlsx]Single Period!R9C8</stp>
        <stp>NOW US Equity</stp>
        <stp>CONTRIBUTOR_STATS(IS_BILLINGS, STD)/1M</stp>
        <stp>FPR=2021Y</stp>
        <stp>FPT=A</stp>
        <stp>FA_ACT_EST_DATA=E</stp>
        <stp>ACT_EST_MAPPING=PRECISE</stp>
        <stp>FS=MRC</stp>
        <stp>CURRENCY=USD</stp>
        <stp>XLFILL=b</stp>
        <tr r="H9" s="2"/>
      </tp>
      <tp t="s">
        <v>#N/A Requesting Data...</v>
        <stp/>
        <stp>##V3_BQLV12</stp>
        <stp>[MODL_NOW_US1.xlsx]Single Period!R213C39</stp>
        <stp>NOW US Equity</stp>
        <stp>CF_CASH_FROM_OPER/1M</stp>
        <stp>FPR=2021Y</stp>
        <stp>FPT=A</stp>
        <stp>FA_ACT_EST_DATA=E, EST_SOURCE=DZB</stp>
        <stp>ACT_EST_MAPPING=PRECISE</stp>
        <stp>FS=MRC</stp>
        <stp>CURRENCY=USD</stp>
        <stp>XLFILL=b</stp>
        <tr r="AM213" s="2"/>
      </tp>
      <tp t="s">
        <v>#N/A Requesting Data...</v>
        <stp/>
        <stp>##V3_BQLV12</stp>
        <stp>[MODL_NOW_US1.xlsx]Single Period!R213C41</stp>
        <stp>NOW US Equity</stp>
        <stp>CF_CASH_FROM_OPER/1M</stp>
        <stp>FPR=2021Y</stp>
        <stp>FPT=A</stp>
        <stp>FA_ACT_EST_DATA=E, EST_SOURCE=ARG</stp>
        <stp>ACT_EST_MAPPING=PRECISE</stp>
        <stp>FS=MRC</stp>
        <stp>CURRENCY=USD</stp>
        <stp>XLFILL=b</stp>
        <tr r="AO213" s="2"/>
      </tp>
      <tp t="s">
        <v>#N/A Requesting Data...</v>
        <stp/>
        <stp>##V3_BQLV12</stp>
        <stp>[MODL_NOW_US1.xlsx]Single Period!R182C20</stp>
        <stp>NOW US Equity</stp>
        <stp>BS_OTHER_NONCURRENT_LIABILITIES/1M</stp>
        <stp>FPR=2021Y</stp>
        <stp>FPT=A</stp>
        <stp>FA_ACT_EST_DATA=E, EST_SOURCE=CAN</stp>
        <stp>ACT_EST_MAPPING=PRECISE</stp>
        <stp>FS=MRC</stp>
        <stp>CURRENCY=USD</stp>
        <stp>XLFILL=b</stp>
        <tr r="T182" s="2"/>
      </tp>
      <tp t="s">
        <v>#N/A Requesting Data...</v>
        <stp/>
        <stp>##V3_BQLV12</stp>
        <stp>[MODL_NOW_US1.xlsx]Single Period!R63C46</stp>
        <stp>SEG0000230975 Segment</stp>
        <stp>CB_IS_GROSS_PROFIT/1M</stp>
        <stp>FPR=2021Y</stp>
        <stp>FPT=A</stp>
        <stp>FA_ACT_EST_DATA=E, EST_SOURCE=MZS</stp>
        <stp>ACT_EST_MAPPING=PRECISE</stp>
        <stp>FS=MRC</stp>
        <stp>CURRENCY=USD</stp>
        <stp>XLFILL=b</stp>
        <tr r="AT63" s="2"/>
      </tp>
      <tp t="s">
        <v>#N/A Requesting Data...</v>
        <stp/>
        <stp>##V3_BQLV12</stp>
        <stp>[MODL_NOW_US1.xlsx]Single Period!R182C30</stp>
        <stp>NOW US Equity</stp>
        <stp>BS_OTHER_NONCURRENT_LIABILITIES/1M</stp>
        <stp>FPR=2021Y</stp>
        <stp>FPT=A</stp>
        <stp>FA_ACT_EST_DATA=E, EST_SOURCE=BAM</stp>
        <stp>ACT_EST_MAPPING=PRECISE</stp>
        <stp>FS=MRC</stp>
        <stp>CURRENCY=USD</stp>
        <stp>XLFILL=b</stp>
        <tr r="AD182" s="2"/>
      </tp>
      <tp t="s">
        <v>#N/A Requesting Data...</v>
        <stp/>
        <stp>##V3_BQLV12</stp>
        <stp>[MODL_NOW_US1.xlsx]Single Period!R121C46</stp>
        <stp>NOW US Equity</stp>
        <stp>CB_IS_GENL_AND_ADMIN_EXPN/1M</stp>
        <stp>FPR=2021Y</stp>
        <stp>FPT=A</stp>
        <stp>FA_ACT_EST_DATA=E, EST_SOURCE=MZS</stp>
        <stp>ACT_EST_MAPPING=PRECISE</stp>
        <stp>FS=MRC</stp>
        <stp>CURRENCY=USD</stp>
        <stp>XLFILL=b</stp>
        <tr r="AT121" s="2"/>
      </tp>
      <tp t="s">
        <v>#N/A Requesting Data...</v>
        <stp/>
        <stp>##V3_BQLV12</stp>
        <stp>[MODL_NOW_US1.xlsx]Single Period!R116C46</stp>
        <stp>NOW US Equity</stp>
        <stp>GROSS_MARGIN</stp>
        <stp>FPR=2021Y</stp>
        <stp>FPT=A</stp>
        <stp>FA_ACT_EST_DATA=E, EST_SOURCE=MZS</stp>
        <stp>ACT_EST_MAPPING=PRECISE</stp>
        <stp>FS=MRC</stp>
        <stp>CURRENCY=USD</stp>
        <stp>XLFILL=b</stp>
        <tr r="AT116" s="2"/>
      </tp>
      <tp t="s">
        <v>#N/A Requesting Data...</v>
        <stp/>
        <stp>##V3_BQLV12</stp>
        <stp>[MODL_NOW_US1.xlsx]Single Period!R81C34</stp>
        <stp>NOW US Equity</stp>
        <stp>IS_ADJ_SALES_YOY_CHG_PCT_CC</stp>
        <stp>FPR=2021Y</stp>
        <stp>FPT=A</stp>
        <stp>FA_ACT_EST_DATA=E, EST_SOURCE=PSG</stp>
        <stp>ACT_EST_MAPPING=PRECISE</stp>
        <stp>FS=MRC</stp>
        <stp>CURRENCY=USD</stp>
        <stp>XLFILL=b</stp>
        <tr r="AH81" s="2"/>
      </tp>
      <tp t="s">
        <v>#N/A Requesting Data...</v>
        <stp/>
        <stp>##V3_BQLV12</stp>
        <stp>[MODL_NOW_US1.xlsx]Single Period!R129C19</stp>
        <stp>NOW US Equity</stp>
        <stp>EFF_TAX_RATE</stp>
        <stp>FPR=2021Y</stp>
        <stp>FPT=A</stp>
        <stp>FA_ACT_EST_DATA=E, EST_SOURCE=MSV</stp>
        <stp>ACT_EST_MAPPING=PRECISE</stp>
        <stp>FS=MRC</stp>
        <stp>CURRENCY=USD</stp>
        <stp>XLFILL=b</stp>
        <tr r="S129" s="2"/>
      </tp>
      <tp t="s">
        <v>#N/A Requesting Data...</v>
        <stp/>
        <stp>##V3_BQLV12</stp>
        <stp>[MODL_NOW_US1.xlsx]Single Period!R83C7</stp>
        <stp>NOW US Equity</stp>
        <stp>CONTRIBUTOR_STATS(IS_ADJUSTED_COGS_AS_REPORTED, MAX)/1M</stp>
        <stp>FPR=2021Y</stp>
        <stp>FPT=A</stp>
        <stp>FA_ACT_EST_DATA=E</stp>
        <stp>ACT_EST_MAPPING=PRECISE</stp>
        <stp>FS=MRC</stp>
        <stp>CURRENCY=USD</stp>
        <stp>XLFILL=b</stp>
        <tr r="G83" s="2"/>
      </tp>
      <tp t="s">
        <v>#N/A Requesting Data...</v>
        <stp/>
        <stp>##V3_BQLV12</stp>
        <stp>[MODL_NOW_US1.xlsx]Single Period!R83C6</stp>
        <stp>NOW US Equity</stp>
        <stp>CONTRIBUTOR_STATS(IS_ADJUSTED_COGS_AS_REPORTED, MIN)/1M</stp>
        <stp>FPR=2021Y</stp>
        <stp>FPT=A</stp>
        <stp>FA_ACT_EST_DATA=E</stp>
        <stp>ACT_EST_MAPPING=PRECISE</stp>
        <stp>FS=MRC</stp>
        <stp>CURRENCY=USD</stp>
        <stp>XLFILL=b</stp>
        <tr r="F83" s="2"/>
      </tp>
      <tp t="s">
        <v>#N/A Requesting Data...</v>
        <stp/>
        <stp>##V3_BQLV12</stp>
        <stp>[MODL_NOW_US1.xlsx]Single Period!R81C42</stp>
        <stp>NOW US Equity</stp>
        <stp>IS_ADJ_SALES_YOY_CHG_PCT_CC</stp>
        <stp>FPR=2021Y</stp>
        <stp>FPT=A</stp>
        <stp>FA_ACT_EST_DATA=E, EST_SOURCE=CTI</stp>
        <stp>ACT_EST_MAPPING=PRECISE</stp>
        <stp>FS=MRC</stp>
        <stp>CURRENCY=USD</stp>
        <stp>XLFILL=b</stp>
        <tr r="AP81" s="2"/>
      </tp>
      <tp t="s">
        <v>#N/A Requesting Data...</v>
        <stp/>
        <stp>##V3_BQLV12</stp>
        <stp>[MODL_NOW_US1.xlsx]Single Period!R120C10</stp>
        <stp>NOW US Equity</stp>
        <stp>IS_OPEX_R_AND_D_GAAP/1M</stp>
        <stp>FPR=2021Y</stp>
        <stp>FPT=A</stp>
        <stp>FA_ACT_EST_DATA=E, EST_SOURCE=CMPY</stp>
        <stp>ACT_EST_MAPPING=PRECISE</stp>
        <stp>FS=MRC</stp>
        <stp>CURRENCY=USD</stp>
        <stp>XLFILL=b</stp>
        <tr r="J120" s="2"/>
      </tp>
      <tp t="s">
        <v>#N/A Requesting Data...</v>
        <stp/>
        <stp>##V3_BQLV12</stp>
        <stp>[MODL_NOW_US1.xlsx]Single Period!R81C35</stp>
        <stp>NOW US Equity</stp>
        <stp>IS_ADJ_SALES_YOY_CHG_PCT_CC</stp>
        <stp>FPR=2021Y</stp>
        <stp>FPT=A</stp>
        <stp>FA_ACT_EST_DATA=E, EST_SOURCE=MSR</stp>
        <stp>ACT_EST_MAPPING=PRECISE</stp>
        <stp>FS=MRC</stp>
        <stp>CURRENCY=USD</stp>
        <stp>XLFILL=b</stp>
        <tr r="AI81" s="2"/>
      </tp>
      <tp t="s">
        <v>#N/A Requesting Data...</v>
        <stp/>
        <stp>##V3_BQLV12</stp>
        <stp>[MODL_NOW_US1.xlsx]Single Period!R129C48</stp>
        <stp>NOW US Equity</stp>
        <stp>EFF_TAX_RATE</stp>
        <stp>FPR=2021Y</stp>
        <stp>FPT=A</stp>
        <stp>FA_ACT_EST_DATA=E, EST_SOURCE=CRC</stp>
        <stp>ACT_EST_MAPPING=PRECISE</stp>
        <stp>FS=MRC</stp>
        <stp>CURRENCY=USD</stp>
        <stp>XLFILL=b</stp>
        <tr r="AV129" s="2"/>
      </tp>
      <tp t="s">
        <v>#N/A Requesting Data...</v>
        <stp/>
        <stp>##V3_BQLV12</stp>
        <stp>[MODL_NOW_US1.xlsx]Single Period!R81C31</stp>
        <stp>NOW US Equity</stp>
        <stp>IS_ADJ_SALES_YOY_CHG_PCT_CC</stp>
        <stp>FPR=2021Y</stp>
        <stp>FPT=A</stp>
        <stp>FA_ACT_EST_DATA=E, EST_SOURCE=GSR</stp>
        <stp>ACT_EST_MAPPING=PRECISE</stp>
        <stp>FS=MRC</stp>
        <stp>CURRENCY=USD</stp>
        <stp>XLFILL=b</stp>
        <tr r="AE81" s="2"/>
      </tp>
      <tp t="s">
        <v>#N/A Requesting Data...</v>
        <stp/>
        <stp>##V3_BQLV12</stp>
        <stp>[MODL_NOW_US1.xlsx]Single Period!R83C8</stp>
        <stp>NOW US Equity</stp>
        <stp>CONTRIBUTOR_STATS(IS_ADJUSTED_COGS_AS_REPORTED, STD)/1M</stp>
        <stp>FPR=2021Y</stp>
        <stp>FPT=A</stp>
        <stp>FA_ACT_EST_DATA=E</stp>
        <stp>ACT_EST_MAPPING=PRECISE</stp>
        <stp>FS=MRC</stp>
        <stp>CURRENCY=USD</stp>
        <stp>XLFILL=b</stp>
        <tr r="H83" s="2"/>
      </tp>
      <tp t="s">
        <v>#N/A Requesting Data...</v>
        <stp/>
        <stp>##V3_BQLV12</stp>
        <stp>[MODL_NOW_US1.xlsx]Single Period!R163C46</stp>
        <stp>NOW US Equity</stp>
        <stp>CB_BS_PP_AND_E_NET/1M</stp>
        <stp>FPR=2021Y</stp>
        <stp>FPT=A</stp>
        <stp>FA_ACT_EST_DATA=E, EST_SOURCE=MZS</stp>
        <stp>ACT_EST_MAPPING=PRECISE</stp>
        <stp>FS=MRC</stp>
        <stp>CURRENCY=USD</stp>
        <stp>XLFILL=b</stp>
        <tr r="AT163" s="2"/>
      </tp>
      <tp t="s">
        <v>#N/A Requesting Data...</v>
        <stp/>
        <stp>##V3_BQLV12</stp>
        <stp>[MODL_NOW_US1.xlsx]Single Period!R149C40</stp>
        <stp>NOW US Equity</stp>
        <stp>IS_AMORT_ACQD_INTANG_GEN_AND_ADMIN/1M</stp>
        <stp>FPR=2021Y</stp>
        <stp>FPT=A</stp>
        <stp>FA_ACT_EST_DATA=E, EST_SOURCE=DWI</stp>
        <stp>ACT_EST_MAPPING=PRECISE</stp>
        <stp>FS=MRC</stp>
        <stp>CURRENCY=USD</stp>
        <stp>XLFILL=b</stp>
        <tr r="AN149" s="2"/>
      </tp>
      <tp t="s">
        <v>#N/A Requesting Data...</v>
        <stp/>
        <stp>##V3_BQLV12</stp>
        <stp>[MODL_NOW_US1.xlsx]Single Period!R127C46</stp>
        <stp>NOW US Equity</stp>
        <stp>PRETAX_INC/1M</stp>
        <stp>FPR=2021Y</stp>
        <stp>FPT=A</stp>
        <stp>FA_ACT_EST_DATA=E, EST_SOURCE=MZS</stp>
        <stp>ACT_EST_MAPPING=PRECISE</stp>
        <stp>FS=MRC</stp>
        <stp>CURRENCY=USD</stp>
        <stp>XLFILL=b</stp>
        <tr r="AT127" s="2"/>
      </tp>
      <tp t="s">
        <v>#N/A Requesting Data...</v>
        <stp/>
        <stp>##V3_BQLV12</stp>
        <stp>[MODL_NOW_US1.xlsx]Single Period!R166C12</stp>
        <stp>NOW US Equity</stp>
        <stp>BS_OTHER_INTANGIBLE_ASSETS/1M</stp>
        <stp>FPR=2021Y</stp>
        <stp>FPT=A</stp>
        <stp>FA_ACT_EST_DATA=E, EST_SOURCE=WBL</stp>
        <stp>ACT_EST_MAPPING=PRECISE</stp>
        <stp>FS=MRC</stp>
        <stp>CURRENCY=USD</stp>
        <stp>XLFILL=b</stp>
        <tr r="L166" s="2"/>
      </tp>
      <tp t="s">
        <v>#N/A Requesting Data...</v>
        <stp/>
        <stp>##V3_BQLV12</stp>
        <stp>[MODL_NOW_US1.xlsx]Single Period!R96C19</stp>
        <stp>NOW US Equity</stp>
        <stp>ADJ_OPERATING_MARGIN</stp>
        <stp>FPR=2021Y</stp>
        <stp>FPT=A</stp>
        <stp>FA_ACT_EST_DATA=E, EST_SOURCE=MSV</stp>
        <stp>ACT_EST_MAPPING=PRECISE</stp>
        <stp>FS=MRC</stp>
        <stp>CURRENCY=USD</stp>
        <stp>XLFILL=b</stp>
        <tr r="S96" s="2"/>
      </tp>
      <tp t="s">
        <v>#N/A Requesting Data...</v>
        <stp/>
        <stp>##V3_BQLV12</stp>
        <stp>[MODL_NOW_US1.xlsx]Single Period!R149C24</stp>
        <stp>NOW US Equity</stp>
        <stp>IS_AMORT_ACQD_INTANG_GEN_AND_ADMIN/1M</stp>
        <stp>FPR=2021Y</stp>
        <stp>FPT=A</stp>
        <stp>FA_ACT_EST_DATA=E, EST_SOURCE=CWN</stp>
        <stp>ACT_EST_MAPPING=PRECISE</stp>
        <stp>FS=MRC</stp>
        <stp>CURRENCY=USD</stp>
        <stp>XLFILL=b</stp>
        <tr r="X149" s="2"/>
      </tp>
      <tp t="s">
        <v>#N/A Requesting Data...</v>
        <stp/>
        <stp>##V3_BQLV12</stp>
        <stp>[MODL_NOW_US1.xlsx]Single Period!R157C28</stp>
        <stp>NOW US Equity</stp>
        <stp>BS_MKT_SEC_OTHER_ST_INVEST/1M</stp>
        <stp>FPR=2021Y</stp>
        <stp>FPT=A</stp>
        <stp>FA_ACT_EST_DATA=E, EST_SOURCE=EVR</stp>
        <stp>ACT_EST_MAPPING=PRECISE</stp>
        <stp>FS=MRC</stp>
        <stp>CURRENCY=USD</stp>
        <stp>XLFILL=b</stp>
        <tr r="AB157" s="2"/>
      </tp>
      <tp t="s">
        <v>#N/A Requesting Data...</v>
        <stp/>
        <stp>##V3_BQLV12</stp>
        <stp>[MODL_NOW_US1.xlsx]Single Period!R91C33</stp>
        <stp>NOW US Equity</stp>
        <stp>ADJ_R_AND_D_TO_SALES</stp>
        <stp>FPR=2021Y</stp>
        <stp>FPT=A</stp>
        <stp>FA_ACT_EST_DATA=E, EST_SOURCE=MAC</stp>
        <stp>ACT_EST_MAPPING=PRECISE</stp>
        <stp>FS=MRC</stp>
        <stp>CURRENCY=USD</stp>
        <stp>XLFILL=b</stp>
        <tr r="AG91" s="2"/>
      </tp>
      <tp t="s">
        <v>#N/A Requesting Data...</v>
        <stp/>
        <stp>##V3_BQLV12</stp>
        <stp>[MODL_NOW_US1.xlsx]Single Period!R194C35</stp>
        <stp>NOW US Equity</stp>
        <stp>CB_BS_OTHER_CURRENT_ASSETS/1M</stp>
        <stp>FPR=2021Y</stp>
        <stp>FPT=A</stp>
        <stp>FA_ACT_EST_DATA=E, EST_SOURCE=MSR</stp>
        <stp>ACT_EST_MAPPING=PRECISE</stp>
        <stp>FS=MRC</stp>
        <stp>CURRENCY=USD</stp>
        <stp>XLFILL=b</stp>
        <tr r="AI194" s="2"/>
      </tp>
      <tp t="s">
        <v>#N/A Requesting Data...</v>
        <stp/>
        <stp>##V3_BQLV12</stp>
        <stp>[MODL_NOW_US1.xlsx]Single Period!R194C31</stp>
        <stp>NOW US Equity</stp>
        <stp>CB_BS_OTHER_CURRENT_ASSETS/1M</stp>
        <stp>FPR=2021Y</stp>
        <stp>FPT=A</stp>
        <stp>FA_ACT_EST_DATA=E, EST_SOURCE=GSR</stp>
        <stp>ACT_EST_MAPPING=PRECISE</stp>
        <stp>FS=MRC</stp>
        <stp>CURRENCY=USD</stp>
        <stp>XLFILL=b</stp>
        <tr r="AE194" s="2"/>
      </tp>
      <tp t="s">
        <v>#N/A Requesting Data...</v>
        <stp/>
        <stp>##V3_BQLV12</stp>
        <stp>[MODL_NOW_US1.xlsx]Single Period!R149C38</stp>
        <stp>NOW US Equity</stp>
        <stp>IS_AMORT_ACQD_INTANG_GEN_AND_ADMIN/1M</stp>
        <stp>FPR=2021Y</stp>
        <stp>FPT=A</stp>
        <stp>FA_ACT_EST_DATA=E, EST_SOURCE=RWB</stp>
        <stp>ACT_EST_MAPPING=PRECISE</stp>
        <stp>FS=MRC</stp>
        <stp>CURRENCY=USD</stp>
        <stp>XLFILL=b</stp>
        <tr r="AL149" s="2"/>
      </tp>
      <tp t="s">
        <v>#N/A Requesting Data...</v>
        <stp/>
        <stp>##V3_BQLV12</stp>
        <stp>[MODL_NOW_US1.xlsx]Single Period!R166C32</stp>
        <stp>NOW US Equity</stp>
        <stp>BS_OTHER_INTANGIBLE_ASSETS/1M</stp>
        <stp>FPR=2021Y</stp>
        <stp>FPT=A</stp>
        <stp>FA_ACT_EST_DATA=E, EST_SOURCE=FBC</stp>
        <stp>ACT_EST_MAPPING=PRECISE</stp>
        <stp>FS=MRC</stp>
        <stp>CURRENCY=USD</stp>
        <stp>XLFILL=b</stp>
        <tr r="AF166" s="2"/>
      </tp>
      <tp t="s">
        <v>#N/A Requesting Data...</v>
        <stp/>
        <stp>##V3_BQLV12</stp>
        <stp>[MODL_NOW_US1.xlsx]Single Period!R166C27</stp>
        <stp>NOW US Equity</stp>
        <stp>BS_OTHER_INTANGIBLE_ASSETS/1M</stp>
        <stp>FPR=2021Y</stp>
        <stp>FPT=A</stp>
        <stp>FA_ACT_EST_DATA=E, EST_SOURCE=RBC</stp>
        <stp>ACT_EST_MAPPING=PRECISE</stp>
        <stp>FS=MRC</stp>
        <stp>CURRENCY=USD</stp>
        <stp>XLFILL=b</stp>
        <tr r="AA166" s="2"/>
      </tp>
      <tp t="s">
        <v>#N/A Requesting Data...</v>
        <stp/>
        <stp>##V3_BQLV12</stp>
        <stp>[MODL_NOW_US1.xlsx]Single Period!R194C19</stp>
        <stp>NOW US Equity</stp>
        <stp>CB_BS_OTHER_CURRENT_ASSETS/1M</stp>
        <stp>FPR=2021Y</stp>
        <stp>FPT=A</stp>
        <stp>FA_ACT_EST_DATA=E, EST_SOURCE=MSV</stp>
        <stp>ACT_EST_MAPPING=PRECISE</stp>
        <stp>FS=MRC</stp>
        <stp>CURRENCY=USD</stp>
        <stp>XLFILL=b</stp>
        <tr r="S194" s="2"/>
      </tp>
      <tp t="s">
        <v>#N/A Requesting Data...</v>
        <stp/>
        <stp>##V3_BQLV12</stp>
        <stp>[MODL_NOW_US1.xlsx]Single Period!R166C25</stp>
        <stp>NOW US Equity</stp>
        <stp>BS_OTHER_INTANGIBLE_ASSETS/1M</stp>
        <stp>FPR=2021Y</stp>
        <stp>FPT=A</stp>
        <stp>FA_ACT_EST_DATA=E, EST_SOURCE=DBG</stp>
        <stp>ACT_EST_MAPPING=PRECISE</stp>
        <stp>FS=MRC</stp>
        <stp>CURRENCY=USD</stp>
        <stp>XLFILL=b</stp>
        <tr r="Y166" s="2"/>
      </tp>
      <tp t="s">
        <v>#N/A Requesting Data...</v>
        <stp/>
        <stp>##V3_BQLV12</stp>
        <stp>[MODL_NOW_US1.xlsx]Single Period!R96C48</stp>
        <stp>NOW US Equity</stp>
        <stp>ADJ_OPERATING_MARGIN</stp>
        <stp>FPR=2021Y</stp>
        <stp>FPT=A</stp>
        <stp>FA_ACT_EST_DATA=E, EST_SOURCE=CRC</stp>
        <stp>ACT_EST_MAPPING=PRECISE</stp>
        <stp>FS=MRC</stp>
        <stp>CURRENCY=USD</stp>
        <stp>XLFILL=b</stp>
        <tr r="AV96" s="2"/>
      </tp>
      <tp t="s">
        <v>#N/A Requesting Data...</v>
        <stp/>
        <stp>##V3_BQLV12</stp>
        <stp>[MODL_NOW_US1.xlsx]Single Period!R28C11</stp>
        <stp>NOW US Equity</stp>
        <stp>ADJ_OPERATING_MARGIN</stp>
        <stp>FPR=2021Y</stp>
        <stp>FPT=A</stp>
        <stp>FA_ACT_EST_DATA=E, EST_SOURCE=JPM</stp>
        <stp>ACT_EST_MAPPING=PRECISE</stp>
        <stp>FS=MRC</stp>
        <stp>CURRENCY=USD</stp>
        <stp>XLFILL=b</stp>
        <tr r="K28" s="2"/>
      </tp>
      <tp t="s">
        <v>#N/A Requesting Data...</v>
        <stp/>
        <stp>##V3_BQLV12</stp>
        <stp>[MODL_NOW_US1.xlsx]Single Period!R163C39</stp>
        <stp>NOW US Equity</stp>
        <stp>CB_BS_PP_AND_E_NET/1M</stp>
        <stp>FPR=2021Y</stp>
        <stp>FPT=A</stp>
        <stp>FA_ACT_EST_DATA=E, EST_SOURCE=DZB</stp>
        <stp>ACT_EST_MAPPING=PRECISE</stp>
        <stp>FS=MRC</stp>
        <stp>CURRENCY=USD</stp>
        <stp>XLFILL=b</stp>
        <tr r="AM163" s="2"/>
      </tp>
      <tp t="s">
        <v>#N/A Requesting Data...</v>
        <stp/>
        <stp>##V3_BQLV12</stp>
        <stp>[MODL_NOW_US1.xlsx]Single Period!R111C17</stp>
        <stp>NOW US Equity</stp>
        <stp>IS_COGS_TO_FE_AND_PP_AND_G/1M</stp>
        <stp>FPR=2021Y</stp>
        <stp>FPT=A</stp>
        <stp>FA_ACT_EST_DATA=E, EST_SOURCE=RHR</stp>
        <stp>ACT_EST_MAPPING=PRECISE</stp>
        <stp>FS=MRC</stp>
        <stp>CURRENCY=USD</stp>
        <stp>XLFILL=b</stp>
        <tr r="Q111" s="2"/>
      </tp>
      <tp t="s">
        <v>#N/A Requesting Data...</v>
        <stp/>
        <stp>##V3_BQLV12</stp>
        <stp>[MODL_NOW_US1.xlsx]Single Period!R127C39</stp>
        <stp>NOW US Equity</stp>
        <stp>PRETAX_INC/1M</stp>
        <stp>FPR=2021Y</stp>
        <stp>FPT=A</stp>
        <stp>FA_ACT_EST_DATA=E, EST_SOURCE=DZB</stp>
        <stp>ACT_EST_MAPPING=PRECISE</stp>
        <stp>FS=MRC</stp>
        <stp>CURRENCY=USD</stp>
        <stp>XLFILL=b</stp>
        <tr r="AM127" s="2"/>
      </tp>
      <tp t="s">
        <v>#N/A Requesting Data...</v>
        <stp/>
        <stp>##V3_BQLV12</stp>
        <stp>[MODL_NOW_US1.xlsx]Single Period!R157C10</stp>
        <stp>NOW US Equity</stp>
        <stp>BS_MKT_SEC_OTHER_ST_INVEST/1M</stp>
        <stp>FPR=2021Y</stp>
        <stp>FPT=A</stp>
        <stp>FA_ACT_EST_DATA=E, EST_SOURCE=CMPY</stp>
        <stp>ACT_EST_MAPPING=PRECISE</stp>
        <stp>FS=MRC</stp>
        <stp>CURRENCY=USD</stp>
        <stp>XLFILL=b</stp>
        <tr r="J157" s="2"/>
      </tp>
      <tp t="s">
        <v>#N/A Requesting Data...</v>
        <stp/>
        <stp>##V3_BQLV12</stp>
        <stp>[MODL_NOW_US1.xlsx]Single Period!R144C43</stp>
        <stp>NOW US Equity</stp>
        <stp>IS_SBC_ATT_TO_GENL_AND_ADMIN_PRETX/1M</stp>
        <stp>FPR=2021Y</stp>
        <stp>FPT=A</stp>
        <stp>FA_ACT_EST_DATA=E, EST_SOURCE=WFT</stp>
        <stp>ACT_EST_MAPPING=PRECISE</stp>
        <stp>FS=MRC</stp>
        <stp>CURRENCY=USD</stp>
        <stp>XLFILL=b</stp>
        <tr r="AQ144" s="2"/>
      </tp>
      <tp t="s">
        <v>#N/A Requesting Data...</v>
        <stp/>
        <stp>##V3_BQLV12</stp>
        <stp>[MODL_NOW_US1.xlsx]Single Period!R166C26</stp>
        <stp>NOW US Equity</stp>
        <stp>BS_OTHER_INTANGIBLE_ASSETS/1M</stp>
        <stp>FPR=2021Y</stp>
        <stp>FPT=A</stp>
        <stp>FA_ACT_EST_DATA=E, EST_SOURCE=UBS</stp>
        <stp>ACT_EST_MAPPING=PRECISE</stp>
        <stp>FS=MRC</stp>
        <stp>CURRENCY=USD</stp>
        <stp>XLFILL=b</stp>
        <tr r="Z166" s="2"/>
      </tp>
      <tp t="s">
        <v>#N/A Requesting Data...</v>
        <stp/>
        <stp>##V3_BQLV12</stp>
        <stp>[MODL_NOW_US1.xlsx]Single Period!R194C34</stp>
        <stp>NOW US Equity</stp>
        <stp>CB_BS_OTHER_CURRENT_ASSETS/1M</stp>
        <stp>FPR=2021Y</stp>
        <stp>FPT=A</stp>
        <stp>FA_ACT_EST_DATA=E, EST_SOURCE=PSG</stp>
        <stp>ACT_EST_MAPPING=PRECISE</stp>
        <stp>FS=MRC</stp>
        <stp>CURRENCY=USD</stp>
        <stp>XLFILL=b</stp>
        <tr r="AH194" s="2"/>
      </tp>
      <tp t="s">
        <v>#N/A Requesting Data...</v>
        <stp/>
        <stp>##V3_BQLV12</stp>
        <stp>[MODL_NOW_US1.xlsx]Single Period!R160C14</stp>
        <stp>NOW US Equity</stp>
        <stp>PREPAID_EXPNSS_AND_OTHR/1M</stp>
        <stp>FPR=2021Y</stp>
        <stp>FPT=A</stp>
        <stp>FA_ACT_EST_DATA=E, EST_SOURCE=BMO</stp>
        <stp>ACT_EST_MAPPING=PRECISE</stp>
        <stp>FS=MRC</stp>
        <stp>CURRENCY=USD</stp>
        <stp>XLFILL=b</stp>
        <tr r="N160" s="2"/>
      </tp>
      <tp t="s">
        <v>#N/A Requesting Data...</v>
        <stp/>
        <stp>##V3_BQLV12</stp>
        <stp>[MODL_NOW_US1.xlsx]Single Period!R17C45</stp>
        <stp>SEG0000230975 Segment</stp>
        <stp>IS_BILLINGS/1M</stp>
        <stp>FPR=2021Y</stp>
        <stp>FPT=A</stp>
        <stp>FA_ACT_EST_DATA=E, EST_SOURCE=PJE</stp>
        <stp>ACT_EST_MAPPING=PRECISE</stp>
        <stp>FS=MRC</stp>
        <stp>CURRENCY=USD</stp>
        <stp>XLFILL=b</stp>
        <tr r="AS17" s="2"/>
      </tp>
      <tp t="s">
        <v>#N/A Requesting Data...</v>
        <stp/>
        <stp>##V3_BQLV12</stp>
        <stp>[MODL_NOW_US1.xlsx]Single Period!R42C45</stp>
        <stp>SEG0000230975 Segment</stp>
        <stp>IS_BILLINGS/1M</stp>
        <stp>FPR=2021Y</stp>
        <stp>FPT=A</stp>
        <stp>FA_ACT_EST_DATA=E, EST_SOURCE=PJE</stp>
        <stp>ACT_EST_MAPPING=PRECISE</stp>
        <stp>FS=MRC</stp>
        <stp>CURRENCY=USD</stp>
        <stp>XLFILL=b</stp>
        <tr r="AS42" s="2"/>
      </tp>
      <tp t="s">
        <v>#N/A Requesting Data...</v>
        <stp/>
        <stp>##V3_BQLV12</stp>
        <stp>[MODL_NOW_US1.xlsx]Single Period!R138C12</stp>
        <stp>NOW US Equity</stp>
        <stp>SBC_NON_GAAP_TO_SALES</stp>
        <stp>FPR=2021Y</stp>
        <stp>FPT=A</stp>
        <stp>FA_ACT_EST_DATA=E, EST_SOURCE=WBL</stp>
        <stp>ACT_EST_MAPPING=PRECISE</stp>
        <stp>FS=MRC</stp>
        <stp>CURRENCY=USD</stp>
        <stp>XLFILL=b</stp>
        <tr r="L138" s="2"/>
      </tp>
      <tp t="s">
        <v>#N/A Requesting Data...</v>
        <stp/>
        <stp>##V3_BQLV12</stp>
        <stp>[MODL_NOW_US1.xlsx]Single Period!R47C25</stp>
        <stp>SEG0000230986 Segment</stp>
        <stp>CB_ADJ_BILLINGS_AMT/1M</stp>
        <stp>FPR=2021Y</stp>
        <stp>FPT=A</stp>
        <stp>FA_ACT_EST_DATA=E, EST_SOURCE=DBG</stp>
        <stp>ACT_EST_MAPPING=PRECISE</stp>
        <stp>FS=MRC</stp>
        <stp>CURRENCY=USD</stp>
        <stp>XLFILL=b</stp>
        <tr r="Y47" s="2"/>
      </tp>
      <tp t="s">
        <v>#N/A Requesting Data...</v>
        <stp/>
        <stp>##V3_BQLV12</stp>
        <stp>[MODL_NOW_US1.xlsx]Single Period!R43C33</stp>
        <stp>SEG0000230975 Segment</stp>
        <stp>CB_ADJ_BILLINGS_AMT/1M</stp>
        <stp>FPR=2021Y</stp>
        <stp>FPT=A</stp>
        <stp>FA_ACT_EST_DATA=E, EST_SOURCE=MAC</stp>
        <stp>ACT_EST_MAPPING=PRECISE</stp>
        <stp>FS=MRC</stp>
        <stp>CURRENCY=USD</stp>
        <stp>XLFILL=b</stp>
        <tr r="AG43" s="2"/>
      </tp>
      <tp t="s">
        <v>#N/A Requesting Data...</v>
        <stp/>
        <stp>##V3_BQLV12</stp>
        <stp>[MODL_NOW_US1.xlsx]Single Period!R47C32</stp>
        <stp>SEG0000230986 Segment</stp>
        <stp>CB_ADJ_BILLINGS_AMT/1M</stp>
        <stp>FPR=2021Y</stp>
        <stp>FPT=A</stp>
        <stp>FA_ACT_EST_DATA=E, EST_SOURCE=FBC</stp>
        <stp>ACT_EST_MAPPING=PRECISE</stp>
        <stp>FS=MRC</stp>
        <stp>CURRENCY=USD</stp>
        <stp>XLFILL=b</stp>
        <tr r="AF47" s="2"/>
      </tp>
      <tp t="s">
        <v>#N/A Requesting Data...</v>
        <stp/>
        <stp>##V3_BQLV12</stp>
        <stp>[MODL_NOW_US1.xlsx]Single Period!R47C27</stp>
        <stp>SEG0000230986 Segment</stp>
        <stp>CB_ADJ_BILLINGS_AMT/1M</stp>
        <stp>FPR=2021Y</stp>
        <stp>FPT=A</stp>
        <stp>FA_ACT_EST_DATA=E, EST_SOURCE=RBC</stp>
        <stp>ACT_EST_MAPPING=PRECISE</stp>
        <stp>FS=MRC</stp>
        <stp>CURRENCY=USD</stp>
        <stp>XLFILL=b</stp>
        <tr r="AA47" s="2"/>
      </tp>
      <tp t="s">
        <v>#N/A Requesting Data...</v>
        <stp/>
        <stp>##V3_BQLV12</stp>
        <stp>[MODL_NOW_US1.xlsx]Single Period!R43C30</stp>
        <stp>SEG0000230975 Segment</stp>
        <stp>CB_ADJ_BILLINGS_AMT/1M</stp>
        <stp>FPR=2021Y</stp>
        <stp>FPT=A</stp>
        <stp>FA_ACT_EST_DATA=E, EST_SOURCE=BAM</stp>
        <stp>ACT_EST_MAPPING=PRECISE</stp>
        <stp>FS=MRC</stp>
        <stp>CURRENCY=USD</stp>
        <stp>XLFILL=b</stp>
        <tr r="AD43" s="2"/>
      </tp>
      <tp t="s">
        <v>#N/A Requesting Data...</v>
        <stp/>
        <stp>##V3_BQLV12</stp>
        <stp>[MODL_NOW_US1.xlsx]Single Period!R43C20</stp>
        <stp>SEG0000230975 Segment</stp>
        <stp>CB_ADJ_BILLINGS_AMT/1M</stp>
        <stp>FPR=2021Y</stp>
        <stp>FPT=A</stp>
        <stp>FA_ACT_EST_DATA=E, EST_SOURCE=CAN</stp>
        <stp>ACT_EST_MAPPING=PRECISE</stp>
        <stp>FS=MRC</stp>
        <stp>CURRENCY=USD</stp>
        <stp>XLFILL=b</stp>
        <tr r="T43" s="2"/>
      </tp>
      <tp t="s">
        <v>#N/A Requesting Data...</v>
        <stp/>
        <stp>##V3_BQLV12</stp>
        <stp>[MODL_NOW_US1.xlsx]Single Period!R138C25</stp>
        <stp>NOW US Equity</stp>
        <stp>SBC_NON_GAAP_TO_SALES</stp>
        <stp>FPR=2021Y</stp>
        <stp>FPT=A</stp>
        <stp>FA_ACT_EST_DATA=E, EST_SOURCE=DBG</stp>
        <stp>ACT_EST_MAPPING=PRECISE</stp>
        <stp>FS=MRC</stp>
        <stp>CURRENCY=USD</stp>
        <stp>XLFILL=b</stp>
        <tr r="Y138" s="2"/>
      </tp>
      <tp t="s">
        <v>#N/A Requesting Data...</v>
        <stp/>
        <stp>##V3_BQLV12</stp>
        <stp>[MODL_NOW_US1.xlsx]Single Period!R47C12</stp>
        <stp>SEG0000230986 Segment</stp>
        <stp>CB_ADJ_BILLINGS_AMT/1M</stp>
        <stp>FPR=2021Y</stp>
        <stp>FPT=A</stp>
        <stp>FA_ACT_EST_DATA=E, EST_SOURCE=WBL</stp>
        <stp>ACT_EST_MAPPING=PRECISE</stp>
        <stp>FS=MRC</stp>
        <stp>CURRENCY=USD</stp>
        <stp>XLFILL=b</stp>
        <tr r="L47" s="2"/>
      </tp>
      <tp t="s">
        <v>#N/A Requesting Data...</v>
        <stp/>
        <stp>##V3_BQLV12</stp>
        <stp>[MODL_NOW_US1.xlsx]Single Period!R208C15</stp>
        <stp>NOW US Equity</stp>
        <stp>CF_CHANGE_IN_OTHR_ASSTS/1M</stp>
        <stp>FPR=2021Y</stp>
        <stp>FPT=A</stp>
        <stp>FA_ACT_EST_DATA=E, EST_SOURCE=OPY</stp>
        <stp>ACT_EST_MAPPING=PRECISE</stp>
        <stp>FS=MRC</stp>
        <stp>CURRENCY=USD</stp>
        <stp>XLFILL=b</stp>
        <tr r="O208" s="2"/>
      </tp>
      <tp t="s">
        <v>#N/A Requesting Data...</v>
        <stp/>
        <stp>##V3_BQLV12</stp>
        <stp>[MODL_NOW_US1.xlsx]Single Period!R205C23</stp>
        <stp>NOW US Equity</stp>
        <stp>CB_CF_OTHR_NONCSH_ITEMS/1M</stp>
        <stp>FPR=2021Y</stp>
        <stp>FPT=A</stp>
        <stp>FA_ACT_EST_DATA=E, EST_SOURCE=ZXS</stp>
        <stp>ACT_EST_MAPPING=PRECISE</stp>
        <stp>FS=MRC</stp>
        <stp>CURRENCY=USD</stp>
        <stp>XLFILL=b</stp>
        <tr r="W205" s="2"/>
      </tp>
      <tp t="s">
        <v>#N/A Requesting Data...</v>
        <stp/>
        <stp>##V3_BQLV12</stp>
        <stp>[MODL_NOW_US1.xlsx]Single Period!R138C27</stp>
        <stp>NOW US Equity</stp>
        <stp>SBC_NON_GAAP_TO_SALES</stp>
        <stp>FPR=2021Y</stp>
        <stp>FPT=A</stp>
        <stp>FA_ACT_EST_DATA=E, EST_SOURCE=RBC</stp>
        <stp>ACT_EST_MAPPING=PRECISE</stp>
        <stp>FS=MRC</stp>
        <stp>CURRENCY=USD</stp>
        <stp>XLFILL=b</stp>
        <tr r="AA138" s="2"/>
      </tp>
      <tp t="s">
        <v>#N/A Requesting Data...</v>
        <stp/>
        <stp>##V3_BQLV12</stp>
        <stp>[MODL_NOW_US1.xlsx]Single Period!R138C32</stp>
        <stp>NOW US Equity</stp>
        <stp>SBC_NON_GAAP_TO_SALES</stp>
        <stp>FPR=2021Y</stp>
        <stp>FPT=A</stp>
        <stp>FA_ACT_EST_DATA=E, EST_SOURCE=FBC</stp>
        <stp>ACT_EST_MAPPING=PRECISE</stp>
        <stp>FS=MRC</stp>
        <stp>CURRENCY=USD</stp>
        <stp>XLFILL=b</stp>
        <tr r="AF138" s="2"/>
      </tp>
      <tp t="s">
        <v>#N/A Requesting Data...</v>
        <stp/>
        <stp>##V3_BQLV12</stp>
        <stp>[MODL_NOW_US1.xlsx]Single Period!R219C49</stp>
        <stp>NOW US Equity</stp>
        <stp>CF_PURCHSS_OF_INVSTMNTS/1M</stp>
        <stp>FPR=2021Y</stp>
        <stp>FPT=A</stp>
        <stp>FA_ACT_EST_DATA=E, EST_SOURCE=SCB</stp>
        <stp>ACT_EST_MAPPING=PRECISE</stp>
        <stp>FS=MRC</stp>
        <stp>CURRENCY=USD</stp>
        <stp>XLFILL=b</stp>
        <tr r="AW219" s="2"/>
      </tp>
      <tp t="s">
        <v>#N/A Requesting Data...</v>
        <stp/>
        <stp>##V3_BQLV12</stp>
        <stp>[MODL_NOW_US1.xlsx]Single Period!R219C16</stp>
        <stp>NOW US Equity</stp>
        <stp>CF_PURCHSS_OF_INVSTMNTS/1M</stp>
        <stp>FPR=2021Y</stp>
        <stp>FPT=A</stp>
        <stp>FA_ACT_EST_DATA=E, EST_SOURCE=BCA</stp>
        <stp>ACT_EST_MAPPING=PRECISE</stp>
        <stp>FS=MRC</stp>
        <stp>CURRENCY=USD</stp>
        <stp>XLFILL=b</stp>
        <tr r="P219" s="2"/>
      </tp>
      <tp t="s">
        <v>#N/A Requesting Data...</v>
        <stp/>
        <stp>##V3_BQLV12</stp>
        <stp>[MODL_NOW_US1.xlsx]Single Period!R47C26</stp>
        <stp>SEG0000230986 Segment</stp>
        <stp>CB_ADJ_BILLINGS_AMT/1M</stp>
        <stp>FPR=2021Y</stp>
        <stp>FPT=A</stp>
        <stp>FA_ACT_EST_DATA=E, EST_SOURCE=UBS</stp>
        <stp>ACT_EST_MAPPING=PRECISE</stp>
        <stp>FS=MRC</stp>
        <stp>CURRENCY=USD</stp>
        <stp>XLFILL=b</stp>
        <tr r="Z47" s="2"/>
      </tp>
      <tp t="s">
        <v>#N/A Requesting Data...</v>
        <stp/>
        <stp>##V3_BQLV12</stp>
        <stp>[MODL_NOW_US1.xlsx]Single Period!R160C21</stp>
        <stp>NOW US Equity</stp>
        <stp>PREPAID_EXPNSS_AND_OTHR/1M</stp>
        <stp>FPR=2021Y</stp>
        <stp>FPT=A</stp>
        <stp>FA_ACT_EST_DATA=E, EST_SOURCE=JMP</stp>
        <stp>ACT_EST_MAPPING=PRECISE</stp>
        <stp>FS=MRC</stp>
        <stp>CURRENCY=USD</stp>
        <stp>XLFILL=b</stp>
        <tr r="U160" s="2"/>
      </tp>
      <tp t="s">
        <v>#N/A Requesting Data...</v>
        <stp/>
        <stp>##V3_BQLV12</stp>
        <stp>[MODL_NOW_US1.xlsx]Single Period!R138C26</stp>
        <stp>NOW US Equity</stp>
        <stp>SBC_NON_GAAP_TO_SALES</stp>
        <stp>FPR=2021Y</stp>
        <stp>FPT=A</stp>
        <stp>FA_ACT_EST_DATA=E, EST_SOURCE=UBS</stp>
        <stp>ACT_EST_MAPPING=PRECISE</stp>
        <stp>FS=MRC</stp>
        <stp>CURRENCY=USD</stp>
        <stp>XLFILL=b</stp>
        <tr r="Z138" s="2"/>
      </tp>
      <tp t="s">
        <v>#N/A Requesting Data...</v>
        <stp/>
        <stp>##V3_BQLV12</stp>
        <stp>[MODL_NOW_US1.xlsx]Single Period!R208C11</stp>
        <stp>NOW US Equity</stp>
        <stp>CF_CHANGE_IN_OTHR_ASSTS/1M</stp>
        <stp>FPR=2021Y</stp>
        <stp>FPT=A</stp>
        <stp>FA_ACT_EST_DATA=E, EST_SOURCE=JPM</stp>
        <stp>ACT_EST_MAPPING=PRECISE</stp>
        <stp>FS=MRC</stp>
        <stp>CURRENCY=USD</stp>
        <stp>XLFILL=b</stp>
        <tr r="K208" s="2"/>
      </tp>
      <tp t="s">
        <v>#N/A Requesting Data...</v>
        <stp/>
        <stp>##V3_BQLV12</stp>
        <stp>[MODL_NOW_US1.xlsx]Single Period!R221C30</stp>
        <stp>NOW US Equity</stp>
        <stp>CB_CF_OTHER_INVESTING_ACTIVITIES/1M</stp>
        <stp>FPR=2021Y</stp>
        <stp>FPT=A</stp>
        <stp>FA_ACT_EST_DATA=E, EST_SOURCE=BAM</stp>
        <stp>ACT_EST_MAPPING=PRECISE</stp>
        <stp>FS=MRC</stp>
        <stp>CURRENCY=USD</stp>
        <stp>XLFILL=b</stp>
        <tr r="AD221" s="2"/>
      </tp>
      <tp t="s">
        <v>#N/A Requesting Data...</v>
        <stp/>
        <stp>##V3_BQLV12</stp>
        <stp>[MODL_NOW_US1.xlsx]Single Period!R182C43</stp>
        <stp>NOW US Equity</stp>
        <stp>BS_OTHER_NONCURRENT_LIABILITIES/1M</stp>
        <stp>FPR=2021Y</stp>
        <stp>FPT=A</stp>
        <stp>FA_ACT_EST_DATA=E, EST_SOURCE=WFT</stp>
        <stp>ACT_EST_MAPPING=PRECISE</stp>
        <stp>FS=MRC</stp>
        <stp>CURRENCY=USD</stp>
        <stp>XLFILL=b</stp>
        <tr r="AQ182" s="2"/>
      </tp>
      <tp t="s">
        <v>#N/A Requesting Data...</v>
        <stp/>
        <stp>##V3_BQLV12</stp>
        <stp>[MODL_NOW_US1.xlsx]Single Period!R71C11</stp>
        <stp>SEG0000230986 Segment</stp>
        <stp>CB_IS_GROSS_PROFIT/1M</stp>
        <stp>FPR=2021Y</stp>
        <stp>FPT=A</stp>
        <stp>FA_ACT_EST_DATA=E, EST_SOURCE=JPM</stp>
        <stp>ACT_EST_MAPPING=PRECISE</stp>
        <stp>FS=MRC</stp>
        <stp>CURRENCY=USD</stp>
        <stp>XLFILL=b</stp>
        <tr r="K71" s="2"/>
      </tp>
      <tp t="s">
        <v>#N/A Requesting Data...</v>
        <stp/>
        <stp>##V3_BQLV12</stp>
        <stp>[MODL_NOW_US1.xlsx]Single Period!R107C48</stp>
        <stp>NOW US Equity</stp>
        <stp>CB_IS_ADJ_DILUTED_AVG_SHS/1M</stp>
        <stp>FPR=2021Y</stp>
        <stp>FPT=A</stp>
        <stp>FA_ACT_EST_DATA=E, EST_SOURCE=CRC</stp>
        <stp>ACT_EST_MAPPING=PRECISE</stp>
        <stp>FS=MRC</stp>
        <stp>CURRENCY=USD</stp>
        <stp>XLFILL=b</stp>
        <tr r="AV107" s="2"/>
      </tp>
      <tp t="s">
        <v>#N/A Requesting Data...</v>
        <stp/>
        <stp>##V3_BQLV12</stp>
        <stp>[MODL_NOW_US1.xlsx]Single Period!R175C46</stp>
        <stp>NOW US Equity</stp>
        <stp>BS_ACCRUD_EXPNSS_AND_OTHR/1M</stp>
        <stp>FPR=2021Y</stp>
        <stp>FPT=A</stp>
        <stp>FA_ACT_EST_DATA=E, EST_SOURCE=MZS</stp>
        <stp>ACT_EST_MAPPING=PRECISE</stp>
        <stp>FS=MRC</stp>
        <stp>CURRENCY=USD</stp>
        <stp>XLFILL=b</stp>
        <tr r="AT175" s="2"/>
      </tp>
      <tp t="s">
        <v>#N/A Requesting Data...</v>
        <stp/>
        <stp>##V3_BQLV12</stp>
        <stp>[MODL_NOW_US1.xlsx]Single Period!R221C16</stp>
        <stp>NOW US Equity</stp>
        <stp>CB_CF_OTHER_INVESTING_ACTIVITIES/1M</stp>
        <stp>FPR=2021Y</stp>
        <stp>FPT=A</stp>
        <stp>FA_ACT_EST_DATA=E, EST_SOURCE=BCA</stp>
        <stp>ACT_EST_MAPPING=PRECISE</stp>
        <stp>FS=MRC</stp>
        <stp>CURRENCY=USD</stp>
        <stp>XLFILL=b</stp>
        <tr r="P221" s="2"/>
      </tp>
      <tp t="s">
        <v>#N/A Requesting Data...</v>
        <stp/>
        <stp>##V3_BQLV12</stp>
        <stp>[MODL_NOW_US1.xlsx]Single Period!R227C32</stp>
        <stp>NOW US Equity</stp>
        <stp>CF_NET_CSH_PROV_BY_FINANCING_ACT/1M</stp>
        <stp>FPR=2021Y</stp>
        <stp>FPT=A</stp>
        <stp>FA_ACT_EST_DATA=E, EST_SOURCE=FBC</stp>
        <stp>ACT_EST_MAPPING=PRECISE</stp>
        <stp>FS=MRC</stp>
        <stp>CURRENCY=USD</stp>
        <stp>XLFILL=b</stp>
        <tr r="AF227" s="2"/>
      </tp>
      <tp t="s">
        <v>#N/A Requesting Data...</v>
        <stp/>
        <stp>##V3_BQLV12</stp>
        <stp>[MODL_NOW_US1.xlsx]Single Period!R221C33</stp>
        <stp>NOW US Equity</stp>
        <stp>CB_CF_OTHER_INVESTING_ACTIVITIES/1M</stp>
        <stp>FPR=2021Y</stp>
        <stp>FPT=A</stp>
        <stp>FA_ACT_EST_DATA=E, EST_SOURCE=MAC</stp>
        <stp>ACT_EST_MAPPING=PRECISE</stp>
        <stp>FS=MRC</stp>
        <stp>CURRENCY=USD</stp>
        <stp>XLFILL=b</stp>
        <tr r="AG221" s="2"/>
      </tp>
      <tp t="s">
        <v>#N/A Requesting Data...</v>
        <stp/>
        <stp>##V3_BQLV12</stp>
        <stp>[MODL_NOW_US1.xlsx]Single Period!R104C29</stp>
        <stp>NOW US Equity</stp>
        <stp>IS_COMP_NET_INC_EXCL_STOCK_COMP/1M</stp>
        <stp>FPR=2021Y</stp>
        <stp>FPT=A</stp>
        <stp>FA_ACT_EST_DATA=E, EST_SOURCE=BNS</stp>
        <stp>ACT_EST_MAPPING=PRECISE</stp>
        <stp>FS=MRC</stp>
        <stp>CURRENCY=USD</stp>
        <stp>XLFILL=b</stp>
        <tr r="AC104" s="2"/>
      </tp>
      <tp t="s">
        <v>#N/A Requesting Data...</v>
        <stp/>
        <stp>##V3_BQLV12</stp>
        <stp>[MODL_NOW_US1.xlsx]Single Period!R104C18</stp>
        <stp>NOW US Equity</stp>
        <stp>IS_COMP_NET_INC_EXCL_STOCK_COMP/1M</stp>
        <stp>FPR=2021Y</stp>
        <stp>FPT=A</stp>
        <stp>FA_ACT_EST_DATA=E, EST_SOURCE=SNR</stp>
        <stp>ACT_EST_MAPPING=PRECISE</stp>
        <stp>FS=MRC</stp>
        <stp>CURRENCY=USD</stp>
        <stp>XLFILL=b</stp>
        <tr r="R104" s="2"/>
      </tp>
      <tp t="s">
        <v>#N/A Requesting Data...</v>
        <stp/>
        <stp>##V3_BQLV12</stp>
        <stp>[MODL_NOW_US1.xlsx]Single Period!R107C19</stp>
        <stp>NOW US Equity</stp>
        <stp>CB_IS_ADJ_DILUTED_AVG_SHS/1M</stp>
        <stp>FPR=2021Y</stp>
        <stp>FPT=A</stp>
        <stp>FA_ACT_EST_DATA=E, EST_SOURCE=MSV</stp>
        <stp>ACT_EST_MAPPING=PRECISE</stp>
        <stp>FS=MRC</stp>
        <stp>CURRENCY=USD</stp>
        <stp>XLFILL=b</stp>
        <tr r="S107" s="2"/>
      </tp>
      <tp t="s">
        <v>#N/A Requesting Data...</v>
        <stp/>
        <stp>##V3_BQLV12</stp>
        <stp>[MODL_NOW_US1.xlsx]Single Period!R71C15</stp>
        <stp>SEG0000230986 Segment</stp>
        <stp>CB_IS_GROSS_PROFIT/1M</stp>
        <stp>FPR=2021Y</stp>
        <stp>FPT=A</stp>
        <stp>FA_ACT_EST_DATA=E, EST_SOURCE=OPY</stp>
        <stp>ACT_EST_MAPPING=PRECISE</stp>
        <stp>FS=MRC</stp>
        <stp>CURRENCY=USD</stp>
        <stp>XLFILL=b</stp>
        <tr r="O71" s="2"/>
      </tp>
      <tp t="s">
        <v>#N/A Requesting Data...</v>
        <stp/>
        <stp>##V3_BQLV12</stp>
        <stp>[MODL_NOW_US1.xlsx]Single Period!R216C19</stp>
        <stp>NOW US Equity</stp>
        <stp>CF_PURCHASE_OF_FIXED_PROD_ASSETS/1M</stp>
        <stp>FPR=2021Y</stp>
        <stp>FPT=A</stp>
        <stp>FA_ACT_EST_DATA=E, EST_SOURCE=MSV</stp>
        <stp>ACT_EST_MAPPING=PRECISE</stp>
        <stp>FS=MRC</stp>
        <stp>CURRENCY=USD</stp>
        <stp>XLFILL=b</stp>
        <tr r="S216" s="2"/>
      </tp>
      <tp t="s">
        <v>#N/A Requesting Data...</v>
        <stp/>
        <stp>##V3_BQLV12</stp>
        <stp>[MODL_NOW_US1.xlsx]Single Period!R148C21</stp>
        <stp>NOW US Equity</stp>
        <stp>IS_AMORT_ACQD_INTANGIBLES_R_AND_D/1M</stp>
        <stp>FPR=2021Y</stp>
        <stp>FPT=A</stp>
        <stp>FA_ACT_EST_DATA=E, EST_SOURCE=JMP</stp>
        <stp>ACT_EST_MAPPING=PRECISE</stp>
        <stp>FS=MRC</stp>
        <stp>CURRENCY=USD</stp>
        <stp>XLFILL=b</stp>
        <tr r="U148" s="2"/>
      </tp>
      <tp t="s">
        <v>#N/A Requesting Data...</v>
        <stp/>
        <stp>##V3_BQLV12</stp>
        <stp>[MODL_NOW_US1.xlsx]Single Period!R221C43</stp>
        <stp>NOW US Equity</stp>
        <stp>CB_CF_OTHER_INVESTING_ACTIVITIES/1M</stp>
        <stp>FPR=2021Y</stp>
        <stp>FPT=A</stp>
        <stp>FA_ACT_EST_DATA=E, EST_SOURCE=WFT</stp>
        <stp>ACT_EST_MAPPING=PRECISE</stp>
        <stp>FS=MRC</stp>
        <stp>CURRENCY=USD</stp>
        <stp>XLFILL=b</stp>
        <tr r="AQ221" s="2"/>
      </tp>
      <tp t="s">
        <v>#N/A Requesting Data...</v>
        <stp/>
        <stp>##V3_BQLV12</stp>
        <stp>[MODL_NOW_US1.xlsx]Single Period!R218C17</stp>
        <stp>NOW US Equity</stp>
        <stp>CF_ACQUISITION_OF_INTANG_ASSETS/1M</stp>
        <stp>FPR=2021Y</stp>
        <stp>FPT=A</stp>
        <stp>FA_ACT_EST_DATA=E, EST_SOURCE=RHR</stp>
        <stp>ACT_EST_MAPPING=PRECISE</stp>
        <stp>FS=MRC</stp>
        <stp>CURRENCY=USD</stp>
        <stp>XLFILL=b</stp>
        <tr r="Q218" s="2"/>
      </tp>
      <tp t="s">
        <v>#N/A Requesting Data...</v>
        <stp/>
        <stp>##V3_BQLV12</stp>
        <stp>[MODL_NOW_US1.xlsx]Single Period!R121C23</stp>
        <stp>NOW US Equity</stp>
        <stp>CB_IS_GENL_AND_ADMIN_EXPN/1M</stp>
        <stp>FPR=2021Y</stp>
        <stp>FPT=A</stp>
        <stp>FA_ACT_EST_DATA=E, EST_SOURCE=ZXS</stp>
        <stp>ACT_EST_MAPPING=PRECISE</stp>
        <stp>FS=MRC</stp>
        <stp>CURRENCY=USD</stp>
        <stp>XLFILL=b</stp>
        <tr r="W121" s="2"/>
      </tp>
      <tp t="s">
        <v>#N/A Requesting Data...</v>
        <stp/>
        <stp>##V3_BQLV12</stp>
        <stp>[MODL_NOW_US1.xlsx]Single Period!R116C23</stp>
        <stp>NOW US Equity</stp>
        <stp>GROSS_MARGIN</stp>
        <stp>FPR=2021Y</stp>
        <stp>FPT=A</stp>
        <stp>FA_ACT_EST_DATA=E, EST_SOURCE=ZXS</stp>
        <stp>ACT_EST_MAPPING=PRECISE</stp>
        <stp>FS=MRC</stp>
        <stp>CURRENCY=USD</stp>
        <stp>XLFILL=b</stp>
        <tr r="W116" s="2"/>
      </tp>
      <tp t="s">
        <v>#N/A Requesting Data...</v>
        <stp/>
        <stp>##V3_BQLV12</stp>
        <stp>[MODL_NOW_US1.xlsx]Single Period!R81C37</stp>
        <stp>NOW US Equity</stp>
        <stp>IS_ADJ_SALES_YOY_CHG_PCT_CC</stp>
        <stp>FPR=2021Y</stp>
        <stp>FPT=A</stp>
        <stp>FA_ACT_EST_DATA=E, EST_SOURCE=TTC</stp>
        <stp>ACT_EST_MAPPING=PRECISE</stp>
        <stp>FS=MRC</stp>
        <stp>CURRENCY=USD</stp>
        <stp>XLFILL=b</stp>
        <tr r="AK81" s="2"/>
      </tp>
      <tp t="s">
        <v>#N/A Requesting Data...</v>
        <stp/>
        <stp>##V3_BQLV12</stp>
        <stp>[MODL_NOW_US1.xlsx]Single Period!R138C9</stp>
        <stp>NOW US Equity</stp>
        <stp>CONTRIBUTOR_STATS(SBC_NON_GAAP_TO_SALES, MEDIAN)</stp>
        <stp>FPR=2021Y</stp>
        <stp>FPT=A</stp>
        <stp>FA_ACT_EST_DATA=E</stp>
        <stp>ACT_EST_MAPPING=PRECISE</stp>
        <stp>FS=MRC</stp>
        <stp>CURRENCY=USD</stp>
        <stp>XLFILL=b</stp>
        <tr r="I138" s="2"/>
      </tp>
      <tp t="s">
        <v>#N/A Requesting Data...</v>
        <stp/>
        <stp>##V3_BQLV12</stp>
        <stp>[MODL_NOW_US1.xlsx]Single Period!R239C14</stp>
        <stp>NOW US Equity</stp>
        <stp>CFO_TO_SALES</stp>
        <stp>FPR=2021Y</stp>
        <stp>FPT=A</stp>
        <stp>FA_ACT_EST_DATA=E, EST_SOURCE=BMO</stp>
        <stp>ACT_EST_MAPPING=PRECISE</stp>
        <stp>FS=MRC</stp>
        <stp>CURRENCY=USD</stp>
        <stp>XLFILL=b</stp>
        <tr r="N239" s="2"/>
      </tp>
      <tp t="s">
        <v>#N/A Requesting Data...</v>
        <stp/>
        <stp>##V3_BQLV12</stp>
        <stp>[MODL_NOW_US1.xlsx]Single Period!R164C46</stp>
        <stp>NOW US Equity</stp>
        <stp>CB_BS_PP_AND_E_NET/1M</stp>
        <stp>FPR=2021Y</stp>
        <stp>FPT=A</stp>
        <stp>FA_ACT_EST_DATA=E, EST_SOURCE=MZS</stp>
        <stp>ACT_EST_MAPPING=PRECISE</stp>
        <stp>FS=MRC</stp>
        <stp>CURRENCY=USD</stp>
        <stp>XLFILL=b</stp>
        <tr r="AT164" s="2"/>
      </tp>
      <tp t="s">
        <v>#N/A Requesting Data...</v>
        <stp/>
        <stp>##V3_BQLV12</stp>
        <stp>[MODL_NOW_US1.xlsx]Single Period!R144C20</stp>
        <stp>NOW US Equity</stp>
        <stp>IS_SBC_ATT_TO_GENL_AND_ADMIN_PRETX/1M</stp>
        <stp>FPR=2021Y</stp>
        <stp>FPT=A</stp>
        <stp>FA_ACT_EST_DATA=E, EST_SOURCE=CAN</stp>
        <stp>ACT_EST_MAPPING=PRECISE</stp>
        <stp>FS=MRC</stp>
        <stp>CURRENCY=USD</stp>
        <stp>XLFILL=b</stp>
        <tr r="T144" s="2"/>
      </tp>
      <tp t="s">
        <v>#N/A Requesting Data...</v>
        <stp/>
        <stp>##V3_BQLV12</stp>
        <stp>[MODL_NOW_US1.xlsx]Single Period!R144C30</stp>
        <stp>NOW US Equity</stp>
        <stp>IS_SBC_ATT_TO_GENL_AND_ADMIN_PRETX/1M</stp>
        <stp>FPR=2021Y</stp>
        <stp>FPT=A</stp>
        <stp>FA_ACT_EST_DATA=E, EST_SOURCE=BAM</stp>
        <stp>ACT_EST_MAPPING=PRECISE</stp>
        <stp>FS=MRC</stp>
        <stp>CURRENCY=USD</stp>
        <stp>XLFILL=b</stp>
        <tr r="AD144" s="2"/>
      </tp>
      <tp t="s">
        <v>#N/A Requesting Data...</v>
        <stp/>
        <stp>##V3_BQLV12</stp>
        <stp>[MODL_NOW_US1.xlsx]Single Period!R149C11</stp>
        <stp>NOW US Equity</stp>
        <stp>IS_AMORT_ACQD_INTANG_GEN_AND_ADMIN/1M</stp>
        <stp>FPR=2021Y</stp>
        <stp>FPT=A</stp>
        <stp>FA_ACT_EST_DATA=E, EST_SOURCE=JPM</stp>
        <stp>ACT_EST_MAPPING=PRECISE</stp>
        <stp>FS=MRC</stp>
        <stp>CURRENCY=USD</stp>
        <stp>XLFILL=b</stp>
        <tr r="K149" s="2"/>
      </tp>
      <tp t="s">
        <v>#N/A Requesting Data...</v>
        <stp/>
        <stp>##V3_BQLV12</stp>
        <stp>[MODL_NOW_US1.xlsx]Single Period!R91C27</stp>
        <stp>NOW US Equity</stp>
        <stp>ADJ_R_AND_D_TO_SALES</stp>
        <stp>FPR=2021Y</stp>
        <stp>FPT=A</stp>
        <stp>FA_ACT_EST_DATA=E, EST_SOURCE=RBC</stp>
        <stp>ACT_EST_MAPPING=PRECISE</stp>
        <stp>FS=MRC</stp>
        <stp>CURRENCY=USD</stp>
        <stp>XLFILL=b</stp>
        <tr r="AA91" s="2"/>
      </tp>
      <tp t="s">
        <v>#N/A Requesting Data...</v>
        <stp/>
        <stp>##V3_BQLV12</stp>
        <stp>[MODL_NOW_US1.xlsx]Single Period!R91C16</stp>
        <stp>NOW US Equity</stp>
        <stp>ADJ_R_AND_D_TO_SALES</stp>
        <stp>FPR=2021Y</stp>
        <stp>FPT=A</stp>
        <stp>FA_ACT_EST_DATA=E, EST_SOURCE=BCA</stp>
        <stp>ACT_EST_MAPPING=PRECISE</stp>
        <stp>FS=MRC</stp>
        <stp>CURRENCY=USD</stp>
        <stp>XLFILL=b</stp>
        <tr r="P91" s="2"/>
      </tp>
      <tp t="s">
        <v>#N/A Requesting Data...</v>
        <stp/>
        <stp>##V3_BQLV12</stp>
        <stp>[MODL_NOW_US1.xlsx]Single Period!R144C33</stp>
        <stp>NOW US Equity</stp>
        <stp>IS_SBC_ATT_TO_GENL_AND_ADMIN_PRETX/1M</stp>
        <stp>FPR=2021Y</stp>
        <stp>FPT=A</stp>
        <stp>FA_ACT_EST_DATA=E, EST_SOURCE=MAC</stp>
        <stp>ACT_EST_MAPPING=PRECISE</stp>
        <stp>FS=MRC</stp>
        <stp>CURRENCY=USD</stp>
        <stp>XLFILL=b</stp>
        <tr r="AG144" s="2"/>
      </tp>
      <tp t="s">
        <v>#N/A Requesting Data...</v>
        <stp/>
        <stp>##V3_BQLV12</stp>
        <stp>[MODL_NOW_US1.xlsx]Single Period!R166C36</stp>
        <stp>NOW US Equity</stp>
        <stp>BS_OTHER_INTANGIBLE_ASSETS/1M</stp>
        <stp>FPR=2021Y</stp>
        <stp>FPT=A</stp>
        <stp>FA_ACT_EST_DATA=E, EST_SOURCE=JEF</stp>
        <stp>ACT_EST_MAPPING=PRECISE</stp>
        <stp>FS=MRC</stp>
        <stp>CURRENCY=USD</stp>
        <stp>XLFILL=b</stp>
        <tr r="AJ166" s="2"/>
      </tp>
      <tp t="s">
        <v>#N/A Requesting Data...</v>
        <stp/>
        <stp>##V3_BQLV12</stp>
        <stp>[MODL_NOW_US1.xlsx]Single Period!R28C35</stp>
        <stp>NOW US Equity</stp>
        <stp>ADJ_OPERATING_MARGIN</stp>
        <stp>FPR=2021Y</stp>
        <stp>FPT=A</stp>
        <stp>FA_ACT_EST_DATA=E, EST_SOURCE=MSR</stp>
        <stp>ACT_EST_MAPPING=PRECISE</stp>
        <stp>FS=MRC</stp>
        <stp>CURRENCY=USD</stp>
        <stp>XLFILL=b</stp>
        <tr r="AI28" s="2"/>
      </tp>
      <tp t="s">
        <v>#N/A Requesting Data...</v>
        <stp/>
        <stp>##V3_BQLV12</stp>
        <stp>[MODL_NOW_US1.xlsx]Single Period!R212C28</stp>
        <stp>NOW US Equity</stp>
        <stp>CF_CHANGE_IN_ACCRUD_EXPNSS/1M</stp>
        <stp>FPR=2021Y</stp>
        <stp>FPT=A</stp>
        <stp>FA_ACT_EST_DATA=E, EST_SOURCE=EVR</stp>
        <stp>ACT_EST_MAPPING=PRECISE</stp>
        <stp>FS=MRC</stp>
        <stp>CURRENCY=USD</stp>
        <stp>XLFILL=b</stp>
        <tr r="AB212" s="2"/>
      </tp>
      <tp t="s">
        <v>#N/A Requesting Data...</v>
        <stp/>
        <stp>##V3_BQLV12</stp>
        <stp>[MODL_NOW_US1.xlsx]Single Period!R166C13</stp>
        <stp>NOW US Equity</stp>
        <stp>BS_OTHER_INTANGIBLE_ASSETS/1M</stp>
        <stp>FPR=2021Y</stp>
        <stp>FPT=A</stp>
        <stp>FA_ACT_EST_DATA=E, EST_SOURCE=KEY</stp>
        <stp>ACT_EST_MAPPING=PRECISE</stp>
        <stp>FS=MRC</stp>
        <stp>CURRENCY=USD</stp>
        <stp>XLFILL=b</stp>
        <tr r="M166" s="2"/>
      </tp>
      <tp t="s">
        <v>#N/A Requesting Data...</v>
        <stp/>
        <stp>##V3_BQLV12</stp>
        <stp>[MODL_NOW_US1.xlsx]Single Period!R164C39</stp>
        <stp>NOW US Equity</stp>
        <stp>CB_BS_PP_AND_E_NET/1M</stp>
        <stp>FPR=2021Y</stp>
        <stp>FPT=A</stp>
        <stp>FA_ACT_EST_DATA=E, EST_SOURCE=DZB</stp>
        <stp>ACT_EST_MAPPING=PRECISE</stp>
        <stp>FS=MRC</stp>
        <stp>CURRENCY=USD</stp>
        <stp>XLFILL=b</stp>
        <tr r="AM164" s="2"/>
      </tp>
      <tp t="s">
        <v>#N/A Requesting Data...</v>
        <stp/>
        <stp>##V3_BQLV12</stp>
        <stp>[MODL_NOW_US1.xlsx]Single Period!R149C15</stp>
        <stp>NOW US Equity</stp>
        <stp>IS_AMORT_ACQD_INTANG_GEN_AND_ADMIN/1M</stp>
        <stp>FPR=2021Y</stp>
        <stp>FPT=A</stp>
        <stp>FA_ACT_EST_DATA=E, EST_SOURCE=OPY</stp>
        <stp>ACT_EST_MAPPING=PRECISE</stp>
        <stp>FS=MRC</stp>
        <stp>CURRENCY=USD</stp>
        <stp>XLFILL=b</stp>
        <tr r="O149" s="2"/>
      </tp>
      <tp t="s">
        <v>#N/A Requesting Data...</v>
        <stp/>
        <stp>##V3_BQLV12</stp>
        <stp>[MODL_NOW_US1.xlsx]Single Period!R194C42</stp>
        <stp>NOW US Equity</stp>
        <stp>CB_BS_OTHER_CURRENT_ASSETS/1M</stp>
        <stp>FPR=2021Y</stp>
        <stp>FPT=A</stp>
        <stp>FA_ACT_EST_DATA=E, EST_SOURCE=CTI</stp>
        <stp>ACT_EST_MAPPING=PRECISE</stp>
        <stp>FS=MRC</stp>
        <stp>CURRENCY=USD</stp>
        <stp>XLFILL=b</stp>
        <tr r="AP194" s="2"/>
      </tp>
      <tp t="s">
        <v>#N/A Requesting Data...</v>
        <stp/>
        <stp>##V3_BQLV12</stp>
        <stp>[MODL_NOW_US1.xlsx]Single Period!R28C42</stp>
        <stp>NOW US Equity</stp>
        <stp>ADJ_OPERATING_MARGIN</stp>
        <stp>FPR=2021Y</stp>
        <stp>FPT=A</stp>
        <stp>FA_ACT_EST_DATA=E, EST_SOURCE=CTI</stp>
        <stp>ACT_EST_MAPPING=PRECISE</stp>
        <stp>FS=MRC</stp>
        <stp>CURRENCY=USD</stp>
        <stp>XLFILL=b</stp>
        <tr r="AP28" s="2"/>
      </tp>
      <tp t="s">
        <v>#N/A Requesting Data...</v>
        <stp/>
        <stp>##V3_BQLV12</stp>
        <stp>[MODL_NOW_US1.xlsx]Single Period!R28C44</stp>
        <stp>NOW US Equity</stp>
        <stp>ADJ_OPERATING_MARGIN</stp>
        <stp>FPR=2021Y</stp>
        <stp>FPT=A</stp>
        <stp>FA_ACT_EST_DATA=E, EST_SOURCE=ARE</stp>
        <stp>ACT_EST_MAPPING=PRECISE</stp>
        <stp>FS=MRC</stp>
        <stp>CURRENCY=USD</stp>
        <stp>XLFILL=b</stp>
        <tr r="AR28" s="2"/>
      </tp>
      <tp t="s">
        <v>#N/A Requesting Data...</v>
        <stp/>
        <stp>##V3_BQLV12</stp>
        <stp>[MODL_NOW_US1.xlsx]Single Period!R194C37</stp>
        <stp>NOW US Equity</stp>
        <stp>CB_BS_OTHER_CURRENT_ASSETS/1M</stp>
        <stp>FPR=2021Y</stp>
        <stp>FPT=A</stp>
        <stp>FA_ACT_EST_DATA=E, EST_SOURCE=TTC</stp>
        <stp>ACT_EST_MAPPING=PRECISE</stp>
        <stp>FS=MRC</stp>
        <stp>CURRENCY=USD</stp>
        <stp>XLFILL=b</stp>
        <tr r="AK194" s="2"/>
      </tp>
      <tp t="s">
        <v>#N/A Requesting Data...</v>
        <stp/>
        <stp>##V3_BQLV12</stp>
        <stp>[MODL_NOW_US1.xlsx]Single Period!R91C43</stp>
        <stp>NOW US Equity</stp>
        <stp>ADJ_R_AND_D_TO_SALES</stp>
        <stp>FPR=2021Y</stp>
        <stp>FPT=A</stp>
        <stp>FA_ACT_EST_DATA=E, EST_SOURCE=WFT</stp>
        <stp>ACT_EST_MAPPING=PRECISE</stp>
        <stp>FS=MRC</stp>
        <stp>CURRENCY=USD</stp>
        <stp>XLFILL=b</stp>
        <tr r="AQ91" s="2"/>
      </tp>
      <tp t="s">
        <v>#N/A Requesting Data...</v>
        <stp/>
        <stp>##V3_BQLV12</stp>
        <stp>[MODL_NOW_US1.xlsx]Single Period!R47C49</stp>
        <stp>SEG0000230986 Segment</stp>
        <stp>CB_ADJ_BILLINGS_AMT/1M</stp>
        <stp>FPR=2021Y</stp>
        <stp>FPT=A</stp>
        <stp>FA_ACT_EST_DATA=E, EST_SOURCE=SCB</stp>
        <stp>ACT_EST_MAPPING=PRECISE</stp>
        <stp>FS=MRC</stp>
        <stp>CURRENCY=USD</stp>
        <stp>XLFILL=b</stp>
        <tr r="AW47" s="2"/>
      </tp>
      <tp t="s">
        <v>#N/A Requesting Data...</v>
        <stp/>
        <stp>##V3_BQLV12</stp>
        <stp>[MODL_NOW_US1.xlsx]Single Period!R117C14</stp>
        <stp>NOW US Equity</stp>
        <stp>IS_TOT_OPER_EXP/1M</stp>
        <stp>FPR=2021Y</stp>
        <stp>FPT=A</stp>
        <stp>FA_ACT_EST_DATA=E, EST_SOURCE=BMO</stp>
        <stp>ACT_EST_MAPPING=PRECISE</stp>
        <stp>FS=MRC</stp>
        <stp>CURRENCY=USD</stp>
        <stp>XLFILL=b</stp>
        <tr r="N117" s="2"/>
      </tp>
      <tp t="s">
        <v>#N/A Requesting Data...</v>
        <stp/>
        <stp>##V3_BQLV12</stp>
        <stp>[MODL_NOW_US1.xlsx]Single Period!R47C16</stp>
        <stp>SEG0000230986 Segment</stp>
        <stp>CB_ADJ_BILLINGS_AMT/1M</stp>
        <stp>FPR=2021Y</stp>
        <stp>FPT=A</stp>
        <stp>FA_ACT_EST_DATA=E, EST_SOURCE=BCA</stp>
        <stp>ACT_EST_MAPPING=PRECISE</stp>
        <stp>FS=MRC</stp>
        <stp>CURRENCY=USD</stp>
        <stp>XLFILL=b</stp>
        <tr r="P47" s="2"/>
      </tp>
      <tp t="s">
        <v>#N/A Requesting Data...</v>
        <stp/>
        <stp>##V3_BQLV12</stp>
        <stp>[MODL_NOW_US1.xlsx]Single Period!R174C23</stp>
        <stp>NOW US Equity</stp>
        <stp>BS_ACCT_PAYABLE/1M</stp>
        <stp>FPR=2021Y</stp>
        <stp>FPT=A</stp>
        <stp>FA_ACT_EST_DATA=E, EST_SOURCE=ZXS</stp>
        <stp>ACT_EST_MAPPING=PRECISE</stp>
        <stp>FS=MRC</stp>
        <stp>CURRENCY=USD</stp>
        <stp>XLFILL=b</stp>
        <tr r="W174" s="2"/>
      </tp>
      <tp t="s">
        <v>#N/A Requesting Data...</v>
        <stp/>
        <stp>##V3_BQLV12</stp>
        <stp>[MODL_NOW_US1.xlsx]Single Period!R219C26</stp>
        <stp>NOW US Equity</stp>
        <stp>CF_PURCHSS_OF_INVSTMNTS/1M</stp>
        <stp>FPR=2021Y</stp>
        <stp>FPT=A</stp>
        <stp>FA_ACT_EST_DATA=E, EST_SOURCE=UBS</stp>
        <stp>ACT_EST_MAPPING=PRECISE</stp>
        <stp>FS=MRC</stp>
        <stp>CURRENCY=USD</stp>
        <stp>XLFILL=b</stp>
        <tr r="Z219" s="2"/>
      </tp>
      <tp t="s">
        <v>#N/A Requesting Data...</v>
        <stp/>
        <stp>##V3_BQLV12</stp>
        <stp>[MODL_NOW_US1.xlsx]Single Period!R138C16</stp>
        <stp>NOW US Equity</stp>
        <stp>SBC_NON_GAAP_TO_SALES</stp>
        <stp>FPR=2021Y</stp>
        <stp>FPT=A</stp>
        <stp>FA_ACT_EST_DATA=E, EST_SOURCE=BCA</stp>
        <stp>ACT_EST_MAPPING=PRECISE</stp>
        <stp>FS=MRC</stp>
        <stp>CURRENCY=USD</stp>
        <stp>XLFILL=b</stp>
        <tr r="P138" s="2"/>
      </tp>
      <tp t="s">
        <v>#N/A Requesting Data...</v>
        <stp/>
        <stp>##V3_BQLV12</stp>
        <stp>[MODL_NOW_US1.xlsx]Single Period!R138C49</stp>
        <stp>NOW US Equity</stp>
        <stp>SBC_NON_GAAP_TO_SALES</stp>
        <stp>FPR=2021Y</stp>
        <stp>FPT=A</stp>
        <stp>FA_ACT_EST_DATA=E, EST_SOURCE=SCB</stp>
        <stp>ACT_EST_MAPPING=PRECISE</stp>
        <stp>FS=MRC</stp>
        <stp>CURRENCY=USD</stp>
        <stp>XLFILL=b</stp>
        <tr r="AW138" s="2"/>
      </tp>
      <tp t="s">
        <v>#N/A Requesting Data...</v>
        <stp/>
        <stp>##V3_BQLV12</stp>
        <stp>[MODL_NOW_US1.xlsx]Single Period!R21C17</stp>
        <stp>SEG0000230986 Segment</stp>
        <stp>IS_BILLINGS/1M</stp>
        <stp>FPR=2021Y</stp>
        <stp>FPT=A</stp>
        <stp>FA_ACT_EST_DATA=E, EST_SOURCE=RHR</stp>
        <stp>ACT_EST_MAPPING=PRECISE</stp>
        <stp>FS=MRC</stp>
        <stp>CURRENCY=USD</stp>
        <stp>XLFILL=b</stp>
        <tr r="Q21" s="2"/>
      </tp>
      <tp t="s">
        <v>#N/A Requesting Data...</v>
        <stp/>
        <stp>##V3_BQLV12</stp>
        <stp>[MODL_NOW_US1.xlsx]Single Period!R46C17</stp>
        <stp>SEG0000230986 Segment</stp>
        <stp>IS_BILLINGS/1M</stp>
        <stp>FPR=2021Y</stp>
        <stp>FPT=A</stp>
        <stp>FA_ACT_EST_DATA=E, EST_SOURCE=RHR</stp>
        <stp>ACT_EST_MAPPING=PRECISE</stp>
        <stp>FS=MRC</stp>
        <stp>CURRENCY=USD</stp>
        <stp>XLFILL=b</stp>
        <tr r="Q46" s="2"/>
      </tp>
      <tp t="s">
        <v>#N/A Requesting Data...</v>
        <stp/>
        <stp>##V3_BQLV12</stp>
        <stp>[MODL_NOW_US1.xlsx]Single Period!R219C25</stp>
        <stp>NOW US Equity</stp>
        <stp>CF_PURCHSS_OF_INVSTMNTS/1M</stp>
        <stp>FPR=2021Y</stp>
        <stp>FPT=A</stp>
        <stp>FA_ACT_EST_DATA=E, EST_SOURCE=DBG</stp>
        <stp>ACT_EST_MAPPING=PRECISE</stp>
        <stp>FS=MRC</stp>
        <stp>CURRENCY=USD</stp>
        <stp>XLFILL=b</stp>
        <tr r="Y219" s="2"/>
      </tp>
      <tp t="s">
        <v>#N/A Requesting Data...</v>
        <stp/>
        <stp>##V3_BQLV12</stp>
        <stp>[MODL_NOW_US1.xlsx]Single Period!R181C29</stp>
        <stp>NOW US Equity</stp>
        <stp>BS_LONG_TERM_BORROWINGS/1M</stp>
        <stp>FPR=2021Y</stp>
        <stp>FPT=A</stp>
        <stp>FA_ACT_EST_DATA=E, EST_SOURCE=BNS</stp>
        <stp>ACT_EST_MAPPING=PRECISE</stp>
        <stp>FS=MRC</stp>
        <stp>CURRENCY=USD</stp>
        <stp>XLFILL=b</stp>
        <tr r="AC181" s="2"/>
      </tp>
      <tp t="s">
        <v>#N/A Requesting Data...</v>
        <stp/>
        <stp>##V3_BQLV12</stp>
        <stp>[MODL_NOW_US1.xlsx]Single Period!R219C32</stp>
        <stp>NOW US Equity</stp>
        <stp>CF_PURCHSS_OF_INVSTMNTS/1M</stp>
        <stp>FPR=2021Y</stp>
        <stp>FPT=A</stp>
        <stp>FA_ACT_EST_DATA=E, EST_SOURCE=FBC</stp>
        <stp>ACT_EST_MAPPING=PRECISE</stp>
        <stp>FS=MRC</stp>
        <stp>CURRENCY=USD</stp>
        <stp>XLFILL=b</stp>
        <tr r="AF219" s="2"/>
      </tp>
      <tp t="s">
        <v>#N/A Requesting Data...</v>
        <stp/>
        <stp>##V3_BQLV12</stp>
        <stp>[MODL_NOW_US1.xlsx]Single Period!R219C27</stp>
        <stp>NOW US Equity</stp>
        <stp>CF_PURCHSS_OF_INVSTMNTS/1M</stp>
        <stp>FPR=2021Y</stp>
        <stp>FPT=A</stp>
        <stp>FA_ACT_EST_DATA=E, EST_SOURCE=RBC</stp>
        <stp>ACT_EST_MAPPING=PRECISE</stp>
        <stp>FS=MRC</stp>
        <stp>CURRENCY=USD</stp>
        <stp>XLFILL=b</stp>
        <tr r="AA219" s="2"/>
      </tp>
      <tp t="s">
        <v>#N/A Requesting Data...</v>
        <stp/>
        <stp>##V3_BQLV12</stp>
        <stp>[MODL_NOW_US1.xlsx]Single Period!R181C18</stp>
        <stp>NOW US Equity</stp>
        <stp>BS_LONG_TERM_BORROWINGS/1M</stp>
        <stp>FPR=2021Y</stp>
        <stp>FPT=A</stp>
        <stp>FA_ACT_EST_DATA=E, EST_SOURCE=SNR</stp>
        <stp>ACT_EST_MAPPING=PRECISE</stp>
        <stp>FS=MRC</stp>
        <stp>CURRENCY=USD</stp>
        <stp>XLFILL=b</stp>
        <tr r="R181" s="2"/>
      </tp>
      <tp t="s">
        <v>#N/A Requesting Data...</v>
        <stp/>
        <stp>##V3_BQLV12</stp>
        <stp>[MODL_NOW_US1.xlsx]Single Period!R96C10</stp>
        <stp>NOW US Equity</stp>
        <stp>ADJ_OPERATING_MARGIN</stp>
        <stp>FPR=2021Y</stp>
        <stp>FPT=A</stp>
        <stp>FA_ACT_EST_DATA=E, EST_SOURCE=CMPY</stp>
        <stp>ACT_EST_MAPPING=PRECISE</stp>
        <stp>FS=MRC</stp>
        <stp>CURRENCY=USD</stp>
        <stp>XLFILL=b</stp>
        <tr r="J96" s="2"/>
      </tp>
      <tp t="s">
        <v>#N/A Requesting Data...</v>
        <stp/>
        <stp>##V3_BQLV12</stp>
        <stp>[MODL_NOW_US1.xlsx]Single Period!R219C12</stp>
        <stp>NOW US Equity</stp>
        <stp>CF_PURCHSS_OF_INVSTMNTS/1M</stp>
        <stp>FPR=2021Y</stp>
        <stp>FPT=A</stp>
        <stp>FA_ACT_EST_DATA=E, EST_SOURCE=WBL</stp>
        <stp>ACT_EST_MAPPING=PRECISE</stp>
        <stp>FS=MRC</stp>
        <stp>CURRENCY=USD</stp>
        <stp>XLFILL=b</stp>
        <tr r="L219" s="2"/>
      </tp>
      <tp t="s">
        <v>#N/A Requesting Data...</v>
        <stp/>
        <stp>##V3_BQLV12</stp>
        <stp>[MODL_NOW_US1.xlsx]Single Period!R199C23</stp>
        <stp>NOW US Equity</stp>
        <stp>IS_COMP_NET_INCOME_GAAP/1M</stp>
        <stp>FPR=2021Y</stp>
        <stp>FPT=A</stp>
        <stp>FA_ACT_EST_DATA=E, EST_SOURCE=ZXS</stp>
        <stp>ACT_EST_MAPPING=PRECISE</stp>
        <stp>FS=MRC</stp>
        <stp>CURRENCY=USD</stp>
        <stp>XLFILL=b</stp>
        <tr r="W199" s="2"/>
      </tp>
      <tp t="s">
        <v>#N/A Requesting Data...</v>
        <stp/>
        <stp>##V3_BQLV12</stp>
        <stp>[MODL_NOW_US1.xlsx]Single Period!R130C23</stp>
        <stp>NOW US Equity</stp>
        <stp>IS_COMP_NET_INCOME_GAAP/1M</stp>
        <stp>FPR=2021Y</stp>
        <stp>FPT=A</stp>
        <stp>FA_ACT_EST_DATA=E, EST_SOURCE=ZXS</stp>
        <stp>ACT_EST_MAPPING=PRECISE</stp>
        <stp>FS=MRC</stp>
        <stp>CURRENCY=USD</stp>
        <stp>XLFILL=b</stp>
        <tr r="W130" s="2"/>
      </tp>
      <tp t="s">
        <v>#N/A Requesting Data...</v>
        <stp/>
        <stp>##V3_BQLV12</stp>
        <stp>[MODL_NOW_US1.xlsx]Single Period!R237C5</stp>
        <stp>NOW US Equity</stp>
        <stp>FCF_PER_DIL_SHR</stp>
        <stp>FPR=2021Y</stp>
        <stp>FPT=A</stp>
        <stp>FA_ACT_EST_DATA=E</stp>
        <stp>ACT_EST_MAPPING=PRECISE</stp>
        <stp>FS=MRC</stp>
        <stp>CURRENCY=USD</stp>
        <stp>XLFILL=b</stp>
        <tr r="E237" s="2"/>
      </tp>
      <tp t="s">
        <v>#N/A Requesting Data...</v>
        <stp/>
        <stp>##V3_BQLV12</stp>
        <stp>[MODL_NOW_US1.xlsx]Single Period!R117C21</stp>
        <stp>NOW US Equity</stp>
        <stp>IS_TOT_OPER_EXP/1M</stp>
        <stp>FPR=2021Y</stp>
        <stp>FPT=A</stp>
        <stp>FA_ACT_EST_DATA=E, EST_SOURCE=JMP</stp>
        <stp>ACT_EST_MAPPING=PRECISE</stp>
        <stp>FS=MRC</stp>
        <stp>CURRENCY=USD</stp>
        <stp>XLFILL=b</stp>
        <tr r="U117" s="2"/>
      </tp>
      <tp t="s">
        <v>#N/A Requesting Data...</v>
        <stp/>
        <stp>##V3_BQLV12</stp>
        <stp>[MODL_NOW_US1.xlsx]Single Period!R213C15</stp>
        <stp>NOW US Equity</stp>
        <stp>CF_CASH_FROM_OPER/1M</stp>
        <stp>FPR=2021Y</stp>
        <stp>FPT=A</stp>
        <stp>FA_ACT_EST_DATA=E, EST_SOURCE=OPY</stp>
        <stp>ACT_EST_MAPPING=PRECISE</stp>
        <stp>FS=MRC</stp>
        <stp>CURRENCY=USD</stp>
        <stp>XLFILL=b</stp>
        <tr r="O213" s="2"/>
      </tp>
      <tp t="s">
        <v>#N/A Requesting Data...</v>
        <stp/>
        <stp>##V3_BQLV12</stp>
        <stp>[MODL_NOW_US1.xlsx]Single Period!R221C20</stp>
        <stp>NOW US Equity</stp>
        <stp>CB_CF_OTHER_INVESTING_ACTIVITIES/1M</stp>
        <stp>FPR=2021Y</stp>
        <stp>FPT=A</stp>
        <stp>FA_ACT_EST_DATA=E, EST_SOURCE=CAN</stp>
        <stp>ACT_EST_MAPPING=PRECISE</stp>
        <stp>FS=MRC</stp>
        <stp>CURRENCY=USD</stp>
        <stp>XLFILL=b</stp>
        <tr r="T221" s="2"/>
      </tp>
      <tp t="s">
        <v>#N/A Requesting Data...</v>
        <stp/>
        <stp>##V3_BQLV12</stp>
        <stp>[MODL_NOW_US1.xlsx]Single Period!R221C12</stp>
        <stp>NOW US Equity</stp>
        <stp>CB_CF_OTHER_INVESTING_ACTIVITIES/1M</stp>
        <stp>FPR=2021Y</stp>
        <stp>FPT=A</stp>
        <stp>FA_ACT_EST_DATA=E, EST_SOURCE=WBL</stp>
        <stp>ACT_EST_MAPPING=PRECISE</stp>
        <stp>FS=MRC</stp>
        <stp>CURRENCY=USD</stp>
        <stp>XLFILL=b</stp>
        <tr r="L221" s="2"/>
      </tp>
      <tp t="s">
        <v>#N/A Requesting Data...</v>
        <stp/>
        <stp>##V3_BQLV12</stp>
        <stp>[MODL_NOW_US1.xlsx]Single Period!R227C27</stp>
        <stp>NOW US Equity</stp>
        <stp>CF_NET_CSH_PROV_BY_FINANCING_ACT/1M</stp>
        <stp>FPR=2021Y</stp>
        <stp>FPT=A</stp>
        <stp>FA_ACT_EST_DATA=E, EST_SOURCE=RBC</stp>
        <stp>ACT_EST_MAPPING=PRECISE</stp>
        <stp>FS=MRC</stp>
        <stp>CURRENCY=USD</stp>
        <stp>XLFILL=b</stp>
        <tr r="AA227" s="2"/>
      </tp>
      <tp t="s">
        <v>#N/A Requesting Data...</v>
        <stp/>
        <stp>##V3_BQLV12</stp>
        <stp>[MODL_NOW_US1.xlsx]Single Period!R225C14</stp>
        <stp>NOW US Equity</stp>
        <stp>CF_INCR_CAP_STOCK/1M</stp>
        <stp>FPR=2021Y</stp>
        <stp>FPT=A</stp>
        <stp>FA_ACT_EST_DATA=E, EST_SOURCE=BMO</stp>
        <stp>ACT_EST_MAPPING=PRECISE</stp>
        <stp>FS=MRC</stp>
        <stp>CURRENCY=USD</stp>
        <stp>XLFILL=b</stp>
        <tr r="N225" s="2"/>
      </tp>
      <tp t="s">
        <v>#N/A Requesting Data...</v>
        <stp/>
        <stp>##V3_BQLV12</stp>
        <stp>[MODL_NOW_US1.xlsx]Single Period!R77C7</stp>
        <stp>SEG0000230969 Segment</stp>
        <stp>CONTRIBUTOR_STATS(SALES_REV_TURN, MAX)/1M</stp>
        <stp>FPR=2021Y</stp>
        <stp>FPT=A</stp>
        <stp>FA_ACT_EST_DATA=E</stp>
        <stp>ACT_EST_MAPPING=PRECISE</stp>
        <stp>FS=MRC</stp>
        <stp>CURRENCY=USD</stp>
        <stp>XLFILL=b</stp>
        <tr r="G77" s="2"/>
      </tp>
      <tp t="s">
        <v>#N/A Requesting Data...</v>
        <stp/>
        <stp>##V3_BQLV12</stp>
        <stp>[MODL_NOW_US1.xlsx]Single Period!R77C6</stp>
        <stp>SEG0000230969 Segment</stp>
        <stp>CONTRIBUTOR_STATS(SALES_REV_TURN, MIN)/1M</stp>
        <stp>FPR=2021Y</stp>
        <stp>FPT=A</stp>
        <stp>FA_ACT_EST_DATA=E</stp>
        <stp>ACT_EST_MAPPING=PRECISE</stp>
        <stp>FS=MRC</stp>
        <stp>CURRENCY=USD</stp>
        <stp>XLFILL=b</stp>
        <tr r="F77" s="2"/>
      </tp>
      <tp t="s">
        <v>#N/A Requesting Data...</v>
        <stp/>
        <stp>##V3_BQLV12</stp>
        <stp>[MODL_NOW_US1.xlsx]Single Period!R216C40</stp>
        <stp>NOW US Equity</stp>
        <stp>CF_PURCHASE_OF_FIXED_PROD_ASSETS/1M</stp>
        <stp>FPR=2021Y</stp>
        <stp>FPT=A</stp>
        <stp>FA_ACT_EST_DATA=E, EST_SOURCE=DWI</stp>
        <stp>ACT_EST_MAPPING=PRECISE</stp>
        <stp>FS=MRC</stp>
        <stp>CURRENCY=USD</stp>
        <stp>XLFILL=b</stp>
        <tr r="AN216" s="2"/>
      </tp>
      <tp t="s">
        <v>#N/A Requesting Data...</v>
        <stp/>
        <stp>##V3_BQLV12</stp>
        <stp>[MODL_NOW_US1.xlsx]Single Period!R227C25</stp>
        <stp>NOW US Equity</stp>
        <stp>CF_NET_CSH_PROV_BY_FINANCING_ACT/1M</stp>
        <stp>FPR=2021Y</stp>
        <stp>FPT=A</stp>
        <stp>FA_ACT_EST_DATA=E, EST_SOURCE=DBG</stp>
        <stp>ACT_EST_MAPPING=PRECISE</stp>
        <stp>FS=MRC</stp>
        <stp>CURRENCY=USD</stp>
        <stp>XLFILL=b</stp>
        <tr r="Y227" s="2"/>
      </tp>
      <tp t="s">
        <v>#N/A Requesting Data...</v>
        <stp/>
        <stp>##V3_BQLV12</stp>
        <stp>[MODL_NOW_US1.xlsx]Single Period!R121C48</stp>
        <stp>NOW US Equity</stp>
        <stp>CB_IS_GENL_AND_ADMIN_EXPN/1M</stp>
        <stp>FPR=2021Y</stp>
        <stp>FPT=A</stp>
        <stp>FA_ACT_EST_DATA=E, EST_SOURCE=CRC</stp>
        <stp>ACT_EST_MAPPING=PRECISE</stp>
        <stp>FS=MRC</stp>
        <stp>CURRENCY=USD</stp>
        <stp>XLFILL=b</stp>
        <tr r="AV121" s="2"/>
      </tp>
      <tp t="s">
        <v>#N/A Requesting Data...</v>
        <stp/>
        <stp>##V3_BQLV12</stp>
        <stp>[MODL_NOW_US1.xlsx]Single Period!R77C8</stp>
        <stp>SEG0000230969 Segment</stp>
        <stp>CONTRIBUTOR_STATS(SALES_REV_TURN, STD)/1M</stp>
        <stp>FPR=2021Y</stp>
        <stp>FPT=A</stp>
        <stp>FA_ACT_EST_DATA=E</stp>
        <stp>ACT_EST_MAPPING=PRECISE</stp>
        <stp>FS=MRC</stp>
        <stp>CURRENCY=USD</stp>
        <stp>XLFILL=b</stp>
        <tr r="H77" s="2"/>
      </tp>
      <tp t="s">
        <v>#N/A Requesting Data...</v>
        <stp/>
        <stp>##V3_BQLV12</stp>
        <stp>[MODL_NOW_US1.xlsx]Single Period!R107C23</stp>
        <stp>NOW US Equity</stp>
        <stp>CB_IS_ADJ_DILUTED_AVG_SHS/1M</stp>
        <stp>FPR=2021Y</stp>
        <stp>FPT=A</stp>
        <stp>FA_ACT_EST_DATA=E, EST_SOURCE=ZXS</stp>
        <stp>ACT_EST_MAPPING=PRECISE</stp>
        <stp>FS=MRC</stp>
        <stp>CURRENCY=USD</stp>
        <stp>XLFILL=b</stp>
        <tr r="W107" s="2"/>
      </tp>
      <tp t="s">
        <v>#N/A Requesting Data...</v>
        <stp/>
        <stp>##V3_BQLV12</stp>
        <stp>[MODL_NOW_US1.xlsx]Single Period!R227C26</stp>
        <stp>NOW US Equity</stp>
        <stp>CF_NET_CSH_PROV_BY_FINANCING_ACT/1M</stp>
        <stp>FPR=2021Y</stp>
        <stp>FPT=A</stp>
        <stp>FA_ACT_EST_DATA=E, EST_SOURCE=UBS</stp>
        <stp>ACT_EST_MAPPING=PRECISE</stp>
        <stp>FS=MRC</stp>
        <stp>CURRENCY=USD</stp>
        <stp>XLFILL=b</stp>
        <tr r="Z227" s="2"/>
      </tp>
      <tp t="s">
        <v>#N/A Requesting Data...</v>
        <stp/>
        <stp>##V3_BQLV12</stp>
        <stp>[MODL_NOW_US1.xlsx]Single Period!R121C19</stp>
        <stp>NOW US Equity</stp>
        <stp>CB_IS_GENL_AND_ADMIN_EXPN/1M</stp>
        <stp>FPR=2021Y</stp>
        <stp>FPT=A</stp>
        <stp>FA_ACT_EST_DATA=E, EST_SOURCE=MSV</stp>
        <stp>ACT_EST_MAPPING=PRECISE</stp>
        <stp>FS=MRC</stp>
        <stp>CURRENCY=USD</stp>
        <stp>XLFILL=b</stp>
        <tr r="S121" s="2"/>
      </tp>
      <tp t="s">
        <v>#N/A Requesting Data...</v>
        <stp/>
        <stp>##V3_BQLV12</stp>
        <stp>[MODL_NOW_US1.xlsx]Single Period!R155C17</stp>
        <stp>NOW US Equity</stp>
        <stp>BS_CASH_CASH_EQUIVALENTS_AND_STI/1M</stp>
        <stp>FPR=2021Y</stp>
        <stp>FPT=A</stp>
        <stp>FA_ACT_EST_DATA=E, EST_SOURCE=RHR</stp>
        <stp>ACT_EST_MAPPING=PRECISE</stp>
        <stp>FS=MRC</stp>
        <stp>CURRENCY=USD</stp>
        <stp>XLFILL=b</stp>
        <tr r="Q155" s="2"/>
      </tp>
      <tp t="s">
        <v>#N/A Requesting Data...</v>
        <stp/>
        <stp>##V3_BQLV12</stp>
        <stp>[MODL_NOW_US1.xlsx]Single Period!R202C39</stp>
        <stp>NOW US Equity</stp>
        <stp>CF_AMORTIZATN_OF_DEFRRD_COMPNSTN/1M</stp>
        <stp>FPR=2021Y</stp>
        <stp>FPT=A</stp>
        <stp>FA_ACT_EST_DATA=E, EST_SOURCE=DZB</stp>
        <stp>ACT_EST_MAPPING=PRECISE</stp>
        <stp>FS=MRC</stp>
        <stp>CURRENCY=USD</stp>
        <stp>XLFILL=b</stp>
        <tr r="AM202" s="2"/>
      </tp>
      <tp t="s">
        <v>#N/A Requesting Data...</v>
        <stp/>
        <stp>##V3_BQLV12</stp>
        <stp>[MODL_NOW_US1.xlsx]Single Period!R81C41</stp>
        <stp>NOW US Equity</stp>
        <stp>IS_ADJ_SALES_YOY_CHG_PCT_CC</stp>
        <stp>FPR=2021Y</stp>
        <stp>FPT=A</stp>
        <stp>FA_ACT_EST_DATA=E, EST_SOURCE=ARG</stp>
        <stp>ACT_EST_MAPPING=PRECISE</stp>
        <stp>FS=MRC</stp>
        <stp>CURRENCY=USD</stp>
        <stp>XLFILL=b</stp>
        <tr r="AO81" s="2"/>
      </tp>
      <tp t="s">
        <v>#N/A Requesting Data...</v>
        <stp/>
        <stp>##V3_BQLV12</stp>
        <stp>[MODL_NOW_US1.xlsx]Single Period!R129C46</stp>
        <stp>NOW US Equity</stp>
        <stp>EFF_TAX_RATE</stp>
        <stp>FPR=2021Y</stp>
        <stp>FPT=A</stp>
        <stp>FA_ACT_EST_DATA=E, EST_SOURCE=MZS</stp>
        <stp>ACT_EST_MAPPING=PRECISE</stp>
        <stp>FS=MRC</stp>
        <stp>CURRENCY=USD</stp>
        <stp>XLFILL=b</stp>
        <tr r="AT129" s="2"/>
      </tp>
      <tp t="s">
        <v>#N/A Requesting Data...</v>
        <stp/>
        <stp>##V3_BQLV12</stp>
        <stp>[MODL_NOW_US1.xlsx]Single Period!R116C19</stp>
        <stp>NOW US Equity</stp>
        <stp>GROSS_MARGIN</stp>
        <stp>FPR=2021Y</stp>
        <stp>FPT=A</stp>
        <stp>FA_ACT_EST_DATA=E, EST_SOURCE=MSV</stp>
        <stp>ACT_EST_MAPPING=PRECISE</stp>
        <stp>FS=MRC</stp>
        <stp>CURRENCY=USD</stp>
        <stp>XLFILL=b</stp>
        <tr r="S116" s="2"/>
      </tp>
      <tp t="s">
        <v>#N/A Requesting Data...</v>
        <stp/>
        <stp>##V3_BQLV12</stp>
        <stp>[MODL_NOW_US1.xlsx]Single Period!R81C44</stp>
        <stp>NOW US Equity</stp>
        <stp>IS_ADJ_SALES_YOY_CHG_PCT_CC</stp>
        <stp>FPR=2021Y</stp>
        <stp>FPT=A</stp>
        <stp>FA_ACT_EST_DATA=E, EST_SOURCE=ARE</stp>
        <stp>ACT_EST_MAPPING=PRECISE</stp>
        <stp>FS=MRC</stp>
        <stp>CURRENCY=USD</stp>
        <stp>XLFILL=b</stp>
        <tr r="AR81" s="2"/>
      </tp>
      <tp t="s">
        <v>#N/A Requesting Data...</v>
        <stp/>
        <stp>##V3_BQLV12</stp>
        <stp>[MODL_NOW_US1.xlsx]Single Period!R81C48</stp>
        <stp>NOW US Equity</stp>
        <stp>IS_ADJ_SALES_YOY_CHG_PCT_CC</stp>
        <stp>FPR=2021Y</stp>
        <stp>FPT=A</stp>
        <stp>FA_ACT_EST_DATA=E, EST_SOURCE=CRC</stp>
        <stp>ACT_EST_MAPPING=PRECISE</stp>
        <stp>FS=MRC</stp>
        <stp>CURRENCY=USD</stp>
        <stp>XLFILL=b</stp>
        <tr r="AV81" s="2"/>
      </tp>
      <tp t="s">
        <v>#N/A Requesting Data...</v>
        <stp/>
        <stp>##V3_BQLV12</stp>
        <stp>[MODL_NOW_US1.xlsx]Single Period!R183C10</stp>
        <stp>NOW US Equity</stp>
        <stp>BS_TOTAL_LIABILITIES/1M</stp>
        <stp>FPR=2021Y</stp>
        <stp>FPT=A</stp>
        <stp>FA_ACT_EST_DATA=E, EST_SOURCE=CMPY</stp>
        <stp>ACT_EST_MAPPING=PRECISE</stp>
        <stp>FS=MRC</stp>
        <stp>CURRENCY=USD</stp>
        <stp>XLFILL=b</stp>
        <tr r="J183" s="2"/>
      </tp>
      <tp t="s">
        <v>#N/A Requesting Data...</v>
        <stp/>
        <stp>##V3_BQLV12</stp>
        <stp>[MODL_NOW_US1.xlsx]Single Period!R116C48</stp>
        <stp>NOW US Equity</stp>
        <stp>GROSS_MARGIN</stp>
        <stp>FPR=2021Y</stp>
        <stp>FPT=A</stp>
        <stp>FA_ACT_EST_DATA=E, EST_SOURCE=CRC</stp>
        <stp>ACT_EST_MAPPING=PRECISE</stp>
        <stp>FS=MRC</stp>
        <stp>CURRENCY=USD</stp>
        <stp>XLFILL=b</stp>
        <tr r="AV116" s="2"/>
      </tp>
      <tp t="s">
        <v>#N/A Requesting Data...</v>
        <stp/>
        <stp>##V3_BQLV12</stp>
        <stp>[MODL_NOW_US1.xlsx]Single Period!R96C46</stp>
        <stp>NOW US Equity</stp>
        <stp>ADJ_OPERATING_MARGIN</stp>
        <stp>FPR=2021Y</stp>
        <stp>FPT=A</stp>
        <stp>FA_ACT_EST_DATA=E, EST_SOURCE=MZS</stp>
        <stp>ACT_EST_MAPPING=PRECISE</stp>
        <stp>FS=MRC</stp>
        <stp>CURRENCY=USD</stp>
        <stp>XLFILL=b</stp>
        <tr r="AT96" s="2"/>
      </tp>
      <tp t="s">
        <v>#N/A Requesting Data...</v>
        <stp/>
        <stp>##V3_BQLV12</stp>
        <stp>[MODL_NOW_US1.xlsx]Single Period!R166C22</stp>
        <stp>NOW US Equity</stp>
        <stp>BS_OTHER_INTANGIBLE_ASSETS/1M</stp>
        <stp>FPR=2021Y</stp>
        <stp>FPT=A</stp>
        <stp>FA_ACT_EST_DATA=E, EST_SOURCE=NDH</stp>
        <stp>ACT_EST_MAPPING=PRECISE</stp>
        <stp>FS=MRC</stp>
        <stp>CURRENCY=USD</stp>
        <stp>XLFILL=b</stp>
        <tr r="V166" s="2"/>
      </tp>
      <tp t="s">
        <v>#N/A Requesting Data...</v>
        <stp/>
        <stp>##V3_BQLV12</stp>
        <stp>[MODL_NOW_US1.xlsx]Single Period!R212C38</stp>
        <stp>NOW US Equity</stp>
        <stp>CF_CHANGE_IN_ACCRUD_EXPNSS/1M</stp>
        <stp>FPR=2021Y</stp>
        <stp>FPT=A</stp>
        <stp>FA_ACT_EST_DATA=E, EST_SOURCE=RWB</stp>
        <stp>ACT_EST_MAPPING=PRECISE</stp>
        <stp>FS=MRC</stp>
        <stp>CURRENCY=USD</stp>
        <stp>XLFILL=b</stp>
        <tr r="AL212" s="2"/>
      </tp>
      <tp t="s">
        <v>#N/A Requesting Data...</v>
        <stp/>
        <stp>##V3_BQLV12</stp>
        <stp>[MODL_NOW_US1.xlsx]Single Period!R159C23</stp>
        <stp>NOW US Equity</stp>
        <stp>CB_BS_OTHER_CURRENT_ASSETS/1M</stp>
        <stp>FPR=2021Y</stp>
        <stp>FPT=A</stp>
        <stp>FA_ACT_EST_DATA=E, EST_SOURCE=ZXS</stp>
        <stp>ACT_EST_MAPPING=PRECISE</stp>
        <stp>FS=MRC</stp>
        <stp>CURRENCY=USD</stp>
        <stp>XLFILL=b</stp>
        <tr r="W159" s="2"/>
      </tp>
      <tp t="s">
        <v>#N/A Requesting Data...</v>
        <stp/>
        <stp>##V3_BQLV12</stp>
        <stp>[MODL_NOW_US1.xlsx]Single Period!R212C40</stp>
        <stp>NOW US Equity</stp>
        <stp>CF_CHANGE_IN_ACCRUD_EXPNSS/1M</stp>
        <stp>FPR=2021Y</stp>
        <stp>FPT=A</stp>
        <stp>FA_ACT_EST_DATA=E, EST_SOURCE=DWI</stp>
        <stp>ACT_EST_MAPPING=PRECISE</stp>
        <stp>FS=MRC</stp>
        <stp>CURRENCY=USD</stp>
        <stp>XLFILL=b</stp>
        <tr r="AN212" s="2"/>
      </tp>
      <tp t="s">
        <v>#N/A Requesting Data...</v>
        <stp/>
        <stp>##V3_BQLV12</stp>
        <stp>[MODL_NOW_US1.xlsx]Single Period!R212C24</stp>
        <stp>NOW US Equity</stp>
        <stp>CF_CHANGE_IN_ACCRUD_EXPNSS/1M</stp>
        <stp>FPR=2021Y</stp>
        <stp>FPT=A</stp>
        <stp>FA_ACT_EST_DATA=E, EST_SOURCE=CWN</stp>
        <stp>ACT_EST_MAPPING=PRECISE</stp>
        <stp>FS=MRC</stp>
        <stp>CURRENCY=USD</stp>
        <stp>XLFILL=b</stp>
        <tr r="X212" s="2"/>
      </tp>
      <tp t="s">
        <v>#N/A Requesting Data...</v>
        <stp/>
        <stp>##V3_BQLV12</stp>
        <stp>[MODL_NOW_US1.xlsx]Single Period!R157C15</stp>
        <stp>NOW US Equity</stp>
        <stp>BS_MKT_SEC_OTHER_ST_INVEST/1M</stp>
        <stp>FPR=2021Y</stp>
        <stp>FPT=A</stp>
        <stp>FA_ACT_EST_DATA=E, EST_SOURCE=OPY</stp>
        <stp>ACT_EST_MAPPING=PRECISE</stp>
        <stp>FS=MRC</stp>
        <stp>CURRENCY=USD</stp>
        <stp>XLFILL=b</stp>
        <tr r="O157" s="2"/>
      </tp>
      <tp t="s">
        <v>#N/A Requesting Data...</v>
        <stp/>
        <stp>##V3_BQLV12</stp>
        <stp>[MODL_NOW_US1.xlsx]Single Period!R111C29</stp>
        <stp>NOW US Equity</stp>
        <stp>IS_COGS_TO_FE_AND_PP_AND_G/1M</stp>
        <stp>FPR=2021Y</stp>
        <stp>FPT=A</stp>
        <stp>FA_ACT_EST_DATA=E, EST_SOURCE=BNS</stp>
        <stp>ACT_EST_MAPPING=PRECISE</stp>
        <stp>FS=MRC</stp>
        <stp>CURRENCY=USD</stp>
        <stp>XLFILL=b</stp>
        <tr r="AC111" s="2"/>
      </tp>
      <tp t="s">
        <v>#N/A Requesting Data...</v>
        <stp/>
        <stp>##V3_BQLV12</stp>
        <stp>[MODL_NOW_US1.xlsx]Single Period!R111C18</stp>
        <stp>NOW US Equity</stp>
        <stp>IS_COGS_TO_FE_AND_PP_AND_G/1M</stp>
        <stp>FPR=2021Y</stp>
        <stp>FPT=A</stp>
        <stp>FA_ACT_EST_DATA=E, EST_SOURCE=SNR</stp>
        <stp>ACT_EST_MAPPING=PRECISE</stp>
        <stp>FS=MRC</stp>
        <stp>CURRENCY=USD</stp>
        <stp>XLFILL=b</stp>
        <tr r="R111" s="2"/>
      </tp>
      <tp t="s">
        <v>#N/A Requesting Data...</v>
        <stp/>
        <stp>##V3_BQLV12</stp>
        <stp>[MODL_NOW_US1.xlsx]Single Period!R28C40</stp>
        <stp>NOW US Equity</stp>
        <stp>ADJ_OPERATING_MARGIN</stp>
        <stp>FPR=2021Y</stp>
        <stp>FPT=A</stp>
        <stp>FA_ACT_EST_DATA=E, EST_SOURCE=DWI</stp>
        <stp>ACT_EST_MAPPING=PRECISE</stp>
        <stp>FS=MRC</stp>
        <stp>CURRENCY=USD</stp>
        <stp>XLFILL=b</stp>
        <tr r="AN28" s="2"/>
      </tp>
      <tp t="s">
        <v>#N/A Requesting Data...</v>
        <stp/>
        <stp>##V3_BQLV12</stp>
        <stp>[MODL_NOW_US1.xlsx]Single Period!R194C47</stp>
        <stp>NOW US Equity</stp>
        <stp>CB_BS_OTHER_CURRENT_ASSETS/1M</stp>
        <stp>FPR=2021Y</stp>
        <stp>FPT=A</stp>
        <stp>FA_ACT_EST_DATA=E, EST_SOURCE=SUM</stp>
        <stp>ACT_EST_MAPPING=PRECISE</stp>
        <stp>FS=MRC</stp>
        <stp>CURRENCY=USD</stp>
        <stp>XLFILL=b</stp>
        <tr r="AU194" s="2"/>
      </tp>
      <tp t="s">
        <v>#N/A Requesting Data...</v>
        <stp/>
        <stp>##V3_BQLV12</stp>
        <stp>[MODL_NOW_US1.xlsx]Single Period!R91C26</stp>
        <stp>NOW US Equity</stp>
        <stp>ADJ_R_AND_D_TO_SALES</stp>
        <stp>FPR=2021Y</stp>
        <stp>FPT=A</stp>
        <stp>FA_ACT_EST_DATA=E, EST_SOURCE=UBS</stp>
        <stp>ACT_EST_MAPPING=PRECISE</stp>
        <stp>FS=MRC</stp>
        <stp>CURRENCY=USD</stp>
        <stp>XLFILL=b</stp>
        <tr r="Z91" s="2"/>
      </tp>
      <tp t="s">
        <v>#N/A Requesting Data...</v>
        <stp/>
        <stp>##V3_BQLV12</stp>
        <stp>[MODL_NOW_US1.xlsx]Single Period!R157C11</stp>
        <stp>NOW US Equity</stp>
        <stp>BS_MKT_SEC_OTHER_ST_INVEST/1M</stp>
        <stp>FPR=2021Y</stp>
        <stp>FPT=A</stp>
        <stp>FA_ACT_EST_DATA=E, EST_SOURCE=JPM</stp>
        <stp>ACT_EST_MAPPING=PRECISE</stp>
        <stp>FS=MRC</stp>
        <stp>CURRENCY=USD</stp>
        <stp>XLFILL=b</stp>
        <tr r="K157" s="2"/>
      </tp>
      <tp t="s">
        <v>#N/A Requesting Data...</v>
        <stp/>
        <stp>##V3_BQLV12</stp>
        <stp>[MODL_NOW_US1.xlsx]Single Period!R28C34</stp>
        <stp>NOW US Equity</stp>
        <stp>ADJ_OPERATING_MARGIN</stp>
        <stp>FPR=2021Y</stp>
        <stp>FPT=A</stp>
        <stp>FA_ACT_EST_DATA=E, EST_SOURCE=PSG</stp>
        <stp>ACT_EST_MAPPING=PRECISE</stp>
        <stp>FS=MRC</stp>
        <stp>CURRENCY=USD</stp>
        <stp>XLFILL=b</stp>
        <tr r="AH28" s="2"/>
      </tp>
      <tp t="s">
        <v>#N/A Requesting Data...</v>
        <stp/>
        <stp>##V3_BQLV12</stp>
        <stp>[MODL_NOW_US1.xlsx]Single Period!R164C10</stp>
        <stp>NOW US Equity</stp>
        <stp>CB_BS_PP_AND_E_NET/1M</stp>
        <stp>FPR=2021Y</stp>
        <stp>FPT=A</stp>
        <stp>FA_ACT_EST_DATA=E, EST_SOURCE=CMPY</stp>
        <stp>ACT_EST_MAPPING=PRECISE</stp>
        <stp>FS=MRC</stp>
        <stp>CURRENCY=USD</stp>
        <stp>XLFILL=b</stp>
        <tr r="J164" s="2"/>
      </tp>
      <tp t="s">
        <v>#N/A Requesting Data...</v>
        <stp/>
        <stp>##V3_BQLV12</stp>
        <stp>[MODL_NOW_US1.xlsx]Single Period!R163C10</stp>
        <stp>NOW US Equity</stp>
        <stp>CB_BS_PP_AND_E_NET/1M</stp>
        <stp>FPR=2021Y</stp>
        <stp>FPT=A</stp>
        <stp>FA_ACT_EST_DATA=E, EST_SOURCE=CMPY</stp>
        <stp>ACT_EST_MAPPING=PRECISE</stp>
        <stp>FS=MRC</stp>
        <stp>CURRENCY=USD</stp>
        <stp>XLFILL=b</stp>
        <tr r="J163" s="2"/>
      </tp>
      <tp t="s">
        <v>#N/A Requesting Data...</v>
        <stp/>
        <stp>##V3_BQLV12</stp>
        <stp>[MODL_NOW_US1.xlsx]Single Period!R43C49</stp>
        <stp>SEG0000230975 Segment</stp>
        <stp>CB_ADJ_BILLINGS_AMT/1M</stp>
        <stp>FPR=2021Y</stp>
        <stp>FPT=A</stp>
        <stp>FA_ACT_EST_DATA=E, EST_SOURCE=SCB</stp>
        <stp>ACT_EST_MAPPING=PRECISE</stp>
        <stp>FS=MRC</stp>
        <stp>CURRENCY=USD</stp>
        <stp>XLFILL=b</stp>
        <tr r="AW43" s="2"/>
      </tp>
      <tp t="s">
        <v>#N/A Requesting Data...</v>
        <stp/>
        <stp>##V3_BQLV12</stp>
        <stp>[MODL_NOW_US1.xlsx]Single Period!R43C16</stp>
        <stp>SEG0000230975 Segment</stp>
        <stp>CB_ADJ_BILLINGS_AMT/1M</stp>
        <stp>FPR=2021Y</stp>
        <stp>FPT=A</stp>
        <stp>FA_ACT_EST_DATA=E, EST_SOURCE=BCA</stp>
        <stp>ACT_EST_MAPPING=PRECISE</stp>
        <stp>FS=MRC</stp>
        <stp>CURRENCY=USD</stp>
        <stp>XLFILL=b</stp>
        <tr r="P43" s="2"/>
      </tp>
      <tp t="s">
        <v>#N/A Requesting Data...</v>
        <stp/>
        <stp>##V3_BQLV12</stp>
        <stp>[MODL_NOW_US1.xlsx]Single Period!R119C10</stp>
        <stp>NOW US Equity</stp>
        <stp>CB_IS_S_AND_M_EXPENSE/1M</stp>
        <stp>FPR=2021Y</stp>
        <stp>FPT=A</stp>
        <stp>FA_ACT_EST_DATA=E, EST_SOURCE=CMPY</stp>
        <stp>ACT_EST_MAPPING=PRECISE</stp>
        <stp>FS=MRC</stp>
        <stp>CURRENCY=USD</stp>
        <stp>XLFILL=b</stp>
        <tr r="J119" s="2"/>
      </tp>
      <tp t="s">
        <v>#N/A Requesting Data...</v>
        <stp/>
        <stp>##V3_BQLV12</stp>
        <stp>[MODL_NOW_US1.xlsx]Single Period!R181C14</stp>
        <stp>NOW US Equity</stp>
        <stp>BS_LONG_TERM_BORROWINGS/1M</stp>
        <stp>FPR=2021Y</stp>
        <stp>FPT=A</stp>
        <stp>FA_ACT_EST_DATA=E, EST_SOURCE=BMO</stp>
        <stp>ACT_EST_MAPPING=PRECISE</stp>
        <stp>FS=MRC</stp>
        <stp>CURRENCY=USD</stp>
        <stp>XLFILL=b</stp>
        <tr r="N181" s="2"/>
      </tp>
      <tp t="s">
        <v>#N/A Requesting Data...</v>
        <stp/>
        <stp>##V3_BQLV12</stp>
        <stp>[MODL_NOW_US1.xlsx]Single Period!R205C46</stp>
        <stp>NOW US Equity</stp>
        <stp>CB_CF_OTHR_NONCSH_ITEMS/1M</stp>
        <stp>FPR=2021Y</stp>
        <stp>FPT=A</stp>
        <stp>FA_ACT_EST_DATA=E, EST_SOURCE=MZS</stp>
        <stp>ACT_EST_MAPPING=PRECISE</stp>
        <stp>FS=MRC</stp>
        <stp>CURRENCY=USD</stp>
        <stp>XLFILL=b</stp>
        <tr r="AT205" s="2"/>
      </tp>
      <tp t="s">
        <v>#N/A Requesting Data...</v>
        <stp/>
        <stp>##V3_BQLV12</stp>
        <stp>[MODL_NOW_US1.xlsx]Single Period!R208C41</stp>
        <stp>NOW US Equity</stp>
        <stp>CF_CHANGE_IN_OTHR_ASSTS/1M</stp>
        <stp>FPR=2021Y</stp>
        <stp>FPT=A</stp>
        <stp>FA_ACT_EST_DATA=E, EST_SOURCE=ARG</stp>
        <stp>ACT_EST_MAPPING=PRECISE</stp>
        <stp>FS=MRC</stp>
        <stp>CURRENCY=USD</stp>
        <stp>XLFILL=b</stp>
        <tr r="AO208" s="2"/>
      </tp>
      <tp t="s">
        <v>#N/A Requesting Data...</v>
        <stp/>
        <stp>##V3_BQLV12</stp>
        <stp>[MODL_NOW_US1.xlsx]Single Period!R208C44</stp>
        <stp>NOW US Equity</stp>
        <stp>CF_CHANGE_IN_OTHR_ASSTS/1M</stp>
        <stp>FPR=2021Y</stp>
        <stp>FPT=A</stp>
        <stp>FA_ACT_EST_DATA=E, EST_SOURCE=ARE</stp>
        <stp>ACT_EST_MAPPING=PRECISE</stp>
        <stp>FS=MRC</stp>
        <stp>CURRENCY=USD</stp>
        <stp>XLFILL=b</stp>
        <tr r="AR208" s="2"/>
      </tp>
      <tp t="s">
        <v>#N/A Requesting Data...</v>
        <stp/>
        <stp>##V3_BQLV12</stp>
        <stp>[MODL_NOW_US1.xlsx]Single Period!R17C17</stp>
        <stp>SEG0000230975 Segment</stp>
        <stp>IS_BILLINGS/1M</stp>
        <stp>FPR=2021Y</stp>
        <stp>FPT=A</stp>
        <stp>FA_ACT_EST_DATA=E, EST_SOURCE=RHR</stp>
        <stp>ACT_EST_MAPPING=PRECISE</stp>
        <stp>FS=MRC</stp>
        <stp>CURRENCY=USD</stp>
        <stp>XLFILL=b</stp>
        <tr r="Q17" s="2"/>
      </tp>
      <tp t="s">
        <v>#N/A Requesting Data...</v>
        <stp/>
        <stp>##V3_BQLV12</stp>
        <stp>[MODL_NOW_US1.xlsx]Single Period!R42C17</stp>
        <stp>SEG0000230975 Segment</stp>
        <stp>IS_BILLINGS/1M</stp>
        <stp>FPR=2021Y</stp>
        <stp>FPT=A</stp>
        <stp>FA_ACT_EST_DATA=E, EST_SOURCE=RHR</stp>
        <stp>ACT_EST_MAPPING=PRECISE</stp>
        <stp>FS=MRC</stp>
        <stp>CURRENCY=USD</stp>
        <stp>XLFILL=b</stp>
        <tr r="Q42" s="2"/>
      </tp>
      <tp t="s">
        <v>#N/A Requesting Data...</v>
        <stp/>
        <stp>##V3_BQLV12</stp>
        <stp>[MODL_NOW_US1.xlsx]Single Period!R208C48</stp>
        <stp>NOW US Equity</stp>
        <stp>CF_CHANGE_IN_OTHR_ASSTS/1M</stp>
        <stp>FPR=2021Y</stp>
        <stp>FPT=A</stp>
        <stp>FA_ACT_EST_DATA=E, EST_SOURCE=CRC</stp>
        <stp>ACT_EST_MAPPING=PRECISE</stp>
        <stp>FS=MRC</stp>
        <stp>CURRENCY=USD</stp>
        <stp>XLFILL=b</stp>
        <tr r="AV208" s="2"/>
      </tp>
      <tp t="s">
        <v>#N/A Requesting Data...</v>
        <stp/>
        <stp>##V3_BQLV12</stp>
        <stp>[MODL_NOW_US1.xlsx]Single Period!R181C21</stp>
        <stp>NOW US Equity</stp>
        <stp>BS_LONG_TERM_BORROWINGS/1M</stp>
        <stp>FPR=2021Y</stp>
        <stp>FPT=A</stp>
        <stp>FA_ACT_EST_DATA=E, EST_SOURCE=JMP</stp>
        <stp>ACT_EST_MAPPING=PRECISE</stp>
        <stp>FS=MRC</stp>
        <stp>CURRENCY=USD</stp>
        <stp>XLFILL=b</stp>
        <tr r="U181" s="2"/>
      </tp>
      <tp t="s">
        <v>#N/A Requesting Data...</v>
        <stp/>
        <stp>##V3_BQLV12</stp>
        <stp>[MODL_NOW_US1.xlsx]Single Period!R219C33</stp>
        <stp>NOW US Equity</stp>
        <stp>CF_PURCHSS_OF_INVSTMNTS/1M</stp>
        <stp>FPR=2021Y</stp>
        <stp>FPT=A</stp>
        <stp>FA_ACT_EST_DATA=E, EST_SOURCE=MAC</stp>
        <stp>ACT_EST_MAPPING=PRECISE</stp>
        <stp>FS=MRC</stp>
        <stp>CURRENCY=USD</stp>
        <stp>XLFILL=b</stp>
        <tr r="AG219" s="2"/>
      </tp>
      <tp t="s">
        <v>#N/A Requesting Data...</v>
        <stp/>
        <stp>##V3_BQLV12</stp>
        <stp>[MODL_NOW_US1.xlsx]Single Period!R219C30</stp>
        <stp>NOW US Equity</stp>
        <stp>CF_PURCHSS_OF_INVSTMNTS/1M</stp>
        <stp>FPR=2021Y</stp>
        <stp>FPT=A</stp>
        <stp>FA_ACT_EST_DATA=E, EST_SOURCE=BAM</stp>
        <stp>ACT_EST_MAPPING=PRECISE</stp>
        <stp>FS=MRC</stp>
        <stp>CURRENCY=USD</stp>
        <stp>XLFILL=b</stp>
        <tr r="AD219" s="2"/>
      </tp>
      <tp t="s">
        <v>#N/A Requesting Data...</v>
        <stp/>
        <stp>##V3_BQLV12</stp>
        <stp>[MODL_NOW_US1.xlsx]Single Period!R219C20</stp>
        <stp>NOW US Equity</stp>
        <stp>CF_PURCHSS_OF_INVSTMNTS/1M</stp>
        <stp>FPR=2021Y</stp>
        <stp>FPT=A</stp>
        <stp>FA_ACT_EST_DATA=E, EST_SOURCE=CAN</stp>
        <stp>ACT_EST_MAPPING=PRECISE</stp>
        <stp>FS=MRC</stp>
        <stp>CURRENCY=USD</stp>
        <stp>XLFILL=b</stp>
        <tr r="T219" s="2"/>
      </tp>
      <tp t="s">
        <v>#N/A Requesting Data...</v>
        <stp/>
        <stp>##V3_BQLV12</stp>
        <stp>[MODL_NOW_US1.xlsx]Single Period!R117C29</stp>
        <stp>NOW US Equity</stp>
        <stp>IS_TOT_OPER_EXP/1M</stp>
        <stp>FPR=2021Y</stp>
        <stp>FPT=A</stp>
        <stp>FA_ACT_EST_DATA=E, EST_SOURCE=BNS</stp>
        <stp>ACT_EST_MAPPING=PRECISE</stp>
        <stp>FS=MRC</stp>
        <stp>CURRENCY=USD</stp>
        <stp>XLFILL=b</stp>
        <tr r="AC117" s="2"/>
      </tp>
      <tp t="s">
        <v>#N/A Requesting Data...</v>
        <stp/>
        <stp>##V3_BQLV12</stp>
        <stp>[MODL_NOW_US1.xlsx]Single Period!R205C39</stp>
        <stp>NOW US Equity</stp>
        <stp>CB_CF_OTHR_NONCSH_ITEMS/1M</stp>
        <stp>FPR=2021Y</stp>
        <stp>FPT=A</stp>
        <stp>FA_ACT_EST_DATA=E, EST_SOURCE=DZB</stp>
        <stp>ACT_EST_MAPPING=PRECISE</stp>
        <stp>FS=MRC</stp>
        <stp>CURRENCY=USD</stp>
        <stp>XLFILL=b</stp>
        <tr r="AM205" s="2"/>
      </tp>
      <tp t="s">
        <v>#N/A Requesting Data...</v>
        <stp/>
        <stp>##V3_BQLV12</stp>
        <stp>[MODL_NOW_US1.xlsx]Single Period!R117C18</stp>
        <stp>NOW US Equity</stp>
        <stp>IS_TOT_OPER_EXP/1M</stp>
        <stp>FPR=2021Y</stp>
        <stp>FPT=A</stp>
        <stp>FA_ACT_EST_DATA=E, EST_SOURCE=SNR</stp>
        <stp>ACT_EST_MAPPING=PRECISE</stp>
        <stp>FS=MRC</stp>
        <stp>CURRENCY=USD</stp>
        <stp>XLFILL=b</stp>
        <tr r="R117" s="2"/>
      </tp>
      <tp t="s">
        <v>#N/A Requesting Data...</v>
        <stp/>
        <stp>##V3_BQLV12</stp>
        <stp>[MODL_NOW_US1.xlsx]Single Period!R227C12</stp>
        <stp>NOW US Equity</stp>
        <stp>CF_NET_CSH_PROV_BY_FINANCING_ACT/1M</stp>
        <stp>FPR=2021Y</stp>
        <stp>FPT=A</stp>
        <stp>FA_ACT_EST_DATA=E, EST_SOURCE=WBL</stp>
        <stp>ACT_EST_MAPPING=PRECISE</stp>
        <stp>FS=MRC</stp>
        <stp>CURRENCY=USD</stp>
        <stp>XLFILL=b</stp>
        <tr r="L227" s="2"/>
      </tp>
      <tp t="s">
        <v>#N/A Requesting Data...</v>
        <stp/>
        <stp>##V3_BQLV12</stp>
        <stp>[MODL_NOW_US1.xlsx]Single Period!R227C20</stp>
        <stp>NOW US Equity</stp>
        <stp>CF_NET_CSH_PROV_BY_FINANCING_ACT/1M</stp>
        <stp>FPR=2021Y</stp>
        <stp>FPT=A</stp>
        <stp>FA_ACT_EST_DATA=E, EST_SOURCE=CAN</stp>
        <stp>ACT_EST_MAPPING=PRECISE</stp>
        <stp>FS=MRC</stp>
        <stp>CURRENCY=USD</stp>
        <stp>XLFILL=b</stp>
        <tr r="T227" s="2"/>
      </tp>
      <tp t="s">
        <v>#N/A Requesting Data...</v>
        <stp/>
        <stp>##V3_BQLV12</stp>
        <stp>[MODL_NOW_US1.xlsx]Single Period!R216C34</stp>
        <stp>NOW US Equity</stp>
        <stp>CF_PURCHASE_OF_FIXED_PROD_ASSETS/1M</stp>
        <stp>FPR=2021Y</stp>
        <stp>FPT=A</stp>
        <stp>FA_ACT_EST_DATA=E, EST_SOURCE=PSG</stp>
        <stp>ACT_EST_MAPPING=PRECISE</stp>
        <stp>FS=MRC</stp>
        <stp>CURRENCY=USD</stp>
        <stp>XLFILL=b</stp>
        <tr r="AH216" s="2"/>
      </tp>
      <tp t="s">
        <v>#N/A Requesting Data...</v>
        <stp/>
        <stp>##V3_BQLV12</stp>
        <stp>[MODL_NOW_US1.xlsx]Single Period!R202C23</stp>
        <stp>NOW US Equity</stp>
        <stp>CF_AMORTIZATN_OF_DEFRRD_COMPNSTN/1M</stp>
        <stp>FPR=2021Y</stp>
        <stp>FPT=A</stp>
        <stp>FA_ACT_EST_DATA=E, EST_SOURCE=ZXS</stp>
        <stp>ACT_EST_MAPPING=PRECISE</stp>
        <stp>FS=MRC</stp>
        <stp>CURRENCY=USD</stp>
        <stp>XLFILL=b</stp>
        <tr r="W202" s="2"/>
      </tp>
      <tp t="s">
        <v>#N/A Requesting Data...</v>
        <stp/>
        <stp>##V3_BQLV12</stp>
        <stp>[MODL_NOW_US1.xlsx]Single Period!R225C49</stp>
        <stp>NOW US Equity</stp>
        <stp>CF_INCR_CAP_STOCK/1M</stp>
        <stp>FPR=2021Y</stp>
        <stp>FPT=A</stp>
        <stp>FA_ACT_EST_DATA=E, EST_SOURCE=SCB</stp>
        <stp>ACT_EST_MAPPING=PRECISE</stp>
        <stp>FS=MRC</stp>
        <stp>CURRENCY=USD</stp>
        <stp>XLFILL=b</stp>
        <tr r="AW225" s="2"/>
      </tp>
      <tp t="s">
        <v>#N/A Requesting Data...</v>
        <stp/>
        <stp>##V3_BQLV12</stp>
        <stp>[MODL_NOW_US1.xlsx]Single Period!R175C28</stp>
        <stp>NOW US Equity</stp>
        <stp>BS_ACCRUD_EXPNSS_AND_OTHR/1M</stp>
        <stp>FPR=2021Y</stp>
        <stp>FPT=A</stp>
        <stp>FA_ACT_EST_DATA=E, EST_SOURCE=EVR</stp>
        <stp>ACT_EST_MAPPING=PRECISE</stp>
        <stp>FS=MRC</stp>
        <stp>CURRENCY=USD</stp>
        <stp>XLFILL=b</stp>
        <tr r="AB175" s="2"/>
      </tp>
      <tp t="s">
        <v>#N/A Requesting Data...</v>
        <stp/>
        <stp>##V3_BQLV12</stp>
        <stp>[MODL_NOW_US1.xlsx]Single Period!R71C41</stp>
        <stp>SEG0000230986 Segment</stp>
        <stp>CB_IS_GROSS_PROFIT/1M</stp>
        <stp>FPR=2021Y</stp>
        <stp>FPT=A</stp>
        <stp>FA_ACT_EST_DATA=E, EST_SOURCE=ARG</stp>
        <stp>ACT_EST_MAPPING=PRECISE</stp>
        <stp>FS=MRC</stp>
        <stp>CURRENCY=USD</stp>
        <stp>XLFILL=b</stp>
        <tr r="AO71" s="2"/>
      </tp>
      <tp t="s">
        <v>#N/A Requesting Data...</v>
        <stp/>
        <stp>##V3_BQLV12</stp>
        <stp>[MODL_NOW_US1.xlsx]Single Period!R221C27</stp>
        <stp>NOW US Equity</stp>
        <stp>CB_CF_OTHER_INVESTING_ACTIVITIES/1M</stp>
        <stp>FPR=2021Y</stp>
        <stp>FPT=A</stp>
        <stp>FA_ACT_EST_DATA=E, EST_SOURCE=RBC</stp>
        <stp>ACT_EST_MAPPING=PRECISE</stp>
        <stp>FS=MRC</stp>
        <stp>CURRENCY=USD</stp>
        <stp>XLFILL=b</stp>
        <tr r="AA221" s="2"/>
      </tp>
      <tp t="s">
        <v>#N/A Requesting Data...</v>
        <stp/>
        <stp>##V3_BQLV12</stp>
        <stp>[MODL_NOW_US1.xlsx]Single Period!R213C35</stp>
        <stp>NOW US Equity</stp>
        <stp>CF_CASH_FROM_OPER/1M</stp>
        <stp>FPR=2021Y</stp>
        <stp>FPT=A</stp>
        <stp>FA_ACT_EST_DATA=E, EST_SOURCE=MSR</stp>
        <stp>ACT_EST_MAPPING=PRECISE</stp>
        <stp>FS=MRC</stp>
        <stp>CURRENCY=USD</stp>
        <stp>XLFILL=b</stp>
        <tr r="AI213" s="2"/>
      </tp>
      <tp t="s">
        <v>#N/A Requesting Data...</v>
        <stp/>
        <stp>##V3_BQLV12</stp>
        <stp>[MODL_NOW_US1.xlsx]Single Period!R212C5</stp>
        <stp>NOW US Equity</stp>
        <stp>CF_CHANGE_IN_ACCRUD_EXPNSS/1M</stp>
        <stp>FPR=2021Y</stp>
        <stp>FPT=A</stp>
        <stp>FA_ACT_EST_DATA=E</stp>
        <stp>ACT_EST_MAPPING=PRECISE</stp>
        <stp>FS=MRC</stp>
        <stp>CURRENCY=USD</stp>
        <stp>XLFILL=b</stp>
        <tr r="E212" s="2"/>
      </tp>
      <tp t="s">
        <v>#N/A Requesting Data...</v>
        <stp/>
        <stp>##V3_BQLV12</stp>
        <stp>[MODL_NOW_US1.xlsx]Single Period!R71C44</stp>
        <stp>SEG0000230986 Segment</stp>
        <stp>CB_IS_GROSS_PROFIT/1M</stp>
        <stp>FPR=2021Y</stp>
        <stp>FPT=A</stp>
        <stp>FA_ACT_EST_DATA=E, EST_SOURCE=ARE</stp>
        <stp>ACT_EST_MAPPING=PRECISE</stp>
        <stp>FS=MRC</stp>
        <stp>CURRENCY=USD</stp>
        <stp>XLFILL=b</stp>
        <tr r="AR71" s="2"/>
      </tp>
      <tp t="s">
        <v>#N/A Requesting Data...</v>
        <stp/>
        <stp>##V3_BQLV12</stp>
        <stp>[MODL_NOW_US1.xlsx]Single Period!R216C42</stp>
        <stp>NOW US Equity</stp>
        <stp>CF_PURCHASE_OF_FIXED_PROD_ASSETS/1M</stp>
        <stp>FPR=2021Y</stp>
        <stp>FPT=A</stp>
        <stp>FA_ACT_EST_DATA=E, EST_SOURCE=CTI</stp>
        <stp>ACT_EST_MAPPING=PRECISE</stp>
        <stp>FS=MRC</stp>
        <stp>CURRENCY=USD</stp>
        <stp>XLFILL=b</stp>
        <tr r="AP216" s="2"/>
      </tp>
      <tp t="s">
        <v>#N/A Requesting Data...</v>
        <stp/>
        <stp>##V3_BQLV12</stp>
        <stp>[MODL_NOW_US1.xlsx]Single Period!R71C48</stp>
        <stp>SEG0000230986 Segment</stp>
        <stp>CB_IS_GROSS_PROFIT/1M</stp>
        <stp>FPR=2021Y</stp>
        <stp>FPT=A</stp>
        <stp>FA_ACT_EST_DATA=E, EST_SOURCE=CRC</stp>
        <stp>ACT_EST_MAPPING=PRECISE</stp>
        <stp>FS=MRC</stp>
        <stp>CURRENCY=USD</stp>
        <stp>XLFILL=b</stp>
        <tr r="AV71" s="2"/>
      </tp>
      <tp t="s">
        <v>#N/A Requesting Data...</v>
        <stp/>
        <stp>##V3_BQLV12</stp>
        <stp>[MODL_NOW_US1.xlsx]Single Period!R58C7</stp>
        <stp>SEG0000230975 Segment</stp>
        <stp>CONTRIBUTOR_STATS(SALES_REV_TURN, MAX)/1M</stp>
        <stp>FPR=2021Y</stp>
        <stp>FPT=A</stp>
        <stp>FA_ACT_EST_DATA=E</stp>
        <stp>ACT_EST_MAPPING=PRECISE</stp>
        <stp>FS=MRC</stp>
        <stp>CURRENCY=USD</stp>
        <stp>XLFILL=b</stp>
        <tr r="G58" s="2"/>
      </tp>
      <tp t="s">
        <v>#N/A Requesting Data...</v>
        <stp/>
        <stp>##V3_BQLV12</stp>
        <stp>[MODL_NOW_US1.xlsx]Single Period!R58C6</stp>
        <stp>SEG0000230975 Segment</stp>
        <stp>CONTRIBUTOR_STATS(SALES_REV_TURN, MIN)/1M</stp>
        <stp>FPR=2021Y</stp>
        <stp>FPT=A</stp>
        <stp>FA_ACT_EST_DATA=E</stp>
        <stp>ACT_EST_MAPPING=PRECISE</stp>
        <stp>FS=MRC</stp>
        <stp>CURRENCY=USD</stp>
        <stp>XLFILL=b</stp>
        <tr r="F58" s="2"/>
      </tp>
      <tp t="s">
        <v>#N/A Requesting Data...</v>
        <stp/>
        <stp>##V3_BQLV12</stp>
        <stp>[MODL_NOW_US1.xlsx]Single Period!R221C25</stp>
        <stp>NOW US Equity</stp>
        <stp>CB_CF_OTHER_INVESTING_ACTIVITIES/1M</stp>
        <stp>FPR=2021Y</stp>
        <stp>FPT=A</stp>
        <stp>FA_ACT_EST_DATA=E, EST_SOURCE=DBG</stp>
        <stp>ACT_EST_MAPPING=PRECISE</stp>
        <stp>FS=MRC</stp>
        <stp>CURRENCY=USD</stp>
        <stp>XLFILL=b</stp>
        <tr r="Y221" s="2"/>
      </tp>
      <tp t="s">
        <v>#N/A Requesting Data...</v>
        <stp/>
        <stp>##V3_BQLV12</stp>
        <stp>[MODL_NOW_US1.xlsx]Single Period!R218C45</stp>
        <stp>NOW US Equity</stp>
        <stp>CF_ACQUISITION_OF_INTANG_ASSETS/1M</stp>
        <stp>FPR=2021Y</stp>
        <stp>FPT=A</stp>
        <stp>FA_ACT_EST_DATA=E, EST_SOURCE=PJE</stp>
        <stp>ACT_EST_MAPPING=PRECISE</stp>
        <stp>FS=MRC</stp>
        <stp>CURRENCY=USD</stp>
        <stp>XLFILL=b</stp>
        <tr r="AS218" s="2"/>
      </tp>
      <tp t="s">
        <v>#N/A Requesting Data...</v>
        <stp/>
        <stp>##V3_BQLV12</stp>
        <stp>[MODL_NOW_US1.xlsx]Single Period!R216C35</stp>
        <stp>NOW US Equity</stp>
        <stp>CF_PURCHASE_OF_FIXED_PROD_ASSETS/1M</stp>
        <stp>FPR=2021Y</stp>
        <stp>FPT=A</stp>
        <stp>FA_ACT_EST_DATA=E, EST_SOURCE=MSR</stp>
        <stp>ACT_EST_MAPPING=PRECISE</stp>
        <stp>FS=MRC</stp>
        <stp>CURRENCY=USD</stp>
        <stp>XLFILL=b</stp>
        <tr r="AI216" s="2"/>
      </tp>
      <tp t="s">
        <v>#N/A Requesting Data...</v>
        <stp/>
        <stp>##V3_BQLV12</stp>
        <stp>[MODL_NOW_US1.xlsx]Single Period!R58C8</stp>
        <stp>SEG0000230975 Segment</stp>
        <stp>CONTRIBUTOR_STATS(SALES_REV_TURN, STD)/1M</stp>
        <stp>FPR=2021Y</stp>
        <stp>FPT=A</stp>
        <stp>FA_ACT_EST_DATA=E</stp>
        <stp>ACT_EST_MAPPING=PRECISE</stp>
        <stp>FS=MRC</stp>
        <stp>CURRENCY=USD</stp>
        <stp>XLFILL=b</stp>
        <tr r="H58" s="2"/>
      </tp>
      <tp t="s">
        <v>#N/A Requesting Data...</v>
        <stp/>
        <stp>##V3_BQLV12</stp>
        <stp>[MODL_NOW_US1.xlsx]Single Period!R213C42</stp>
        <stp>NOW US Equity</stp>
        <stp>CF_CASH_FROM_OPER/1M</stp>
        <stp>FPR=2021Y</stp>
        <stp>FPT=A</stp>
        <stp>FA_ACT_EST_DATA=E, EST_SOURCE=CTI</stp>
        <stp>ACT_EST_MAPPING=PRECISE</stp>
        <stp>FS=MRC</stp>
        <stp>CURRENCY=USD</stp>
        <stp>XLFILL=b</stp>
        <tr r="AP213" s="2"/>
      </tp>
      <tp t="s">
        <v>#N/A Requesting Data...</v>
        <stp/>
        <stp>##V3_BQLV12</stp>
        <stp>[MODL_NOW_US1.xlsx]Single Period!R216C31</stp>
        <stp>NOW US Equity</stp>
        <stp>CF_PURCHASE_OF_FIXED_PROD_ASSETS/1M</stp>
        <stp>FPR=2021Y</stp>
        <stp>FPT=A</stp>
        <stp>FA_ACT_EST_DATA=E, EST_SOURCE=GSR</stp>
        <stp>ACT_EST_MAPPING=PRECISE</stp>
        <stp>FS=MRC</stp>
        <stp>CURRENCY=USD</stp>
        <stp>XLFILL=b</stp>
        <tr r="AE216" s="2"/>
      </tp>
      <tp t="s">
        <v>#N/A Requesting Data...</v>
        <stp/>
        <stp>##V3_BQLV12</stp>
        <stp>[MODL_NOW_US1.xlsx]Single Period!R159C5</stp>
        <stp>NOW US Equity</stp>
        <stp>CB_BS_OTHER_CURRENT_ASSETS/1M</stp>
        <stp>FPR=2021Y</stp>
        <stp>FPT=A</stp>
        <stp>FA_ACT_EST_DATA=E</stp>
        <stp>ACT_EST_MAPPING=PRECISE</stp>
        <stp>FS=MRC</stp>
        <stp>CURRENCY=USD</stp>
        <stp>XLFILL=b</stp>
        <tr r="E159" s="2"/>
      </tp>
      <tp t="s">
        <v>#N/A Requesting Data...</v>
        <stp/>
        <stp>##V3_BQLV12</stp>
        <stp>[MODL_NOW_US1.xlsx]Single Period!R221C26</stp>
        <stp>NOW US Equity</stp>
        <stp>CB_CF_OTHER_INVESTING_ACTIVITIES/1M</stp>
        <stp>FPR=2021Y</stp>
        <stp>FPT=A</stp>
        <stp>FA_ACT_EST_DATA=E, EST_SOURCE=UBS</stp>
        <stp>ACT_EST_MAPPING=PRECISE</stp>
        <stp>FS=MRC</stp>
        <stp>CURRENCY=USD</stp>
        <stp>XLFILL=b</stp>
        <tr r="Z221" s="2"/>
      </tp>
      <tp t="s">
        <v>#N/A Requesting Data...</v>
        <stp/>
        <stp>##V3_BQLV12</stp>
        <stp>[MODL_NOW_US1.xlsx]Single Period!R182C22</stp>
        <stp>NOW US Equity</stp>
        <stp>BS_OTHER_NONCURRENT_LIABILITIES/1M</stp>
        <stp>FPR=2021Y</stp>
        <stp>FPT=A</stp>
        <stp>FA_ACT_EST_DATA=E, EST_SOURCE=NDH</stp>
        <stp>ACT_EST_MAPPING=PRECISE</stp>
        <stp>FS=MRC</stp>
        <stp>CURRENCY=USD</stp>
        <stp>XLFILL=b</stp>
        <tr r="V182" s="2"/>
      </tp>
      <tp t="s">
        <v>#N/A Requesting Data...</v>
        <stp/>
        <stp>##V3_BQLV12</stp>
        <stp>[MODL_NOW_US1.xlsx]Single Period!R213C44</stp>
        <stp>NOW US Equity</stp>
        <stp>CF_CASH_FROM_OPER/1M</stp>
        <stp>FPR=2021Y</stp>
        <stp>FPT=A</stp>
        <stp>FA_ACT_EST_DATA=E, EST_SOURCE=ARE</stp>
        <stp>ACT_EST_MAPPING=PRECISE</stp>
        <stp>FS=MRC</stp>
        <stp>CURRENCY=USD</stp>
        <stp>XLFILL=b</stp>
        <tr r="AR213" s="2"/>
      </tp>
      <tp t="s">
        <v>#N/A Requesting Data...</v>
        <stp/>
        <stp>##V3_BQLV12</stp>
        <stp>[MODL_NOW_US1.xlsx]Single Period!R207C10</stp>
        <stp>NOW US Equity</stp>
        <stp>CB_CF_CHANGE_IN_ACCOUNTS_RECEIVABLE/1M</stp>
        <stp>FPR=2021Y</stp>
        <stp>FPT=A</stp>
        <stp>FA_ACT_EST_DATA=E, EST_SOURCE=CMPY</stp>
        <stp>ACT_EST_MAPPING=PRECISE</stp>
        <stp>FS=MRC</stp>
        <stp>CURRENCY=USD</stp>
        <stp>XLFILL=b</stp>
        <tr r="J207" s="2"/>
      </tp>
      <tp t="s">
        <v>#N/A Requesting Data...</v>
        <stp/>
        <stp>##V3_BQLV12</stp>
        <stp>[MODL_NOW_US1.xlsx]Single Period!R81C24</stp>
        <stp>NOW US Equity</stp>
        <stp>IS_ADJ_SALES_YOY_CHG_PCT_CC</stp>
        <stp>FPR=2021Y</stp>
        <stp>FPT=A</stp>
        <stp>FA_ACT_EST_DATA=E, EST_SOURCE=CWN</stp>
        <stp>ACT_EST_MAPPING=PRECISE</stp>
        <stp>FS=MRC</stp>
        <stp>CURRENCY=USD</stp>
        <stp>XLFILL=b</stp>
        <tr r="X81" s="2"/>
      </tp>
      <tp t="s">
        <v>#N/A Requesting Data...</v>
        <stp/>
        <stp>##V3_BQLV12</stp>
        <stp>[MODL_NOW_US1.xlsx]Single Period!R114C5</stp>
        <stp>SEG0000230986 Segment</stp>
        <stp>CB_IS_GROSS_MARGIN</stp>
        <stp>FPR=2021Y</stp>
        <stp>FPT=A</stp>
        <stp>FA_ACT_EST_DATA=E</stp>
        <stp>ACT_EST_MAPPING=PRECISE</stp>
        <stp>FS=MRC</stp>
        <stp>CURRENCY=USD</stp>
        <stp>XLFILL=b</stp>
        <tr r="E114" s="2"/>
      </tp>
      <tp t="s">
        <v>#N/A Requesting Data...</v>
        <stp/>
        <stp>##V3_BQLV12</stp>
        <stp>[MODL_NOW_US1.xlsx]Single Period!R129C38</stp>
        <stp>NOW US Equity</stp>
        <stp>EFF_TAX_RATE</stp>
        <stp>FPR=2021Y</stp>
        <stp>FPT=A</stp>
        <stp>FA_ACT_EST_DATA=E, EST_SOURCE=RWB</stp>
        <stp>ACT_EST_MAPPING=PRECISE</stp>
        <stp>FS=MRC</stp>
        <stp>CURRENCY=USD</stp>
        <stp>XLFILL=b</stp>
        <tr r="AL129" s="2"/>
      </tp>
      <tp t="s">
        <v>#N/A Requesting Data...</v>
        <stp/>
        <stp>##V3_BQLV12</stp>
        <stp>[MODL_NOW_US1.xlsx]Single Period!R164C23</stp>
        <stp>NOW US Equity</stp>
        <stp>CB_BS_PP_AND_E_NET/1M</stp>
        <stp>FPR=2021Y</stp>
        <stp>FPT=A</stp>
        <stp>FA_ACT_EST_DATA=E, EST_SOURCE=ZXS</stp>
        <stp>ACT_EST_MAPPING=PRECISE</stp>
        <stp>FS=MRC</stp>
        <stp>CURRENCY=USD</stp>
        <stp>XLFILL=b</stp>
        <tr r="W164" s="2"/>
      </tp>
      <tp t="s">
        <v>#N/A Requesting Data...</v>
        <stp/>
        <stp>##V3_BQLV12</stp>
        <stp>[MODL_NOW_US1.xlsx]Single Period!R140C9</stp>
        <stp>SEG0000230975 Segment</stp>
        <stp>CONTRIBUTOR_STATS(IS_SBC_ATTRIB_TO_COGS_PRETX, MEDIAN)/1M</stp>
        <stp>FPR=2021Y</stp>
        <stp>FPT=A</stp>
        <stp>FA_ACT_EST_DATA=E</stp>
        <stp>ACT_EST_MAPPING=PRECISE</stp>
        <stp>FS=MRC</stp>
        <stp>CURRENCY=USD</stp>
        <stp>XLFILL=b</stp>
        <tr r="I140" s="2"/>
      </tp>
      <tp t="s">
        <v>#N/A Requesting Data...</v>
        <stp/>
        <stp>##V3_BQLV12</stp>
        <stp>[MODL_NOW_US1.xlsx]Single Period!R212C37</stp>
        <stp>NOW US Equity</stp>
        <stp>CF_CHANGE_IN_ACCRUD_EXPNSS/1M</stp>
        <stp>FPR=2021Y</stp>
        <stp>FPT=A</stp>
        <stp>FA_ACT_EST_DATA=E, EST_SOURCE=TTC</stp>
        <stp>ACT_EST_MAPPING=PRECISE</stp>
        <stp>FS=MRC</stp>
        <stp>CURRENCY=USD</stp>
        <stp>XLFILL=b</stp>
        <tr r="AK212" s="2"/>
      </tp>
      <tp t="s">
        <v>#N/A Requesting Data...</v>
        <stp/>
        <stp>##V3_BQLV12</stp>
        <stp>[MODL_NOW_US1.xlsx]Single Period!R157C19</stp>
        <stp>NOW US Equity</stp>
        <stp>BS_MKT_SEC_OTHER_ST_INVEST/1M</stp>
        <stp>FPR=2021Y</stp>
        <stp>FPT=A</stp>
        <stp>FA_ACT_EST_DATA=E, EST_SOURCE=MSV</stp>
        <stp>ACT_EST_MAPPING=PRECISE</stp>
        <stp>FS=MRC</stp>
        <stp>CURRENCY=USD</stp>
        <stp>XLFILL=b</stp>
        <tr r="S157" s="2"/>
      </tp>
      <tp t="s">
        <v>#N/A Requesting Data...</v>
        <stp/>
        <stp>##V3_BQLV12</stp>
        <stp>[MODL_NOW_US1.xlsx]Single Period!R157C31</stp>
        <stp>NOW US Equity</stp>
        <stp>BS_MKT_SEC_OTHER_ST_INVEST/1M</stp>
        <stp>FPR=2021Y</stp>
        <stp>FPT=A</stp>
        <stp>FA_ACT_EST_DATA=E, EST_SOURCE=GSR</stp>
        <stp>ACT_EST_MAPPING=PRECISE</stp>
        <stp>FS=MRC</stp>
        <stp>CURRENCY=USD</stp>
        <stp>XLFILL=b</stp>
        <tr r="AE157" s="2"/>
      </tp>
      <tp t="s">
        <v>#N/A Requesting Data...</v>
        <stp/>
        <stp>##V3_BQLV12</stp>
        <stp>[MODL_NOW_US1.xlsx]Single Period!R157C35</stp>
        <stp>NOW US Equity</stp>
        <stp>BS_MKT_SEC_OTHER_ST_INVEST/1M</stp>
        <stp>FPR=2021Y</stp>
        <stp>FPT=A</stp>
        <stp>FA_ACT_EST_DATA=E, EST_SOURCE=MSR</stp>
        <stp>ACT_EST_MAPPING=PRECISE</stp>
        <stp>FS=MRC</stp>
        <stp>CURRENCY=USD</stp>
        <stp>XLFILL=b</stp>
        <tr r="AI157" s="2"/>
      </tp>
      <tp t="s">
        <v>#N/A Requesting Data...</v>
        <stp/>
        <stp>##V3_BQLV12</stp>
        <stp>[MODL_NOW_US1.xlsx]Single Period!R194C28</stp>
        <stp>NOW US Equity</stp>
        <stp>CB_BS_OTHER_CURRENT_ASSETS/1M</stp>
        <stp>FPR=2021Y</stp>
        <stp>FPT=A</stp>
        <stp>FA_ACT_EST_DATA=E, EST_SOURCE=EVR</stp>
        <stp>ACT_EST_MAPPING=PRECISE</stp>
        <stp>FS=MRC</stp>
        <stp>CURRENCY=USD</stp>
        <stp>XLFILL=b</stp>
        <tr r="AB194" s="2"/>
      </tp>
      <tp t="s">
        <v>#N/A Requesting Data...</v>
        <stp/>
        <stp>##V3_BQLV12</stp>
        <stp>[MODL_NOW_US1.xlsx]Single Period!R149C48</stp>
        <stp>NOW US Equity</stp>
        <stp>IS_AMORT_ACQD_INTANG_GEN_AND_ADMIN/1M</stp>
        <stp>FPR=2021Y</stp>
        <stp>FPT=A</stp>
        <stp>FA_ACT_EST_DATA=E, EST_SOURCE=CRC</stp>
        <stp>ACT_EST_MAPPING=PRECISE</stp>
        <stp>FS=MRC</stp>
        <stp>CURRENCY=USD</stp>
        <stp>XLFILL=b</stp>
        <tr r="AV149" s="2"/>
      </tp>
      <tp t="s">
        <v>#N/A Requesting Data...</v>
        <stp/>
        <stp>##V3_BQLV12</stp>
        <stp>[MODL_NOW_US1.xlsx]Single Period!R212C42</stp>
        <stp>NOW US Equity</stp>
        <stp>CF_CHANGE_IN_ACCRUD_EXPNSS/1M</stp>
        <stp>FPR=2021Y</stp>
        <stp>FPT=A</stp>
        <stp>FA_ACT_EST_DATA=E, EST_SOURCE=CTI</stp>
        <stp>ACT_EST_MAPPING=PRECISE</stp>
        <stp>FS=MRC</stp>
        <stp>CURRENCY=USD</stp>
        <stp>XLFILL=b</stp>
        <tr r="AP212" s="2"/>
      </tp>
      <tp t="s">
        <v>#N/A Requesting Data...</v>
        <stp/>
        <stp>##V3_BQLV12</stp>
        <stp>[MODL_NOW_US1.xlsx]Single Period!R91C25</stp>
        <stp>NOW US Equity</stp>
        <stp>ADJ_R_AND_D_TO_SALES</stp>
        <stp>FPR=2021Y</stp>
        <stp>FPT=A</stp>
        <stp>FA_ACT_EST_DATA=E, EST_SOURCE=DBG</stp>
        <stp>ACT_EST_MAPPING=PRECISE</stp>
        <stp>FS=MRC</stp>
        <stp>CURRENCY=USD</stp>
        <stp>XLFILL=b</stp>
        <tr r="Y91" s="2"/>
      </tp>
      <tp t="s">
        <v>#N/A Requesting Data...</v>
        <stp/>
        <stp>##V3_BQLV12</stp>
        <stp>[MODL_NOW_US1.xlsx]Single Period!R149C41</stp>
        <stp>NOW US Equity</stp>
        <stp>IS_AMORT_ACQD_INTANG_GEN_AND_ADMIN/1M</stp>
        <stp>FPR=2021Y</stp>
        <stp>FPT=A</stp>
        <stp>FA_ACT_EST_DATA=E, EST_SOURCE=ARG</stp>
        <stp>ACT_EST_MAPPING=PRECISE</stp>
        <stp>FS=MRC</stp>
        <stp>CURRENCY=USD</stp>
        <stp>XLFILL=b</stp>
        <tr r="AO149" s="2"/>
      </tp>
      <tp t="s">
        <v>#N/A Requesting Data...</v>
        <stp/>
        <stp>##V3_BQLV12</stp>
        <stp>[MODL_NOW_US1.xlsx]Single Period!R144C49</stp>
        <stp>NOW US Equity</stp>
        <stp>IS_SBC_ATT_TO_GENL_AND_ADMIN_PRETX/1M</stp>
        <stp>FPR=2021Y</stp>
        <stp>FPT=A</stp>
        <stp>FA_ACT_EST_DATA=E, EST_SOURCE=SCB</stp>
        <stp>ACT_EST_MAPPING=PRECISE</stp>
        <stp>FS=MRC</stp>
        <stp>CURRENCY=USD</stp>
        <stp>XLFILL=b</stp>
        <tr r="AW144" s="2"/>
      </tp>
      <tp t="s">
        <v>#N/A Requesting Data...</v>
        <stp/>
        <stp>##V3_BQLV12</stp>
        <stp>[MODL_NOW_US1.xlsx]Single Period!R111C14</stp>
        <stp>NOW US Equity</stp>
        <stp>IS_COGS_TO_FE_AND_PP_AND_G/1M</stp>
        <stp>FPR=2021Y</stp>
        <stp>FPT=A</stp>
        <stp>FA_ACT_EST_DATA=E, EST_SOURCE=BMO</stp>
        <stp>ACT_EST_MAPPING=PRECISE</stp>
        <stp>FS=MRC</stp>
        <stp>CURRENCY=USD</stp>
        <stp>XLFILL=b</stp>
        <tr r="N111" s="2"/>
      </tp>
      <tp t="s">
        <v>#N/A Requesting Data...</v>
        <stp/>
        <stp>##V3_BQLV12</stp>
        <stp>[MODL_NOW_US1.xlsx]Single Period!R149C44</stp>
        <stp>NOW US Equity</stp>
        <stp>IS_AMORT_ACQD_INTANG_GEN_AND_ADMIN/1M</stp>
        <stp>FPR=2021Y</stp>
        <stp>FPT=A</stp>
        <stp>FA_ACT_EST_DATA=E, EST_SOURCE=ARE</stp>
        <stp>ACT_EST_MAPPING=PRECISE</stp>
        <stp>FS=MRC</stp>
        <stp>CURRENCY=USD</stp>
        <stp>XLFILL=b</stp>
        <tr r="AR149" s="2"/>
      </tp>
      <tp t="s">
        <v>#N/A Requesting Data...</v>
        <stp/>
        <stp>##V3_BQLV12</stp>
        <stp>[MODL_NOW_US1.xlsx]Single Period!R144C16</stp>
        <stp>NOW US Equity</stp>
        <stp>IS_SBC_ATT_TO_GENL_AND_ADMIN_PRETX/1M</stp>
        <stp>FPR=2021Y</stp>
        <stp>FPT=A</stp>
        <stp>FA_ACT_EST_DATA=E, EST_SOURCE=BCA</stp>
        <stp>ACT_EST_MAPPING=PRECISE</stp>
        <stp>FS=MRC</stp>
        <stp>CURRENCY=USD</stp>
        <stp>XLFILL=b</stp>
        <tr r="P144" s="2"/>
      </tp>
      <tp t="s">
        <v>#N/A Requesting Data...</v>
        <stp/>
        <stp>##V3_BQLV12</stp>
        <stp>[MODL_NOW_US1.xlsx]Single Period!R96C38</stp>
        <stp>NOW US Equity</stp>
        <stp>ADJ_OPERATING_MARGIN</stp>
        <stp>FPR=2021Y</stp>
        <stp>FPT=A</stp>
        <stp>FA_ACT_EST_DATA=E, EST_SOURCE=RWB</stp>
        <stp>ACT_EST_MAPPING=PRECISE</stp>
        <stp>FS=MRC</stp>
        <stp>CURRENCY=USD</stp>
        <stp>XLFILL=b</stp>
        <tr r="AL96" s="2"/>
      </tp>
      <tp t="s">
        <v>#N/A Requesting Data...</v>
        <stp/>
        <stp>##V3_BQLV12</stp>
        <stp>[MODL_NOW_US1.xlsx]Single Period!R111C21</stp>
        <stp>NOW US Equity</stp>
        <stp>IS_COGS_TO_FE_AND_PP_AND_G/1M</stp>
        <stp>FPR=2021Y</stp>
        <stp>FPT=A</stp>
        <stp>FA_ACT_EST_DATA=E, EST_SOURCE=JMP</stp>
        <stp>ACT_EST_MAPPING=PRECISE</stp>
        <stp>FS=MRC</stp>
        <stp>CURRENCY=USD</stp>
        <stp>XLFILL=b</stp>
        <tr r="U111" s="2"/>
      </tp>
      <tp t="s">
        <v>#N/A Requesting Data...</v>
        <stp/>
        <stp>##V3_BQLV12</stp>
        <stp>[MODL_NOW_US1.xlsx]Single Period!R157C34</stp>
        <stp>NOW US Equity</stp>
        <stp>BS_MKT_SEC_OTHER_ST_INVEST/1M</stp>
        <stp>FPR=2021Y</stp>
        <stp>FPT=A</stp>
        <stp>FA_ACT_EST_DATA=E, EST_SOURCE=PSG</stp>
        <stp>ACT_EST_MAPPING=PRECISE</stp>
        <stp>FS=MRC</stp>
        <stp>CURRENCY=USD</stp>
        <stp>XLFILL=b</stp>
        <tr r="AH157" s="2"/>
      </tp>
      <tp t="s">
        <v>#N/A Requesting Data...</v>
        <stp/>
        <stp>##V3_BQLV12</stp>
        <stp>[MODL_NOW_US1.xlsx]Single Period!R91C29</stp>
        <stp>NOW US Equity</stp>
        <stp>ADJ_R_AND_D_TO_SALES</stp>
        <stp>FPR=2021Y</stp>
        <stp>FPT=A</stp>
        <stp>FA_ACT_EST_DATA=E, EST_SOURCE=BNS</stp>
        <stp>ACT_EST_MAPPING=PRECISE</stp>
        <stp>FS=MRC</stp>
        <stp>CURRENCY=USD</stp>
        <stp>XLFILL=b</stp>
        <tr r="AC91" s="2"/>
      </tp>
      <tp t="s">
        <v>#N/A Requesting Data...</v>
        <stp/>
        <stp>##V3_BQLV12</stp>
        <stp>[MODL_NOW_US1.xlsx]Single Period!R138C30</stp>
        <stp>NOW US Equity</stp>
        <stp>SBC_NON_GAAP_TO_SALES</stp>
        <stp>FPR=2021Y</stp>
        <stp>FPT=A</stp>
        <stp>FA_ACT_EST_DATA=E, EST_SOURCE=BAM</stp>
        <stp>ACT_EST_MAPPING=PRECISE</stp>
        <stp>FS=MRC</stp>
        <stp>CURRENCY=USD</stp>
        <stp>XLFILL=b</stp>
        <tr r="AD138" s="2"/>
      </tp>
      <tp t="s">
        <v>#N/A Requesting Data...</v>
        <stp/>
        <stp>##V3_BQLV12</stp>
        <stp>[MODL_NOW_US1.xlsx]Single Period!R21C45</stp>
        <stp>SEG0000230986 Segment</stp>
        <stp>IS_BILLINGS/1M</stp>
        <stp>FPR=2021Y</stp>
        <stp>FPT=A</stp>
        <stp>FA_ACT_EST_DATA=E, EST_SOURCE=PJE</stp>
        <stp>ACT_EST_MAPPING=PRECISE</stp>
        <stp>FS=MRC</stp>
        <stp>CURRENCY=USD</stp>
        <stp>XLFILL=b</stp>
        <tr r="AS21" s="2"/>
      </tp>
      <tp t="s">
        <v>#N/A Requesting Data...</v>
        <stp/>
        <stp>##V3_BQLV12</stp>
        <stp>[MODL_NOW_US1.xlsx]Single Period!R46C45</stp>
        <stp>SEG0000230986 Segment</stp>
        <stp>IS_BILLINGS/1M</stp>
        <stp>FPR=2021Y</stp>
        <stp>FPT=A</stp>
        <stp>FA_ACT_EST_DATA=E, EST_SOURCE=PJE</stp>
        <stp>ACT_EST_MAPPING=PRECISE</stp>
        <stp>FS=MRC</stp>
        <stp>CURRENCY=USD</stp>
        <stp>XLFILL=b</stp>
        <tr r="AS46" s="2"/>
      </tp>
      <tp t="s">
        <v>#N/A Requesting Data...</v>
        <stp/>
        <stp>##V3_BQLV12</stp>
        <stp>[MODL_NOW_US1.xlsx]Single Period!R174C46</stp>
        <stp>NOW US Equity</stp>
        <stp>BS_ACCT_PAYABLE/1M</stp>
        <stp>FPR=2021Y</stp>
        <stp>FPT=A</stp>
        <stp>FA_ACT_EST_DATA=E, EST_SOURCE=MZS</stp>
        <stp>ACT_EST_MAPPING=PRECISE</stp>
        <stp>FS=MRC</stp>
        <stp>CURRENCY=USD</stp>
        <stp>XLFILL=b</stp>
        <tr r="AT174" s="2"/>
      </tp>
      <tp t="s">
        <v>#N/A Requesting Data...</v>
        <stp/>
        <stp>##V3_BQLV12</stp>
        <stp>[MODL_NOW_US1.xlsx]Single Period!R208C35</stp>
        <stp>NOW US Equity</stp>
        <stp>CF_CHANGE_IN_OTHR_ASSTS/1M</stp>
        <stp>FPR=2021Y</stp>
        <stp>FPT=A</stp>
        <stp>FA_ACT_EST_DATA=E, EST_SOURCE=MSR</stp>
        <stp>ACT_EST_MAPPING=PRECISE</stp>
        <stp>FS=MRC</stp>
        <stp>CURRENCY=USD</stp>
        <stp>XLFILL=b</stp>
        <tr r="AI208" s="2"/>
      </tp>
      <tp t="s">
        <v>#N/A Requesting Data...</v>
        <stp/>
        <stp>##V3_BQLV12</stp>
        <stp>[MODL_NOW_US1.xlsx]Single Period!R208C31</stp>
        <stp>NOW US Equity</stp>
        <stp>CF_CHANGE_IN_OTHR_ASSTS/1M</stp>
        <stp>FPR=2021Y</stp>
        <stp>FPT=A</stp>
        <stp>FA_ACT_EST_DATA=E, EST_SOURCE=GSR</stp>
        <stp>ACT_EST_MAPPING=PRECISE</stp>
        <stp>FS=MRC</stp>
        <stp>CURRENCY=USD</stp>
        <stp>XLFILL=b</stp>
        <tr r="AE208" s="2"/>
      </tp>
      <tp t="s">
        <v>#N/A Requesting Data...</v>
        <stp/>
        <stp>##V3_BQLV12</stp>
        <stp>[MODL_NOW_US1.xlsx]Single Period!R43C25</stp>
        <stp>SEG0000230975 Segment</stp>
        <stp>CB_ADJ_BILLINGS_AMT/1M</stp>
        <stp>FPR=2021Y</stp>
        <stp>FPT=A</stp>
        <stp>FA_ACT_EST_DATA=E, EST_SOURCE=DBG</stp>
        <stp>ACT_EST_MAPPING=PRECISE</stp>
        <stp>FS=MRC</stp>
        <stp>CURRENCY=USD</stp>
        <stp>XLFILL=b</stp>
        <tr r="Y43" s="2"/>
      </tp>
      <tp t="s">
        <v>#N/A Requesting Data...</v>
        <stp/>
        <stp>##V3_BQLV12</stp>
        <stp>[MODL_NOW_US1.xlsx]Single Period!R138C20</stp>
        <stp>NOW US Equity</stp>
        <stp>SBC_NON_GAAP_TO_SALES</stp>
        <stp>FPR=2021Y</stp>
        <stp>FPT=A</stp>
        <stp>FA_ACT_EST_DATA=E, EST_SOURCE=CAN</stp>
        <stp>ACT_EST_MAPPING=PRECISE</stp>
        <stp>FS=MRC</stp>
        <stp>CURRENCY=USD</stp>
        <stp>XLFILL=b</stp>
        <tr r="T138" s="2"/>
      </tp>
      <tp t="s">
        <v>#N/A Requesting Data...</v>
        <stp/>
        <stp>##V3_BQLV12</stp>
        <stp>[MODL_NOW_US1.xlsx]Single Period!R208C19</stp>
        <stp>NOW US Equity</stp>
        <stp>CF_CHANGE_IN_OTHR_ASSTS/1M</stp>
        <stp>FPR=2021Y</stp>
        <stp>FPT=A</stp>
        <stp>FA_ACT_EST_DATA=E, EST_SOURCE=MSV</stp>
        <stp>ACT_EST_MAPPING=PRECISE</stp>
        <stp>FS=MRC</stp>
        <stp>CURRENCY=USD</stp>
        <stp>XLFILL=b</stp>
        <tr r="S208" s="2"/>
      </tp>
      <tp t="s">
        <v>#N/A Requesting Data...</v>
        <stp/>
        <stp>##V3_BQLV12</stp>
        <stp>[MODL_NOW_US1.xlsx]Single Period!R47C33</stp>
        <stp>SEG0000230986 Segment</stp>
        <stp>CB_ADJ_BILLINGS_AMT/1M</stp>
        <stp>FPR=2021Y</stp>
        <stp>FPT=A</stp>
        <stp>FA_ACT_EST_DATA=E, EST_SOURCE=MAC</stp>
        <stp>ACT_EST_MAPPING=PRECISE</stp>
        <stp>FS=MRC</stp>
        <stp>CURRENCY=USD</stp>
        <stp>XLFILL=b</stp>
        <tr r="AG47" s="2"/>
      </tp>
      <tp t="s">
        <v>#N/A Requesting Data...</v>
        <stp/>
        <stp>##V3_BQLV12</stp>
        <stp>[MODL_NOW_US1.xlsx]Single Period!R43C32</stp>
        <stp>SEG0000230975 Segment</stp>
        <stp>CB_ADJ_BILLINGS_AMT/1M</stp>
        <stp>FPR=2021Y</stp>
        <stp>FPT=A</stp>
        <stp>FA_ACT_EST_DATA=E, EST_SOURCE=FBC</stp>
        <stp>ACT_EST_MAPPING=PRECISE</stp>
        <stp>FS=MRC</stp>
        <stp>CURRENCY=USD</stp>
        <stp>XLFILL=b</stp>
        <tr r="AF43" s="2"/>
      </tp>
      <tp t="s">
        <v>#N/A Requesting Data...</v>
        <stp/>
        <stp>##V3_BQLV12</stp>
        <stp>[MODL_NOW_US1.xlsx]Single Period!R43C27</stp>
        <stp>SEG0000230975 Segment</stp>
        <stp>CB_ADJ_BILLINGS_AMT/1M</stp>
        <stp>FPR=2021Y</stp>
        <stp>FPT=A</stp>
        <stp>FA_ACT_EST_DATA=E, EST_SOURCE=RBC</stp>
        <stp>ACT_EST_MAPPING=PRECISE</stp>
        <stp>FS=MRC</stp>
        <stp>CURRENCY=USD</stp>
        <stp>XLFILL=b</stp>
        <tr r="AA43" s="2"/>
      </tp>
      <tp t="s">
        <v>#N/A Requesting Data...</v>
        <stp/>
        <stp>##V3_BQLV12</stp>
        <stp>[MODL_NOW_US1.xlsx]Single Period!R47C30</stp>
        <stp>SEG0000230986 Segment</stp>
        <stp>CB_ADJ_BILLINGS_AMT/1M</stp>
        <stp>FPR=2021Y</stp>
        <stp>FPT=A</stp>
        <stp>FA_ACT_EST_DATA=E, EST_SOURCE=BAM</stp>
        <stp>ACT_EST_MAPPING=PRECISE</stp>
        <stp>FS=MRC</stp>
        <stp>CURRENCY=USD</stp>
        <stp>XLFILL=b</stp>
        <tr r="AD47" s="2"/>
      </tp>
      <tp t="s">
        <v>#N/A Requesting Data...</v>
        <stp/>
        <stp>##V3_BQLV12</stp>
        <stp>[MODL_NOW_US1.xlsx]Single Period!R47C20</stp>
        <stp>SEG0000230986 Segment</stp>
        <stp>CB_ADJ_BILLINGS_AMT/1M</stp>
        <stp>FPR=2021Y</stp>
        <stp>FPT=A</stp>
        <stp>FA_ACT_EST_DATA=E, EST_SOURCE=CAN</stp>
        <stp>ACT_EST_MAPPING=PRECISE</stp>
        <stp>FS=MRC</stp>
        <stp>CURRENCY=USD</stp>
        <stp>XLFILL=b</stp>
        <tr r="T47" s="2"/>
      </tp>
      <tp t="s">
        <v>#N/A Requesting Data...</v>
        <stp/>
        <stp>##V3_BQLV12</stp>
        <stp>[MODL_NOW_US1.xlsx]Single Period!R43C12</stp>
        <stp>SEG0000230975 Segment</stp>
        <stp>CB_ADJ_BILLINGS_AMT/1M</stp>
        <stp>FPR=2021Y</stp>
        <stp>FPT=A</stp>
        <stp>FA_ACT_EST_DATA=E, EST_SOURCE=WBL</stp>
        <stp>ACT_EST_MAPPING=PRECISE</stp>
        <stp>FS=MRC</stp>
        <stp>CURRENCY=USD</stp>
        <stp>XLFILL=b</stp>
        <tr r="L43" s="2"/>
      </tp>
      <tp t="s">
        <v>#N/A Requesting Data...</v>
        <stp/>
        <stp>##V3_BQLV12</stp>
        <stp>[MODL_NOW_US1.xlsx]Single Period!R130C39</stp>
        <stp>NOW US Equity</stp>
        <stp>IS_COMP_NET_INCOME_GAAP/1M</stp>
        <stp>FPR=2021Y</stp>
        <stp>FPT=A</stp>
        <stp>FA_ACT_EST_DATA=E, EST_SOURCE=DZB</stp>
        <stp>ACT_EST_MAPPING=PRECISE</stp>
        <stp>FS=MRC</stp>
        <stp>CURRENCY=USD</stp>
        <stp>XLFILL=b</stp>
        <tr r="AM130" s="2"/>
      </tp>
      <tp t="s">
        <v>#N/A Requesting Data...</v>
        <stp/>
        <stp>##V3_BQLV12</stp>
        <stp>[MODL_NOW_US1.xlsx]Single Period!R199C39</stp>
        <stp>NOW US Equity</stp>
        <stp>IS_COMP_NET_INCOME_GAAP/1M</stp>
        <stp>FPR=2021Y</stp>
        <stp>FPT=A</stp>
        <stp>FA_ACT_EST_DATA=E, EST_SOURCE=DZB</stp>
        <stp>ACT_EST_MAPPING=PRECISE</stp>
        <stp>FS=MRC</stp>
        <stp>CURRENCY=USD</stp>
        <stp>XLFILL=b</stp>
        <tr r="AM199" s="2"/>
      </tp>
      <tp t="s">
        <v>#N/A Requesting Data...</v>
        <stp/>
        <stp>##V3_BQLV12</stp>
        <stp>[MODL_NOW_US1.xlsx]Single Period!R138C33</stp>
        <stp>NOW US Equity</stp>
        <stp>SBC_NON_GAAP_TO_SALES</stp>
        <stp>FPR=2021Y</stp>
        <stp>FPT=A</stp>
        <stp>FA_ACT_EST_DATA=E, EST_SOURCE=MAC</stp>
        <stp>ACT_EST_MAPPING=PRECISE</stp>
        <stp>FS=MRC</stp>
        <stp>CURRENCY=USD</stp>
        <stp>XLFILL=b</stp>
        <tr r="AG138" s="2"/>
      </tp>
      <tp t="s">
        <v>#N/A Requesting Data...</v>
        <stp/>
        <stp>##V3_BQLV12</stp>
        <stp>[MODL_NOW_US1.xlsx]Single Period!R43C26</stp>
        <stp>SEG0000230975 Segment</stp>
        <stp>CB_ADJ_BILLINGS_AMT/1M</stp>
        <stp>FPR=2021Y</stp>
        <stp>FPT=A</stp>
        <stp>FA_ACT_EST_DATA=E, EST_SOURCE=UBS</stp>
        <stp>ACT_EST_MAPPING=PRECISE</stp>
        <stp>FS=MRC</stp>
        <stp>CURRENCY=USD</stp>
        <stp>XLFILL=b</stp>
        <tr r="Z43" s="2"/>
      </tp>
      <tp t="s">
        <v>#N/A Requesting Data...</v>
        <stp/>
        <stp>##V3_BQLV12</stp>
        <stp>[MODL_NOW_US1.xlsx]Single Period!R208C34</stp>
        <stp>NOW US Equity</stp>
        <stp>CF_CHANGE_IN_OTHR_ASSTS/1M</stp>
        <stp>FPR=2021Y</stp>
        <stp>FPT=A</stp>
        <stp>FA_ACT_EST_DATA=E, EST_SOURCE=PSG</stp>
        <stp>ACT_EST_MAPPING=PRECISE</stp>
        <stp>FS=MRC</stp>
        <stp>CURRENCY=USD</stp>
        <stp>XLFILL=b</stp>
        <tr r="AH208" s="2"/>
      </tp>
      <tp t="s">
        <v>#N/A Requesting Data...</v>
        <stp/>
        <stp>##V3_BQLV12</stp>
        <stp>[MODL_NOW_US1.xlsx]Single Period!R174C39</stp>
        <stp>NOW US Equity</stp>
        <stp>BS_ACCT_PAYABLE/1M</stp>
        <stp>FPR=2021Y</stp>
        <stp>FPT=A</stp>
        <stp>FA_ACT_EST_DATA=E, EST_SOURCE=DZB</stp>
        <stp>ACT_EST_MAPPING=PRECISE</stp>
        <stp>FS=MRC</stp>
        <stp>CURRENCY=USD</stp>
        <stp>XLFILL=b</stp>
        <tr r="AM174" s="2"/>
      </tp>
      <tp t="s">
        <v>#N/A Requesting Data...</v>
        <stp/>
        <stp>##V3_BQLV12</stp>
        <stp>[MODL_NOW_US1.xlsx]Single Period!R160C18</stp>
        <stp>NOW US Equity</stp>
        <stp>PREPAID_EXPNSS_AND_OTHR/1M</stp>
        <stp>FPR=2021Y</stp>
        <stp>FPT=A</stp>
        <stp>FA_ACT_EST_DATA=E, EST_SOURCE=SNR</stp>
        <stp>ACT_EST_MAPPING=PRECISE</stp>
        <stp>FS=MRC</stp>
        <stp>CURRENCY=USD</stp>
        <stp>XLFILL=b</stp>
        <tr r="R160" s="2"/>
      </tp>
      <tp t="s">
        <v>#N/A Requesting Data...</v>
        <stp/>
        <stp>##V3_BQLV12</stp>
        <stp>[MODL_NOW_US1.xlsx]Single Period!R199C46</stp>
        <stp>NOW US Equity</stp>
        <stp>IS_COMP_NET_INCOME_GAAP/1M</stp>
        <stp>FPR=2021Y</stp>
        <stp>FPT=A</stp>
        <stp>FA_ACT_EST_DATA=E, EST_SOURCE=MZS</stp>
        <stp>ACT_EST_MAPPING=PRECISE</stp>
        <stp>FS=MRC</stp>
        <stp>CURRENCY=USD</stp>
        <stp>XLFILL=b</stp>
        <tr r="AT199" s="2"/>
      </tp>
      <tp t="s">
        <v>#N/A Requesting Data...</v>
        <stp/>
        <stp>##V3_BQLV12</stp>
        <stp>[MODL_NOW_US1.xlsx]Single Period!R130C46</stp>
        <stp>NOW US Equity</stp>
        <stp>IS_COMP_NET_INCOME_GAAP/1M</stp>
        <stp>FPR=2021Y</stp>
        <stp>FPT=A</stp>
        <stp>FA_ACT_EST_DATA=E, EST_SOURCE=MZS</stp>
        <stp>ACT_EST_MAPPING=PRECISE</stp>
        <stp>FS=MRC</stp>
        <stp>CURRENCY=USD</stp>
        <stp>XLFILL=b</stp>
        <tr r="AT130" s="2"/>
      </tp>
      <tp t="s">
        <v>#N/A Requesting Data...</v>
        <stp/>
        <stp>##V3_BQLV12</stp>
        <stp>[MODL_NOW_US1.xlsx]Single Period!R160C29</stp>
        <stp>NOW US Equity</stp>
        <stp>PREPAID_EXPNSS_AND_OTHR/1M</stp>
        <stp>FPR=2021Y</stp>
        <stp>FPT=A</stp>
        <stp>FA_ACT_EST_DATA=E, EST_SOURCE=BNS</stp>
        <stp>ACT_EST_MAPPING=PRECISE</stp>
        <stp>FS=MRC</stp>
        <stp>CURRENCY=USD</stp>
        <stp>XLFILL=b</stp>
        <tr r="AC160" s="2"/>
      </tp>
      <tp t="s">
        <v>#N/A Requesting Data...</v>
        <stp/>
        <stp>##V3_BQLV12</stp>
        <stp>[MODL_NOW_US1.xlsx]Single Period!R227C30</stp>
        <stp>NOW US Equity</stp>
        <stp>CF_NET_CSH_PROV_BY_FINANCING_ACT/1M</stp>
        <stp>FPR=2021Y</stp>
        <stp>FPT=A</stp>
        <stp>FA_ACT_EST_DATA=E, EST_SOURCE=BAM</stp>
        <stp>ACT_EST_MAPPING=PRECISE</stp>
        <stp>FS=MRC</stp>
        <stp>CURRENCY=USD</stp>
        <stp>XLFILL=b</stp>
        <tr r="AD227" s="2"/>
      </tp>
      <tp t="s">
        <v>#N/A Requesting Data...</v>
        <stp/>
        <stp>##V3_BQLV12</stp>
        <stp>[MODL_NOW_US1.xlsx]Single Period!R71C34</stp>
        <stp>SEG0000230986 Segment</stp>
        <stp>CB_IS_GROSS_PROFIT/1M</stp>
        <stp>FPR=2021Y</stp>
        <stp>FPT=A</stp>
        <stp>FA_ACT_EST_DATA=E, EST_SOURCE=PSG</stp>
        <stp>ACT_EST_MAPPING=PRECISE</stp>
        <stp>FS=MRC</stp>
        <stp>CURRENCY=USD</stp>
        <stp>XLFILL=b</stp>
        <tr r="AH71" s="2"/>
      </tp>
      <tp t="s">
        <v>#N/A Requesting Data...</v>
        <stp/>
        <stp>##V3_BQLV12</stp>
        <stp>[MODL_NOW_US1.xlsx]Single Period!R182C13</stp>
        <stp>NOW US Equity</stp>
        <stp>BS_OTHER_NONCURRENT_LIABILITIES/1M</stp>
        <stp>FPR=2021Y</stp>
        <stp>FPT=A</stp>
        <stp>FA_ACT_EST_DATA=E, EST_SOURCE=KEY</stp>
        <stp>ACT_EST_MAPPING=PRECISE</stp>
        <stp>FS=MRC</stp>
        <stp>CURRENCY=USD</stp>
        <stp>XLFILL=b</stp>
        <tr r="M182" s="2"/>
      </tp>
      <tp t="s">
        <v>#N/A Requesting Data...</v>
        <stp/>
        <stp>##V3_BQLV12</stp>
        <stp>[MODL_NOW_US1.xlsx]Single Period!R227C16</stp>
        <stp>NOW US Equity</stp>
        <stp>CF_NET_CSH_PROV_BY_FINANCING_ACT/1M</stp>
        <stp>FPR=2021Y</stp>
        <stp>FPT=A</stp>
        <stp>FA_ACT_EST_DATA=E, EST_SOURCE=BCA</stp>
        <stp>ACT_EST_MAPPING=PRECISE</stp>
        <stp>FS=MRC</stp>
        <stp>CURRENCY=USD</stp>
        <stp>XLFILL=b</stp>
        <tr r="P227" s="2"/>
      </tp>
      <tp t="s">
        <v>#N/A Requesting Data...</v>
        <stp/>
        <stp>##V3_BQLV12</stp>
        <stp>[MODL_NOW_US1.xlsx]Single Period!R39C5</stp>
        <stp>NOW US Equity</stp>
        <stp>IS_BILLINGS/1M</stp>
        <stp>FPR=2021Y</stp>
        <stp>FPT=A</stp>
        <stp>FA_ACT_EST_DATA=E</stp>
        <stp>ACT_EST_MAPPING=PRECISE</stp>
        <stp>FS=MRC</stp>
        <stp>CURRENCY=USD</stp>
        <stp>XLFILL=b</stp>
        <tr r="E39" s="2"/>
      </tp>
      <tp t="s">
        <v>#N/A Requesting Data...</v>
        <stp/>
        <stp>##V3_BQLV12</stp>
        <stp>[MODL_NOW_US1.xlsx]Single Period!R104C14</stp>
        <stp>NOW US Equity</stp>
        <stp>IS_COMP_NET_INC_EXCL_STOCK_COMP/1M</stp>
        <stp>FPR=2021Y</stp>
        <stp>FPT=A</stp>
        <stp>FA_ACT_EST_DATA=E, EST_SOURCE=BMO</stp>
        <stp>ACT_EST_MAPPING=PRECISE</stp>
        <stp>FS=MRC</stp>
        <stp>CURRENCY=USD</stp>
        <stp>XLFILL=b</stp>
        <tr r="N104" s="2"/>
      </tp>
      <tp t="s">
        <v>#N/A Requesting Data...</v>
        <stp/>
        <stp>##V3_BQLV12</stp>
        <stp>[MODL_NOW_US1.xlsx]Single Period!R216C11</stp>
        <stp>NOW US Equity</stp>
        <stp>CF_PURCHASE_OF_FIXED_PROD_ASSETS/1M</stp>
        <stp>FPR=2021Y</stp>
        <stp>FPT=A</stp>
        <stp>FA_ACT_EST_DATA=E, EST_SOURCE=JPM</stp>
        <stp>ACT_EST_MAPPING=PRECISE</stp>
        <stp>FS=MRC</stp>
        <stp>CURRENCY=USD</stp>
        <stp>XLFILL=b</stp>
        <tr r="K216" s="2"/>
      </tp>
      <tp t="s">
        <v>#N/A Requesting Data...</v>
        <stp/>
        <stp>##V3_BQLV12</stp>
        <stp>[MODL_NOW_US1.xlsx]Single Period!R221C32</stp>
        <stp>NOW US Equity</stp>
        <stp>CB_CF_OTHER_INVESTING_ACTIVITIES/1M</stp>
        <stp>FPR=2021Y</stp>
        <stp>FPT=A</stp>
        <stp>FA_ACT_EST_DATA=E, EST_SOURCE=FBC</stp>
        <stp>ACT_EST_MAPPING=PRECISE</stp>
        <stp>FS=MRC</stp>
        <stp>CURRENCY=USD</stp>
        <stp>XLFILL=b</stp>
        <tr r="AF221" s="2"/>
      </tp>
      <tp t="s">
        <v>#N/A Requesting Data...</v>
        <stp/>
        <stp>##V3_BQLV12</stp>
        <stp>[MODL_NOW_US1.xlsx]Single Period!R216C47</stp>
        <stp>NOW US Equity</stp>
        <stp>CF_PURCHASE_OF_FIXED_PROD_ASSETS/1M</stp>
        <stp>FPR=2021Y</stp>
        <stp>FPT=A</stp>
        <stp>FA_ACT_EST_DATA=E, EST_SOURCE=SUM</stp>
        <stp>ACT_EST_MAPPING=PRECISE</stp>
        <stp>FS=MRC</stp>
        <stp>CURRENCY=USD</stp>
        <stp>XLFILL=b</stp>
        <tr r="AU216" s="2"/>
      </tp>
      <tp t="s">
        <v>#N/A Requesting Data...</v>
        <stp/>
        <stp>##V3_BQLV12</stp>
        <stp>[MODL_NOW_US1.xlsx]Single Period!R227C33</stp>
        <stp>NOW US Equity</stp>
        <stp>CF_NET_CSH_PROV_BY_FINANCING_ACT/1M</stp>
        <stp>FPR=2021Y</stp>
        <stp>FPT=A</stp>
        <stp>FA_ACT_EST_DATA=E, EST_SOURCE=MAC</stp>
        <stp>ACT_EST_MAPPING=PRECISE</stp>
        <stp>FS=MRC</stp>
        <stp>CURRENCY=USD</stp>
        <stp>XLFILL=b</stp>
        <tr r="AG227" s="2"/>
      </tp>
      <tp t="s">
        <v>#N/A Requesting Data...</v>
        <stp/>
        <stp>##V3_BQLV12</stp>
        <stp>[MODL_NOW_US1.xlsx]Single Period!R148C45</stp>
        <stp>NOW US Equity</stp>
        <stp>IS_AMORT_ACQD_INTANGIBLES_R_AND_D/1M</stp>
        <stp>FPR=2021Y</stp>
        <stp>FPT=A</stp>
        <stp>FA_ACT_EST_DATA=E, EST_SOURCE=PJE</stp>
        <stp>ACT_EST_MAPPING=PRECISE</stp>
        <stp>FS=MRC</stp>
        <stp>CURRENCY=USD</stp>
        <stp>XLFILL=b</stp>
        <tr r="AS148" s="2"/>
      </tp>
      <tp t="s">
        <v>#N/A Requesting Data...</v>
        <stp/>
        <stp>##V3_BQLV12</stp>
        <stp>[MODL_NOW_US1.xlsx]Single Period!R213C40</stp>
        <stp>NOW US Equity</stp>
        <stp>CF_CASH_FROM_OPER/1M</stp>
        <stp>FPR=2021Y</stp>
        <stp>FPT=A</stp>
        <stp>FA_ACT_EST_DATA=E, EST_SOURCE=DWI</stp>
        <stp>ACT_EST_MAPPING=PRECISE</stp>
        <stp>FS=MRC</stp>
        <stp>CURRENCY=USD</stp>
        <stp>XLFILL=b</stp>
        <tr r="AN213" s="2"/>
      </tp>
      <tp t="s">
        <v>#N/A Requesting Data...</v>
        <stp/>
        <stp>##V3_BQLV12</stp>
        <stp>[MODL_NOW_US1.xlsx]Single Period!R182C36</stp>
        <stp>NOW US Equity</stp>
        <stp>BS_OTHER_NONCURRENT_LIABILITIES/1M</stp>
        <stp>FPR=2021Y</stp>
        <stp>FPT=A</stp>
        <stp>FA_ACT_EST_DATA=E, EST_SOURCE=JEF</stp>
        <stp>ACT_EST_MAPPING=PRECISE</stp>
        <stp>FS=MRC</stp>
        <stp>CURRENCY=USD</stp>
        <stp>XLFILL=b</stp>
        <tr r="AJ182" s="2"/>
      </tp>
      <tp t="s">
        <v>#N/A Requesting Data...</v>
        <stp/>
        <stp>##V3_BQLV12</stp>
        <stp>[MODL_NOW_US1.xlsx]Single Period!R104C21</stp>
        <stp>NOW US Equity</stp>
        <stp>IS_COMP_NET_INC_EXCL_STOCK_COMP/1M</stp>
        <stp>FPR=2021Y</stp>
        <stp>FPT=A</stp>
        <stp>FA_ACT_EST_DATA=E, EST_SOURCE=JMP</stp>
        <stp>ACT_EST_MAPPING=PRECISE</stp>
        <stp>FS=MRC</stp>
        <stp>CURRENCY=USD</stp>
        <stp>XLFILL=b</stp>
        <tr r="U104" s="2"/>
      </tp>
      <tp t="s">
        <v>#N/A Requesting Data...</v>
        <stp/>
        <stp>##V3_BQLV12</stp>
        <stp>[MODL_NOW_US1.xlsx]Single Period!R71C19</stp>
        <stp>SEG0000230986 Segment</stp>
        <stp>CB_IS_GROSS_PROFIT/1M</stp>
        <stp>FPR=2021Y</stp>
        <stp>FPT=A</stp>
        <stp>FA_ACT_EST_DATA=E, EST_SOURCE=MSV</stp>
        <stp>ACT_EST_MAPPING=PRECISE</stp>
        <stp>FS=MRC</stp>
        <stp>CURRENCY=USD</stp>
        <stp>XLFILL=b</stp>
        <tr r="S71" s="2"/>
      </tp>
      <tp t="s">
        <v>#N/A Requesting Data...</v>
        <stp/>
        <stp>##V3_BQLV12</stp>
        <stp>[MODL_NOW_US1.xlsx]Single Period!R175C38</stp>
        <stp>NOW US Equity</stp>
        <stp>BS_ACCRUD_EXPNSS_AND_OTHR/1M</stp>
        <stp>FPR=2021Y</stp>
        <stp>FPT=A</stp>
        <stp>FA_ACT_EST_DATA=E, EST_SOURCE=RWB</stp>
        <stp>ACT_EST_MAPPING=PRECISE</stp>
        <stp>FS=MRC</stp>
        <stp>CURRENCY=USD</stp>
        <stp>XLFILL=b</stp>
        <tr r="AL175" s="2"/>
      </tp>
      <tp t="s">
        <v>#N/A Requesting Data...</v>
        <stp/>
        <stp>##V3_BQLV12</stp>
        <stp>[MODL_NOW_US1.xlsx]Single Period!R227C43</stp>
        <stp>NOW US Equity</stp>
        <stp>CF_NET_CSH_PROV_BY_FINANCING_ACT/1M</stp>
        <stp>FPR=2021Y</stp>
        <stp>FPT=A</stp>
        <stp>FA_ACT_EST_DATA=E, EST_SOURCE=WFT</stp>
        <stp>ACT_EST_MAPPING=PRECISE</stp>
        <stp>FS=MRC</stp>
        <stp>CURRENCY=USD</stp>
        <stp>XLFILL=b</stp>
        <tr r="AQ227" s="2"/>
      </tp>
      <tp t="s">
        <v>#N/A Requesting Data...</v>
        <stp/>
        <stp>##V3_BQLV12</stp>
        <stp>[MODL_NOW_US1.xlsx]Single Period!R148C17</stp>
        <stp>NOW US Equity</stp>
        <stp>IS_AMORT_ACQD_INTANGIBLES_R_AND_D/1M</stp>
        <stp>FPR=2021Y</stp>
        <stp>FPT=A</stp>
        <stp>FA_ACT_EST_DATA=E, EST_SOURCE=RHR</stp>
        <stp>ACT_EST_MAPPING=PRECISE</stp>
        <stp>FS=MRC</stp>
        <stp>CURRENCY=USD</stp>
        <stp>XLFILL=b</stp>
        <tr r="Q148" s="2"/>
      </tp>
      <tp t="s">
        <v>#N/A Requesting Data...</v>
        <stp/>
        <stp>##V3_BQLV12</stp>
        <stp>[MODL_NOW_US1.xlsx]Single Period!R216C15</stp>
        <stp>NOW US Equity</stp>
        <stp>CF_PURCHASE_OF_FIXED_PROD_ASSETS/1M</stp>
        <stp>FPR=2021Y</stp>
        <stp>FPT=A</stp>
        <stp>FA_ACT_EST_DATA=E, EST_SOURCE=OPY</stp>
        <stp>ACT_EST_MAPPING=PRECISE</stp>
        <stp>FS=MRC</stp>
        <stp>CURRENCY=USD</stp>
        <stp>XLFILL=b</stp>
        <tr r="O216" s="2"/>
      </tp>
      <tp t="s">
        <v>#N/A Requesting Data...</v>
        <stp/>
        <stp>##V3_BQLV12</stp>
        <stp>[MODL_NOW_US1.xlsx]Single Period!R71C35</stp>
        <stp>SEG0000230986 Segment</stp>
        <stp>CB_IS_GROSS_PROFIT/1M</stp>
        <stp>FPR=2021Y</stp>
        <stp>FPT=A</stp>
        <stp>FA_ACT_EST_DATA=E, EST_SOURCE=MSR</stp>
        <stp>ACT_EST_MAPPING=PRECISE</stp>
        <stp>FS=MRC</stp>
        <stp>CURRENCY=USD</stp>
        <stp>XLFILL=b</stp>
        <tr r="AI71" s="2"/>
      </tp>
      <tp t="s">
        <v>#N/A Requesting Data...</v>
        <stp/>
        <stp>##V3_BQLV12</stp>
        <stp>[MODL_NOW_US1.xlsx]Single Period!R71C31</stp>
        <stp>SEG0000230986 Segment</stp>
        <stp>CB_IS_GROSS_PROFIT/1M</stp>
        <stp>FPR=2021Y</stp>
        <stp>FPT=A</stp>
        <stp>FA_ACT_EST_DATA=E, EST_SOURCE=GSR</stp>
        <stp>ACT_EST_MAPPING=PRECISE</stp>
        <stp>FS=MRC</stp>
        <stp>CURRENCY=USD</stp>
        <stp>XLFILL=b</stp>
        <tr r="AE71" s="2"/>
      </tp>
      <tp t="s">
        <v>#N/A Requesting Data...</v>
        <stp/>
        <stp>##V3_BQLV12</stp>
        <stp>[MODL_NOW_US1.xlsx]Single Period!R213C34</stp>
        <stp>NOW US Equity</stp>
        <stp>CF_CASH_FROM_OPER/1M</stp>
        <stp>FPR=2021Y</stp>
        <stp>FPT=A</stp>
        <stp>FA_ACT_EST_DATA=E, EST_SOURCE=PSG</stp>
        <stp>ACT_EST_MAPPING=PRECISE</stp>
        <stp>FS=MRC</stp>
        <stp>CURRENCY=USD</stp>
        <stp>XLFILL=b</stp>
        <tr r="AH213" s="2"/>
      </tp>
      <tp t="s">
        <v>#N/A Requesting Data...</v>
        <stp/>
        <stp>##V3_BQLV12</stp>
        <stp>[MODL_NOW_US1.xlsx]Single Period!R129C28</stp>
        <stp>NOW US Equity</stp>
        <stp>EFF_TAX_RATE</stp>
        <stp>FPR=2021Y</stp>
        <stp>FPT=A</stp>
        <stp>FA_ACT_EST_DATA=E, EST_SOURCE=EVR</stp>
        <stp>ACT_EST_MAPPING=PRECISE</stp>
        <stp>FS=MRC</stp>
        <stp>CURRENCY=USD</stp>
        <stp>XLFILL=b</stp>
        <tr r="AB129" s="2"/>
      </tp>
      <tp t="s">
        <v>#N/A Requesting Data...</v>
        <stp/>
        <stp>##V3_BQLV12</stp>
        <stp>[MODL_NOW_US1.xlsx]Single Period!R81C38</stp>
        <stp>NOW US Equity</stp>
        <stp>IS_ADJ_SALES_YOY_CHG_PCT_CC</stp>
        <stp>FPR=2021Y</stp>
        <stp>FPT=A</stp>
        <stp>FA_ACT_EST_DATA=E, EST_SOURCE=RWB</stp>
        <stp>ACT_EST_MAPPING=PRECISE</stp>
        <stp>FS=MRC</stp>
        <stp>CURRENCY=USD</stp>
        <stp>XLFILL=b</stp>
        <tr r="AL81" s="2"/>
      </tp>
      <tp t="s">
        <v>#N/A Requesting Data...</v>
        <stp/>
        <stp>##V3_BQLV12</stp>
        <stp>[MODL_NOW_US1.xlsx]Single Period!R239C49</stp>
        <stp>NOW US Equity</stp>
        <stp>CFO_TO_SALES</stp>
        <stp>FPR=2021Y</stp>
        <stp>FPT=A</stp>
        <stp>FA_ACT_EST_DATA=E, EST_SOURCE=SCB</stp>
        <stp>ACT_EST_MAPPING=PRECISE</stp>
        <stp>FS=MRC</stp>
        <stp>CURRENCY=USD</stp>
        <stp>XLFILL=b</stp>
        <tr r="AW239" s="2"/>
      </tp>
      <tp t="s">
        <v>#N/A Requesting Data...</v>
        <stp/>
        <stp>##V3_BQLV12</stp>
        <stp>[MODL_NOW_US1.xlsx]Single Period!R81C28</stp>
        <stp>NOW US Equity</stp>
        <stp>IS_ADJ_SALES_YOY_CHG_PCT_CC</stp>
        <stp>FPR=2021Y</stp>
        <stp>FPT=A</stp>
        <stp>FA_ACT_EST_DATA=E, EST_SOURCE=EVR</stp>
        <stp>ACT_EST_MAPPING=PRECISE</stp>
        <stp>FS=MRC</stp>
        <stp>CURRENCY=USD</stp>
        <stp>XLFILL=b</stp>
        <tr r="AB81" s="2"/>
      </tp>
      <tp t="s">
        <v>#N/A Requesting Data...</v>
        <stp/>
        <stp>##V3_BQLV12</stp>
        <stp>[MODL_NOW_US1.xlsx]Single Period!R96C28</stp>
        <stp>NOW US Equity</stp>
        <stp>ADJ_OPERATING_MARGIN</stp>
        <stp>FPR=2021Y</stp>
        <stp>FPT=A</stp>
        <stp>FA_ACT_EST_DATA=E, EST_SOURCE=EVR</stp>
        <stp>ACT_EST_MAPPING=PRECISE</stp>
        <stp>FS=MRC</stp>
        <stp>CURRENCY=USD</stp>
        <stp>XLFILL=b</stp>
        <tr r="AB96" s="2"/>
      </tp>
      <tp t="s">
        <v>#N/A Requesting Data...</v>
        <stp/>
        <stp>##V3_BQLV12</stp>
        <stp>[MODL_NOW_US1.xlsx]Single Period!R144C12</stp>
        <stp>NOW US Equity</stp>
        <stp>IS_SBC_ATT_TO_GENL_AND_ADMIN_PRETX/1M</stp>
        <stp>FPR=2021Y</stp>
        <stp>FPT=A</stp>
        <stp>FA_ACT_EST_DATA=E, EST_SOURCE=WBL</stp>
        <stp>ACT_EST_MAPPING=PRECISE</stp>
        <stp>FS=MRC</stp>
        <stp>CURRENCY=USD</stp>
        <stp>XLFILL=b</stp>
        <tr r="L144" s="2"/>
      </tp>
      <tp t="s">
        <v>#N/A Requesting Data...</v>
        <stp/>
        <stp>##V3_BQLV12</stp>
        <stp>[MODL_NOW_US1.xlsx]Single Period!R91C22</stp>
        <stp>NOW US Equity</stp>
        <stp>ADJ_R_AND_D_TO_SALES</stp>
        <stp>FPR=2021Y</stp>
        <stp>FPT=A</stp>
        <stp>FA_ACT_EST_DATA=E, EST_SOURCE=NDH</stp>
        <stp>ACT_EST_MAPPING=PRECISE</stp>
        <stp>FS=MRC</stp>
        <stp>CURRENCY=USD</stp>
        <stp>XLFILL=b</stp>
        <tr r="V91" s="2"/>
      </tp>
      <tp t="s">
        <v>#N/A Requesting Data...</v>
        <stp/>
        <stp>##V3_BQLV12</stp>
        <stp>[MODL_NOW_US1.xlsx]Single Period!R28C15</stp>
        <stp>NOW US Equity</stp>
        <stp>ADJ_OPERATING_MARGIN</stp>
        <stp>FPR=2021Y</stp>
        <stp>FPT=A</stp>
        <stp>FA_ACT_EST_DATA=E, EST_SOURCE=OPY</stp>
        <stp>ACT_EST_MAPPING=PRECISE</stp>
        <stp>FS=MRC</stp>
        <stp>CURRENCY=USD</stp>
        <stp>XLFILL=b</stp>
        <tr r="O28" s="2"/>
      </tp>
      <tp t="s">
        <v>#N/A Requesting Data...</v>
        <stp/>
        <stp>##V3_BQLV12</stp>
        <stp>[MODL_NOW_US1.xlsx]Single Period!R159C46</stp>
        <stp>NOW US Equity</stp>
        <stp>CB_BS_OTHER_CURRENT_ASSETS/1M</stp>
        <stp>FPR=2021Y</stp>
        <stp>FPT=A</stp>
        <stp>FA_ACT_EST_DATA=E, EST_SOURCE=MZS</stp>
        <stp>ACT_EST_MAPPING=PRECISE</stp>
        <stp>FS=MRC</stp>
        <stp>CURRENCY=USD</stp>
        <stp>XLFILL=b</stp>
        <tr r="AT159" s="2"/>
      </tp>
      <tp t="s">
        <v>#N/A Requesting Data...</v>
        <stp/>
        <stp>##V3_BQLV12</stp>
        <stp>[MODL_NOW_US1.xlsx]Single Period!R144C25</stp>
        <stp>NOW US Equity</stp>
        <stp>IS_SBC_ATT_TO_GENL_AND_ADMIN_PRETX/1M</stp>
        <stp>FPR=2021Y</stp>
        <stp>FPT=A</stp>
        <stp>FA_ACT_EST_DATA=E, EST_SOURCE=DBG</stp>
        <stp>ACT_EST_MAPPING=PRECISE</stp>
        <stp>FS=MRC</stp>
        <stp>CURRENCY=USD</stp>
        <stp>XLFILL=b</stp>
        <tr r="Y144" s="2"/>
      </tp>
      <tp t="s">
        <v>#N/A Requesting Data...</v>
        <stp/>
        <stp>##V3_BQLV12</stp>
        <stp>[MODL_NOW_US1.xlsx]Single Period!R149C34</stp>
        <stp>NOW US Equity</stp>
        <stp>IS_AMORT_ACQD_INTANG_GEN_AND_ADMIN/1M</stp>
        <stp>FPR=2021Y</stp>
        <stp>FPT=A</stp>
        <stp>FA_ACT_EST_DATA=E, EST_SOURCE=PSG</stp>
        <stp>ACT_EST_MAPPING=PRECISE</stp>
        <stp>FS=MRC</stp>
        <stp>CURRENCY=USD</stp>
        <stp>XLFILL=b</stp>
        <tr r="AH149" s="2"/>
      </tp>
      <tp t="s">
        <v>#N/A Requesting Data...</v>
        <stp/>
        <stp>##V3_BQLV12</stp>
        <stp>[MODL_NOW_US1.xlsx]Single Period!R144C32</stp>
        <stp>NOW US Equity</stp>
        <stp>IS_SBC_ATT_TO_GENL_AND_ADMIN_PRETX/1M</stp>
        <stp>FPR=2021Y</stp>
        <stp>FPT=A</stp>
        <stp>FA_ACT_EST_DATA=E, EST_SOURCE=FBC</stp>
        <stp>ACT_EST_MAPPING=PRECISE</stp>
        <stp>FS=MRC</stp>
        <stp>CURRENCY=USD</stp>
        <stp>XLFILL=b</stp>
        <tr r="AF144" s="2"/>
      </tp>
      <tp t="s">
        <v>#N/A Requesting Data...</v>
        <stp/>
        <stp>##V3_BQLV12</stp>
        <stp>[MODL_NOW_US1.xlsx]Single Period!R144C27</stp>
        <stp>NOW US Equity</stp>
        <stp>IS_SBC_ATT_TO_GENL_AND_ADMIN_PRETX/1M</stp>
        <stp>FPR=2021Y</stp>
        <stp>FPT=A</stp>
        <stp>FA_ACT_EST_DATA=E, EST_SOURCE=RBC</stp>
        <stp>ACT_EST_MAPPING=PRECISE</stp>
        <stp>FS=MRC</stp>
        <stp>CURRENCY=USD</stp>
        <stp>XLFILL=b</stp>
        <tr r="AA144" s="2"/>
      </tp>
      <tp t="s">
        <v>#N/A Requesting Data...</v>
        <stp/>
        <stp>##V3_BQLV12</stp>
        <stp>[MODL_NOW_US1.xlsx]Single Period!R212C47</stp>
        <stp>NOW US Equity</stp>
        <stp>CF_CHANGE_IN_ACCRUD_EXPNSS/1M</stp>
        <stp>FPR=2021Y</stp>
        <stp>FPT=A</stp>
        <stp>FA_ACT_EST_DATA=E, EST_SOURCE=SUM</stp>
        <stp>ACT_EST_MAPPING=PRECISE</stp>
        <stp>FS=MRC</stp>
        <stp>CURRENCY=USD</stp>
        <stp>XLFILL=b</stp>
        <tr r="AU212" s="2"/>
      </tp>
      <tp t="s">
        <v>#N/A Requesting Data...</v>
        <stp/>
        <stp>##V3_BQLV12</stp>
        <stp>[MODL_NOW_US1.xlsx]Single Period!R157C44</stp>
        <stp>NOW US Equity</stp>
        <stp>BS_MKT_SEC_OTHER_ST_INVEST/1M</stp>
        <stp>FPR=2021Y</stp>
        <stp>FPT=A</stp>
        <stp>FA_ACT_EST_DATA=E, EST_SOURCE=ARE</stp>
        <stp>ACT_EST_MAPPING=PRECISE</stp>
        <stp>FS=MRC</stp>
        <stp>CURRENCY=USD</stp>
        <stp>XLFILL=b</stp>
        <tr r="AR157" s="2"/>
      </tp>
      <tp t="s">
        <v>#N/A Requesting Data...</v>
        <stp/>
        <stp>##V3_BQLV12</stp>
        <stp>[MODL_NOW_US1.xlsx]Single Period!R91C13</stp>
        <stp>NOW US Equity</stp>
        <stp>ADJ_R_AND_D_TO_SALES</stp>
        <stp>FPR=2021Y</stp>
        <stp>FPT=A</stp>
        <stp>FA_ACT_EST_DATA=E, EST_SOURCE=KEY</stp>
        <stp>ACT_EST_MAPPING=PRECISE</stp>
        <stp>FS=MRC</stp>
        <stp>CURRENCY=USD</stp>
        <stp>XLFILL=b</stp>
        <tr r="M91" s="2"/>
      </tp>
      <tp t="s">
        <v>#N/A Requesting Data...</v>
        <stp/>
        <stp>##V3_BQLV12</stp>
        <stp>[MODL_NOW_US1.xlsx]Single Period!R157C41</stp>
        <stp>NOW US Equity</stp>
        <stp>BS_MKT_SEC_OTHER_ST_INVEST/1M</stp>
        <stp>FPR=2021Y</stp>
        <stp>FPT=A</stp>
        <stp>FA_ACT_EST_DATA=E, EST_SOURCE=ARG</stp>
        <stp>ACT_EST_MAPPING=PRECISE</stp>
        <stp>FS=MRC</stp>
        <stp>CURRENCY=USD</stp>
        <stp>XLFILL=b</stp>
        <tr r="AO157" s="2"/>
      </tp>
      <tp t="s">
        <v>#N/A Requesting Data...</v>
        <stp/>
        <stp>##V3_BQLV12</stp>
        <stp>[MODL_NOW_US1.xlsx]Single Period!R194C40</stp>
        <stp>NOW US Equity</stp>
        <stp>CB_BS_OTHER_CURRENT_ASSETS/1M</stp>
        <stp>FPR=2021Y</stp>
        <stp>FPT=A</stp>
        <stp>FA_ACT_EST_DATA=E, EST_SOURCE=DWI</stp>
        <stp>ACT_EST_MAPPING=PRECISE</stp>
        <stp>FS=MRC</stp>
        <stp>CURRENCY=USD</stp>
        <stp>XLFILL=b</stp>
        <tr r="AN194" s="2"/>
      </tp>
      <tp t="s">
        <v>#N/A Requesting Data...</v>
        <stp/>
        <stp>##V3_BQLV12</stp>
        <stp>[MODL_NOW_US1.xlsx]Single Period!R194C24</stp>
        <stp>NOW US Equity</stp>
        <stp>CB_BS_OTHER_CURRENT_ASSETS/1M</stp>
        <stp>FPR=2021Y</stp>
        <stp>FPT=A</stp>
        <stp>FA_ACT_EST_DATA=E, EST_SOURCE=CWN</stp>
        <stp>ACT_EST_MAPPING=PRECISE</stp>
        <stp>FS=MRC</stp>
        <stp>CURRENCY=USD</stp>
        <stp>XLFILL=b</stp>
        <tr r="X194" s="2"/>
      </tp>
      <tp t="s">
        <v>#N/A Requesting Data...</v>
        <stp/>
        <stp>##V3_BQLV12</stp>
        <stp>[MODL_NOW_US1.xlsx]Single Period!R157C48</stp>
        <stp>NOW US Equity</stp>
        <stp>BS_MKT_SEC_OTHER_ST_INVEST/1M</stp>
        <stp>FPR=2021Y</stp>
        <stp>FPT=A</stp>
        <stp>FA_ACT_EST_DATA=E, EST_SOURCE=CRC</stp>
        <stp>ACT_EST_MAPPING=PRECISE</stp>
        <stp>FS=MRC</stp>
        <stp>CURRENCY=USD</stp>
        <stp>XLFILL=b</stp>
        <tr r="AV157" s="2"/>
      </tp>
      <tp t="s">
        <v>#N/A Requesting Data...</v>
        <stp/>
        <stp>##V3_BQLV12</stp>
        <stp>[MODL_NOW_US1.xlsx]Single Period!R194C38</stp>
        <stp>NOW US Equity</stp>
        <stp>CB_BS_OTHER_CURRENT_ASSETS/1M</stp>
        <stp>FPR=2021Y</stp>
        <stp>FPT=A</stp>
        <stp>FA_ACT_EST_DATA=E, EST_SOURCE=RWB</stp>
        <stp>ACT_EST_MAPPING=PRECISE</stp>
        <stp>FS=MRC</stp>
        <stp>CURRENCY=USD</stp>
        <stp>XLFILL=b</stp>
        <tr r="AL194" s="2"/>
      </tp>
      <tp t="s">
        <v>#N/A Requesting Data...</v>
        <stp/>
        <stp>##V3_BQLV12</stp>
        <stp>[MODL_NOW_US1.xlsx]Single Period!R159C39</stp>
        <stp>NOW US Equity</stp>
        <stp>CB_BS_OTHER_CURRENT_ASSETS/1M</stp>
        <stp>FPR=2021Y</stp>
        <stp>FPT=A</stp>
        <stp>FA_ACT_EST_DATA=E, EST_SOURCE=DZB</stp>
        <stp>ACT_EST_MAPPING=PRECISE</stp>
        <stp>FS=MRC</stp>
        <stp>CURRENCY=USD</stp>
        <stp>XLFILL=b</stp>
        <tr r="AM159" s="2"/>
      </tp>
      <tp t="s">
        <v>#N/A Requesting Data...</v>
        <stp/>
        <stp>##V3_BQLV12</stp>
        <stp>[MODL_NOW_US1.xlsx]Single Period!R91C18</stp>
        <stp>NOW US Equity</stp>
        <stp>ADJ_R_AND_D_TO_SALES</stp>
        <stp>FPR=2021Y</stp>
        <stp>FPT=A</stp>
        <stp>FA_ACT_EST_DATA=E, EST_SOURCE=SNR</stp>
        <stp>ACT_EST_MAPPING=PRECISE</stp>
        <stp>FS=MRC</stp>
        <stp>CURRENCY=USD</stp>
        <stp>XLFILL=b</stp>
        <tr r="R91" s="2"/>
      </tp>
      <tp t="s">
        <v>#N/A Requesting Data...</v>
        <stp/>
        <stp>##V3_BQLV12</stp>
        <stp>[MODL_NOW_US1.xlsx]Single Period!R149C31</stp>
        <stp>NOW US Equity</stp>
        <stp>IS_AMORT_ACQD_INTANG_GEN_AND_ADMIN/1M</stp>
        <stp>FPR=2021Y</stp>
        <stp>FPT=A</stp>
        <stp>FA_ACT_EST_DATA=E, EST_SOURCE=GSR</stp>
        <stp>ACT_EST_MAPPING=PRECISE</stp>
        <stp>FS=MRC</stp>
        <stp>CURRENCY=USD</stp>
        <stp>XLFILL=b</stp>
        <tr r="AE149" s="2"/>
      </tp>
      <tp t="s">
        <v>#N/A Requesting Data...</v>
        <stp/>
        <stp>##V3_BQLV12</stp>
        <stp>[MODL_NOW_US1.xlsx]Single Period!R149C35</stp>
        <stp>NOW US Equity</stp>
        <stp>IS_AMORT_ACQD_INTANG_GEN_AND_ADMIN/1M</stp>
        <stp>FPR=2021Y</stp>
        <stp>FPT=A</stp>
        <stp>FA_ACT_EST_DATA=E, EST_SOURCE=MSR</stp>
        <stp>ACT_EST_MAPPING=PRECISE</stp>
        <stp>FS=MRC</stp>
        <stp>CURRENCY=USD</stp>
        <stp>XLFILL=b</stp>
        <tr r="AI149" s="2"/>
      </tp>
      <tp t="s">
        <v>#N/A Requesting Data...</v>
        <stp/>
        <stp>##V3_BQLV12</stp>
        <stp>[MODL_NOW_US1.xlsx]Single Period!R166C43</stp>
        <stp>NOW US Equity</stp>
        <stp>BS_OTHER_INTANGIBLE_ASSETS/1M</stp>
        <stp>FPR=2021Y</stp>
        <stp>FPT=A</stp>
        <stp>FA_ACT_EST_DATA=E, EST_SOURCE=WFT</stp>
        <stp>ACT_EST_MAPPING=PRECISE</stp>
        <stp>FS=MRC</stp>
        <stp>CURRENCY=USD</stp>
        <stp>XLFILL=b</stp>
        <tr r="AQ166" s="2"/>
      </tp>
      <tp t="s">
        <v>#N/A Requesting Data...</v>
        <stp/>
        <stp>##V3_BQLV12</stp>
        <stp>[MODL_NOW_US1.xlsx]Single Period!R149C19</stp>
        <stp>NOW US Equity</stp>
        <stp>IS_AMORT_ACQD_INTANG_GEN_AND_ADMIN/1M</stp>
        <stp>FPR=2021Y</stp>
        <stp>FPT=A</stp>
        <stp>FA_ACT_EST_DATA=E, EST_SOURCE=MSV</stp>
        <stp>ACT_EST_MAPPING=PRECISE</stp>
        <stp>FS=MRC</stp>
        <stp>CURRENCY=USD</stp>
        <stp>XLFILL=b</stp>
        <tr r="S149" s="2"/>
      </tp>
      <tp t="s">
        <v>#N/A Requesting Data...</v>
        <stp/>
        <stp>##V3_BQLV12</stp>
        <stp>[MODL_NOW_US1.xlsx]Single Period!R144C26</stp>
        <stp>NOW US Equity</stp>
        <stp>IS_SBC_ATT_TO_GENL_AND_ADMIN_PRETX/1M</stp>
        <stp>FPR=2021Y</stp>
        <stp>FPT=A</stp>
        <stp>FA_ACT_EST_DATA=E, EST_SOURCE=UBS</stp>
        <stp>ACT_EST_MAPPING=PRECISE</stp>
        <stp>FS=MRC</stp>
        <stp>CURRENCY=USD</stp>
        <stp>XLFILL=b</stp>
        <tr r="Z144" s="2"/>
      </tp>
      <tp t="s">
        <v>#N/A Requesting Data...</v>
        <stp/>
        <stp>##V3_BQLV12</stp>
        <stp>[MODL_NOW_US1.xlsx]Single Period!R37C42</stp>
        <stp>NOW US Equity</stp>
        <stp>BS_REMAINING_PERFORMANCE_OBLIG/1M</stp>
        <stp>FPR=2021Y</stp>
        <stp>FPT=A</stp>
        <stp>FA_ACT_EST_DATA=E, EST_SOURCE=CTI</stp>
        <stp>ACT_EST_MAPPING=PRECISE</stp>
        <stp>FS=MRC</stp>
        <stp>CURRENCY=USD</stp>
        <stp>XLFILL=b</stp>
        <tr r="AP37" s="2"/>
      </tp>
      <tp t="s">
        <v>#N/A Requesting Data...</v>
        <stp/>
        <stp>##V3_BQLV12</stp>
        <stp>[MODL_NOW_US1.xlsx]Single Period!R37C37</stp>
        <stp>NOW US Equity</stp>
        <stp>BS_REMAINING_PERFORMANCE_OBLIG/1M</stp>
        <stp>FPR=2021Y</stp>
        <stp>FPT=A</stp>
        <stp>FA_ACT_EST_DATA=E, EST_SOURCE=TTC</stp>
        <stp>ACT_EST_MAPPING=PRECISE</stp>
        <stp>FS=MRC</stp>
        <stp>CURRENCY=USD</stp>
        <stp>XLFILL=b</stp>
        <tr r="AK37" s="2"/>
      </tp>
      <tp t="s">
        <v>#N/A Requesting Data...</v>
        <stp/>
        <stp>##V3_BQLV12</stp>
        <stp>[MODL_NOW_US1.xlsx]Single Period!R114C14</stp>
        <stp>SEG0000230986 Segment</stp>
        <stp>CB_IS_GROSS_MARGIN</stp>
        <stp>FPR=2021Y</stp>
        <stp>FPT=A</stp>
        <stp>FA_ACT_EST_DATA=E, EST_SOURCE=BMO</stp>
        <stp>ACT_EST_MAPPING=PRECISE</stp>
        <stp>FS=MRC</stp>
        <stp>CURRENCY=USD</stp>
        <stp>XLFILL=b</stp>
        <tr r="N114" s="2"/>
      </tp>
      <tp t="s">
        <v>#N/A Requesting Data...</v>
        <stp/>
        <stp>##V3_BQLV12</stp>
        <stp>[MODL_NOW_US1.xlsx]Single Period!R132C45</stp>
        <stp>NOW US Equity</stp>
        <stp>CONT_INC_PER_SH</stp>
        <stp>FPR=2021Y</stp>
        <stp>FPT=A</stp>
        <stp>FA_ACT_EST_DATA=E, EST_SOURCE=PJE</stp>
        <stp>ACT_EST_MAPPING=PRECISE</stp>
        <stp>FS=MRC</stp>
        <stp>CURRENCY=USD</stp>
        <stp>XLFILL=b</stp>
        <tr r="AS132" s="2"/>
      </tp>
      <tp t="s">
        <v>#N/A Requesting Data...</v>
        <stp/>
        <stp>##V3_BQLV12</stp>
        <stp>[MODL_NOW_US1.xlsx]Single Period!R51C18</stp>
        <stp>NOW US Equity</stp>
        <stp>ACCOUNTS_PAYABLE_TURNOVER_DAYS</stp>
        <stp>FPR=2021Y</stp>
        <stp>FPT=A</stp>
        <stp>FA_ACT_EST_DATA=E, EST_SOURCE=SNR</stp>
        <stp>ACT_EST_MAPPING=PRECISE</stp>
        <stp>FS=MRC</stp>
        <stp>CURRENCY=USD</stp>
        <stp>XLFILL=b</stp>
        <tr r="R51" s="2"/>
      </tp>
      <tp t="s">
        <v>#N/A Requesting Data...</v>
        <stp/>
        <stp>##V3_BQLV12</stp>
        <stp>[MODL_NOW_US1.xlsx]Single Period!R51C29</stp>
        <stp>NOW US Equity</stp>
        <stp>ACCOUNTS_PAYABLE_TURNOVER_DAYS</stp>
        <stp>FPR=2021Y</stp>
        <stp>FPT=A</stp>
        <stp>FA_ACT_EST_DATA=E, EST_SOURCE=BNS</stp>
        <stp>ACT_EST_MAPPING=PRECISE</stp>
        <stp>FS=MRC</stp>
        <stp>CURRENCY=USD</stp>
        <stp>XLFILL=b</stp>
        <tr r="AC51" s="2"/>
      </tp>
      <tp t="s">
        <v>#N/A Requesting Data...</v>
        <stp/>
        <stp>##V3_BQLV12</stp>
        <stp>[MODL_NOW_US1.xlsx]Single Period!R185C9</stp>
        <stp>NOW US Equity</stp>
        <stp>CONTRIBUTOR_STATS(BS_TOT_ASSET, MEDIAN)/1M</stp>
        <stp>FPR=2021Y</stp>
        <stp>FPT=A</stp>
        <stp>FA_ACT_EST_DATA=E</stp>
        <stp>ACT_EST_MAPPING=PRECISE</stp>
        <stp>FS=MRC</stp>
        <stp>CURRENCY=USD</stp>
        <stp>XLFILL=b</stp>
        <tr r="I185" s="2"/>
      </tp>
      <tp t="s">
        <v>#N/A Requesting Data...</v>
        <stp/>
        <stp>##V3_BQLV12</stp>
        <stp>[MODL_NOW_US1.xlsx]Single Period!R237C37</stp>
        <stp>NOW US Equity</stp>
        <stp>FCF_PER_DIL_SHR</stp>
        <stp>FPR=2021Y</stp>
        <stp>FPT=A</stp>
        <stp>FA_ACT_EST_DATA=E, EST_SOURCE=TTC</stp>
        <stp>ACT_EST_MAPPING=PRECISE</stp>
        <stp>FS=MRC</stp>
        <stp>CURRENCY=USD</stp>
        <stp>XLFILL=b</stp>
        <tr r="AK237" s="2"/>
      </tp>
      <tp t="s">
        <v>#N/A Requesting Data...</v>
        <stp/>
        <stp>##V3_BQLV12</stp>
        <stp>[MODL_NOW_US1.xlsx]Single Period!R114C21</stp>
        <stp>SEG0000230986 Segment</stp>
        <stp>CB_IS_GROSS_MARGIN</stp>
        <stp>FPR=2021Y</stp>
        <stp>FPT=A</stp>
        <stp>FA_ACT_EST_DATA=E, EST_SOURCE=JMP</stp>
        <stp>ACT_EST_MAPPING=PRECISE</stp>
        <stp>FS=MRC</stp>
        <stp>CURRENCY=USD</stp>
        <stp>XLFILL=b</stp>
        <tr r="U114" s="2"/>
      </tp>
      <tp t="s">
        <v>#N/A Requesting Data...</v>
        <stp/>
        <stp>##V3_BQLV12</stp>
        <stp>[MODL_NOW_US1.xlsx]Single Period!R7C7</stp>
        <stp>NOW US Equity</stp>
        <stp>CONTRIBUTOR_STATS(IS_COMP_SALES, MAX)/1M</stp>
        <stp>FPR=2021Y</stp>
        <stp>FPT=A</stp>
        <stp>FA_ACT_EST_DATA=E</stp>
        <stp>ACT_EST_MAPPING=PRECISE</stp>
        <stp>FS=MRC</stp>
        <stp>CURRENCY=USD</stp>
        <stp>XLFILL=b</stp>
        <tr r="G7" s="2"/>
      </tp>
      <tp t="s">
        <v>#N/A Requesting Data...</v>
        <stp/>
        <stp>##V3_BQLV12</stp>
        <stp>[MODL_NOW_US1.xlsx]Single Period!R131C6</stp>
        <stp>NOW US Equity</stp>
        <stp>CONTRIBUTOR_STATS(IS_AVG_NUM_SH_FOR_EPS, MIN)/1M</stp>
        <stp>FPR=2021Y</stp>
        <stp>FPT=A</stp>
        <stp>FA_ACT_EST_DATA=E</stp>
        <stp>ACT_EST_MAPPING=PRECISE</stp>
        <stp>FS=MRC</stp>
        <stp>CURRENCY=USD</stp>
        <stp>XLFILL=b</stp>
        <tr r="F131" s="2"/>
      </tp>
      <tp t="s">
        <v>#N/A Requesting Data...</v>
        <stp/>
        <stp>##V3_BQLV12</stp>
        <stp>[MODL_NOW_US1.xlsx]Single Period!R159C8</stp>
        <stp>NOW US Equity</stp>
        <stp>CONTRIBUTOR_STATS(CB_BS_OTHER_CURRENT_ASSETS, STD)/1M</stp>
        <stp>FPR=2021Y</stp>
        <stp>FPT=A</stp>
        <stp>FA_ACT_EST_DATA=E</stp>
        <stp>ACT_EST_MAPPING=PRECISE</stp>
        <stp>FS=MRC</stp>
        <stp>CURRENCY=USD</stp>
        <stp>XLFILL=b</stp>
        <tr r="H159" s="2"/>
      </tp>
      <tp t="s">
        <v>#N/A Requesting Data...</v>
        <stp/>
        <stp>##V3_BQLV12</stp>
        <stp>[MODL_NOW_US1.xlsx]Single Period!R159C7</stp>
        <stp>NOW US Equity</stp>
        <stp>CONTRIBUTOR_STATS(CB_BS_OTHER_CURRENT_ASSETS, MAX)/1M</stp>
        <stp>FPR=2021Y</stp>
        <stp>FPT=A</stp>
        <stp>FA_ACT_EST_DATA=E</stp>
        <stp>ACT_EST_MAPPING=PRECISE</stp>
        <stp>FS=MRC</stp>
        <stp>CURRENCY=USD</stp>
        <stp>XLFILL=b</stp>
        <tr r="G159" s="2"/>
      </tp>
      <tp t="s">
        <v>#N/A Requesting Data...</v>
        <stp/>
        <stp>##V3_BQLV12</stp>
        <stp>[MODL_NOW_US1.xlsx]Single Period!R159C6</stp>
        <stp>NOW US Equity</stp>
        <stp>CONTRIBUTOR_STATS(CB_BS_OTHER_CURRENT_ASSETS, MIN)/1M</stp>
        <stp>FPR=2021Y</stp>
        <stp>FPT=A</stp>
        <stp>FA_ACT_EST_DATA=E</stp>
        <stp>ACT_EST_MAPPING=PRECISE</stp>
        <stp>FS=MRC</stp>
        <stp>CURRENCY=USD</stp>
        <stp>XLFILL=b</stp>
        <tr r="F159" s="2"/>
      </tp>
      <tp t="s">
        <v>#N/A Requesting Data...</v>
        <stp/>
        <stp>##V3_BQLV12</stp>
        <stp>[MODL_NOW_US1.xlsx]Single Period!R7C49</stp>
        <stp>NOW US Equity</stp>
        <stp>IS_COMP_SALES/1M</stp>
        <stp>FPR=2021Y</stp>
        <stp>FPT=A</stp>
        <stp>FA_ACT_EST_DATA=E, EST_SOURCE=SCB</stp>
        <stp>ACT_EST_MAPPING=PRECISE</stp>
        <stp>FS=MRC</stp>
        <stp>CURRENCY=USD</stp>
        <stp>XLFILL=b</stp>
        <tr r="AW7" s="2"/>
      </tp>
      <tp t="s">
        <v>#N/A Requesting Data...</v>
        <stp/>
        <stp>##V3_BQLV12</stp>
        <stp>[MODL_NOW_US1.xlsx]Single Period!R44C10</stp>
        <stp>SEG0000230986 Segment</stp>
        <stp>IS_FOREIGN_CURRENCY_TURNOVER/1M</stp>
        <stp>FPR=2021Y</stp>
        <stp>FPT=A</stp>
        <stp>FA_ACT_EST_DATA=E, EST_SOURCE=CMPY</stp>
        <stp>ACT_EST_MAPPING=PRECISE</stp>
        <stp>FS=MRC</stp>
        <stp>CURRENCY=USD</stp>
        <stp>XLFILL=b</stp>
        <tr r="J44" s="2"/>
      </tp>
      <tp t="s">
        <v>#N/A Requesting Data...</v>
        <stp/>
        <stp>##V3_BQLV12</stp>
        <stp>[MODL_NOW_US1.xlsx]Single Period!R201C7</stp>
        <stp>NOW US Equity</stp>
        <stp>CONTRIBUTOR_STATS(D_AND_A_TO_SALES, MAX)</stp>
        <stp>FPR=2021Y</stp>
        <stp>FPT=A</stp>
        <stp>FA_ACT_EST_DATA=E</stp>
        <stp>ACT_EST_MAPPING=PRECISE</stp>
        <stp>FS=MRC</stp>
        <stp>CURRENCY=USD</stp>
        <stp>XLFILL=b</stp>
        <tr r="G201" s="2"/>
      </tp>
      <tp t="s">
        <v>#N/A Requesting Data...</v>
        <stp/>
        <stp>##V3_BQLV12</stp>
        <stp>[MODL_NOW_US1.xlsx]Single Period!R117C5</stp>
        <stp>NOW US Equity</stp>
        <stp>IS_TOT_OPER_EXP/1M</stp>
        <stp>FPR=2021Y</stp>
        <stp>FPT=A</stp>
        <stp>FA_ACT_EST_DATA=E</stp>
        <stp>ACT_EST_MAPPING=PRECISE</stp>
        <stp>FS=MRC</stp>
        <stp>CURRENCY=USD</stp>
        <stp>XLFILL=b</stp>
        <tr r="E117" s="2"/>
      </tp>
      <tp t="s">
        <v>#N/A Requesting Data...</v>
        <stp/>
        <stp>##V3_BQLV12</stp>
        <stp>[MODL_NOW_US1.xlsx]Single Period!R183C31</stp>
        <stp>NOW US Equity</stp>
        <stp>BS_TOTAL_LIABILITIES/1M</stp>
        <stp>FPR=2021Y</stp>
        <stp>FPT=A</stp>
        <stp>FA_ACT_EST_DATA=E, EST_SOURCE=GSR</stp>
        <stp>ACT_EST_MAPPING=PRECISE</stp>
        <stp>FS=MRC</stp>
        <stp>CURRENCY=USD</stp>
        <stp>XLFILL=b</stp>
        <tr r="AE183" s="2"/>
      </tp>
      <tp t="s">
        <v>#N/A Requesting Data...</v>
        <stp/>
        <stp>##V3_BQLV12</stp>
        <stp>[MODL_NOW_US1.xlsx]Single Period!R120C43</stp>
        <stp>NOW US Equity</stp>
        <stp>IS_OPEX_R_AND_D_GAAP/1M</stp>
        <stp>FPR=2021Y</stp>
        <stp>FPT=A</stp>
        <stp>FA_ACT_EST_DATA=E, EST_SOURCE=WFT</stp>
        <stp>ACT_EST_MAPPING=PRECISE</stp>
        <stp>FS=MRC</stp>
        <stp>CURRENCY=USD</stp>
        <stp>XLFILL=b</stp>
        <tr r="AQ120" s="2"/>
      </tp>
      <tp t="s">
        <v>#N/A Requesting Data...</v>
        <stp/>
        <stp>##V3_BQLV12</stp>
        <stp>[MODL_NOW_US1.xlsx]Single Period!R183C35</stp>
        <stp>NOW US Equity</stp>
        <stp>BS_TOTAL_LIABILITIES/1M</stp>
        <stp>FPR=2021Y</stp>
        <stp>FPT=A</stp>
        <stp>FA_ACT_EST_DATA=E, EST_SOURCE=MSR</stp>
        <stp>ACT_EST_MAPPING=PRECISE</stp>
        <stp>FS=MRC</stp>
        <stp>CURRENCY=USD</stp>
        <stp>XLFILL=b</stp>
        <tr r="AI183" s="2"/>
      </tp>
      <tp t="s">
        <v>#N/A Requesting Data...</v>
        <stp/>
        <stp>##V3_BQLV12</stp>
        <stp>[MODL_NOW_US1.xlsx]Single Period!R39C34</stp>
        <stp>NOW US Equity</stp>
        <stp>IS_BILLINGS/1M</stp>
        <stp>FPR=2021Y</stp>
        <stp>FPT=A</stp>
        <stp>FA_ACT_EST_DATA=E, EST_SOURCE=PSG</stp>
        <stp>ACT_EST_MAPPING=PRECISE</stp>
        <stp>FS=MRC</stp>
        <stp>CURRENCY=USD</stp>
        <stp>XLFILL=b</stp>
        <tr r="AH39" s="2"/>
      </tp>
      <tp t="s">
        <v>#N/A Requesting Data...</v>
        <stp/>
        <stp>##V3_BQLV12</stp>
        <stp>[MODL_NOW_US1.xlsx]Single Period!R47C7</stp>
        <stp>SEG0000230986 Segment</stp>
        <stp>CONTRIBUTOR_STATS(CB_ADJ_BILLINGS_AMT, MAX)/1M</stp>
        <stp>FPR=2021Y</stp>
        <stp>FPT=A</stp>
        <stp>FA_ACT_EST_DATA=E</stp>
        <stp>ACT_EST_MAPPING=PRECISE</stp>
        <stp>FS=MRC</stp>
        <stp>CURRENCY=USD</stp>
        <stp>XLFILL=b</stp>
        <tr r="G47" s="2"/>
      </tp>
      <tp t="s">
        <v>#N/A Requesting Data...</v>
        <stp/>
        <stp>##V3_BQLV12</stp>
        <stp>[MODL_NOW_US1.xlsx]Single Period!R47C6</stp>
        <stp>SEG0000230986 Segment</stp>
        <stp>CONTRIBUTOR_STATS(CB_ADJ_BILLINGS_AMT, MIN)/1M</stp>
        <stp>FPR=2021Y</stp>
        <stp>FPT=A</stp>
        <stp>FA_ACT_EST_DATA=E</stp>
        <stp>ACT_EST_MAPPING=PRECISE</stp>
        <stp>FS=MRC</stp>
        <stp>CURRENCY=USD</stp>
        <stp>XLFILL=b</stp>
        <tr r="F47" s="2"/>
      </tp>
      <tp t="s">
        <v>#N/A Requesting Data...</v>
        <stp/>
        <stp>##V3_BQLV12</stp>
        <stp>[MODL_NOW_US1.xlsx]Single Period!R147C49</stp>
        <stp>NOW US Equity</stp>
        <stp>IS_AMORT_OF_TOT_INTANG_PRETX/1M</stp>
        <stp>FPR=2021Y</stp>
        <stp>FPT=A</stp>
        <stp>FA_ACT_EST_DATA=E, EST_SOURCE=SCB</stp>
        <stp>ACT_EST_MAPPING=PRECISE</stp>
        <stp>FS=MRC</stp>
        <stp>CURRENCY=USD</stp>
        <stp>XLFILL=b</stp>
        <tr r="AW147" s="2"/>
      </tp>
      <tp t="s">
        <v>#N/A Requesting Data...</v>
        <stp/>
        <stp>##V3_BQLV12</stp>
        <stp>[MODL_NOW_US1.xlsx]Single Period!R104C7</stp>
        <stp>NOW US Equity</stp>
        <stp>CONTRIBUTOR_STATS(IS_COMP_NET_INC_EXCL_STOCK_COMP, MAX)/1M</stp>
        <stp>FPR=2021Y</stp>
        <stp>FPT=A</stp>
        <stp>FA_ACT_EST_DATA=E</stp>
        <stp>ACT_EST_MAPPING=PRECISE</stp>
        <stp>FS=MRC</stp>
        <stp>CURRENCY=USD</stp>
        <stp>XLFILL=b</stp>
        <tr r="G104" s="2"/>
      </tp>
      <tp t="s">
        <v>#N/A Requesting Data...</v>
        <stp/>
        <stp>##V3_BQLV12</stp>
        <stp>[MODL_NOW_US1.xlsx]Single Period!R104C6</stp>
        <stp>NOW US Equity</stp>
        <stp>CONTRIBUTOR_STATS(IS_COMP_NET_INC_EXCL_STOCK_COMP, MIN)/1M</stp>
        <stp>FPR=2021Y</stp>
        <stp>FPT=A</stp>
        <stp>FA_ACT_EST_DATA=E</stp>
        <stp>ACT_EST_MAPPING=PRECISE</stp>
        <stp>FS=MRC</stp>
        <stp>CURRENCY=USD</stp>
        <stp>XLFILL=b</stp>
        <tr r="F104" s="2"/>
      </tp>
      <tp t="s">
        <v>#N/A Requesting Data...</v>
        <stp/>
        <stp>##V3_BQLV12</stp>
        <stp>[MODL_NOW_US1.xlsx]Single Period!R39C31</stp>
        <stp>NOW US Equity</stp>
        <stp>IS_BILLINGS/1M</stp>
        <stp>FPR=2021Y</stp>
        <stp>FPT=A</stp>
        <stp>FA_ACT_EST_DATA=E, EST_SOURCE=GSR</stp>
        <stp>ACT_EST_MAPPING=PRECISE</stp>
        <stp>FS=MRC</stp>
        <stp>CURRENCY=USD</stp>
        <stp>XLFILL=b</stp>
        <tr r="AE39" s="2"/>
      </tp>
      <tp t="s">
        <v>#N/A Requesting Data...</v>
        <stp/>
        <stp>##V3_BQLV12</stp>
        <stp>[MODL_NOW_US1.xlsx]Single Period!R39C35</stp>
        <stp>NOW US Equity</stp>
        <stp>IS_BILLINGS/1M</stp>
        <stp>FPR=2021Y</stp>
        <stp>FPT=A</stp>
        <stp>FA_ACT_EST_DATA=E, EST_SOURCE=MSR</stp>
        <stp>ACT_EST_MAPPING=PRECISE</stp>
        <stp>FS=MRC</stp>
        <stp>CURRENCY=USD</stp>
        <stp>XLFILL=b</stp>
        <tr r="AI39" s="2"/>
      </tp>
      <tp t="s">
        <v>#N/A Requesting Data...</v>
        <stp/>
        <stp>##V3_BQLV12</stp>
        <stp>[MODL_NOW_US1.xlsx]Single Period!R183C34</stp>
        <stp>NOW US Equity</stp>
        <stp>BS_TOTAL_LIABILITIES/1M</stp>
        <stp>FPR=2021Y</stp>
        <stp>FPT=A</stp>
        <stp>FA_ACT_EST_DATA=E, EST_SOURCE=PSG</stp>
        <stp>ACT_EST_MAPPING=PRECISE</stp>
        <stp>FS=MRC</stp>
        <stp>CURRENCY=USD</stp>
        <stp>XLFILL=b</stp>
        <tr r="AH183" s="2"/>
      </tp>
      <tp t="s">
        <v>#N/A Requesting Data...</v>
        <stp/>
        <stp>##V3_BQLV12</stp>
        <stp>[MODL_NOW_US1.xlsx]Single Period!R115C46</stp>
        <stp>NOW US Equity</stp>
        <stp>GROSS_PROFIT/1M</stp>
        <stp>FPR=2021Y</stp>
        <stp>FPT=A</stp>
        <stp>FA_ACT_EST_DATA=E, EST_SOURCE=MZS</stp>
        <stp>ACT_EST_MAPPING=PRECISE</stp>
        <stp>FS=MRC</stp>
        <stp>CURRENCY=USD</stp>
        <stp>XLFILL=b</stp>
        <tr r="AT115" s="2"/>
      </tp>
      <tp t="s">
        <v>#N/A Requesting Data...</v>
        <stp/>
        <stp>##V3_BQLV12</stp>
        <stp>[MODL_NOW_US1.xlsx]Single Period!R120C16</stp>
        <stp>NOW US Equity</stp>
        <stp>IS_OPEX_R_AND_D_GAAP/1M</stp>
        <stp>FPR=2021Y</stp>
        <stp>FPT=A</stp>
        <stp>FA_ACT_EST_DATA=E, EST_SOURCE=BCA</stp>
        <stp>ACT_EST_MAPPING=PRECISE</stp>
        <stp>FS=MRC</stp>
        <stp>CURRENCY=USD</stp>
        <stp>XLFILL=b</stp>
        <tr r="P120" s="2"/>
      </tp>
      <tp t="s">
        <v>#N/A Requesting Data...</v>
        <stp/>
        <stp>##V3_BQLV12</stp>
        <stp>[MODL_NOW_US1.xlsx]Single Period!R104C8</stp>
        <stp>NOW US Equity</stp>
        <stp>CONTRIBUTOR_STATS(IS_COMP_NET_INC_EXCL_STOCK_COMP, STD)/1M</stp>
        <stp>FPR=2021Y</stp>
        <stp>FPT=A</stp>
        <stp>FA_ACT_EST_DATA=E</stp>
        <stp>ACT_EST_MAPPING=PRECISE</stp>
        <stp>FS=MRC</stp>
        <stp>CURRENCY=USD</stp>
        <stp>XLFILL=b</stp>
        <tr r="H104" s="2"/>
      </tp>
      <tp t="s">
        <v>#N/A Requesting Data...</v>
        <stp/>
        <stp>##V3_BQLV12</stp>
        <stp>[MODL_NOW_US1.xlsx]Single Period!R120C33</stp>
        <stp>NOW US Equity</stp>
        <stp>IS_OPEX_R_AND_D_GAAP/1M</stp>
        <stp>FPR=2021Y</stp>
        <stp>FPT=A</stp>
        <stp>FA_ACT_EST_DATA=E, EST_SOURCE=MAC</stp>
        <stp>ACT_EST_MAPPING=PRECISE</stp>
        <stp>FS=MRC</stp>
        <stp>CURRENCY=USD</stp>
        <stp>XLFILL=b</stp>
        <tr r="AG120" s="2"/>
      </tp>
      <tp t="s">
        <v>#N/A Requesting Data...</v>
        <stp/>
        <stp>##V3_BQLV12</stp>
        <stp>[MODL_NOW_US1.xlsx]Single Period!R39C19</stp>
        <stp>NOW US Equity</stp>
        <stp>IS_BILLINGS/1M</stp>
        <stp>FPR=2021Y</stp>
        <stp>FPT=A</stp>
        <stp>FA_ACT_EST_DATA=E, EST_SOURCE=MSV</stp>
        <stp>ACT_EST_MAPPING=PRECISE</stp>
        <stp>FS=MRC</stp>
        <stp>CURRENCY=USD</stp>
        <stp>XLFILL=b</stp>
        <tr r="S39" s="2"/>
      </tp>
      <tp t="s">
        <v>#N/A Requesting Data...</v>
        <stp/>
        <stp>##V3_BQLV12</stp>
        <stp>[MODL_NOW_US1.xlsx]Single Period!R47C8</stp>
        <stp>SEG0000230986 Segment</stp>
        <stp>CONTRIBUTOR_STATS(CB_ADJ_BILLINGS_AMT, STD)/1M</stp>
        <stp>FPR=2021Y</stp>
        <stp>FPT=A</stp>
        <stp>FA_ACT_EST_DATA=E</stp>
        <stp>ACT_EST_MAPPING=PRECISE</stp>
        <stp>FS=MRC</stp>
        <stp>CURRENCY=USD</stp>
        <stp>XLFILL=b</stp>
        <tr r="H47" s="2"/>
      </tp>
      <tp t="s">
        <v>#N/A Requesting Data...</v>
        <stp/>
        <stp>##V3_BQLV12</stp>
        <stp>[MODL_NOW_US1.xlsx]Single Period!R222C12</stp>
        <stp>NOW US Equity</stp>
        <stp>CF_CASH_FROM_INV_ACT/1M</stp>
        <stp>FPR=2021Y</stp>
        <stp>FPT=A</stp>
        <stp>FA_ACT_EST_DATA=E, EST_SOURCE=WBL</stp>
        <stp>ACT_EST_MAPPING=PRECISE</stp>
        <stp>FS=MRC</stp>
        <stp>CURRENCY=USD</stp>
        <stp>XLFILL=b</stp>
        <tr r="L222" s="2"/>
      </tp>
      <tp t="s">
        <v>#N/A Requesting Data...</v>
        <stp/>
        <stp>##V3_BQLV12</stp>
        <stp>[MODL_NOW_US1.xlsx]Single Period!R222C20</stp>
        <stp>NOW US Equity</stp>
        <stp>CF_CASH_FROM_INV_ACT/1M</stp>
        <stp>FPR=2021Y</stp>
        <stp>FPT=A</stp>
        <stp>FA_ACT_EST_DATA=E, EST_SOURCE=CAN</stp>
        <stp>ACT_EST_MAPPING=PRECISE</stp>
        <stp>FS=MRC</stp>
        <stp>CURRENCY=USD</stp>
        <stp>XLFILL=b</stp>
        <tr r="T222" s="2"/>
      </tp>
      <tp t="s">
        <v>#N/A Requesting Data...</v>
        <stp/>
        <stp>##V3_BQLV12</stp>
        <stp>[MODL_NOW_US1.xlsx]Single Period!R120C30</stp>
        <stp>NOW US Equity</stp>
        <stp>IS_OPEX_R_AND_D_GAAP/1M</stp>
        <stp>FPR=2021Y</stp>
        <stp>FPT=A</stp>
        <stp>FA_ACT_EST_DATA=E, EST_SOURCE=BAM</stp>
        <stp>ACT_EST_MAPPING=PRECISE</stp>
        <stp>FS=MRC</stp>
        <stp>CURRENCY=USD</stp>
        <stp>XLFILL=b</stp>
        <tr r="AD120" s="2"/>
      </tp>
      <tp t="s">
        <v>#N/A Requesting Data...</v>
        <stp/>
        <stp>##V3_BQLV12</stp>
        <stp>[MODL_NOW_US1.xlsx]Single Period!R183C42</stp>
        <stp>NOW US Equity</stp>
        <stp>BS_TOTAL_LIABILITIES/1M</stp>
        <stp>FPR=2021Y</stp>
        <stp>FPT=A</stp>
        <stp>FA_ACT_EST_DATA=E, EST_SOURCE=CTI</stp>
        <stp>ACT_EST_MAPPING=PRECISE</stp>
        <stp>FS=MRC</stp>
        <stp>CURRENCY=USD</stp>
        <stp>XLFILL=b</stp>
        <tr r="AP183" s="2"/>
      </tp>
      <tp t="s">
        <v>#N/A Requesting Data...</v>
        <stp/>
        <stp>##V3_BQLV12</stp>
        <stp>[MODL_NOW_US1.xlsx]Single Period!R4C19</stp>
        <stp>NOW US Equity</stp>
        <stp>LAST(IS_COMP_SALES(FA_ACT_EST_DATA=E, EST_SOURCE=MSV).analyst_name)</stp>
        <stp>FPR=2021Y</stp>
        <stp>FPT=A</stp>
        <stp>ACT_EST_MAPPING=PRECISE</stp>
        <stp>FS=MRC</stp>
        <stp>CURRENCY=USD</stp>
        <stp>XLFILL=b</stp>
        <tr r="S4" s="2"/>
      </tp>
      <tp t="s">
        <v>#N/A Requesting Data...</v>
        <stp/>
        <stp>##V3_BQLV12</stp>
        <stp>[MODL_NOW_US1.xlsx]Single Period!R4C35</stp>
        <stp>NOW US Equity</stp>
        <stp>LAST(IS_COMP_SALES(FA_ACT_EST_DATA=E, EST_SOURCE=MSR).analyst_name)</stp>
        <stp>FPR=2021Y</stp>
        <stp>FPT=A</stp>
        <stp>ACT_EST_MAPPING=PRECISE</stp>
        <stp>FS=MRC</stp>
        <stp>CURRENCY=USD</stp>
        <stp>XLFILL=b</stp>
        <tr r="AI4" s="2"/>
      </tp>
      <tp t="s">
        <v>#N/A Requesting Data...</v>
        <stp/>
        <stp>##V3_BQLV12</stp>
        <stp>[MODL_NOW_US1.xlsx]Single Period!R37C47</stp>
        <stp>NOW US Equity</stp>
        <stp>BS_REMAINING_PERFORMANCE_OBLIG/1M</stp>
        <stp>FPR=2021Y</stp>
        <stp>FPT=A</stp>
        <stp>FA_ACT_EST_DATA=E, EST_SOURCE=SUM</stp>
        <stp>ACT_EST_MAPPING=PRECISE</stp>
        <stp>FS=MRC</stp>
        <stp>CURRENCY=USD</stp>
        <stp>XLFILL=b</stp>
        <tr r="AU37" s="2"/>
      </tp>
      <tp t="s">
        <v>#N/A Requesting Data...</v>
        <stp/>
        <stp>##V3_BQLV12</stp>
        <stp>[MODL_NOW_US1.xlsx]Single Period!R32C11</stp>
        <stp>NOW US Equity</stp>
        <stp>BS_REMAINING_PERFORMANCE_OBLIG/1M</stp>
        <stp>FPR=2021Y</stp>
        <stp>FPT=A</stp>
        <stp>FA_ACT_EST_DATA=E, EST_SOURCE=JPM</stp>
        <stp>ACT_EST_MAPPING=PRECISE</stp>
        <stp>FS=MRC</stp>
        <stp>CURRENCY=USD</stp>
        <stp>XLFILL=b</stp>
        <tr r="K32" s="2"/>
      </tp>
      <tp t="s">
        <v>#N/A Requesting Data...</v>
        <stp/>
        <stp>##V3_BQLV12</stp>
        <stp>[MODL_NOW_US1.xlsx]Single Period!R4C46</stp>
        <stp>NOW US Equity</stp>
        <stp>LAST(IS_COMP_SALES(FA_ACT_EST_DATA=E, EST_SOURCE=MZS).analyst_name)</stp>
        <stp>FPR=2021Y</stp>
        <stp>FPT=A</stp>
        <stp>ACT_EST_MAPPING=PRECISE</stp>
        <stp>FS=MRC</stp>
        <stp>CURRENCY=USD</stp>
        <stp>XLFILL=b</stp>
        <tr r="AT4" s="2"/>
      </tp>
      <tp t="s">
        <v>#N/A Requesting Data...</v>
        <stp/>
        <stp>##V3_BQLV12</stp>
        <stp>[MODL_NOW_US1.xlsx]Single Period!R160C10</stp>
        <stp>NOW US Equity</stp>
        <stp>PREPAID_EXPNSS_AND_OTHR/1M</stp>
        <stp>FPR=2021Y</stp>
        <stp>FPT=A</stp>
        <stp>FA_ACT_EST_DATA=E, EST_SOURCE=CMPY</stp>
        <stp>ACT_EST_MAPPING=PRECISE</stp>
        <stp>FS=MRC</stp>
        <stp>CURRENCY=USD</stp>
        <stp>XLFILL=b</stp>
        <tr r="J160" s="2"/>
      </tp>
      <tp t="s">
        <v>#N/A Requesting Data...</v>
        <stp/>
        <stp>##V3_BQLV12</stp>
        <stp>[MODL_NOW_US1.xlsx]Single Period!R32C15</stp>
        <stp>NOW US Equity</stp>
        <stp>BS_REMAINING_PERFORMANCE_OBLIG/1M</stp>
        <stp>FPR=2021Y</stp>
        <stp>FPT=A</stp>
        <stp>FA_ACT_EST_DATA=E, EST_SOURCE=OPY</stp>
        <stp>ACT_EST_MAPPING=PRECISE</stp>
        <stp>FS=MRC</stp>
        <stp>CURRENCY=USD</stp>
        <stp>XLFILL=b</stp>
        <tr r="O32" s="2"/>
      </tp>
      <tp t="s">
        <v>#N/A Requesting Data...</v>
        <stp/>
        <stp>##V3_BQLV12</stp>
        <stp>[MODL_NOW_US1.xlsx]Single Period!R237C44</stp>
        <stp>NOW US Equity</stp>
        <stp>FCF_PER_DIL_SHR</stp>
        <stp>FPR=2021Y</stp>
        <stp>FPT=A</stp>
        <stp>FA_ACT_EST_DATA=E, EST_SOURCE=ARE</stp>
        <stp>ACT_EST_MAPPING=PRECISE</stp>
        <stp>FS=MRC</stp>
        <stp>CURRENCY=USD</stp>
        <stp>XLFILL=b</stp>
        <tr r="AR237" s="2"/>
      </tp>
      <tp t="s">
        <v>#N/A Requesting Data...</v>
        <stp/>
        <stp>##V3_BQLV12</stp>
        <stp>[MODL_NOW_US1.xlsx]Single Period!R237C41</stp>
        <stp>NOW US Equity</stp>
        <stp>FCF_PER_DIL_SHR</stp>
        <stp>FPR=2021Y</stp>
        <stp>FPT=A</stp>
        <stp>FA_ACT_EST_DATA=E, EST_SOURCE=ARG</stp>
        <stp>ACT_EST_MAPPING=PRECISE</stp>
        <stp>FS=MRC</stp>
        <stp>CURRENCY=USD</stp>
        <stp>XLFILL=b</stp>
        <tr r="AO237" s="2"/>
      </tp>
      <tp t="s">
        <v>#N/A Requesting Data...</v>
        <stp/>
        <stp>##V3_BQLV12</stp>
        <stp>[MODL_NOW_US1.xlsx]Single Period!R132C18</stp>
        <stp>NOW US Equity</stp>
        <stp>CONT_INC_PER_SH</stp>
        <stp>FPR=2021Y</stp>
        <stp>FPT=A</stp>
        <stp>FA_ACT_EST_DATA=E, EST_SOURCE=SNR</stp>
        <stp>ACT_EST_MAPPING=PRECISE</stp>
        <stp>FS=MRC</stp>
        <stp>CURRENCY=USD</stp>
        <stp>XLFILL=b</stp>
        <tr r="R132" s="2"/>
      </tp>
      <tp t="s">
        <v>#N/A Requesting Data...</v>
        <stp/>
        <stp>##V3_BQLV12</stp>
        <stp>[MODL_NOW_US1.xlsx]Single Period!R4C33</stp>
        <stp>NOW US Equity</stp>
        <stp>LAST(IS_COMP_SALES(FA_ACT_EST_DATA=E, EST_SOURCE=MAC).analyst_name)</stp>
        <stp>FPR=2021Y</stp>
        <stp>FPT=A</stp>
        <stp>ACT_EST_MAPPING=PRECISE</stp>
        <stp>FS=MRC</stp>
        <stp>CURRENCY=USD</stp>
        <stp>XLFILL=b</stp>
        <tr r="AG4" s="2"/>
      </tp>
      <tp t="s">
        <v>#N/A Requesting Data...</v>
        <stp/>
        <stp>##V3_BQLV12</stp>
        <stp>[MODL_NOW_US1.xlsx]Single Period!R237C48</stp>
        <stp>NOW US Equity</stp>
        <stp>FCF_PER_DIL_SHR</stp>
        <stp>FPR=2021Y</stp>
        <stp>FPT=A</stp>
        <stp>FA_ACT_EST_DATA=E, EST_SOURCE=CRC</stp>
        <stp>ACT_EST_MAPPING=PRECISE</stp>
        <stp>FS=MRC</stp>
        <stp>CURRENCY=USD</stp>
        <stp>XLFILL=b</stp>
        <tr r="AV237" s="2"/>
      </tp>
      <tp t="s">
        <v>#N/A Requesting Data...</v>
        <stp/>
        <stp>##V3_BQLV12</stp>
        <stp>[MODL_NOW_US1.xlsx]Single Period!R7C6</stp>
        <stp>NOW US Equity</stp>
        <stp>CONTRIBUTOR_STATS(IS_COMP_SALES, MIN)/1M</stp>
        <stp>FPR=2021Y</stp>
        <stp>FPT=A</stp>
        <stp>FA_ACT_EST_DATA=E</stp>
        <stp>ACT_EST_MAPPING=PRECISE</stp>
        <stp>FS=MRC</stp>
        <stp>CURRENCY=USD</stp>
        <stp>XLFILL=b</stp>
        <tr r="F7" s="2"/>
      </tp>
      <tp t="s">
        <v>#N/A Requesting Data...</v>
        <stp/>
        <stp>##V3_BQLV12</stp>
        <stp>[MODL_NOW_US1.xlsx]Single Period!R132C21</stp>
        <stp>NOW US Equity</stp>
        <stp>CONT_INC_PER_SH</stp>
        <stp>FPR=2021Y</stp>
        <stp>FPT=A</stp>
        <stp>FA_ACT_EST_DATA=E, EST_SOURCE=JMP</stp>
        <stp>ACT_EST_MAPPING=PRECISE</stp>
        <stp>FS=MRC</stp>
        <stp>CURRENCY=USD</stp>
        <stp>XLFILL=b</stp>
        <tr r="U132" s="2"/>
      </tp>
      <tp t="s">
        <v>#N/A Requesting Data...</v>
        <stp/>
        <stp>##V3_BQLV12</stp>
        <stp>[MODL_NOW_US1.xlsx]Single Period!R131C7</stp>
        <stp>NOW US Equity</stp>
        <stp>CONTRIBUTOR_STATS(IS_AVG_NUM_SH_FOR_EPS, MAX)/1M</stp>
        <stp>FPR=2021Y</stp>
        <stp>FPT=A</stp>
        <stp>FA_ACT_EST_DATA=E</stp>
        <stp>ACT_EST_MAPPING=PRECISE</stp>
        <stp>FS=MRC</stp>
        <stp>CURRENCY=USD</stp>
        <stp>XLFILL=b</stp>
        <tr r="G131" s="2"/>
      </tp>
      <tp t="s">
        <v>#N/A Requesting Data...</v>
        <stp/>
        <stp>##V3_BQLV12</stp>
        <stp>[MODL_NOW_US1.xlsx]Single Period!R132C10</stp>
        <stp>NOW US Equity</stp>
        <stp>CONT_INC_PER_SH</stp>
        <stp>FPR=2021Y</stp>
        <stp>FPT=A</stp>
        <stp>FA_ACT_EST_DATA=E, EST_SOURCE=CMPY</stp>
        <stp>ACT_EST_MAPPING=PRECISE</stp>
        <stp>FS=MRC</stp>
        <stp>CURRENCY=USD</stp>
        <stp>XLFILL=b</stp>
        <tr r="J132" s="2"/>
      </tp>
      <tp t="s">
        <v>#N/A Requesting Data...</v>
        <stp/>
        <stp>##V3_BQLV12</stp>
        <stp>[MODL_NOW_US1.xlsx]Single Period!R219C5</stp>
        <stp>NOW US Equity</stp>
        <stp>CF_PURCHSS_OF_INVSTMNTS/1M</stp>
        <stp>FPR=2021Y</stp>
        <stp>FPT=A</stp>
        <stp>FA_ACT_EST_DATA=E</stp>
        <stp>ACT_EST_MAPPING=PRECISE</stp>
        <stp>FS=MRC</stp>
        <stp>CURRENCY=USD</stp>
        <stp>XLFILL=b</stp>
        <tr r="E219" s="2"/>
      </tp>
      <tp t="s">
        <v>#N/A Requesting Data...</v>
        <stp/>
        <stp>##V3_BQLV12</stp>
        <stp>[MODL_NOW_US1.xlsx]Single Period!R209C5</stp>
        <stp>NOW US Equity</stp>
        <stp>CF_CHANGE_IN_ACCOUNTS_PAYABLE/1M</stp>
        <stp>FPR=2021Y</stp>
        <stp>FPT=A</stp>
        <stp>FA_ACT_EST_DATA=E</stp>
        <stp>ACT_EST_MAPPING=PRECISE</stp>
        <stp>FS=MRC</stp>
        <stp>CURRENCY=USD</stp>
        <stp>XLFILL=b</stp>
        <tr r="E209" s="2"/>
      </tp>
      <tp t="s">
        <v>#N/A Requesting Data...</v>
        <stp/>
        <stp>##V3_BQLV12</stp>
        <stp>[MODL_NOW_US1.xlsx]Single Period!R181C9</stp>
        <stp>NOW US Equity</stp>
        <stp>CONTRIBUTOR_STATS(BS_LONG_TERM_BORROWINGS, MEDIAN)/1M</stp>
        <stp>FPR=2021Y</stp>
        <stp>FPT=A</stp>
        <stp>FA_ACT_EST_DATA=E</stp>
        <stp>ACT_EST_MAPPING=PRECISE</stp>
        <stp>FS=MRC</stp>
        <stp>CURRENCY=USD</stp>
        <stp>XLFILL=b</stp>
        <tr r="I181" s="2"/>
      </tp>
      <tp t="s">
        <v>#N/A Requesting Data...</v>
        <stp/>
        <stp>##V3_BQLV12</stp>
        <stp>[MODL_NOW_US1.xlsx]Single Period!R127C9</stp>
        <stp>NOW US Equity</stp>
        <stp>CONTRIBUTOR_STATS(PRETAX_INC, MEDIAN)/1M</stp>
        <stp>FPR=2021Y</stp>
        <stp>FPT=A</stp>
        <stp>FA_ACT_EST_DATA=E</stp>
        <stp>ACT_EST_MAPPING=PRECISE</stp>
        <stp>FS=MRC</stp>
        <stp>CURRENCY=USD</stp>
        <stp>XLFILL=b</stp>
        <tr r="I127" s="2"/>
      </tp>
      <tp t="s">
        <v>#N/A Requesting Data...</v>
        <stp/>
        <stp>##V3_BQLV12</stp>
        <stp>[MODL_NOW_US1.xlsx]Single Period!R201C6</stp>
        <stp>NOW US Equity</stp>
        <stp>CONTRIBUTOR_STATS(D_AND_A_TO_SALES, MIN)</stp>
        <stp>FPR=2021Y</stp>
        <stp>FPT=A</stp>
        <stp>FA_ACT_EST_DATA=E</stp>
        <stp>ACT_EST_MAPPING=PRECISE</stp>
        <stp>FS=MRC</stp>
        <stp>CURRENCY=USD</stp>
        <stp>XLFILL=b</stp>
        <tr r="F201" s="2"/>
      </tp>
      <tp t="s">
        <v>#N/A Requesting Data...</v>
        <stp/>
        <stp>##V3_BQLV12</stp>
        <stp>[MODL_NOW_US1.xlsx]Single Period!R39C44</stp>
        <stp>NOW US Equity</stp>
        <stp>IS_BILLINGS/1M</stp>
        <stp>FPR=2021Y</stp>
        <stp>FPT=A</stp>
        <stp>FA_ACT_EST_DATA=E, EST_SOURCE=ARE</stp>
        <stp>ACT_EST_MAPPING=PRECISE</stp>
        <stp>FS=MRC</stp>
        <stp>CURRENCY=USD</stp>
        <stp>XLFILL=b</stp>
        <tr r="AR39" s="2"/>
      </tp>
      <tp t="s">
        <v>#N/A Requesting Data...</v>
        <stp/>
        <stp>##V3_BQLV12</stp>
        <stp>[MODL_NOW_US1.xlsx]Single Period!R147C36</stp>
        <stp>NOW US Equity</stp>
        <stp>IS_AMORT_OF_TOT_INTANG_PRETX/1M</stp>
        <stp>FPR=2021Y</stp>
        <stp>FPT=A</stp>
        <stp>FA_ACT_EST_DATA=E, EST_SOURCE=JEF</stp>
        <stp>ACT_EST_MAPPING=PRECISE</stp>
        <stp>FS=MRC</stp>
        <stp>CURRENCY=USD</stp>
        <stp>XLFILL=b</stp>
        <tr r="AJ147" s="2"/>
      </tp>
      <tp t="s">
        <v>#N/A Requesting Data...</v>
        <stp/>
        <stp>##V3_BQLV12</stp>
        <stp>[MODL_NOW_US1.xlsx]Single Period!R39C41</stp>
        <stp>NOW US Equity</stp>
        <stp>IS_BILLINGS/1M</stp>
        <stp>FPR=2021Y</stp>
        <stp>FPT=A</stp>
        <stp>FA_ACT_EST_DATA=E, EST_SOURCE=ARG</stp>
        <stp>ACT_EST_MAPPING=PRECISE</stp>
        <stp>FS=MRC</stp>
        <stp>CURRENCY=USD</stp>
        <stp>XLFILL=b</stp>
        <tr r="AO39" s="2"/>
      </tp>
      <tp t="s">
        <v>#N/A Requesting Data...</v>
        <stp/>
        <stp>##V3_BQLV12</stp>
        <stp>[MODL_NOW_US1.xlsx]Single Period!R219C6</stp>
        <stp>NOW US Equity</stp>
        <stp>CONTRIBUTOR_STATS(CF_PURCHSS_OF_INVSTMNTS, MIN)/1M</stp>
        <stp>FPR=2021Y</stp>
        <stp>FPT=A</stp>
        <stp>FA_ACT_EST_DATA=E</stp>
        <stp>ACT_EST_MAPPING=PRECISE</stp>
        <stp>FS=MRC</stp>
        <stp>CURRENCY=USD</stp>
        <stp>XLFILL=b</stp>
        <tr r="F219" s="2"/>
      </tp>
      <tp t="s">
        <v>#N/A Requesting Data...</v>
        <stp/>
        <stp>##V3_BQLV12</stp>
        <stp>[MODL_NOW_US1.xlsx]Single Period!R219C7</stp>
        <stp>NOW US Equity</stp>
        <stp>CONTRIBUTOR_STATS(CF_PURCHSS_OF_INVSTMNTS, MAX)/1M</stp>
        <stp>FPR=2021Y</stp>
        <stp>FPT=A</stp>
        <stp>FA_ACT_EST_DATA=E</stp>
        <stp>ACT_EST_MAPPING=PRECISE</stp>
        <stp>FS=MRC</stp>
        <stp>CURRENCY=USD</stp>
        <stp>XLFILL=b</stp>
        <tr r="G219" s="2"/>
      </tp>
      <tp t="s">
        <v>#N/A Requesting Data...</v>
        <stp/>
        <stp>##V3_BQLV12</stp>
        <stp>[MODL_NOW_US1.xlsx]Single Period!R39C48</stp>
        <stp>NOW US Equity</stp>
        <stp>IS_BILLINGS/1M</stp>
        <stp>FPR=2021Y</stp>
        <stp>FPT=A</stp>
        <stp>FA_ACT_EST_DATA=E, EST_SOURCE=CRC</stp>
        <stp>ACT_EST_MAPPING=PRECISE</stp>
        <stp>FS=MRC</stp>
        <stp>CURRENCY=USD</stp>
        <stp>XLFILL=b</stp>
        <tr r="AV39" s="2"/>
      </tp>
      <tp t="s">
        <v>#N/A Requesting Data...</v>
        <stp/>
        <stp>##V3_BQLV12</stp>
        <stp>[MODL_NOW_US1.xlsx]Single Period!R147C22</stp>
        <stp>NOW US Equity</stp>
        <stp>IS_AMORT_OF_TOT_INTANG_PRETX/1M</stp>
        <stp>FPR=2021Y</stp>
        <stp>FPT=A</stp>
        <stp>FA_ACT_EST_DATA=E, EST_SOURCE=NDH</stp>
        <stp>ACT_EST_MAPPING=PRECISE</stp>
        <stp>FS=MRC</stp>
        <stp>CURRENCY=USD</stp>
        <stp>XLFILL=b</stp>
        <tr r="V147" s="2"/>
      </tp>
      <tp t="s">
        <v>#N/A Requesting Data...</v>
        <stp/>
        <stp>##V3_BQLV12</stp>
        <stp>[MODL_NOW_US1.xlsx]Single Period!R122C14</stp>
        <stp>NOW US Equity</stp>
        <stp>IS_MERGER_AND_ACQUIS_EXPN_OP/1M</stp>
        <stp>FPR=2021Y</stp>
        <stp>FPT=A</stp>
        <stp>FA_ACT_EST_DATA=E, EST_SOURCE=BMO</stp>
        <stp>ACT_EST_MAPPING=PRECISE</stp>
        <stp>FS=MRC</stp>
        <stp>CURRENCY=USD</stp>
        <stp>XLFILL=b</stp>
        <tr r="N122" s="2"/>
      </tp>
      <tp t="s">
        <v>#N/A Requesting Data...</v>
        <stp/>
        <stp>##V3_BQLV12</stp>
        <stp>[MODL_NOW_US1.xlsx]Single Period!R222C43</stp>
        <stp>NOW US Equity</stp>
        <stp>CF_CASH_FROM_INV_ACT/1M</stp>
        <stp>FPR=2021Y</stp>
        <stp>FPT=A</stp>
        <stp>FA_ACT_EST_DATA=E, EST_SOURCE=WFT</stp>
        <stp>ACT_EST_MAPPING=PRECISE</stp>
        <stp>FS=MRC</stp>
        <stp>CURRENCY=USD</stp>
        <stp>XLFILL=b</stp>
        <tr r="AQ222" s="2"/>
      </tp>
      <tp t="s">
        <v>#N/A Requesting Data...</v>
        <stp/>
        <stp>##V3_BQLV12</stp>
        <stp>[MODL_NOW_US1.xlsx]Single Period!R183C15</stp>
        <stp>NOW US Equity</stp>
        <stp>BS_TOTAL_LIABILITIES/1M</stp>
        <stp>FPR=2021Y</stp>
        <stp>FPT=A</stp>
        <stp>FA_ACT_EST_DATA=E, EST_SOURCE=OPY</stp>
        <stp>ACT_EST_MAPPING=PRECISE</stp>
        <stp>FS=MRC</stp>
        <stp>CURRENCY=USD</stp>
        <stp>XLFILL=b</stp>
        <tr r="O183" s="2"/>
      </tp>
      <tp t="s">
        <v>#N/A Requesting Data...</v>
        <stp/>
        <stp>##V3_BQLV12</stp>
        <stp>[MODL_NOW_US1.xlsx]Single Period!R104C5</stp>
        <stp>NOW US Equity</stp>
        <stp>IS_COMP_NET_INC_EXCL_STOCK_COMP/1M</stp>
        <stp>FPR=2021Y</stp>
        <stp>FPT=A</stp>
        <stp>FA_ACT_EST_DATA=E</stp>
        <stp>ACT_EST_MAPPING=PRECISE</stp>
        <stp>FS=MRC</stp>
        <stp>CURRENCY=USD</stp>
        <stp>XLFILL=b</stp>
        <tr r="E104" s="2"/>
      </tp>
      <tp t="s">
        <v>#N/A Requesting Data...</v>
        <stp/>
        <stp>##V3_BQLV12</stp>
        <stp>[MODL_NOW_US1.xlsx]Single Period!R165C17</stp>
        <stp>NOW US Equity</stp>
        <stp>BS_OPER_LEA_RT_OF_USE_ASSETS/1M</stp>
        <stp>FPR=2021Y</stp>
        <stp>FPT=A</stp>
        <stp>FA_ACT_EST_DATA=E, EST_SOURCE=RHR</stp>
        <stp>ACT_EST_MAPPING=PRECISE</stp>
        <stp>FS=MRC</stp>
        <stp>CURRENCY=USD</stp>
        <stp>XLFILL=b</stp>
        <tr r="Q165" s="2"/>
      </tp>
      <tp t="s">
        <v>#N/A Requesting Data...</v>
        <stp/>
        <stp>##V3_BQLV12</stp>
        <stp>[MODL_NOW_US1.xlsx]Single Period!R222C30</stp>
        <stp>NOW US Equity</stp>
        <stp>CF_CASH_FROM_INV_ACT/1M</stp>
        <stp>FPR=2021Y</stp>
        <stp>FPT=A</stp>
        <stp>FA_ACT_EST_DATA=E, EST_SOURCE=BAM</stp>
        <stp>ACT_EST_MAPPING=PRECISE</stp>
        <stp>FS=MRC</stp>
        <stp>CURRENCY=USD</stp>
        <stp>XLFILL=b</stp>
        <tr r="AD222" s="2"/>
      </tp>
      <tp t="s">
        <v>#N/A Requesting Data...</v>
        <stp/>
        <stp>##V3_BQLV12</stp>
        <stp>[MODL_NOW_US1.xlsx]Single Period!R87C23</stp>
        <stp>NOW US Equity</stp>
        <stp>CB_IS_ADJUSTED_OPEX/1M</stp>
        <stp>FPR=2021Y</stp>
        <stp>FPT=A</stp>
        <stp>FA_ACT_EST_DATA=E, EST_SOURCE=ZXS</stp>
        <stp>ACT_EST_MAPPING=PRECISE</stp>
        <stp>FS=MRC</stp>
        <stp>CURRENCY=USD</stp>
        <stp>XLFILL=b</stp>
        <tr r="W87" s="2"/>
      </tp>
      <tp t="s">
        <v>#N/A Requesting Data...</v>
        <stp/>
        <stp>##V3_BQLV12</stp>
        <stp>[MODL_NOW_US1.xlsx]Single Period!R183C47</stp>
        <stp>NOW US Equity</stp>
        <stp>BS_TOTAL_LIABILITIES/1M</stp>
        <stp>FPR=2021Y</stp>
        <stp>FPT=A</stp>
        <stp>FA_ACT_EST_DATA=E, EST_SOURCE=SUM</stp>
        <stp>ACT_EST_MAPPING=PRECISE</stp>
        <stp>FS=MRC</stp>
        <stp>CURRENCY=USD</stp>
        <stp>XLFILL=b</stp>
        <tr r="AU183" s="2"/>
      </tp>
      <tp t="s">
        <v>#N/A Requesting Data...</v>
        <stp/>
        <stp>##V3_BQLV12</stp>
        <stp>[MODL_NOW_US1.xlsx]Single Period!R222C33</stp>
        <stp>NOW US Equity</stp>
        <stp>CF_CASH_FROM_INV_ACT/1M</stp>
        <stp>FPR=2021Y</stp>
        <stp>FPT=A</stp>
        <stp>FA_ACT_EST_DATA=E, EST_SOURCE=MAC</stp>
        <stp>ACT_EST_MAPPING=PRECISE</stp>
        <stp>FS=MRC</stp>
        <stp>CURRENCY=USD</stp>
        <stp>XLFILL=b</stp>
        <tr r="AG222" s="2"/>
      </tp>
      <tp t="s">
        <v>#N/A Requesting Data...</v>
        <stp/>
        <stp>##V3_BQLV12</stp>
        <stp>[MODL_NOW_US1.xlsx]Single Period!R219C8</stp>
        <stp>NOW US Equity</stp>
        <stp>CONTRIBUTOR_STATS(CF_PURCHSS_OF_INVSTMNTS, STD)/1M</stp>
        <stp>FPR=2021Y</stp>
        <stp>FPT=A</stp>
        <stp>FA_ACT_EST_DATA=E</stp>
        <stp>ACT_EST_MAPPING=PRECISE</stp>
        <stp>FS=MRC</stp>
        <stp>CURRENCY=USD</stp>
        <stp>XLFILL=b</stp>
        <tr r="H219" s="2"/>
      </tp>
      <tp t="s">
        <v>#N/A Requesting Data...</v>
        <stp/>
        <stp>##V3_BQLV12</stp>
        <stp>[MODL_NOW_US1.xlsx]Single Period!R120C20</stp>
        <stp>NOW US Equity</stp>
        <stp>IS_OPEX_R_AND_D_GAAP/1M</stp>
        <stp>FPR=2021Y</stp>
        <stp>FPT=A</stp>
        <stp>FA_ACT_EST_DATA=E, EST_SOURCE=CAN</stp>
        <stp>ACT_EST_MAPPING=PRECISE</stp>
        <stp>FS=MRC</stp>
        <stp>CURRENCY=USD</stp>
        <stp>XLFILL=b</stp>
        <tr r="T120" s="2"/>
      </tp>
      <tp t="s">
        <v>#N/A Requesting Data...</v>
        <stp/>
        <stp>##V3_BQLV12</stp>
        <stp>[MODL_NOW_US1.xlsx]Single Period!R120C12</stp>
        <stp>NOW US Equity</stp>
        <stp>IS_OPEX_R_AND_D_GAAP/1M</stp>
        <stp>FPR=2021Y</stp>
        <stp>FPT=A</stp>
        <stp>FA_ACT_EST_DATA=E, EST_SOURCE=WBL</stp>
        <stp>ACT_EST_MAPPING=PRECISE</stp>
        <stp>FS=MRC</stp>
        <stp>CURRENCY=USD</stp>
        <stp>XLFILL=b</stp>
        <tr r="L120" s="2"/>
      </tp>
      <tp t="s">
        <v>#N/A Requesting Data...</v>
        <stp/>
        <stp>##V3_BQLV12</stp>
        <stp>[MODL_NOW_US1.xlsx]Single Period!R143C9</stp>
        <stp>NOW US Equity</stp>
        <stp>CONTRIBUTOR_STATS(IS_SBC_ATTRIBUTABLE_TO_R_AND_D_PRETX, MEDIAN)/1M</stp>
        <stp>FPR=2021Y</stp>
        <stp>FPT=A</stp>
        <stp>FA_ACT_EST_DATA=E</stp>
        <stp>ACT_EST_MAPPING=PRECISE</stp>
        <stp>FS=MRC</stp>
        <stp>CURRENCY=USD</stp>
        <stp>XLFILL=b</stp>
        <tr r="I143" s="2"/>
      </tp>
      <tp t="s">
        <v>#N/A Requesting Data...</v>
        <stp/>
        <stp>##V3_BQLV12</stp>
        <stp>[MODL_NOW_US1.xlsx]Single Period!R122C29</stp>
        <stp>NOW US Equity</stp>
        <stp>IS_MERGER_AND_ACQUIS_EXPN_OP/1M</stp>
        <stp>FPR=2021Y</stp>
        <stp>FPT=A</stp>
        <stp>FA_ACT_EST_DATA=E, EST_SOURCE=BNS</stp>
        <stp>ACT_EST_MAPPING=PRECISE</stp>
        <stp>FS=MRC</stp>
        <stp>CURRENCY=USD</stp>
        <stp>XLFILL=b</stp>
        <tr r="AC122" s="2"/>
      </tp>
      <tp t="s">
        <v>#N/A Requesting Data...</v>
        <stp/>
        <stp>##V3_BQLV12</stp>
        <stp>[MODL_NOW_US1.xlsx]Single Period!R222C16</stp>
        <stp>NOW US Equity</stp>
        <stp>CF_CASH_FROM_INV_ACT/1M</stp>
        <stp>FPR=2021Y</stp>
        <stp>FPT=A</stp>
        <stp>FA_ACT_EST_DATA=E, EST_SOURCE=BCA</stp>
        <stp>ACT_EST_MAPPING=PRECISE</stp>
        <stp>FS=MRC</stp>
        <stp>CURRENCY=USD</stp>
        <stp>XLFILL=b</stp>
        <tr r="P222" s="2"/>
      </tp>
      <tp t="s">
        <v>#N/A Requesting Data...</v>
        <stp/>
        <stp>##V3_BQLV12</stp>
        <stp>[MODL_NOW_US1.xlsx]Single Period!R183C11</stp>
        <stp>NOW US Equity</stp>
        <stp>BS_TOTAL_LIABILITIES/1M</stp>
        <stp>FPR=2021Y</stp>
        <stp>FPT=A</stp>
        <stp>FA_ACT_EST_DATA=E, EST_SOURCE=JPM</stp>
        <stp>ACT_EST_MAPPING=PRECISE</stp>
        <stp>FS=MRC</stp>
        <stp>CURRENCY=USD</stp>
        <stp>XLFILL=b</stp>
        <tr r="K183" s="2"/>
      </tp>
      <tp t="s">
        <v>#N/A Requesting Data...</v>
        <stp/>
        <stp>##V3_BQLV12</stp>
        <stp>[MODL_NOW_US1.xlsx]Single Period!R132C14</stp>
        <stp>NOW US Equity</stp>
        <stp>CONT_INC_PER_SH</stp>
        <stp>FPR=2021Y</stp>
        <stp>FPT=A</stp>
        <stp>FA_ACT_EST_DATA=E, EST_SOURCE=BMO</stp>
        <stp>ACT_EST_MAPPING=PRECISE</stp>
        <stp>FS=MRC</stp>
        <stp>CURRENCY=USD</stp>
        <stp>XLFILL=b</stp>
        <tr r="N132" s="2"/>
      </tp>
      <tp t="s">
        <v>#N/A Requesting Data...</v>
        <stp/>
        <stp>##V3_BQLV12</stp>
        <stp>[MODL_NOW_US1.xlsx]Single Period!R117C10</stp>
        <stp>NOW US Equity</stp>
        <stp>IS_TOT_OPER_EXP/1M</stp>
        <stp>FPR=2021Y</stp>
        <stp>FPT=A</stp>
        <stp>FA_ACT_EST_DATA=E, EST_SOURCE=CMPY</stp>
        <stp>ACT_EST_MAPPING=PRECISE</stp>
        <stp>FS=MRC</stp>
        <stp>CURRENCY=USD</stp>
        <stp>XLFILL=b</stp>
        <tr r="J117" s="2"/>
      </tp>
      <tp t="s">
        <v>#N/A Requesting Data...</v>
        <stp/>
        <stp>##V3_BQLV12</stp>
        <stp>[MODL_NOW_US1.xlsx]Single Period!R32C34</stp>
        <stp>NOW US Equity</stp>
        <stp>BS_REMAINING_PERFORMANCE_OBLIG/1M</stp>
        <stp>FPR=2021Y</stp>
        <stp>FPT=A</stp>
        <stp>FA_ACT_EST_DATA=E, EST_SOURCE=PSG</stp>
        <stp>ACT_EST_MAPPING=PRECISE</stp>
        <stp>FS=MRC</stp>
        <stp>CURRENCY=USD</stp>
        <stp>XLFILL=b</stp>
        <tr r="AH32" s="2"/>
      </tp>
      <tp t="s">
        <v>#N/A Requesting Data...</v>
        <stp/>
        <stp>##V3_BQLV12</stp>
        <stp>[MODL_NOW_US1.xlsx]Single Period!R118C46</stp>
        <stp>NOW US Equity</stp>
        <stp>OPERATING_EXPENSES_TO_NET_SALES</stp>
        <stp>FPR=2021Y</stp>
        <stp>FPT=A</stp>
        <stp>FA_ACT_EST_DATA=E, EST_SOURCE=MZS</stp>
        <stp>ACT_EST_MAPPING=PRECISE</stp>
        <stp>FS=MRC</stp>
        <stp>CURRENCY=USD</stp>
        <stp>XLFILL=b</stp>
        <tr r="AT118" s="2"/>
      </tp>
      <tp t="s">
        <v>#N/A Requesting Data...</v>
        <stp/>
        <stp>##V3_BQLV12</stp>
        <stp>[MODL_NOW_US1.xlsx]Single Period!R4C22</stp>
        <stp>NOW US Equity</stp>
        <stp>LAST(IS_COMP_SALES(FA_ACT_EST_DATA=E, EST_SOURCE=NDH).analyst_name)</stp>
        <stp>FPR=2021Y</stp>
        <stp>FPT=A</stp>
        <stp>ACT_EST_MAPPING=PRECISE</stp>
        <stp>FS=MRC</stp>
        <stp>CURRENCY=USD</stp>
        <stp>XLFILL=b</stp>
        <tr r="V4" s="2"/>
      </tp>
      <tp t="s">
        <v>#N/A Requesting Data...</v>
        <stp/>
        <stp>##V3_BQLV12</stp>
        <stp>[MODL_NOW_US1.xlsx]Single Period!R132C29</stp>
        <stp>NOW US Equity</stp>
        <stp>CONT_INC_PER_SH</stp>
        <stp>FPR=2021Y</stp>
        <stp>FPT=A</stp>
        <stp>FA_ACT_EST_DATA=E, EST_SOURCE=BNS</stp>
        <stp>ACT_EST_MAPPING=PRECISE</stp>
        <stp>FS=MRC</stp>
        <stp>CURRENCY=USD</stp>
        <stp>XLFILL=b</stp>
        <tr r="AC132" s="2"/>
      </tp>
      <tp t="s">
        <v>#N/A Requesting Data...</v>
        <stp/>
        <stp>##V3_BQLV12</stp>
        <stp>[MODL_NOW_US1.xlsx]Single Period!R165C9</stp>
        <stp>NOW US Equity</stp>
        <stp>CONTRIBUTOR_STATS(BS_OPER_LEA_RT_OF_USE_ASSETS, MEDIAN)/1M</stp>
        <stp>FPR=2021Y</stp>
        <stp>FPT=A</stp>
        <stp>FA_ACT_EST_DATA=E</stp>
        <stp>ACT_EST_MAPPING=PRECISE</stp>
        <stp>FS=MRC</stp>
        <stp>CURRENCY=USD</stp>
        <stp>XLFILL=b</stp>
        <tr r="I165" s="2"/>
      </tp>
      <tp t="s">
        <v>#N/A Requesting Data...</v>
        <stp/>
        <stp>##V3_BQLV12</stp>
        <stp>[MODL_NOW_US1.xlsx]Single Period!R37C28</stp>
        <stp>NOW US Equity</stp>
        <stp>BS_REMAINING_PERFORMANCE_OBLIG/1M</stp>
        <stp>FPR=2021Y</stp>
        <stp>FPT=A</stp>
        <stp>FA_ACT_EST_DATA=E, EST_SOURCE=EVR</stp>
        <stp>ACT_EST_MAPPING=PRECISE</stp>
        <stp>FS=MRC</stp>
        <stp>CURRENCY=USD</stp>
        <stp>XLFILL=b</stp>
        <tr r="AB37" s="2"/>
      </tp>
      <tp t="s">
        <v>#N/A Requesting Data...</v>
        <stp/>
        <stp>##V3_BQLV12</stp>
        <stp>[MODL_NOW_US1.xlsx]Single Period!R32C35</stp>
        <stp>NOW US Equity</stp>
        <stp>BS_REMAINING_PERFORMANCE_OBLIG/1M</stp>
        <stp>FPR=2021Y</stp>
        <stp>FPT=A</stp>
        <stp>FA_ACT_EST_DATA=E, EST_SOURCE=MSR</stp>
        <stp>ACT_EST_MAPPING=PRECISE</stp>
        <stp>FS=MRC</stp>
        <stp>CURRENCY=USD</stp>
        <stp>XLFILL=b</stp>
        <tr r="AI32" s="2"/>
      </tp>
      <tp t="s">
        <v>#N/A Requesting Data...</v>
        <stp/>
        <stp>##V3_BQLV12</stp>
        <stp>[MODL_NOW_US1.xlsx]Single Period!R32C31</stp>
        <stp>NOW US Equity</stp>
        <stp>BS_REMAINING_PERFORMANCE_OBLIG/1M</stp>
        <stp>FPR=2021Y</stp>
        <stp>FPT=A</stp>
        <stp>FA_ACT_EST_DATA=E, EST_SOURCE=GSR</stp>
        <stp>ACT_EST_MAPPING=PRECISE</stp>
        <stp>FS=MRC</stp>
        <stp>CURRENCY=USD</stp>
        <stp>XLFILL=b</stp>
        <tr r="AE32" s="2"/>
      </tp>
      <tp t="s">
        <v>#N/A Requesting Data...</v>
        <stp/>
        <stp>##V3_BQLV12</stp>
        <stp>[MODL_NOW_US1.xlsx]Single Period!R237C24</stp>
        <stp>NOW US Equity</stp>
        <stp>FCF_PER_DIL_SHR</stp>
        <stp>FPR=2021Y</stp>
        <stp>FPT=A</stp>
        <stp>FA_ACT_EST_DATA=E, EST_SOURCE=CWN</stp>
        <stp>ACT_EST_MAPPING=PRECISE</stp>
        <stp>FS=MRC</stp>
        <stp>CURRENCY=USD</stp>
        <stp>XLFILL=b</stp>
        <tr r="X237" s="2"/>
      </tp>
      <tp t="s">
        <v>#N/A Requesting Data...</v>
        <stp/>
        <stp>##V3_BQLV12</stp>
        <stp>[MODL_NOW_US1.xlsx]Single Period!R32C19</stp>
        <stp>NOW US Equity</stp>
        <stp>BS_REMAINING_PERFORMANCE_OBLIG/1M</stp>
        <stp>FPR=2021Y</stp>
        <stp>FPT=A</stp>
        <stp>FA_ACT_EST_DATA=E, EST_SOURCE=MSV</stp>
        <stp>ACT_EST_MAPPING=PRECISE</stp>
        <stp>FS=MRC</stp>
        <stp>CURRENCY=USD</stp>
        <stp>XLFILL=b</stp>
        <tr r="S32" s="2"/>
      </tp>
      <tp t="s">
        <v>#N/A Requesting Data...</v>
        <stp/>
        <stp>##V3_BQLV12</stp>
        <stp>[MODL_NOW_US1.xlsx]Single Period!R101C7</stp>
        <stp>NOW US Equity</stp>
        <stp>CONTRIBUTOR_STATS(CB_IS_OTHER_NON_OPER_INC_EXPN, MAX)/1M</stp>
        <stp>FPR=2021Y</stp>
        <stp>FPT=A</stp>
        <stp>FA_ACT_EST_DATA=E</stp>
        <stp>ACT_EST_MAPPING=PRECISE</stp>
        <stp>FS=MRC</stp>
        <stp>CURRENCY=USD</stp>
        <stp>XLFILL=b</stp>
        <tr r="G101" s="2"/>
      </tp>
      <tp t="s">
        <v>#N/A Requesting Data...</v>
        <stp/>
        <stp>##V3_BQLV12</stp>
        <stp>[MODL_NOW_US1.xlsx]Single Period!R11C7</stp>
        <stp>NOW US Equity</stp>
        <stp>CONTRIBUTOR_STATS(NUM_CSTMR_CNTRCT_OVER_1_MILLN, MAX)</stp>
        <stp>FPR=2021Y</stp>
        <stp>FPT=A</stp>
        <stp>FA_ACT_EST_DATA=E</stp>
        <stp>ACT_EST_MAPPING=PRECISE</stp>
        <stp>FS=MRC</stp>
        <stp>CURRENCY=USD</stp>
        <stp>XLFILL=b</stp>
        <tr r="G11" s="2"/>
      </tp>
      <tp t="s">
        <v>#N/A Requesting Data...</v>
        <stp/>
        <stp>##V3_BQLV12</stp>
        <stp>[MODL_NOW_US1.xlsx]Single Period!R120C26</stp>
        <stp>NOW US Equity</stp>
        <stp>IS_OPEX_R_AND_D_GAAP/1M</stp>
        <stp>FPR=2021Y</stp>
        <stp>FPT=A</stp>
        <stp>FA_ACT_EST_DATA=E, EST_SOURCE=UBS</stp>
        <stp>ACT_EST_MAPPING=PRECISE</stp>
        <stp>FS=MRC</stp>
        <stp>CURRENCY=USD</stp>
        <stp>XLFILL=b</stp>
        <tr r="Z120" s="2"/>
      </tp>
      <tp t="s">
        <v>#N/A Requesting Data...</v>
        <stp/>
        <stp>##V3_BQLV12</stp>
        <stp>[MODL_NOW_US1.xlsx]Single Period!R11C6</stp>
        <stp>NOW US Equity</stp>
        <stp>CONTRIBUTOR_STATS(NUM_CSTMR_CNTRCT_OVER_1_MILLN, MIN)</stp>
        <stp>FPR=2021Y</stp>
        <stp>FPT=A</stp>
        <stp>FA_ACT_EST_DATA=E</stp>
        <stp>ACT_EST_MAPPING=PRECISE</stp>
        <stp>FS=MRC</stp>
        <stp>CURRENCY=USD</stp>
        <stp>XLFILL=b</stp>
        <tr r="F11" s="2"/>
      </tp>
      <tp t="s">
        <v>#N/A Requesting Data...</v>
        <stp/>
        <stp>##V3_BQLV12</stp>
        <stp>[MODL_NOW_US1.xlsx]Single Period!R190C46</stp>
        <stp>NOW US Equity</stp>
        <stp>DEFERRED_REV/1M</stp>
        <stp>FPR=2021Y</stp>
        <stp>FPT=A</stp>
        <stp>FA_ACT_EST_DATA=E, EST_SOURCE=MZS</stp>
        <stp>ACT_EST_MAPPING=PRECISE</stp>
        <stp>FS=MRC</stp>
        <stp>CURRENCY=USD</stp>
        <stp>XLFILL=b</stp>
        <tr r="AT190" s="2"/>
      </tp>
      <tp t="s">
        <v>#N/A Requesting Data...</v>
        <stp/>
        <stp>##V3_BQLV12</stp>
        <stp>[MODL_NOW_US1.xlsx]Single Period!R183C19</stp>
        <stp>NOW US Equity</stp>
        <stp>BS_TOTAL_LIABILITIES/1M</stp>
        <stp>FPR=2021Y</stp>
        <stp>FPT=A</stp>
        <stp>FA_ACT_EST_DATA=E, EST_SOURCE=MSV</stp>
        <stp>ACT_EST_MAPPING=PRECISE</stp>
        <stp>FS=MRC</stp>
        <stp>CURRENCY=USD</stp>
        <stp>XLFILL=b</stp>
        <tr r="S183" s="2"/>
      </tp>
      <tp t="s">
        <v>#N/A Requesting Data...</v>
        <stp/>
        <stp>##V3_BQLV12</stp>
        <stp>[MODL_NOW_US1.xlsx]Single Period!R120C27</stp>
        <stp>NOW US Equity</stp>
        <stp>IS_OPEX_R_AND_D_GAAP/1M</stp>
        <stp>FPR=2021Y</stp>
        <stp>FPT=A</stp>
        <stp>FA_ACT_EST_DATA=E, EST_SOURCE=RBC</stp>
        <stp>ACT_EST_MAPPING=PRECISE</stp>
        <stp>FS=MRC</stp>
        <stp>CURRENCY=USD</stp>
        <stp>XLFILL=b</stp>
        <tr r="AA120" s="2"/>
      </tp>
      <tp t="s">
        <v>#N/A Requesting Data...</v>
        <stp/>
        <stp>##V3_BQLV12</stp>
        <stp>[MODL_NOW_US1.xlsx]Single Period!R122C21</stp>
        <stp>NOW US Equity</stp>
        <stp>IS_MERGER_AND_ACQUIS_EXPN_OP/1M</stp>
        <stp>FPR=2021Y</stp>
        <stp>FPT=A</stp>
        <stp>FA_ACT_EST_DATA=E, EST_SOURCE=JMP</stp>
        <stp>ACT_EST_MAPPING=PRECISE</stp>
        <stp>FS=MRC</stp>
        <stp>CURRENCY=USD</stp>
        <stp>XLFILL=b</stp>
        <tr r="U122" s="2"/>
      </tp>
      <tp t="s">
        <v>#N/A Requesting Data...</v>
        <stp/>
        <stp>##V3_BQLV12</stp>
        <stp>[MODL_NOW_US1.xlsx]Single Period!R120C25</stp>
        <stp>NOW US Equity</stp>
        <stp>IS_OPEX_R_AND_D_GAAP/1M</stp>
        <stp>FPR=2021Y</stp>
        <stp>FPT=A</stp>
        <stp>FA_ACT_EST_DATA=E, EST_SOURCE=DBG</stp>
        <stp>ACT_EST_MAPPING=PRECISE</stp>
        <stp>FS=MRC</stp>
        <stp>CURRENCY=USD</stp>
        <stp>XLFILL=b</stp>
        <tr r="Y120" s="2"/>
      </tp>
      <tp t="s">
        <v>#N/A Requesting Data...</v>
        <stp/>
        <stp>##V3_BQLV12</stp>
        <stp>[MODL_NOW_US1.xlsx]Single Period!R222C32</stp>
        <stp>NOW US Equity</stp>
        <stp>CF_CASH_FROM_INV_ACT/1M</stp>
        <stp>FPR=2021Y</stp>
        <stp>FPT=A</stp>
        <stp>FA_ACT_EST_DATA=E, EST_SOURCE=FBC</stp>
        <stp>ACT_EST_MAPPING=PRECISE</stp>
        <stp>FS=MRC</stp>
        <stp>CURRENCY=USD</stp>
        <stp>XLFILL=b</stp>
        <tr r="AF222" s="2"/>
      </tp>
      <tp t="s">
        <v>#N/A Requesting Data...</v>
        <stp/>
        <stp>##V3_BQLV12</stp>
        <stp>[MODL_NOW_US1.xlsx]Single Period!R122C18</stp>
        <stp>NOW US Equity</stp>
        <stp>IS_MERGER_AND_ACQUIS_EXPN_OP/1M</stp>
        <stp>FPR=2021Y</stp>
        <stp>FPT=A</stp>
        <stp>FA_ACT_EST_DATA=E, EST_SOURCE=SNR</stp>
        <stp>ACT_EST_MAPPING=PRECISE</stp>
        <stp>FS=MRC</stp>
        <stp>CURRENCY=USD</stp>
        <stp>XLFILL=b</stp>
        <tr r="R122" s="2"/>
      </tp>
      <tp t="s">
        <v>#N/A Requesting Data...</v>
        <stp/>
        <stp>##V3_BQLV12</stp>
        <stp>[MODL_NOW_US1.xlsx]Single Period!R37C40</stp>
        <stp>NOW US Equity</stp>
        <stp>BS_REMAINING_PERFORMANCE_OBLIG/1M</stp>
        <stp>FPR=2021Y</stp>
        <stp>FPT=A</stp>
        <stp>FA_ACT_EST_DATA=E, EST_SOURCE=DWI</stp>
        <stp>ACT_EST_MAPPING=PRECISE</stp>
        <stp>FS=MRC</stp>
        <stp>CURRENCY=USD</stp>
        <stp>XLFILL=b</stp>
        <tr r="AN37" s="2"/>
      </tp>
      <tp t="s">
        <v>#N/A Requesting Data...</v>
        <stp/>
        <stp>##V3_BQLV12</stp>
        <stp>[MODL_NOW_US1.xlsx]Single Period!R37C24</stp>
        <stp>NOW US Equity</stp>
        <stp>BS_REMAINING_PERFORMANCE_OBLIG/1M</stp>
        <stp>FPR=2021Y</stp>
        <stp>FPT=A</stp>
        <stp>FA_ACT_EST_DATA=E, EST_SOURCE=CWN</stp>
        <stp>ACT_EST_MAPPING=PRECISE</stp>
        <stp>FS=MRC</stp>
        <stp>CURRENCY=USD</stp>
        <stp>XLFILL=b</stp>
        <tr r="X37" s="2"/>
      </tp>
      <tp t="s">
        <v>#N/A Requesting Data...</v>
        <stp/>
        <stp>##V3_BQLV12</stp>
        <stp>[MODL_NOW_US1.xlsx]Single Period!R4C15</stp>
        <stp>NOW US Equity</stp>
        <stp>LAST(IS_COMP_SALES(FA_ACT_EST_DATA=E, EST_SOURCE=OPY).analyst_name)</stp>
        <stp>FPR=2021Y</stp>
        <stp>FPT=A</stp>
        <stp>ACT_EST_MAPPING=PRECISE</stp>
        <stp>FS=MRC</stp>
        <stp>CURRENCY=USD</stp>
        <stp>XLFILL=b</stp>
        <tr r="O4" s="2"/>
      </tp>
      <tp t="s">
        <v>#N/A Requesting Data...</v>
        <stp/>
        <stp>##V3_BQLV12</stp>
        <stp>[MODL_NOW_US1.xlsx]Single Period!R37C38</stp>
        <stp>NOW US Equity</stp>
        <stp>BS_REMAINING_PERFORMANCE_OBLIG/1M</stp>
        <stp>FPR=2021Y</stp>
        <stp>FPT=A</stp>
        <stp>FA_ACT_EST_DATA=E, EST_SOURCE=RWB</stp>
        <stp>ACT_EST_MAPPING=PRECISE</stp>
        <stp>FS=MRC</stp>
        <stp>CURRENCY=USD</stp>
        <stp>XLFILL=b</stp>
        <tr r="AL37" s="2"/>
      </tp>
      <tp t="s">
        <v>#N/A Requesting Data...</v>
        <stp/>
        <stp>##V3_BQLV12</stp>
        <stp>[MODL_NOW_US1.xlsx]Single Period!R237C28</stp>
        <stp>NOW US Equity</stp>
        <stp>FCF_PER_DIL_SHR</stp>
        <stp>FPR=2021Y</stp>
        <stp>FPT=A</stp>
        <stp>FA_ACT_EST_DATA=E, EST_SOURCE=EVR</stp>
        <stp>ACT_EST_MAPPING=PRECISE</stp>
        <stp>FS=MRC</stp>
        <stp>CURRENCY=USD</stp>
        <stp>XLFILL=b</stp>
        <tr r="AB237" s="2"/>
      </tp>
      <tp t="s">
        <v>#N/A Requesting Data...</v>
        <stp/>
        <stp>##V3_BQLV12</stp>
        <stp>[MODL_NOW_US1.xlsx]Single Period!R32C48</stp>
        <stp>NOW US Equity</stp>
        <stp>BS_REMAINING_PERFORMANCE_OBLIG/1M</stp>
        <stp>FPR=2021Y</stp>
        <stp>FPT=A</stp>
        <stp>FA_ACT_EST_DATA=E, EST_SOURCE=CRC</stp>
        <stp>ACT_EST_MAPPING=PRECISE</stp>
        <stp>FS=MRC</stp>
        <stp>CURRENCY=USD</stp>
        <stp>XLFILL=b</stp>
        <tr r="AV32" s="2"/>
      </tp>
      <tp t="s">
        <v>#N/A Requesting Data...</v>
        <stp/>
        <stp>##V3_BQLV12</stp>
        <stp>[MODL_NOW_US1.xlsx]Single Period!R32C41</stp>
        <stp>NOW US Equity</stp>
        <stp>BS_REMAINING_PERFORMANCE_OBLIG/1M</stp>
        <stp>FPR=2021Y</stp>
        <stp>FPT=A</stp>
        <stp>FA_ACT_EST_DATA=E, EST_SOURCE=ARG</stp>
        <stp>ACT_EST_MAPPING=PRECISE</stp>
        <stp>FS=MRC</stp>
        <stp>CURRENCY=USD</stp>
        <stp>XLFILL=b</stp>
        <tr r="AO32" s="2"/>
      </tp>
      <tp t="s">
        <v>#N/A Requesting Data...</v>
        <stp/>
        <stp>##V3_BQLV12</stp>
        <stp>[MODL_NOW_US1.xlsx]Single Period!R51C14</stp>
        <stp>NOW US Equity</stp>
        <stp>ACCOUNTS_PAYABLE_TURNOVER_DAYS</stp>
        <stp>FPR=2021Y</stp>
        <stp>FPT=A</stp>
        <stp>FA_ACT_EST_DATA=E, EST_SOURCE=BMO</stp>
        <stp>ACT_EST_MAPPING=PRECISE</stp>
        <stp>FS=MRC</stp>
        <stp>CURRENCY=USD</stp>
        <stp>XLFILL=b</stp>
        <tr r="N51" s="2"/>
      </tp>
      <tp t="s">
        <v>#N/A Requesting Data...</v>
        <stp/>
        <stp>##V3_BQLV12</stp>
        <stp>[MODL_NOW_US1.xlsx]Single Period!R32C44</stp>
        <stp>NOW US Equity</stp>
        <stp>BS_REMAINING_PERFORMANCE_OBLIG/1M</stp>
        <stp>FPR=2021Y</stp>
        <stp>FPT=A</stp>
        <stp>FA_ACT_EST_DATA=E, EST_SOURCE=ARE</stp>
        <stp>ACT_EST_MAPPING=PRECISE</stp>
        <stp>FS=MRC</stp>
        <stp>CURRENCY=USD</stp>
        <stp>XLFILL=b</stp>
        <tr r="AR32" s="2"/>
      </tp>
      <tp t="s">
        <v>#N/A Requesting Data...</v>
        <stp/>
        <stp>##V3_BQLV12</stp>
        <stp>[MODL_NOW_US1.xlsx]Single Period!R51C21</stp>
        <stp>NOW US Equity</stp>
        <stp>ACCOUNTS_PAYABLE_TURNOVER_DAYS</stp>
        <stp>FPR=2021Y</stp>
        <stp>FPT=A</stp>
        <stp>FA_ACT_EST_DATA=E, EST_SOURCE=JMP</stp>
        <stp>ACT_EST_MAPPING=PRECISE</stp>
        <stp>FS=MRC</stp>
        <stp>CURRENCY=USD</stp>
        <stp>XLFILL=b</stp>
        <tr r="U51" s="2"/>
      </tp>
      <tp t="s">
        <v>#N/A Requesting Data...</v>
        <stp/>
        <stp>##V3_BQLV12</stp>
        <stp>[MODL_NOW_US1.xlsx]Single Period!R114C29</stp>
        <stp>SEG0000230986 Segment</stp>
        <stp>CB_IS_GROSS_MARGIN</stp>
        <stp>FPR=2021Y</stp>
        <stp>FPT=A</stp>
        <stp>FA_ACT_EST_DATA=E, EST_SOURCE=BNS</stp>
        <stp>ACT_EST_MAPPING=PRECISE</stp>
        <stp>FS=MRC</stp>
        <stp>CURRENCY=USD</stp>
        <stp>XLFILL=b</stp>
        <tr r="AC114" s="2"/>
      </tp>
      <tp t="s">
        <v>#N/A Requesting Data...</v>
        <stp/>
        <stp>##V3_BQLV12</stp>
        <stp>[MODL_NOW_US1.xlsx]Single Period!R114C18</stp>
        <stp>SEG0000230986 Segment</stp>
        <stp>CB_IS_GROSS_MARGIN</stp>
        <stp>FPR=2021Y</stp>
        <stp>FPT=A</stp>
        <stp>FA_ACT_EST_DATA=E, EST_SOURCE=SNR</stp>
        <stp>ACT_EST_MAPPING=PRECISE</stp>
        <stp>FS=MRC</stp>
        <stp>CURRENCY=USD</stp>
        <stp>XLFILL=b</stp>
        <tr r="R114" s="2"/>
      </tp>
      <tp t="s">
        <v>#N/A Requesting Data...</v>
        <stp/>
        <stp>##V3_BQLV12</stp>
        <stp>[MODL_NOW_US1.xlsx]Single Period!R237C38</stp>
        <stp>NOW US Equity</stp>
        <stp>FCF_PER_DIL_SHR</stp>
        <stp>FPR=2021Y</stp>
        <stp>FPT=A</stp>
        <stp>FA_ACT_EST_DATA=E, EST_SOURCE=RWB</stp>
        <stp>ACT_EST_MAPPING=PRECISE</stp>
        <stp>FS=MRC</stp>
        <stp>CURRENCY=USD</stp>
        <stp>XLFILL=b</stp>
        <tr r="AL237" s="2"/>
      </tp>
      <tp t="s">
        <v>#N/A Requesting Data...</v>
        <stp/>
        <stp>##V3_BQLV12</stp>
        <stp>[MODL_NOW_US1.xlsx]Single Period!R122C9</stp>
        <stp>NOW US Equity</stp>
        <stp>CONTRIBUTOR_STATS(IS_MERGER_AND_ACQUIS_EXPN_OP, MEDIAN)/1M</stp>
        <stp>FPR=2021Y</stp>
        <stp>FPT=A</stp>
        <stp>FA_ACT_EST_DATA=E</stp>
        <stp>ACT_EST_MAPPING=PRECISE</stp>
        <stp>FS=MRC</stp>
        <stp>CURRENCY=USD</stp>
        <stp>XLFILL=b</stp>
        <tr r="I122" s="2"/>
      </tp>
      <tp t="s">
        <v>#N/A Requesting Data...</v>
        <stp/>
        <stp>##V3_BQLV12</stp>
        <stp>[MODL_NOW_US1.xlsx]Single Period!R138C10</stp>
        <stp>NOW US Equity</stp>
        <stp>SBC_NON_GAAP_TO_SALES</stp>
        <stp>FPR=2021Y</stp>
        <stp>FPT=A</stp>
        <stp>FA_ACT_EST_DATA=E, EST_SOURCE=CMPY</stp>
        <stp>ACT_EST_MAPPING=PRECISE</stp>
        <stp>FS=MRC</stp>
        <stp>CURRENCY=USD</stp>
        <stp>XLFILL=b</stp>
        <tr r="J138" s="2"/>
      </tp>
      <tp t="s">
        <v>#N/A Requesting Data...</v>
        <stp/>
        <stp>##V3_BQLV12</stp>
        <stp>[MODL_NOW_US1.xlsx]Single Period!R101C6</stp>
        <stp>NOW US Equity</stp>
        <stp>CONTRIBUTOR_STATS(CB_IS_OTHER_NON_OPER_INC_EXPN, MIN)/1M</stp>
        <stp>FPR=2021Y</stp>
        <stp>FPT=A</stp>
        <stp>FA_ACT_EST_DATA=E</stp>
        <stp>ACT_EST_MAPPING=PRECISE</stp>
        <stp>FS=MRC</stp>
        <stp>CURRENCY=USD</stp>
        <stp>XLFILL=b</stp>
        <tr r="F101" s="2"/>
      </tp>
      <tp t="s">
        <v>#N/A Requesting Data...</v>
        <stp/>
        <stp>##V3_BQLV12</stp>
        <stp>[MODL_NOW_US1.xlsx]Single Period!R200C5</stp>
        <stp>NOW US Equity</stp>
        <stp>CF_DEPR_AMORT/1M</stp>
        <stp>FPR=2021Y</stp>
        <stp>FPT=A</stp>
        <stp>FA_ACT_EST_DATA=E</stp>
        <stp>ACT_EST_MAPPING=PRECISE</stp>
        <stp>FS=MRC</stp>
        <stp>CURRENCY=USD</stp>
        <stp>XLFILL=b</stp>
        <tr r="E200" s="2"/>
      </tp>
      <tp t="s">
        <v>#N/A Requesting Data...</v>
        <stp/>
        <stp>##V3_BQLV12</stp>
        <stp>[MODL_NOW_US1.xlsx]Single Period!R7C14</stp>
        <stp>NOW US Equity</stp>
        <stp>IS_COMP_SALES/1M</stp>
        <stp>FPR=2021Y</stp>
        <stp>FPT=A</stp>
        <stp>FA_ACT_EST_DATA=E, EST_SOURCE=BMO</stp>
        <stp>ACT_EST_MAPPING=PRECISE</stp>
        <stp>FS=MRC</stp>
        <stp>CURRENCY=USD</stp>
        <stp>XLFILL=b</stp>
        <tr r="N7" s="2"/>
      </tp>
      <tp t="s">
        <v>#N/A Requesting Data...</v>
        <stp/>
        <stp>##V3_BQLV12</stp>
        <stp>[MODL_NOW_US1.xlsx]Single Period!R7C9</stp>
        <stp>NOW US Equity</stp>
        <stp>CONTRIBUTOR_STATS(IS_COMP_SALES, MEDIAN)/1M</stp>
        <stp>FPR=2021Y</stp>
        <stp>FPT=A</stp>
        <stp>FA_ACT_EST_DATA=E</stp>
        <stp>ACT_EST_MAPPING=PRECISE</stp>
        <stp>FS=MRC</stp>
        <stp>CURRENCY=USD</stp>
        <stp>XLFILL=b</stp>
        <tr r="I7" s="2"/>
      </tp>
      <tp t="s">
        <v>#N/A Requesting Data...</v>
        <stp/>
        <stp>##V3_BQLV12</stp>
        <stp>[MODL_NOW_US1.xlsx]Single Period!R236C8</stp>
        <stp>NOW US Equity</stp>
        <stp>CONTRIBUTOR_STATS(FREE_CASH_FLOW_MARGIN, STD)</stp>
        <stp>FPR=2021Y</stp>
        <stp>FPT=A</stp>
        <stp>FA_ACT_EST_DATA=E</stp>
        <stp>ACT_EST_MAPPING=PRECISE</stp>
        <stp>FS=MRC</stp>
        <stp>CURRENCY=USD</stp>
        <stp>XLFILL=b</stp>
        <tr r="H236" s="2"/>
      </tp>
      <tp t="s">
        <v>#N/A Requesting Data...</v>
        <stp/>
        <stp>##V3_BQLV12</stp>
        <stp>[MODL_NOW_US1.xlsx]Single Period!R157C9</stp>
        <stp>NOW US Equity</stp>
        <stp>CONTRIBUTOR_STATS(BS_MKT_SEC_OTHER_ST_INVEST, MEDIAN)/1M</stp>
        <stp>FPR=2021Y</stp>
        <stp>FPT=A</stp>
        <stp>FA_ACT_EST_DATA=E</stp>
        <stp>ACT_EST_MAPPING=PRECISE</stp>
        <stp>FS=MRC</stp>
        <stp>CURRENCY=USD</stp>
        <stp>XLFILL=b</stp>
        <tr r="I157" s="2"/>
      </tp>
      <tp t="s">
        <v>#N/A Requesting Data...</v>
        <stp/>
        <stp>##V3_BQLV12</stp>
        <stp>[MODL_NOW_US1.xlsx]Single Period!R87C39</stp>
        <stp>NOW US Equity</stp>
        <stp>CB_IS_ADJUSTED_OPEX/1M</stp>
        <stp>FPR=2021Y</stp>
        <stp>FPT=A</stp>
        <stp>FA_ACT_EST_DATA=E, EST_SOURCE=DZB</stp>
        <stp>ACT_EST_MAPPING=PRECISE</stp>
        <stp>FS=MRC</stp>
        <stp>CURRENCY=USD</stp>
        <stp>XLFILL=b</stp>
        <tr r="AM87" s="2"/>
      </tp>
      <tp t="s">
        <v>#N/A Requesting Data...</v>
        <stp/>
        <stp>##V3_BQLV12</stp>
        <stp>[MODL_NOW_US1.xlsx]Single Period!R122C45</stp>
        <stp>NOW US Equity</stp>
        <stp>IS_MERGER_AND_ACQUIS_EXPN_OP/1M</stp>
        <stp>FPR=2021Y</stp>
        <stp>FPT=A</stp>
        <stp>FA_ACT_EST_DATA=E, EST_SOURCE=PJE</stp>
        <stp>ACT_EST_MAPPING=PRECISE</stp>
        <stp>FS=MRC</stp>
        <stp>CURRENCY=USD</stp>
        <stp>XLFILL=b</stp>
        <tr r="AS122" s="2"/>
      </tp>
      <tp t="s">
        <v>#N/A Requesting Data...</v>
        <stp/>
        <stp>##V3_BQLV12</stp>
        <stp>[MODL_NOW_US1.xlsx]Single Period!R222C26</stp>
        <stp>NOW US Equity</stp>
        <stp>CF_CASH_FROM_INV_ACT/1M</stp>
        <stp>FPR=2021Y</stp>
        <stp>FPT=A</stp>
        <stp>FA_ACT_EST_DATA=E, EST_SOURCE=UBS</stp>
        <stp>ACT_EST_MAPPING=PRECISE</stp>
        <stp>FS=MRC</stp>
        <stp>CURRENCY=USD</stp>
        <stp>XLFILL=b</stp>
        <tr r="Z222" s="2"/>
      </tp>
      <tp t="s">
        <v>#N/A Requesting Data...</v>
        <stp/>
        <stp>##V3_BQLV12</stp>
        <stp>[MODL_NOW_US1.xlsx]Single Period!R39C11</stp>
        <stp>NOW US Equity</stp>
        <stp>IS_BILLINGS/1M</stp>
        <stp>FPR=2021Y</stp>
        <stp>FPT=A</stp>
        <stp>FA_ACT_EST_DATA=E, EST_SOURCE=JPM</stp>
        <stp>ACT_EST_MAPPING=PRECISE</stp>
        <stp>FS=MRC</stp>
        <stp>CURRENCY=USD</stp>
        <stp>XLFILL=b</stp>
        <tr r="K39" s="2"/>
      </tp>
      <tp t="s">
        <v>#N/A Requesting Data...</v>
        <stp/>
        <stp>##V3_BQLV12</stp>
        <stp>[MODL_NOW_US1.xlsx]Single Period!R87C46</stp>
        <stp>NOW US Equity</stp>
        <stp>CB_IS_ADJUSTED_OPEX/1M</stp>
        <stp>FPR=2021Y</stp>
        <stp>FPT=A</stp>
        <stp>FA_ACT_EST_DATA=E, EST_SOURCE=MZS</stp>
        <stp>ACT_EST_MAPPING=PRECISE</stp>
        <stp>FS=MRC</stp>
        <stp>CURRENCY=USD</stp>
        <stp>XLFILL=b</stp>
        <tr r="AT87" s="2"/>
      </tp>
      <tp t="s">
        <v>#N/A Requesting Data...</v>
        <stp/>
        <stp>##V3_BQLV12</stp>
        <stp>[MODL_NOW_US1.xlsx]Single Period!R170C17</stp>
        <stp>NOW US Equity</stp>
        <stp>BS_TOT_ASSET/1M</stp>
        <stp>FPR=2021Y</stp>
        <stp>FPT=A</stp>
        <stp>FA_ACT_EST_DATA=E, EST_SOURCE=RHR</stp>
        <stp>ACT_EST_MAPPING=PRECISE</stp>
        <stp>FS=MRC</stp>
        <stp>CURRENCY=USD</stp>
        <stp>XLFILL=b</stp>
        <tr r="Q170" s="2"/>
      </tp>
      <tp t="s">
        <v>#N/A Requesting Data...</v>
        <stp/>
        <stp>##V3_BQLV12</stp>
        <stp>[MODL_NOW_US1.xlsx]Single Period!R52C7</stp>
        <stp>NOW US Equity</stp>
        <stp>CONTRIBUTOR_STATS(ACCT_RCV_DAYS, MAX)</stp>
        <stp>FPR=2021Y</stp>
        <stp>FPT=A</stp>
        <stp>FA_ACT_EST_DATA=E</stp>
        <stp>ACT_EST_MAPPING=PRECISE</stp>
        <stp>FS=MRC</stp>
        <stp>CURRENCY=USD</stp>
        <stp>XLFILL=b</stp>
        <tr r="G52" s="2"/>
      </tp>
      <tp t="s">
        <v>#N/A Requesting Data...</v>
        <stp/>
        <stp>##V3_BQLV12</stp>
        <stp>[MODL_NOW_US1.xlsx]Single Period!R120C32</stp>
        <stp>NOW US Equity</stp>
        <stp>IS_OPEX_R_AND_D_GAAP/1M</stp>
        <stp>FPR=2021Y</stp>
        <stp>FPT=A</stp>
        <stp>FA_ACT_EST_DATA=E, EST_SOURCE=FBC</stp>
        <stp>ACT_EST_MAPPING=PRECISE</stp>
        <stp>FS=MRC</stp>
        <stp>CURRENCY=USD</stp>
        <stp>XLFILL=b</stp>
        <tr r="AF120" s="2"/>
      </tp>
      <tp t="s">
        <v>#N/A Requesting Data...</v>
        <stp/>
        <stp>##V3_BQLV12</stp>
        <stp>[MODL_NOW_US1.xlsx]Single Period!R39C15</stp>
        <stp>NOW US Equity</stp>
        <stp>IS_BILLINGS/1M</stp>
        <stp>FPR=2021Y</stp>
        <stp>FPT=A</stp>
        <stp>FA_ACT_EST_DATA=E, EST_SOURCE=OPY</stp>
        <stp>ACT_EST_MAPPING=PRECISE</stp>
        <stp>FS=MRC</stp>
        <stp>CURRENCY=USD</stp>
        <stp>XLFILL=b</stp>
        <tr r="O39" s="2"/>
      </tp>
      <tp t="s">
        <v>#N/A Requesting Data...</v>
        <stp/>
        <stp>##V3_BQLV12</stp>
        <stp>[MODL_NOW_US1.xlsx]Single Period!R183C40</stp>
        <stp>NOW US Equity</stp>
        <stp>BS_TOTAL_LIABILITIES/1M</stp>
        <stp>FPR=2021Y</stp>
        <stp>FPT=A</stp>
        <stp>FA_ACT_EST_DATA=E, EST_SOURCE=DWI</stp>
        <stp>ACT_EST_MAPPING=PRECISE</stp>
        <stp>FS=MRC</stp>
        <stp>CURRENCY=USD</stp>
        <stp>XLFILL=b</stp>
        <tr r="AN183" s="2"/>
      </tp>
      <tp t="s">
        <v>#N/A Requesting Data...</v>
        <stp/>
        <stp>##V3_BQLV12</stp>
        <stp>[MODL_NOW_US1.xlsx]Single Period!R147C13</stp>
        <stp>NOW US Equity</stp>
        <stp>IS_AMORT_OF_TOT_INTANG_PRETX/1M</stp>
        <stp>FPR=2021Y</stp>
        <stp>FPT=A</stp>
        <stp>FA_ACT_EST_DATA=E, EST_SOURCE=KEY</stp>
        <stp>ACT_EST_MAPPING=PRECISE</stp>
        <stp>FS=MRC</stp>
        <stp>CURRENCY=USD</stp>
        <stp>XLFILL=b</stp>
        <tr r="M147" s="2"/>
      </tp>
      <tp t="s">
        <v>#N/A Requesting Data...</v>
        <stp/>
        <stp>##V3_BQLV12</stp>
        <stp>[MODL_NOW_US1.xlsx]Single Period!R222C25</stp>
        <stp>NOW US Equity</stp>
        <stp>CF_CASH_FROM_INV_ACT/1M</stp>
        <stp>FPR=2021Y</stp>
        <stp>FPT=A</stp>
        <stp>FA_ACT_EST_DATA=E, EST_SOURCE=DBG</stp>
        <stp>ACT_EST_MAPPING=PRECISE</stp>
        <stp>FS=MRC</stp>
        <stp>CURRENCY=USD</stp>
        <stp>XLFILL=b</stp>
        <tr r="Y222" s="2"/>
      </tp>
      <tp t="s">
        <v>#N/A Requesting Data...</v>
        <stp/>
        <stp>##V3_BQLV12</stp>
        <stp>[MODL_NOW_US1.xlsx]Single Period!R52C6</stp>
        <stp>NOW US Equity</stp>
        <stp>CONTRIBUTOR_STATS(ACCT_RCV_DAYS, MIN)</stp>
        <stp>FPR=2021Y</stp>
        <stp>FPT=A</stp>
        <stp>FA_ACT_EST_DATA=E</stp>
        <stp>ACT_EST_MAPPING=PRECISE</stp>
        <stp>FS=MRC</stp>
        <stp>CURRENCY=USD</stp>
        <stp>XLFILL=b</stp>
        <tr r="F52" s="2"/>
      </tp>
      <tp t="s">
        <v>#N/A Requesting Data...</v>
        <stp/>
        <stp>##V3_BQLV12</stp>
        <stp>[MODL_NOW_US1.xlsx]Single Period!R185C17</stp>
        <stp>NOW US Equity</stp>
        <stp>BS_TOT_ASSET/1M</stp>
        <stp>FPR=2021Y</stp>
        <stp>FPT=A</stp>
        <stp>FA_ACT_EST_DATA=E, EST_SOURCE=RHR</stp>
        <stp>ACT_EST_MAPPING=PRECISE</stp>
        <stp>FS=MRC</stp>
        <stp>CURRENCY=USD</stp>
        <stp>XLFILL=b</stp>
        <tr r="Q185" s="2"/>
      </tp>
      <tp t="s">
        <v>#N/A Requesting Data...</v>
        <stp/>
        <stp>##V3_BQLV12</stp>
        <stp>[MODL_NOW_US1.xlsx]Single Period!R222C27</stp>
        <stp>NOW US Equity</stp>
        <stp>CF_CASH_FROM_INV_ACT/1M</stp>
        <stp>FPR=2021Y</stp>
        <stp>FPT=A</stp>
        <stp>FA_ACT_EST_DATA=E, EST_SOURCE=RBC</stp>
        <stp>ACT_EST_MAPPING=PRECISE</stp>
        <stp>FS=MRC</stp>
        <stp>CURRENCY=USD</stp>
        <stp>XLFILL=b</stp>
        <tr r="AA222" s="2"/>
      </tp>
      <tp t="s">
        <v>#N/A Requesting Data...</v>
        <stp/>
        <stp>##V3_BQLV12</stp>
        <stp>[MODL_NOW_US1.xlsx]Single Period!R51C45</stp>
        <stp>NOW US Equity</stp>
        <stp>ACCOUNTS_PAYABLE_TURNOVER_DAYS</stp>
        <stp>FPR=2021Y</stp>
        <stp>FPT=A</stp>
        <stp>FA_ACT_EST_DATA=E, EST_SOURCE=PJE</stp>
        <stp>ACT_EST_MAPPING=PRECISE</stp>
        <stp>FS=MRC</stp>
        <stp>CURRENCY=USD</stp>
        <stp>XLFILL=b</stp>
        <tr r="AS51" s="2"/>
      </tp>
      <tp t="s">
        <v>#N/A Requesting Data...</v>
        <stp/>
        <stp>##V3_BQLV12</stp>
        <stp>[MODL_NOW_US1.xlsx]Single Period!R32C47</stp>
        <stp>NOW US Equity</stp>
        <stp>BS_REMAINING_PERFORMANCE_OBLIG/1M</stp>
        <stp>FPR=2021Y</stp>
        <stp>FPT=A</stp>
        <stp>FA_ACT_EST_DATA=E, EST_SOURCE=SUM</stp>
        <stp>ACT_EST_MAPPING=PRECISE</stp>
        <stp>FS=MRC</stp>
        <stp>CURRENCY=USD</stp>
        <stp>XLFILL=b</stp>
        <tr r="AU32" s="2"/>
      </tp>
      <tp t="s">
        <v>#N/A Requesting Data...</v>
        <stp/>
        <stp>##V3_BQLV12</stp>
        <stp>[MODL_NOW_US1.xlsx]Single Period!R37C11</stp>
        <stp>NOW US Equity</stp>
        <stp>BS_REMAINING_PERFORMANCE_OBLIG/1M</stp>
        <stp>FPR=2021Y</stp>
        <stp>FPT=A</stp>
        <stp>FA_ACT_EST_DATA=E, EST_SOURCE=JPM</stp>
        <stp>ACT_EST_MAPPING=PRECISE</stp>
        <stp>FS=MRC</stp>
        <stp>CURRENCY=USD</stp>
        <stp>XLFILL=b</stp>
        <tr r="K37" s="2"/>
      </tp>
      <tp t="s">
        <v>#N/A Requesting Data...</v>
        <stp/>
        <stp>##V3_BQLV12</stp>
        <stp>[MODL_NOW_US1.xlsx]Single Period!R37C15</stp>
        <stp>NOW US Equity</stp>
        <stp>BS_REMAINING_PERFORMANCE_OBLIG/1M</stp>
        <stp>FPR=2021Y</stp>
        <stp>FPT=A</stp>
        <stp>FA_ACT_EST_DATA=E, EST_SOURCE=OPY</stp>
        <stp>ACT_EST_MAPPING=PRECISE</stp>
        <stp>FS=MRC</stp>
        <stp>CURRENCY=USD</stp>
        <stp>XLFILL=b</stp>
        <tr r="O37" s="2"/>
      </tp>
      <tp t="s">
        <v>#N/A Requesting Data...</v>
        <stp/>
        <stp>##V3_BQLV12</stp>
        <stp>[MODL_NOW_US1.xlsx]Single Period!R237C40</stp>
        <stp>NOW US Equity</stp>
        <stp>FCF_PER_DIL_SHR</stp>
        <stp>FPR=2021Y</stp>
        <stp>FPT=A</stp>
        <stp>FA_ACT_EST_DATA=E, EST_SOURCE=DWI</stp>
        <stp>ACT_EST_MAPPING=PRECISE</stp>
        <stp>FS=MRC</stp>
        <stp>CURRENCY=USD</stp>
        <stp>XLFILL=b</stp>
        <tr r="AN237" s="2"/>
      </tp>
      <tp t="s">
        <v>#N/A Requesting Data...</v>
        <stp/>
        <stp>##V3_BQLV12</stp>
        <stp>[MODL_NOW_US1.xlsx]Single Period!R37C10</stp>
        <stp>NOW US Equity</stp>
        <stp>BS_REMAINING_PERFORMANCE_OBLIG/1M</stp>
        <stp>FPR=2021Y</stp>
        <stp>FPT=A</stp>
        <stp>FA_ACT_EST_DATA=E, EST_SOURCE=CMPY</stp>
        <stp>ACT_EST_MAPPING=PRECISE</stp>
        <stp>FS=MRC</stp>
        <stp>CURRENCY=USD</stp>
        <stp>XLFILL=b</stp>
        <tr r="J37" s="2"/>
      </tp>
      <tp t="s">
        <v>#N/A Requesting Data...</v>
        <stp/>
        <stp>##V3_BQLV12</stp>
        <stp>[MODL_NOW_US1.xlsx]Single Period!R32C10</stp>
        <stp>NOW US Equity</stp>
        <stp>BS_REMAINING_PERFORMANCE_OBLIG/1M</stp>
        <stp>FPR=2021Y</stp>
        <stp>FPT=A</stp>
        <stp>FA_ACT_EST_DATA=E, EST_SOURCE=CMPY</stp>
        <stp>ACT_EST_MAPPING=PRECISE</stp>
        <stp>FS=MRC</stp>
        <stp>CURRENCY=USD</stp>
        <stp>XLFILL=b</stp>
        <tr r="J32" s="2"/>
      </tp>
      <tp t="s">
        <v>#N/A Requesting Data...</v>
        <stp/>
        <stp>##V3_BQLV12</stp>
        <stp>[MODL_NOW_US1.xlsx]Single Period!R235C8</stp>
        <stp>NOW US Equity</stp>
        <stp>CONTRIBUTOR_STATS(CF_FREE_CASH_FLOW_AS_REPORTED, STD)/1M</stp>
        <stp>FPR=2021Y</stp>
        <stp>FPT=A</stp>
        <stp>FA_ACT_EST_DATA=E</stp>
        <stp>ACT_EST_MAPPING=PRECISE</stp>
        <stp>FS=MRC</stp>
        <stp>CURRENCY=USD</stp>
        <stp>XLFILL=b</stp>
        <tr r="H235" s="2"/>
      </tp>
      <tp t="s">
        <v>#N/A Requesting Data...</v>
        <stp/>
        <stp>##V3_BQLV12</stp>
        <stp>[MODL_NOW_US1.xlsx]Single Period!R216C5</stp>
        <stp>NOW US Equity</stp>
        <stp>CF_PURCHASE_OF_FIXED_PROD_ASSETS/1M</stp>
        <stp>FPR=2021Y</stp>
        <stp>FPT=A</stp>
        <stp>FA_ACT_EST_DATA=E</stp>
        <stp>ACT_EST_MAPPING=PRECISE</stp>
        <stp>FS=MRC</stp>
        <stp>CURRENCY=USD</stp>
        <stp>XLFILL=b</stp>
        <tr r="E216" s="2"/>
      </tp>
      <tp t="s">
        <v>#N/A Requesting Data...</v>
        <stp/>
        <stp>##V3_BQLV12</stp>
        <stp>[MODL_NOW_US1.xlsx]Single Period!R44C8</stp>
        <stp>SEG0000230986 Segment</stp>
        <stp>CONTRIBUTOR_STATS(IS_FOREIGN_CURRENCY_TURNOVER, STD)/1M</stp>
        <stp>FPR=2021Y</stp>
        <stp>FPT=A</stp>
        <stp>FA_ACT_EST_DATA=E</stp>
        <stp>ACT_EST_MAPPING=PRECISE</stp>
        <stp>FS=MRC</stp>
        <stp>CURRENCY=USD</stp>
        <stp>XLFILL=b</stp>
        <tr r="H44" s="2"/>
      </tp>
      <tp t="s">
        <v>#N/A Requesting Data...</v>
        <stp/>
        <stp>##V3_BQLV12</stp>
        <stp>[MODL_NOW_US1.xlsx]Single Period!R44C7</stp>
        <stp>SEG0000230986 Segment</stp>
        <stp>CONTRIBUTOR_STATS(IS_FOREIGN_CURRENCY_TURNOVER, MAX)/1M</stp>
        <stp>FPR=2021Y</stp>
        <stp>FPT=A</stp>
        <stp>FA_ACT_EST_DATA=E</stp>
        <stp>ACT_EST_MAPPING=PRECISE</stp>
        <stp>FS=MRC</stp>
        <stp>CURRENCY=USD</stp>
        <stp>XLFILL=b</stp>
        <tr r="G44" s="2"/>
      </tp>
      <tp t="s">
        <v>#N/A Requesting Data...</v>
        <stp/>
        <stp>##V3_BQLV12</stp>
        <stp>[MODL_NOW_US1.xlsx]Single Period!R44C6</stp>
        <stp>SEG0000230986 Segment</stp>
        <stp>CONTRIBUTOR_STATS(IS_FOREIGN_CURRENCY_TURNOVER, MIN)/1M</stp>
        <stp>FPR=2021Y</stp>
        <stp>FPT=A</stp>
        <stp>FA_ACT_EST_DATA=E</stp>
        <stp>ACT_EST_MAPPING=PRECISE</stp>
        <stp>FS=MRC</stp>
        <stp>CURRENCY=USD</stp>
        <stp>XLFILL=b</stp>
        <tr r="F44" s="2"/>
      </tp>
      <tp t="s">
        <v>#N/A Requesting Data...</v>
        <stp/>
        <stp>##V3_BQLV12</stp>
        <stp>[MODL_NOW_US1.xlsx]Single Period!R108C8</stp>
        <stp>NOW US Equity</stp>
        <stp>CONTRIBUTOR_STATS(IS_COMP_EPS_EXCL_STOCK_COMP, STD)</stp>
        <stp>FPR=2021Y</stp>
        <stp>FPT=A</stp>
        <stp>FA_ACT_EST_DATA=E</stp>
        <stp>ACT_EST_MAPPING=PRECISE</stp>
        <stp>FS=MRC</stp>
        <stp>CURRENCY=USD</stp>
        <stp>XLFILL=b</stp>
        <tr r="H108" s="2"/>
      </tp>
      <tp t="s">
        <v>#N/A Requesting Data...</v>
        <stp/>
        <stp>##V3_BQLV12</stp>
        <stp>[MODL_NOW_US1.xlsx]Single Period!R101C5</stp>
        <stp>NOW US Equity</stp>
        <stp>CB_IS_OTHER_NON_OPER_INC_EXPN/1M</stp>
        <stp>FPR=2021Y</stp>
        <stp>FPT=A</stp>
        <stp>FA_ACT_EST_DATA=E</stp>
        <stp>ACT_EST_MAPPING=PRECISE</stp>
        <stp>FS=MRC</stp>
        <stp>CURRENCY=USD</stp>
        <stp>XLFILL=b</stp>
        <tr r="E101" s="2"/>
      </tp>
      <tp t="s">
        <v>#N/A Requesting Data...</v>
        <stp/>
        <stp>##V3_BQLV12</stp>
        <stp>[MODL_NOW_US1.xlsx]Single Period!R134C7</stp>
        <stp>NOW US Equity</stp>
        <stp>CONTRIBUTOR_STATS(IS_COMP_EPS_GAAP, MAX)</stp>
        <stp>FPR=2021Y</stp>
        <stp>FPT=A</stp>
        <stp>FA_ACT_EST_DATA=E</stp>
        <stp>ACT_EST_MAPPING=PRECISE</stp>
        <stp>FS=MRC</stp>
        <stp>CURRENCY=USD</stp>
        <stp>XLFILL=b</stp>
        <tr r="G134" s="2"/>
      </tp>
      <tp t="s">
        <v>#N/A Requesting Data...</v>
        <stp/>
        <stp>##V3_BQLV12</stp>
        <stp>[MODL_NOW_US1.xlsx]Single Period!R130C9</stp>
        <stp>NOW US Equity</stp>
        <stp>CONTRIBUTOR_STATS(IS_COMP_NET_INCOME_GAAP, MEDIAN)/1M</stp>
        <stp>FPR=2021Y</stp>
        <stp>FPT=A</stp>
        <stp>FA_ACT_EST_DATA=E</stp>
        <stp>ACT_EST_MAPPING=PRECISE</stp>
        <stp>FS=MRC</stp>
        <stp>CURRENCY=USD</stp>
        <stp>XLFILL=b</stp>
        <tr r="I130" s="2"/>
      </tp>
      <tp t="s">
        <v>#N/A Requesting Data...</v>
        <stp/>
        <stp>##V3_BQLV12</stp>
        <stp>[MODL_NOW_US1.xlsx]Single Period!R174C8</stp>
        <stp>NOW US Equity</stp>
        <stp>CONTRIBUTOR_STATS(BS_ACCT_PAYABLE, STD)/1M</stp>
        <stp>FPR=2021Y</stp>
        <stp>FPT=A</stp>
        <stp>FA_ACT_EST_DATA=E</stp>
        <stp>ACT_EST_MAPPING=PRECISE</stp>
        <stp>FS=MRC</stp>
        <stp>CURRENCY=USD</stp>
        <stp>XLFILL=b</stp>
        <tr r="H174" s="2"/>
      </tp>
      <tp t="s">
        <v>#N/A Requesting Data...</v>
        <stp/>
        <stp>##V3_BQLV12</stp>
        <stp>[MODL_NOW_US1.xlsx]Single Period!R39C38</stp>
        <stp>NOW US Equity</stp>
        <stp>IS_BILLINGS/1M</stp>
        <stp>FPR=2021Y</stp>
        <stp>FPT=A</stp>
        <stp>FA_ACT_EST_DATA=E, EST_SOURCE=RWB</stp>
        <stp>ACT_EST_MAPPING=PRECISE</stp>
        <stp>FS=MRC</stp>
        <stp>CURRENCY=USD</stp>
        <stp>XLFILL=b</stp>
        <tr r="AL39" s="2"/>
      </tp>
      <tp t="s">
        <v>#N/A Requesting Data...</v>
        <stp/>
        <stp>##V3_BQLV12</stp>
        <stp>[MODL_NOW_US1.xlsx]Single Period!R170C45</stp>
        <stp>NOW US Equity</stp>
        <stp>BS_TOT_ASSET/1M</stp>
        <stp>FPR=2021Y</stp>
        <stp>FPT=A</stp>
        <stp>FA_ACT_EST_DATA=E, EST_SOURCE=PJE</stp>
        <stp>ACT_EST_MAPPING=PRECISE</stp>
        <stp>FS=MRC</stp>
        <stp>CURRENCY=USD</stp>
        <stp>XLFILL=b</stp>
        <tr r="AS170" s="2"/>
      </tp>
      <tp t="s">
        <v>#N/A Requesting Data...</v>
        <stp/>
        <stp>##V3_BQLV12</stp>
        <stp>[MODL_NOW_US1.xlsx]Single Period!R185C45</stp>
        <stp>NOW US Equity</stp>
        <stp>BS_TOT_ASSET/1M</stp>
        <stp>FPR=2021Y</stp>
        <stp>FPT=A</stp>
        <stp>FA_ACT_EST_DATA=E, EST_SOURCE=PJE</stp>
        <stp>ACT_EST_MAPPING=PRECISE</stp>
        <stp>FS=MRC</stp>
        <stp>CURRENCY=USD</stp>
        <stp>XLFILL=b</stp>
        <tr r="AS185" s="2"/>
      </tp>
      <tp t="s">
        <v>#N/A Requesting Data...</v>
        <stp/>
        <stp>##V3_BQLV12</stp>
        <stp>[MODL_NOW_US1.xlsx]Single Period!R183C28</stp>
        <stp>NOW US Equity</stp>
        <stp>BS_TOTAL_LIABILITIES/1M</stp>
        <stp>FPR=2021Y</stp>
        <stp>FPT=A</stp>
        <stp>FA_ACT_EST_DATA=E, EST_SOURCE=EVR</stp>
        <stp>ACT_EST_MAPPING=PRECISE</stp>
        <stp>FS=MRC</stp>
        <stp>CURRENCY=USD</stp>
        <stp>XLFILL=b</stp>
        <tr r="AB183" s="2"/>
      </tp>
      <tp t="s">
        <v>#N/A Requesting Data...</v>
        <stp/>
        <stp>##V3_BQLV12</stp>
        <stp>[MODL_NOW_US1.xlsx]Single Period!R39C40</stp>
        <stp>NOW US Equity</stp>
        <stp>IS_BILLINGS/1M</stp>
        <stp>FPR=2021Y</stp>
        <stp>FPT=A</stp>
        <stp>FA_ACT_EST_DATA=E, EST_SOURCE=DWI</stp>
        <stp>ACT_EST_MAPPING=PRECISE</stp>
        <stp>FS=MRC</stp>
        <stp>CURRENCY=USD</stp>
        <stp>XLFILL=b</stp>
        <tr r="AN39" s="2"/>
      </tp>
      <tp t="s">
        <v>#N/A Requesting Data...</v>
        <stp/>
        <stp>##V3_BQLV12</stp>
        <stp>[MODL_NOW_US1.xlsx]Single Period!R39C24</stp>
        <stp>NOW US Equity</stp>
        <stp>IS_BILLINGS/1M</stp>
        <stp>FPR=2021Y</stp>
        <stp>FPT=A</stp>
        <stp>FA_ACT_EST_DATA=E, EST_SOURCE=CWN</stp>
        <stp>ACT_EST_MAPPING=PRECISE</stp>
        <stp>FS=MRC</stp>
        <stp>CURRENCY=USD</stp>
        <stp>XLFILL=b</stp>
        <tr r="X39" s="2"/>
      </tp>
      <tp t="s">
        <v>#N/A Requesting Data...</v>
        <stp/>
        <stp>##V3_BQLV12</stp>
        <stp>[MODL_NOW_US1.xlsx]Single Period!R165C14</stp>
        <stp>NOW US Equity</stp>
        <stp>BS_OPER_LEA_RT_OF_USE_ASSETS/1M</stp>
        <stp>FPR=2021Y</stp>
        <stp>FPT=A</stp>
        <stp>FA_ACT_EST_DATA=E, EST_SOURCE=BMO</stp>
        <stp>ACT_EST_MAPPING=PRECISE</stp>
        <stp>FS=MRC</stp>
        <stp>CURRENCY=USD</stp>
        <stp>XLFILL=b</stp>
        <tr r="N165" s="2"/>
      </tp>
      <tp t="s">
        <v>#N/A Requesting Data...</v>
        <stp/>
        <stp>##V3_BQLV12</stp>
        <stp>[MODL_NOW_US1.xlsx]Single Period!R147C20</stp>
        <stp>NOW US Equity</stp>
        <stp>IS_AMORT_OF_TOT_INTANG_PRETX/1M</stp>
        <stp>FPR=2021Y</stp>
        <stp>FPT=A</stp>
        <stp>FA_ACT_EST_DATA=E, EST_SOURCE=CAN</stp>
        <stp>ACT_EST_MAPPING=PRECISE</stp>
        <stp>FS=MRC</stp>
        <stp>CURRENCY=USD</stp>
        <stp>XLFILL=b</stp>
        <tr r="T147" s="2"/>
      </tp>
      <tp t="s">
        <v>#N/A Requesting Data...</v>
        <stp/>
        <stp>##V3_BQLV12</stp>
        <stp>[MODL_NOW_US1.xlsx]Single Period!R147C12</stp>
        <stp>NOW US Equity</stp>
        <stp>IS_AMORT_OF_TOT_INTANG_PRETX/1M</stp>
        <stp>FPR=2021Y</stp>
        <stp>FPT=A</stp>
        <stp>FA_ACT_EST_DATA=E, EST_SOURCE=WBL</stp>
        <stp>ACT_EST_MAPPING=PRECISE</stp>
        <stp>FS=MRC</stp>
        <stp>CURRENCY=USD</stp>
        <stp>XLFILL=b</stp>
        <tr r="L147" s="2"/>
      </tp>
      <tp t="s">
        <v>#N/A Requesting Data...</v>
        <stp/>
        <stp>##V3_BQLV12</stp>
        <stp>[MODL_NOW_US1.xlsx]Single Period!R222C49</stp>
        <stp>NOW US Equity</stp>
        <stp>CF_CASH_FROM_INV_ACT/1M</stp>
        <stp>FPR=2021Y</stp>
        <stp>FPT=A</stp>
        <stp>FA_ACT_EST_DATA=E, EST_SOURCE=SCB</stp>
        <stp>ACT_EST_MAPPING=PRECISE</stp>
        <stp>FS=MRC</stp>
        <stp>CURRENCY=USD</stp>
        <stp>XLFILL=b</stp>
        <tr r="AW222" s="2"/>
      </tp>
      <tp t="s">
        <v>#N/A Requesting Data...</v>
        <stp/>
        <stp>##V3_BQLV12</stp>
        <stp>[MODL_NOW_US1.xlsx]Single Period!R122C17</stp>
        <stp>NOW US Equity</stp>
        <stp>IS_MERGER_AND_ACQUIS_EXPN_OP/1M</stp>
        <stp>FPR=2021Y</stp>
        <stp>FPT=A</stp>
        <stp>FA_ACT_EST_DATA=E, EST_SOURCE=RHR</stp>
        <stp>ACT_EST_MAPPING=PRECISE</stp>
        <stp>FS=MRC</stp>
        <stp>CURRENCY=USD</stp>
        <stp>XLFILL=b</stp>
        <tr r="Q122" s="2"/>
      </tp>
      <tp t="s">
        <v>#N/A Requesting Data...</v>
        <stp/>
        <stp>##V3_BQLV12</stp>
        <stp>[MODL_NOW_US1.xlsx]Single Period!R120C36</stp>
        <stp>NOW US Equity</stp>
        <stp>IS_OPEX_R_AND_D_GAAP/1M</stp>
        <stp>FPR=2021Y</stp>
        <stp>FPT=A</stp>
        <stp>FA_ACT_EST_DATA=E, EST_SOURCE=JEF</stp>
        <stp>ACT_EST_MAPPING=PRECISE</stp>
        <stp>FS=MRC</stp>
        <stp>CURRENCY=USD</stp>
        <stp>XLFILL=b</stp>
        <tr r="AJ120" s="2"/>
      </tp>
      <tp t="s">
        <v>#N/A Requesting Data...</v>
        <stp/>
        <stp>##V3_BQLV12</stp>
        <stp>[MODL_NOW_US1.xlsx]Single Period!R115C23</stp>
        <stp>NOW US Equity</stp>
        <stp>GROSS_PROFIT/1M</stp>
        <stp>FPR=2021Y</stp>
        <stp>FPT=A</stp>
        <stp>FA_ACT_EST_DATA=E, EST_SOURCE=ZXS</stp>
        <stp>ACT_EST_MAPPING=PRECISE</stp>
        <stp>FS=MRC</stp>
        <stp>CURRENCY=USD</stp>
        <stp>XLFILL=b</stp>
        <tr r="W115" s="2"/>
      </tp>
      <tp t="s">
        <v>#N/A Requesting Data...</v>
        <stp/>
        <stp>##V3_BQLV12</stp>
        <stp>[MODL_NOW_US1.xlsx]Single Period!R183C38</stp>
        <stp>NOW US Equity</stp>
        <stp>BS_TOTAL_LIABILITIES/1M</stp>
        <stp>FPR=2021Y</stp>
        <stp>FPT=A</stp>
        <stp>FA_ACT_EST_DATA=E, EST_SOURCE=RWB</stp>
        <stp>ACT_EST_MAPPING=PRECISE</stp>
        <stp>FS=MRC</stp>
        <stp>CURRENCY=USD</stp>
        <stp>XLFILL=b</stp>
        <tr r="AL183" s="2"/>
      </tp>
      <tp t="s">
        <v>#N/A Requesting Data...</v>
        <stp/>
        <stp>##V3_BQLV12</stp>
        <stp>[MODL_NOW_US1.xlsx]Single Period!R174C7</stp>
        <stp>NOW US Equity</stp>
        <stp>CONTRIBUTOR_STATS(BS_ACCT_PAYABLE, MAX)/1M</stp>
        <stp>FPR=2021Y</stp>
        <stp>FPT=A</stp>
        <stp>FA_ACT_EST_DATA=E</stp>
        <stp>ACT_EST_MAPPING=PRECISE</stp>
        <stp>FS=MRC</stp>
        <stp>CURRENCY=USD</stp>
        <stp>XLFILL=b</stp>
        <tr r="G174" s="2"/>
      </tp>
      <tp t="s">
        <v>#N/A Requesting Data...</v>
        <stp/>
        <stp>##V3_BQLV12</stp>
        <stp>[MODL_NOW_US1.xlsx]Single Period!R174C6</stp>
        <stp>NOW US Equity</stp>
        <stp>CONTRIBUTOR_STATS(BS_ACCT_PAYABLE, MIN)/1M</stp>
        <stp>FPR=2021Y</stp>
        <stp>FPT=A</stp>
        <stp>FA_ACT_EST_DATA=E</stp>
        <stp>ACT_EST_MAPPING=PRECISE</stp>
        <stp>FS=MRC</stp>
        <stp>CURRENCY=USD</stp>
        <stp>XLFILL=b</stp>
        <tr r="F174" s="2"/>
      </tp>
      <tp t="s">
        <v>#N/A Requesting Data...</v>
        <stp/>
        <stp>##V3_BQLV12</stp>
        <stp>[MODL_NOW_US1.xlsx]Single Period!R120C22</stp>
        <stp>NOW US Equity</stp>
        <stp>IS_OPEX_R_AND_D_GAAP/1M</stp>
        <stp>FPR=2021Y</stp>
        <stp>FPT=A</stp>
        <stp>FA_ACT_EST_DATA=E, EST_SOURCE=NDH</stp>
        <stp>ACT_EST_MAPPING=PRECISE</stp>
        <stp>FS=MRC</stp>
        <stp>CURRENCY=USD</stp>
        <stp>XLFILL=b</stp>
        <tr r="V120" s="2"/>
      </tp>
      <tp t="s">
        <v>#N/A Requesting Data...</v>
        <stp/>
        <stp>##V3_BQLV12</stp>
        <stp>[MODL_NOW_US1.xlsx]Single Period!R165C29</stp>
        <stp>NOW US Equity</stp>
        <stp>BS_OPER_LEA_RT_OF_USE_ASSETS/1M</stp>
        <stp>FPR=2021Y</stp>
        <stp>FPT=A</stp>
        <stp>FA_ACT_EST_DATA=E, EST_SOURCE=BNS</stp>
        <stp>ACT_EST_MAPPING=PRECISE</stp>
        <stp>FS=MRC</stp>
        <stp>CURRENCY=USD</stp>
        <stp>XLFILL=b</stp>
        <tr r="AC165" s="2"/>
      </tp>
      <tp t="s">
        <v>#N/A Requesting Data...</v>
        <stp/>
        <stp>##V3_BQLV12</stp>
        <stp>[MODL_NOW_US1.xlsx]Single Period!R32C42</stp>
        <stp>NOW US Equity</stp>
        <stp>BS_REMAINING_PERFORMANCE_OBLIG/1M</stp>
        <stp>FPR=2021Y</stp>
        <stp>FPT=A</stp>
        <stp>FA_ACT_EST_DATA=E, EST_SOURCE=CTI</stp>
        <stp>ACT_EST_MAPPING=PRECISE</stp>
        <stp>FS=MRC</stp>
        <stp>CURRENCY=USD</stp>
        <stp>XLFILL=b</stp>
        <tr r="AP32" s="2"/>
      </tp>
      <tp t="s">
        <v>#N/A Requesting Data...</v>
        <stp/>
        <stp>##V3_BQLV12</stp>
        <stp>[MODL_NOW_US1.xlsx]Single Period!R32C37</stp>
        <stp>NOW US Equity</stp>
        <stp>BS_REMAINING_PERFORMANCE_OBLIG/1M</stp>
        <stp>FPR=2021Y</stp>
        <stp>FPT=A</stp>
        <stp>FA_ACT_EST_DATA=E, EST_SOURCE=TTC</stp>
        <stp>ACT_EST_MAPPING=PRECISE</stp>
        <stp>FS=MRC</stp>
        <stp>CURRENCY=USD</stp>
        <stp>XLFILL=b</stp>
        <tr r="AK32" s="2"/>
      </tp>
      <tp t="s">
        <v>#N/A Requesting Data...</v>
        <stp/>
        <stp>##V3_BQLV12</stp>
        <stp>[MODL_NOW_US1.xlsx]Single Period!R115C9</stp>
        <stp>NOW US Equity</stp>
        <stp>CONTRIBUTOR_STATS(GROSS_PROFIT, MEDIAN)/1M</stp>
        <stp>FPR=2021Y</stp>
        <stp>FPT=A</stp>
        <stp>FA_ACT_EST_DATA=E</stp>
        <stp>ACT_EST_MAPPING=PRECISE</stp>
        <stp>FS=MRC</stp>
        <stp>CURRENCY=USD</stp>
        <stp>XLFILL=b</stp>
        <tr r="I115" s="2"/>
      </tp>
      <tp t="s">
        <v>#N/A Requesting Data...</v>
        <stp/>
        <stp>##V3_BQLV12</stp>
        <stp>[MODL_NOW_US1.xlsx]Single Period!R237C19</stp>
        <stp>NOW US Equity</stp>
        <stp>FCF_PER_DIL_SHR</stp>
        <stp>FPR=2021Y</stp>
        <stp>FPT=A</stp>
        <stp>FA_ACT_EST_DATA=E, EST_SOURCE=MSV</stp>
        <stp>ACT_EST_MAPPING=PRECISE</stp>
        <stp>FS=MRC</stp>
        <stp>CURRENCY=USD</stp>
        <stp>XLFILL=b</stp>
        <tr r="S237" s="2"/>
      </tp>
      <tp t="s">
        <v>#N/A Requesting Data...</v>
        <stp/>
        <stp>##V3_BQLV12</stp>
        <stp>[MODL_NOW_US1.xlsx]Single Period!R118C39</stp>
        <stp>NOW US Equity</stp>
        <stp>OPERATING_EXPENSES_TO_NET_SALES</stp>
        <stp>FPR=2021Y</stp>
        <stp>FPT=A</stp>
        <stp>FA_ACT_EST_DATA=E, EST_SOURCE=DZB</stp>
        <stp>ACT_EST_MAPPING=PRECISE</stp>
        <stp>FS=MRC</stp>
        <stp>CURRENCY=USD</stp>
        <stp>XLFILL=b</stp>
        <tr r="AM118" s="2"/>
      </tp>
      <tp t="s">
        <v>#N/A Requesting Data...</v>
        <stp/>
        <stp>##V3_BQLV12</stp>
        <stp>[MODL_NOW_US1.xlsx]Single Period!R199C10</stp>
        <stp>NOW US Equity</stp>
        <stp>IS_COMP_NET_INCOME_GAAP/1M</stp>
        <stp>FPR=2021Y</stp>
        <stp>FPT=A</stp>
        <stp>FA_ACT_EST_DATA=E, EST_SOURCE=CMPY</stp>
        <stp>ACT_EST_MAPPING=PRECISE</stp>
        <stp>FS=MRC</stp>
        <stp>CURRENCY=USD</stp>
        <stp>XLFILL=b</stp>
        <tr r="J199" s="2"/>
      </tp>
      <tp t="s">
        <v>#N/A Requesting Data...</v>
        <stp/>
        <stp>##V3_BQLV12</stp>
        <stp>[MODL_NOW_US1.xlsx]Single Period!R170C9</stp>
        <stp>NOW US Equity</stp>
        <stp>CONTRIBUTOR_STATS(BS_TOT_ASSET, MEDIAN)/1M</stp>
        <stp>FPR=2021Y</stp>
        <stp>FPT=A</stp>
        <stp>FA_ACT_EST_DATA=E</stp>
        <stp>ACT_EST_MAPPING=PRECISE</stp>
        <stp>FS=MRC</stp>
        <stp>CURRENCY=USD</stp>
        <stp>XLFILL=b</stp>
        <tr r="I170" s="2"/>
      </tp>
      <tp t="s">
        <v>#N/A Requesting Data...</v>
        <stp/>
        <stp>##V3_BQLV12</stp>
        <stp>[MODL_NOW_US1.xlsx]Single Period!R114C17</stp>
        <stp>SEG0000230986 Segment</stp>
        <stp>CB_IS_GROSS_MARGIN</stp>
        <stp>FPR=2021Y</stp>
        <stp>FPT=A</stp>
        <stp>FA_ACT_EST_DATA=E, EST_SOURCE=RHR</stp>
        <stp>ACT_EST_MAPPING=PRECISE</stp>
        <stp>FS=MRC</stp>
        <stp>CURRENCY=USD</stp>
        <stp>XLFILL=b</stp>
        <tr r="Q114" s="2"/>
      </tp>
      <tp t="s">
        <v>#N/A Requesting Data...</v>
        <stp/>
        <stp>##V3_BQLV12</stp>
        <stp>[MODL_NOW_US1.xlsx]Single Period!R130C10</stp>
        <stp>NOW US Equity</stp>
        <stp>IS_COMP_NET_INCOME_GAAP/1M</stp>
        <stp>FPR=2021Y</stp>
        <stp>FPT=A</stp>
        <stp>FA_ACT_EST_DATA=E, EST_SOURCE=CMPY</stp>
        <stp>ACT_EST_MAPPING=PRECISE</stp>
        <stp>FS=MRC</stp>
        <stp>CURRENCY=USD</stp>
        <stp>XLFILL=b</stp>
        <tr r="J130" s="2"/>
      </tp>
      <tp t="s">
        <v>#N/A Requesting Data...</v>
        <stp/>
        <stp>##V3_BQLV12</stp>
        <stp>[MODL_NOW_US1.xlsx]Single Period!R111C6</stp>
        <stp>NOW US Equity</stp>
        <stp>CONTRIBUTOR_STATS(IS_COGS_TO_FE_AND_PP_AND_G, MIN)/1M</stp>
        <stp>FPR=2021Y</stp>
        <stp>FPT=A</stp>
        <stp>FA_ACT_EST_DATA=E</stp>
        <stp>ACT_EST_MAPPING=PRECISE</stp>
        <stp>FS=MRC</stp>
        <stp>CURRENCY=USD</stp>
        <stp>XLFILL=b</stp>
        <tr r="F111" s="2"/>
      </tp>
      <tp t="s">
        <v>#N/A Requesting Data...</v>
        <stp/>
        <stp>##V3_BQLV12</stp>
        <stp>[MODL_NOW_US1.xlsx]Single Period!R111C7</stp>
        <stp>NOW US Equity</stp>
        <stp>CONTRIBUTOR_STATS(IS_COGS_TO_FE_AND_PP_AND_G, MAX)/1M</stp>
        <stp>FPR=2021Y</stp>
        <stp>FPT=A</stp>
        <stp>FA_ACT_EST_DATA=E</stp>
        <stp>ACT_EST_MAPPING=PRECISE</stp>
        <stp>FS=MRC</stp>
        <stp>CURRENCY=USD</stp>
        <stp>XLFILL=b</stp>
        <tr r="G111" s="2"/>
      </tp>
      <tp t="s">
        <v>#N/A Requesting Data...</v>
        <stp/>
        <stp>##V3_BQLV12</stp>
        <stp>[MODL_NOW_US1.xlsx]Single Period!R201C5</stp>
        <stp>NOW US Equity</stp>
        <stp>D_AND_A_TO_SALES</stp>
        <stp>FPR=2021Y</stp>
        <stp>FPT=A</stp>
        <stp>FA_ACT_EST_DATA=E</stp>
        <stp>ACT_EST_MAPPING=PRECISE</stp>
        <stp>FS=MRC</stp>
        <stp>CURRENCY=USD</stp>
        <stp>XLFILL=b</stp>
        <tr r="E201" s="2"/>
      </tp>
      <tp t="s">
        <v>#N/A Requesting Data...</v>
        <stp/>
        <stp>##V3_BQLV12</stp>
        <stp>[MODL_NOW_US1.xlsx]Single Period!R111C8</stp>
        <stp>NOW US Equity</stp>
        <stp>CONTRIBUTOR_STATS(IS_COGS_TO_FE_AND_PP_AND_G, STD)/1M</stp>
        <stp>FPR=2021Y</stp>
        <stp>FPT=A</stp>
        <stp>FA_ACT_EST_DATA=E</stp>
        <stp>ACT_EST_MAPPING=PRECISE</stp>
        <stp>FS=MRC</stp>
        <stp>CURRENCY=USD</stp>
        <stp>XLFILL=b</stp>
        <tr r="H111" s="2"/>
      </tp>
      <tp t="s">
        <v>#N/A Requesting Data...</v>
        <stp/>
        <stp>##V3_BQLV12</stp>
        <stp>[MODL_NOW_US1.xlsx]Single Period!R7C45</stp>
        <stp>NOW US Equity</stp>
        <stp>IS_COMP_SALES/1M</stp>
        <stp>FPR=2021Y</stp>
        <stp>FPT=A</stp>
        <stp>FA_ACT_EST_DATA=E, EST_SOURCE=PJE</stp>
        <stp>ACT_EST_MAPPING=PRECISE</stp>
        <stp>FS=MRC</stp>
        <stp>CURRENCY=USD</stp>
        <stp>XLFILL=b</stp>
        <tr r="AS7" s="2"/>
      </tp>
      <tp t="s">
        <v>#N/A Requesting Data...</v>
        <stp/>
        <stp>##V3_BQLV12</stp>
        <stp>[MODL_NOW_US1.xlsx]Single Period!R160C9</stp>
        <stp>NOW US Equity</stp>
        <stp>CONTRIBUTOR_STATS(PREPAID_EXPNSS_AND_OTHR, MEDIAN)/1M</stp>
        <stp>FPR=2021Y</stp>
        <stp>FPT=A</stp>
        <stp>FA_ACT_EST_DATA=E</stp>
        <stp>ACT_EST_MAPPING=PRECISE</stp>
        <stp>FS=MRC</stp>
        <stp>CURRENCY=USD</stp>
        <stp>XLFILL=b</stp>
        <tr r="I160" s="2"/>
      </tp>
      <tp t="s">
        <v>#N/A Requesting Data...</v>
        <stp/>
        <stp>##V3_BQLV12</stp>
        <stp>[MODL_NOW_US1.xlsx]Single Period!R181C5</stp>
        <stp>NOW US Equity</stp>
        <stp>BS_LONG_TERM_BORROWINGS/1M</stp>
        <stp>FPR=2021Y</stp>
        <stp>FPT=A</stp>
        <stp>FA_ACT_EST_DATA=E</stp>
        <stp>ACT_EST_MAPPING=PRECISE</stp>
        <stp>FS=MRC</stp>
        <stp>CURRENCY=USD</stp>
        <stp>XLFILL=b</stp>
        <tr r="E181" s="2"/>
      </tp>
      <tp t="s">
        <v>#N/A Requesting Data...</v>
        <stp/>
        <stp>##V3_BQLV12</stp>
        <stp>[MODL_NOW_US1.xlsx]Single Period!R7C17</stp>
        <stp>NOW US Equity</stp>
        <stp>IS_COMP_SALES/1M</stp>
        <stp>FPR=2021Y</stp>
        <stp>FPT=A</stp>
        <stp>FA_ACT_EST_DATA=E, EST_SOURCE=RHR</stp>
        <stp>ACT_EST_MAPPING=PRECISE</stp>
        <stp>FS=MRC</stp>
        <stp>CURRENCY=USD</stp>
        <stp>XLFILL=b</stp>
        <tr r="Q7" s="2"/>
      </tp>
      <tp t="s">
        <v>#N/A Requesting Data...</v>
        <stp/>
        <stp>##V3_BQLV12</stp>
        <stp>[MODL_NOW_US1.xlsx]Single Period!R134C6</stp>
        <stp>NOW US Equity</stp>
        <stp>CONTRIBUTOR_STATS(IS_COMP_EPS_GAAP, MIN)</stp>
        <stp>FPR=2021Y</stp>
        <stp>FPT=A</stp>
        <stp>FA_ACT_EST_DATA=E</stp>
        <stp>ACT_EST_MAPPING=PRECISE</stp>
        <stp>FS=MRC</stp>
        <stp>CURRENCY=USD</stp>
        <stp>XLFILL=b</stp>
        <tr r="F134" s="2"/>
      </tp>
      <tp t="s">
        <v>#N/A Requesting Data...</v>
        <stp/>
        <stp>##V3_BQLV12</stp>
        <stp>[MODL_NOW_US1.xlsx]Single Period!R163C9</stp>
        <stp>NOW US Equity</stp>
        <stp>CONTRIBUTOR_STATS(CB_BS_PP_AND_E_NET, MEDIAN)/1M</stp>
        <stp>FPR=2021Y</stp>
        <stp>FPT=A</stp>
        <stp>FA_ACT_EST_DATA=E</stp>
        <stp>ACT_EST_MAPPING=PRECISE</stp>
        <stp>FS=MRC</stp>
        <stp>CURRENCY=USD</stp>
        <stp>XLFILL=b</stp>
        <tr r="I163" s="2"/>
      </tp>
      <tp t="s">
        <v>#N/A Requesting Data...</v>
        <stp/>
        <stp>##V3_BQLV12</stp>
        <stp>[MODL_NOW_US1.xlsx]Single Period!R164C9</stp>
        <stp>NOW US Equity</stp>
        <stp>CONTRIBUTOR_STATS(CB_BS_PP_AND_E_NET, MEDIAN)/1M</stp>
        <stp>FPR=2021Y</stp>
        <stp>FPT=A</stp>
        <stp>FA_ACT_EST_DATA=E</stp>
        <stp>ACT_EST_MAPPING=PRECISE</stp>
        <stp>FS=MRC</stp>
        <stp>CURRENCY=USD</stp>
        <stp>XLFILL=b</stp>
        <tr r="I164" s="2"/>
      </tp>
      <tp t="s">
        <v>#N/A Requesting Data...</v>
        <stp/>
        <stp>##V3_BQLV12</stp>
        <stp>[MODL_NOW_US1.xlsx]Single Period!R147C33</stp>
        <stp>NOW US Equity</stp>
        <stp>IS_AMORT_OF_TOT_INTANG_PRETX/1M</stp>
        <stp>FPR=2021Y</stp>
        <stp>FPT=A</stp>
        <stp>FA_ACT_EST_DATA=E, EST_SOURCE=MAC</stp>
        <stp>ACT_EST_MAPPING=PRECISE</stp>
        <stp>FS=MRC</stp>
        <stp>CURRENCY=USD</stp>
        <stp>XLFILL=b</stp>
        <tr r="AG147" s="2"/>
      </tp>
      <tp t="s">
        <v>#N/A Requesting Data...</v>
        <stp/>
        <stp>##V3_BQLV12</stp>
        <stp>[MODL_NOW_US1.xlsx]Single Period!R147C16</stp>
        <stp>NOW US Equity</stp>
        <stp>IS_AMORT_OF_TOT_INTANG_PRETX/1M</stp>
        <stp>FPR=2021Y</stp>
        <stp>FPT=A</stp>
        <stp>FA_ACT_EST_DATA=E, EST_SOURCE=BCA</stp>
        <stp>ACT_EST_MAPPING=PRECISE</stp>
        <stp>FS=MRC</stp>
        <stp>CURRENCY=USD</stp>
        <stp>XLFILL=b</stp>
        <tr r="P147" s="2"/>
      </tp>
      <tp t="s">
        <v>#N/A Requesting Data...</v>
        <stp/>
        <stp>##V3_BQLV12</stp>
        <stp>[MODL_NOW_US1.xlsx]Single Period!R147C30</stp>
        <stp>NOW US Equity</stp>
        <stp>IS_AMORT_OF_TOT_INTANG_PRETX/1M</stp>
        <stp>FPR=2021Y</stp>
        <stp>FPT=A</stp>
        <stp>FA_ACT_EST_DATA=E, EST_SOURCE=BAM</stp>
        <stp>ACT_EST_MAPPING=PRECISE</stp>
        <stp>FS=MRC</stp>
        <stp>CURRENCY=USD</stp>
        <stp>XLFILL=b</stp>
        <tr r="AD147" s="2"/>
      </tp>
      <tp t="s">
        <v>#N/A Requesting Data...</v>
        <stp/>
        <stp>##V3_BQLV12</stp>
        <stp>[MODL_NOW_US1.xlsx]Single Period!R93C23</stp>
        <stp>NOW US Equity</stp>
        <stp>G_AND_A_COST_PCT_REVENUES</stp>
        <stp>FPR=2021Y</stp>
        <stp>FPT=A</stp>
        <stp>FA_ACT_EST_DATA=E, EST_SOURCE=ZXS</stp>
        <stp>ACT_EST_MAPPING=PRECISE</stp>
        <stp>FS=MRC</stp>
        <stp>CURRENCY=USD</stp>
        <stp>XLFILL=b</stp>
        <tr r="W93" s="2"/>
      </tp>
      <tp t="s">
        <v>#N/A Requesting Data...</v>
        <stp/>
        <stp>##V3_BQLV12</stp>
        <stp>[MODL_NOW_US1.xlsx]Single Period!R39C28</stp>
        <stp>NOW US Equity</stp>
        <stp>IS_BILLINGS/1M</stp>
        <stp>FPR=2021Y</stp>
        <stp>FPT=A</stp>
        <stp>FA_ACT_EST_DATA=E, EST_SOURCE=EVR</stp>
        <stp>ACT_EST_MAPPING=PRECISE</stp>
        <stp>FS=MRC</stp>
        <stp>CURRENCY=USD</stp>
        <stp>XLFILL=b</stp>
        <tr r="AB39" s="2"/>
      </tp>
      <tp t="s">
        <v>#N/A Requesting Data...</v>
        <stp/>
        <stp>##V3_BQLV12</stp>
        <stp>[MODL_NOW_US1.xlsx]Single Period!R185C18</stp>
        <stp>NOW US Equity</stp>
        <stp>BS_TOT_ASSET/1M</stp>
        <stp>FPR=2021Y</stp>
        <stp>FPT=A</stp>
        <stp>FA_ACT_EST_DATA=E, EST_SOURCE=SNR</stp>
        <stp>ACT_EST_MAPPING=PRECISE</stp>
        <stp>FS=MRC</stp>
        <stp>CURRENCY=USD</stp>
        <stp>XLFILL=b</stp>
        <tr r="R185" s="2"/>
      </tp>
      <tp t="s">
        <v>#N/A Requesting Data...</v>
        <stp/>
        <stp>##V3_BQLV12</stp>
        <stp>[MODL_NOW_US1.xlsx]Single Period!R222C22</stp>
        <stp>NOW US Equity</stp>
        <stp>CF_CASH_FROM_INV_ACT/1M</stp>
        <stp>FPR=2021Y</stp>
        <stp>FPT=A</stp>
        <stp>FA_ACT_EST_DATA=E, EST_SOURCE=NDH</stp>
        <stp>ACT_EST_MAPPING=PRECISE</stp>
        <stp>FS=MRC</stp>
        <stp>CURRENCY=USD</stp>
        <stp>XLFILL=b</stp>
        <tr r="V222" s="2"/>
      </tp>
      <tp t="s">
        <v>#N/A Requesting Data...</v>
        <stp/>
        <stp>##V3_BQLV12</stp>
        <stp>[MODL_NOW_US1.xlsx]Single Period!R190C39</stp>
        <stp>NOW US Equity</stp>
        <stp>DEFERRED_REV/1M</stp>
        <stp>FPR=2021Y</stp>
        <stp>FPT=A</stp>
        <stp>FA_ACT_EST_DATA=E, EST_SOURCE=DZB</stp>
        <stp>ACT_EST_MAPPING=PRECISE</stp>
        <stp>FS=MRC</stp>
        <stp>CURRENCY=USD</stp>
        <stp>XLFILL=b</stp>
        <tr r="AM190" s="2"/>
      </tp>
      <tp t="s">
        <v>#N/A Requesting Data...</v>
        <stp/>
        <stp>##V3_BQLV12</stp>
        <stp>[MODL_NOW_US1.xlsx]Single Period!R147C43</stp>
        <stp>NOW US Equity</stp>
        <stp>IS_AMORT_OF_TOT_INTANG_PRETX/1M</stp>
        <stp>FPR=2021Y</stp>
        <stp>FPT=A</stp>
        <stp>FA_ACT_EST_DATA=E, EST_SOURCE=WFT</stp>
        <stp>ACT_EST_MAPPING=PRECISE</stp>
        <stp>FS=MRC</stp>
        <stp>CURRENCY=USD</stp>
        <stp>XLFILL=b</stp>
        <tr r="AQ147" s="2"/>
      </tp>
      <tp t="s">
        <v>#N/A Requesting Data...</v>
        <stp/>
        <stp>##V3_BQLV12</stp>
        <stp>[MODL_NOW_US1.xlsx]Single Period!R170C21</stp>
        <stp>NOW US Equity</stp>
        <stp>BS_TOT_ASSET/1M</stp>
        <stp>FPR=2021Y</stp>
        <stp>FPT=A</stp>
        <stp>FA_ACT_EST_DATA=E, EST_SOURCE=JMP</stp>
        <stp>ACT_EST_MAPPING=PRECISE</stp>
        <stp>FS=MRC</stp>
        <stp>CURRENCY=USD</stp>
        <stp>XLFILL=b</stp>
        <tr r="U170" s="2"/>
      </tp>
      <tp t="s">
        <v>#N/A Requesting Data...</v>
        <stp/>
        <stp>##V3_BQLV12</stp>
        <stp>[MODL_NOW_US1.xlsx]Single Period!R185C21</stp>
        <stp>NOW US Equity</stp>
        <stp>BS_TOT_ASSET/1M</stp>
        <stp>FPR=2021Y</stp>
        <stp>FPT=A</stp>
        <stp>FA_ACT_EST_DATA=E, EST_SOURCE=JMP</stp>
        <stp>ACT_EST_MAPPING=PRECISE</stp>
        <stp>FS=MRC</stp>
        <stp>CURRENCY=USD</stp>
        <stp>XLFILL=b</stp>
        <tr r="U185" s="2"/>
      </tp>
      <tp t="s">
        <v>#N/A Requesting Data...</v>
        <stp/>
        <stp>##V3_BQLV12</stp>
        <stp>[MODL_NOW_US1.xlsx]Single Period!R183C24</stp>
        <stp>NOW US Equity</stp>
        <stp>BS_TOTAL_LIABILITIES/1M</stp>
        <stp>FPR=2021Y</stp>
        <stp>FPT=A</stp>
        <stp>FA_ACT_EST_DATA=E, EST_SOURCE=CWN</stp>
        <stp>ACT_EST_MAPPING=PRECISE</stp>
        <stp>FS=MRC</stp>
        <stp>CURRENCY=USD</stp>
        <stp>XLFILL=b</stp>
        <tr r="X183" s="2"/>
      </tp>
      <tp t="s">
        <v>#N/A Requesting Data...</v>
        <stp/>
        <stp>##V3_BQLV12</stp>
        <stp>[MODL_NOW_US1.xlsx]Single Period!R222C36</stp>
        <stp>NOW US Equity</stp>
        <stp>CF_CASH_FROM_INV_ACT/1M</stp>
        <stp>FPR=2021Y</stp>
        <stp>FPT=A</stp>
        <stp>FA_ACT_EST_DATA=E, EST_SOURCE=JEF</stp>
        <stp>ACT_EST_MAPPING=PRECISE</stp>
        <stp>FS=MRC</stp>
        <stp>CURRENCY=USD</stp>
        <stp>XLFILL=b</stp>
        <tr r="AJ222" s="2"/>
      </tp>
      <tp t="s">
        <v>#N/A Requesting Data...</v>
        <stp/>
        <stp>##V3_BQLV12</stp>
        <stp>[MODL_NOW_US1.xlsx]Single Period!R170C18</stp>
        <stp>NOW US Equity</stp>
        <stp>BS_TOT_ASSET/1M</stp>
        <stp>FPR=2021Y</stp>
        <stp>FPT=A</stp>
        <stp>FA_ACT_EST_DATA=E, EST_SOURCE=SNR</stp>
        <stp>ACT_EST_MAPPING=PRECISE</stp>
        <stp>FS=MRC</stp>
        <stp>CURRENCY=USD</stp>
        <stp>XLFILL=b</stp>
        <tr r="R170" s="2"/>
      </tp>
      <tp t="s">
        <v>#N/A Requesting Data...</v>
        <stp/>
        <stp>##V3_BQLV12</stp>
        <stp>[MODL_NOW_US1.xlsx]Single Period!R120C49</stp>
        <stp>NOW US Equity</stp>
        <stp>IS_OPEX_R_AND_D_GAAP/1M</stp>
        <stp>FPR=2021Y</stp>
        <stp>FPT=A</stp>
        <stp>FA_ACT_EST_DATA=E, EST_SOURCE=SCB</stp>
        <stp>ACT_EST_MAPPING=PRECISE</stp>
        <stp>FS=MRC</stp>
        <stp>CURRENCY=USD</stp>
        <stp>XLFILL=b</stp>
        <tr r="AW120" s="2"/>
      </tp>
      <tp t="s">
        <v>#N/A Requesting Data...</v>
        <stp/>
        <stp>##V3_BQLV12</stp>
        <stp>[MODL_NOW_US1.xlsx]Single Period!R32C40</stp>
        <stp>NOW US Equity</stp>
        <stp>BS_REMAINING_PERFORMANCE_OBLIG/1M</stp>
        <stp>FPR=2021Y</stp>
        <stp>FPT=A</stp>
        <stp>FA_ACT_EST_DATA=E, EST_SOURCE=DWI</stp>
        <stp>ACT_EST_MAPPING=PRECISE</stp>
        <stp>FS=MRC</stp>
        <stp>CURRENCY=USD</stp>
        <stp>XLFILL=b</stp>
        <tr r="AN32" s="2"/>
      </tp>
      <tp t="s">
        <v>#N/A Requesting Data...</v>
        <stp/>
        <stp>##V3_BQLV12</stp>
        <stp>[MODL_NOW_US1.xlsx]Single Period!R32C24</stp>
        <stp>NOW US Equity</stp>
        <stp>BS_REMAINING_PERFORMANCE_OBLIG/1M</stp>
        <stp>FPR=2021Y</stp>
        <stp>FPT=A</stp>
        <stp>FA_ACT_EST_DATA=E, EST_SOURCE=CWN</stp>
        <stp>ACT_EST_MAPPING=PRECISE</stp>
        <stp>FS=MRC</stp>
        <stp>CURRENCY=USD</stp>
        <stp>XLFILL=b</stp>
        <tr r="X32" s="2"/>
      </tp>
      <tp t="s">
        <v>#N/A Requesting Data...</v>
        <stp/>
        <stp>##V3_BQLV12</stp>
        <stp>[MODL_NOW_US1.xlsx]Single Period!R4C11</stp>
        <stp>NOW US Equity</stp>
        <stp>LAST(IS_COMP_SALES(FA_ACT_EST_DATA=E, EST_SOURCE=JPM).analyst_name)</stp>
        <stp>FPR=2021Y</stp>
        <stp>FPT=A</stp>
        <stp>ACT_EST_MAPPING=PRECISE</stp>
        <stp>FS=MRC</stp>
        <stp>CURRENCY=USD</stp>
        <stp>XLFILL=b</stp>
        <tr r="K4" s="2"/>
      </tp>
      <tp t="s">
        <v>#N/A Requesting Data...</v>
        <stp/>
        <stp>##V3_BQLV12</stp>
        <stp>[MODL_NOW_US1.xlsx]Single Period!R147C9</stp>
        <stp>NOW US Equity</stp>
        <stp>CONTRIBUTOR_STATS(IS_AMORT_OF_TOT_INTANG_PRETX, MEDIAN)/1M</stp>
        <stp>FPR=2021Y</stp>
        <stp>FPT=A</stp>
        <stp>FA_ACT_EST_DATA=E</stp>
        <stp>ACT_EST_MAPPING=PRECISE</stp>
        <stp>FS=MRC</stp>
        <stp>CURRENCY=USD</stp>
        <stp>XLFILL=b</stp>
        <tr r="I147" s="2"/>
      </tp>
      <tp t="s">
        <v>#N/A Requesting Data...</v>
        <stp/>
        <stp>##V3_BQLV12</stp>
        <stp>[MODL_NOW_US1.xlsx]Single Period!R32C38</stp>
        <stp>NOW US Equity</stp>
        <stp>BS_REMAINING_PERFORMANCE_OBLIG/1M</stp>
        <stp>FPR=2021Y</stp>
        <stp>FPT=A</stp>
        <stp>FA_ACT_EST_DATA=E, EST_SOURCE=RWB</stp>
        <stp>ACT_EST_MAPPING=PRECISE</stp>
        <stp>FS=MRC</stp>
        <stp>CURRENCY=USD</stp>
        <stp>XLFILL=b</stp>
        <tr r="AL32" s="2"/>
      </tp>
      <tp t="s">
        <v>#N/A Requesting Data...</v>
        <stp/>
        <stp>##V3_BQLV12</stp>
        <stp>[MODL_NOW_US1.xlsx]Single Period!R37C48</stp>
        <stp>NOW US Equity</stp>
        <stp>BS_REMAINING_PERFORMANCE_OBLIG/1M</stp>
        <stp>FPR=2021Y</stp>
        <stp>FPT=A</stp>
        <stp>FA_ACT_EST_DATA=E, EST_SOURCE=CRC</stp>
        <stp>ACT_EST_MAPPING=PRECISE</stp>
        <stp>FS=MRC</stp>
        <stp>CURRENCY=USD</stp>
        <stp>XLFILL=b</stp>
        <tr r="AV37" s="2"/>
      </tp>
      <tp t="s">
        <v>#N/A Requesting Data...</v>
        <stp/>
        <stp>##V3_BQLV12</stp>
        <stp>[MODL_NOW_US1.xlsx]Single Period!R118C23</stp>
        <stp>NOW US Equity</stp>
        <stp>OPERATING_EXPENSES_TO_NET_SALES</stp>
        <stp>FPR=2021Y</stp>
        <stp>FPT=A</stp>
        <stp>FA_ACT_EST_DATA=E, EST_SOURCE=ZXS</stp>
        <stp>ACT_EST_MAPPING=PRECISE</stp>
        <stp>FS=MRC</stp>
        <stp>CURRENCY=USD</stp>
        <stp>XLFILL=b</stp>
        <tr r="W118" s="2"/>
      </tp>
      <tp t="s">
        <v>#N/A Requesting Data...</v>
        <stp/>
        <stp>##V3_BQLV12</stp>
        <stp>[MODL_NOW_US1.xlsx]Single Period!R37C41</stp>
        <stp>NOW US Equity</stp>
        <stp>BS_REMAINING_PERFORMANCE_OBLIG/1M</stp>
        <stp>FPR=2021Y</stp>
        <stp>FPT=A</stp>
        <stp>FA_ACT_EST_DATA=E, EST_SOURCE=ARG</stp>
        <stp>ACT_EST_MAPPING=PRECISE</stp>
        <stp>FS=MRC</stp>
        <stp>CURRENCY=USD</stp>
        <stp>XLFILL=b</stp>
        <tr r="AO37" s="2"/>
      </tp>
      <tp t="s">
        <v>#N/A Requesting Data...</v>
        <stp/>
        <stp>##V3_BQLV12</stp>
        <stp>[MODL_NOW_US1.xlsx]Single Period!R237C15</stp>
        <stp>NOW US Equity</stp>
        <stp>FCF_PER_DIL_SHR</stp>
        <stp>FPR=2021Y</stp>
        <stp>FPT=A</stp>
        <stp>FA_ACT_EST_DATA=E, EST_SOURCE=OPY</stp>
        <stp>ACT_EST_MAPPING=PRECISE</stp>
        <stp>FS=MRC</stp>
        <stp>CURRENCY=USD</stp>
        <stp>XLFILL=b</stp>
        <tr r="O237" s="2"/>
      </tp>
      <tp t="s">
        <v>#N/A Requesting Data...</v>
        <stp/>
        <stp>##V3_BQLV12</stp>
        <stp>[MODL_NOW_US1.xlsx]Single Period!R37C44</stp>
        <stp>NOW US Equity</stp>
        <stp>BS_REMAINING_PERFORMANCE_OBLIG/1M</stp>
        <stp>FPR=2021Y</stp>
        <stp>FPT=A</stp>
        <stp>FA_ACT_EST_DATA=E, EST_SOURCE=ARE</stp>
        <stp>ACT_EST_MAPPING=PRECISE</stp>
        <stp>FS=MRC</stp>
        <stp>CURRENCY=USD</stp>
        <stp>XLFILL=b</stp>
        <tr r="AR37" s="2"/>
      </tp>
      <tp t="s">
        <v>#N/A Requesting Data...</v>
        <stp/>
        <stp>##V3_BQLV12</stp>
        <stp>[MODL_NOW_US1.xlsx]Single Period!R51C17</stp>
        <stp>NOW US Equity</stp>
        <stp>ACCOUNTS_PAYABLE_TURNOVER_DAYS</stp>
        <stp>FPR=2021Y</stp>
        <stp>FPT=A</stp>
        <stp>FA_ACT_EST_DATA=E, EST_SOURCE=RHR</stp>
        <stp>ACT_EST_MAPPING=PRECISE</stp>
        <stp>FS=MRC</stp>
        <stp>CURRENCY=USD</stp>
        <stp>XLFILL=b</stp>
        <tr r="Q51" s="2"/>
      </tp>
      <tp t="s">
        <v>#N/A Requesting Data...</v>
        <stp/>
        <stp>##V3_BQLV12</stp>
        <stp>[MODL_NOW_US1.xlsx]Single Period!R4C36</stp>
        <stp>NOW US Equity</stp>
        <stp>LAST(IS_COMP_SALES(FA_ACT_EST_DATA=E, EST_SOURCE=JEF).analyst_name)</stp>
        <stp>FPR=2021Y</stp>
        <stp>FPT=A</stp>
        <stp>ACT_EST_MAPPING=PRECISE</stp>
        <stp>FS=MRC</stp>
        <stp>CURRENCY=USD</stp>
        <stp>XLFILL=b</stp>
        <tr r="AJ4" s="2"/>
      </tp>
      <tp t="s">
        <v>#N/A Requesting Data...</v>
        <stp/>
        <stp>##V3_BQLV12</stp>
        <stp>[MODL_NOW_US1.xlsx]Single Period!R237C47</stp>
        <stp>NOW US Equity</stp>
        <stp>FCF_PER_DIL_SHR</stp>
        <stp>FPR=2021Y</stp>
        <stp>FPT=A</stp>
        <stp>FA_ACT_EST_DATA=E, EST_SOURCE=SUM</stp>
        <stp>ACT_EST_MAPPING=PRECISE</stp>
        <stp>FS=MRC</stp>
        <stp>CURRENCY=USD</stp>
        <stp>XLFILL=b</stp>
        <tr r="AU237" s="2"/>
      </tp>
      <tp t="s">
        <v>#N/A Requesting Data...</v>
        <stp/>
        <stp>##V3_BQLV12</stp>
        <stp>[MODL_NOW_US1.xlsx]Single Period!R4C21</stp>
        <stp>NOW US Equity</stp>
        <stp>LAST(IS_COMP_SALES(FA_ACT_EST_DATA=E, EST_SOURCE=JMP).analyst_name)</stp>
        <stp>FPR=2021Y</stp>
        <stp>FPT=A</stp>
        <stp>ACT_EST_MAPPING=PRECISE</stp>
        <stp>FS=MRC</stp>
        <stp>CURRENCY=USD</stp>
        <stp>XLFILL=b</stp>
        <tr r="U4" s="2"/>
      </tp>
      <tp t="s">
        <v>#N/A Requesting Data...</v>
        <stp/>
        <stp>##V3_BQLV12</stp>
        <stp>[MODL_NOW_US1.xlsx]Single Period!R237C11</stp>
        <stp>NOW US Equity</stp>
        <stp>FCF_PER_DIL_SHR</stp>
        <stp>FPR=2021Y</stp>
        <stp>FPT=A</stp>
        <stp>FA_ACT_EST_DATA=E, EST_SOURCE=JPM</stp>
        <stp>ACT_EST_MAPPING=PRECISE</stp>
        <stp>FS=MRC</stp>
        <stp>CURRENCY=USD</stp>
        <stp>XLFILL=b</stp>
        <tr r="K237" s="2"/>
      </tp>
      <tp t="s">
        <v>#N/A Requesting Data...</v>
        <stp/>
        <stp>##V3_BQLV12</stp>
        <stp>[MODL_NOW_US1.xlsx]Single Period!R216C8</stp>
        <stp>NOW US Equity</stp>
        <stp>CONTRIBUTOR_STATS(CF_PURCHASE_OF_FIXED_PROD_ASSETS, STD)/1M</stp>
        <stp>FPR=2021Y</stp>
        <stp>FPT=A</stp>
        <stp>FA_ACT_EST_DATA=E</stp>
        <stp>ACT_EST_MAPPING=PRECISE</stp>
        <stp>FS=MRC</stp>
        <stp>CURRENCY=USD</stp>
        <stp>XLFILL=b</stp>
        <tr r="H216" s="2"/>
      </tp>
      <tp t="s">
        <v>#N/A Requesting Data...</v>
        <stp/>
        <stp>##V3_BQLV12</stp>
        <stp>[MODL_NOW_US1.xlsx]Single Period!R216C6</stp>
        <stp>NOW US Equity</stp>
        <stp>CONTRIBUTOR_STATS(CF_PURCHASE_OF_FIXED_PROD_ASSETS, MIN)/1M</stp>
        <stp>FPR=2021Y</stp>
        <stp>FPT=A</stp>
        <stp>FA_ACT_EST_DATA=E</stp>
        <stp>ACT_EST_MAPPING=PRECISE</stp>
        <stp>FS=MRC</stp>
        <stp>CURRENCY=USD</stp>
        <stp>XLFILL=b</stp>
        <tr r="F216" s="2"/>
      </tp>
      <tp t="s">
        <v>#N/A Requesting Data...</v>
        <stp/>
        <stp>##V3_BQLV12</stp>
        <stp>[MODL_NOW_US1.xlsx]Single Period!R216C7</stp>
        <stp>NOW US Equity</stp>
        <stp>CONTRIBUTOR_STATS(CF_PURCHASE_OF_FIXED_PROD_ASSETS, MAX)/1M</stp>
        <stp>FPR=2021Y</stp>
        <stp>FPT=A</stp>
        <stp>FA_ACT_EST_DATA=E</stp>
        <stp>ACT_EST_MAPPING=PRECISE</stp>
        <stp>FS=MRC</stp>
        <stp>CURRENCY=USD</stp>
        <stp>XLFILL=b</stp>
        <tr r="G216" s="2"/>
      </tp>
      <tp t="s">
        <v>#N/A Requesting Data...</v>
        <stp/>
        <stp>##V3_BQLV12</stp>
        <stp>[MODL_NOW_US1.xlsx]Single Period!R217C7</stp>
        <stp>NOW US Equity</stp>
        <stp>CONTRIBUTOR_STATS(CAP_EXPEND_TO_SALES, MAX)</stp>
        <stp>FPR=2021Y</stp>
        <stp>FPT=A</stp>
        <stp>FA_ACT_EST_DATA=E</stp>
        <stp>ACT_EST_MAPPING=PRECISE</stp>
        <stp>FS=MRC</stp>
        <stp>CURRENCY=USD</stp>
        <stp>XLFILL=b</stp>
        <tr r="G217" s="2"/>
      </tp>
      <tp t="s">
        <v>#N/A Requesting Data...</v>
        <stp/>
        <stp>##V3_BQLV12</stp>
        <stp>[MODL_NOW_US1.xlsx]Single Period!R235C9</stp>
        <stp>NOW US Equity</stp>
        <stp>CONTRIBUTOR_STATS(CF_FREE_CASH_FLOW_AS_REPORTED, MEDIAN)/1M</stp>
        <stp>FPR=2021Y</stp>
        <stp>FPT=A</stp>
        <stp>FA_ACT_EST_DATA=E</stp>
        <stp>ACT_EST_MAPPING=PRECISE</stp>
        <stp>FS=MRC</stp>
        <stp>CURRENCY=USD</stp>
        <stp>XLFILL=b</stp>
        <tr r="I235" s="2"/>
      </tp>
      <tp t="s">
        <v>#N/A Requesting Data...</v>
        <stp/>
        <stp>##V3_BQLV12</stp>
        <stp>[MODL_NOW_US1.xlsx]Single Period!R217C6</stp>
        <stp>NOW US Equity</stp>
        <stp>CONTRIBUTOR_STATS(CAP_EXPEND_TO_SALES, MIN)</stp>
        <stp>FPR=2021Y</stp>
        <stp>FPT=A</stp>
        <stp>FA_ACT_EST_DATA=E</stp>
        <stp>ACT_EST_MAPPING=PRECISE</stp>
        <stp>FS=MRC</stp>
        <stp>CURRENCY=USD</stp>
        <stp>XLFILL=b</stp>
        <tr r="F217" s="2"/>
      </tp>
      <tp t="s">
        <v>#N/A Requesting Data...</v>
        <stp/>
        <stp>##V3_BQLV12</stp>
        <stp>[MODL_NOW_US1.xlsx]Single Period!R177C9</stp>
        <stp>NOW US Equity</stp>
        <stp>CONTRIBUTOR_STATS(BS_ST_CPTL_LEA_AND_OP_LEA_LIABS, MEDIAN)/1M</stp>
        <stp>FPR=2021Y</stp>
        <stp>FPT=A</stp>
        <stp>FA_ACT_EST_DATA=E</stp>
        <stp>ACT_EST_MAPPING=PRECISE</stp>
        <stp>FS=MRC</stp>
        <stp>CURRENCY=USD</stp>
        <stp>XLFILL=b</stp>
        <tr r="I177" s="2"/>
      </tp>
      <tp t="s">
        <v>#N/A Requesting Data...</v>
        <stp/>
        <stp>##V3_BQLV12</stp>
        <stp>[MODL_NOW_US1.xlsx]Single Period!R7C21</stp>
        <stp>NOW US Equity</stp>
        <stp>IS_COMP_SALES/1M</stp>
        <stp>FPR=2021Y</stp>
        <stp>FPT=A</stp>
        <stp>FA_ACT_EST_DATA=E, EST_SOURCE=JMP</stp>
        <stp>ACT_EST_MAPPING=PRECISE</stp>
        <stp>FS=MRC</stp>
        <stp>CURRENCY=USD</stp>
        <stp>XLFILL=b</stp>
        <tr r="U7" s="2"/>
      </tp>
      <tp t="s">
        <v>#N/A Requesting Data...</v>
        <stp/>
        <stp>##V3_BQLV12</stp>
        <stp>[MODL_NOW_US1.xlsx]Single Period!R68C10</stp>
        <stp>SEG0000230986 Segment</stp>
        <stp>IS_ADJUSTED_COGS_AS_REPORTED/1M</stp>
        <stp>FPR=2021Y</stp>
        <stp>FPT=A</stp>
        <stp>FA_ACT_EST_DATA=E, EST_SOURCE=CMPY</stp>
        <stp>ACT_EST_MAPPING=PRECISE</stp>
        <stp>FS=MRC</stp>
        <stp>CURRENCY=USD</stp>
        <stp>XLFILL=b</stp>
        <tr r="J68" s="2"/>
      </tp>
      <tp t="s">
        <v>#N/A Requesting Data...</v>
        <stp/>
        <stp>##V3_BQLV12</stp>
        <stp>[MODL_NOW_US1.xlsx]Single Period!R160C5</stp>
        <stp>NOW US Equity</stp>
        <stp>PREPAID_EXPNSS_AND_OTHR/1M</stp>
        <stp>FPR=2021Y</stp>
        <stp>FPT=A</stp>
        <stp>FA_ACT_EST_DATA=E</stp>
        <stp>ACT_EST_MAPPING=PRECISE</stp>
        <stp>FS=MRC</stp>
        <stp>CURRENCY=USD</stp>
        <stp>XLFILL=b</stp>
        <tr r="E160" s="2"/>
      </tp>
      <tp t="s">
        <v>#N/A Requesting Data...</v>
        <stp/>
        <stp>##V3_BQLV12</stp>
        <stp>[MODL_NOW_US1.xlsx]Single Period!R60C10</stp>
        <stp>SEG0000230975 Segment</stp>
        <stp>IS_ADJUSTED_COGS_AS_REPORTED/1M</stp>
        <stp>FPR=2021Y</stp>
        <stp>FPT=A</stp>
        <stp>FA_ACT_EST_DATA=E, EST_SOURCE=CMPY</stp>
        <stp>ACT_EST_MAPPING=PRECISE</stp>
        <stp>FS=MRC</stp>
        <stp>CURRENCY=USD</stp>
        <stp>XLFILL=b</stp>
        <tr r="J60" s="2"/>
      </tp>
      <tp t="s">
        <v>#N/A Requesting Data...</v>
        <stp/>
        <stp>##V3_BQLV12</stp>
        <stp>[MODL_NOW_US1.xlsx]Single Period!R147C32</stp>
        <stp>NOW US Equity</stp>
        <stp>IS_AMORT_OF_TOT_INTANG_PRETX/1M</stp>
        <stp>FPR=2021Y</stp>
        <stp>FPT=A</stp>
        <stp>FA_ACT_EST_DATA=E, EST_SOURCE=FBC</stp>
        <stp>ACT_EST_MAPPING=PRECISE</stp>
        <stp>FS=MRC</stp>
        <stp>CURRENCY=USD</stp>
        <stp>XLFILL=b</stp>
        <tr r="AF147" s="2"/>
      </tp>
      <tp t="s">
        <v>#N/A Requesting Data...</v>
        <stp/>
        <stp>##V3_BQLV12</stp>
        <stp>[MODL_NOW_US1.xlsx]Single Period!R50C7</stp>
        <stp>NOW US Equity</stp>
        <stp>CONTRIBUTOR_STATS(NUM_CSTMR_CNTRCT_OVER_1_MILLN, MAX)</stp>
        <stp>FPR=2021Y</stp>
        <stp>FPT=A</stp>
        <stp>FA_ACT_EST_DATA=E</stp>
        <stp>ACT_EST_MAPPING=PRECISE</stp>
        <stp>FS=MRC</stp>
        <stp>CURRENCY=USD</stp>
        <stp>XLFILL=b</stp>
        <tr r="G50" s="2"/>
      </tp>
      <tp t="s">
        <v>#N/A Requesting Data...</v>
        <stp/>
        <stp>##V3_BQLV12</stp>
        <stp>[MODL_NOW_US1.xlsx]Single Period!R185C14</stp>
        <stp>NOW US Equity</stp>
        <stp>BS_TOT_ASSET/1M</stp>
        <stp>FPR=2021Y</stp>
        <stp>FPT=A</stp>
        <stp>FA_ACT_EST_DATA=E, EST_SOURCE=BMO</stp>
        <stp>ACT_EST_MAPPING=PRECISE</stp>
        <stp>FS=MRC</stp>
        <stp>CURRENCY=USD</stp>
        <stp>XLFILL=b</stp>
        <tr r="N185" s="2"/>
      </tp>
      <tp t="s">
        <v>#N/A Requesting Data...</v>
        <stp/>
        <stp>##V3_BQLV12</stp>
        <stp>[MODL_NOW_US1.xlsx]Single Period!R53C8</stp>
        <stp>NOW US Equity</stp>
        <stp>CONTRIBUTOR_STATS(ANNUALIZED_DAYS_SALES_OUTSTDG, STD)</stp>
        <stp>FPR=2021Y</stp>
        <stp>FPT=A</stp>
        <stp>FA_ACT_EST_DATA=E</stp>
        <stp>ACT_EST_MAPPING=PRECISE</stp>
        <stp>FS=MRC</stp>
        <stp>CURRENCY=USD</stp>
        <stp>XLFILL=b</stp>
        <tr r="H53" s="2"/>
      </tp>
      <tp t="s">
        <v>#N/A Requesting Data...</v>
        <stp/>
        <stp>##V3_BQLV12</stp>
        <stp>[MODL_NOW_US1.xlsx]Single Period!R165C45</stp>
        <stp>NOW US Equity</stp>
        <stp>BS_OPER_LEA_RT_OF_USE_ASSETS/1M</stp>
        <stp>FPR=2021Y</stp>
        <stp>FPT=A</stp>
        <stp>FA_ACT_EST_DATA=E, EST_SOURCE=PJE</stp>
        <stp>ACT_EST_MAPPING=PRECISE</stp>
        <stp>FS=MRC</stp>
        <stp>CURRENCY=USD</stp>
        <stp>XLFILL=b</stp>
        <tr r="AS165" s="2"/>
      </tp>
      <tp t="s">
        <v>#N/A Requesting Data...</v>
        <stp/>
        <stp>##V3_BQLV12</stp>
        <stp>[MODL_NOW_US1.xlsx]Single Period!R39C47</stp>
        <stp>NOW US Equity</stp>
        <stp>IS_BILLINGS/1M</stp>
        <stp>FPR=2021Y</stp>
        <stp>FPT=A</stp>
        <stp>FA_ACT_EST_DATA=E, EST_SOURCE=SUM</stp>
        <stp>ACT_EST_MAPPING=PRECISE</stp>
        <stp>FS=MRC</stp>
        <stp>CURRENCY=USD</stp>
        <stp>XLFILL=b</stp>
        <tr r="AU39" s="2"/>
      </tp>
      <tp t="s">
        <v>#N/A Requesting Data...</v>
        <stp/>
        <stp>##V3_BQLV12</stp>
        <stp>[MODL_NOW_US1.xlsx]Single Period!R50C6</stp>
        <stp>NOW US Equity</stp>
        <stp>CONTRIBUTOR_STATS(NUM_CSTMR_CNTRCT_OVER_1_MILLN, MIN)</stp>
        <stp>FPR=2021Y</stp>
        <stp>FPT=A</stp>
        <stp>FA_ACT_EST_DATA=E</stp>
        <stp>ACT_EST_MAPPING=PRECISE</stp>
        <stp>FS=MRC</stp>
        <stp>CURRENCY=USD</stp>
        <stp>XLFILL=b</stp>
        <tr r="F50" s="2"/>
      </tp>
      <tp t="s">
        <v>#N/A Requesting Data...</v>
        <stp/>
        <stp>##V3_BQLV12</stp>
        <stp>[MODL_NOW_US1.xlsx]Single Period!R170C14</stp>
        <stp>NOW US Equity</stp>
        <stp>BS_TOT_ASSET/1M</stp>
        <stp>FPR=2021Y</stp>
        <stp>FPT=A</stp>
        <stp>FA_ACT_EST_DATA=E, EST_SOURCE=BMO</stp>
        <stp>ACT_EST_MAPPING=PRECISE</stp>
        <stp>FS=MRC</stp>
        <stp>CURRENCY=USD</stp>
        <stp>XLFILL=b</stp>
        <tr r="N170" s="2"/>
      </tp>
      <tp t="s">
        <v>#N/A Requesting Data...</v>
        <stp/>
        <stp>##V3_BQLV12</stp>
        <stp>[MODL_NOW_US1.xlsx]Single Period!R120C13</stp>
        <stp>NOW US Equity</stp>
        <stp>IS_OPEX_R_AND_D_GAAP/1M</stp>
        <stp>FPR=2021Y</stp>
        <stp>FPT=A</stp>
        <stp>FA_ACT_EST_DATA=E, EST_SOURCE=KEY</stp>
        <stp>ACT_EST_MAPPING=PRECISE</stp>
        <stp>FS=MRC</stp>
        <stp>CURRENCY=USD</stp>
        <stp>XLFILL=b</stp>
        <tr r="M120" s="2"/>
      </tp>
      <tp t="s">
        <v>#N/A Requesting Data...</v>
        <stp/>
        <stp>##V3_BQLV12</stp>
        <stp>[MODL_NOW_US1.xlsx]Single Period!R190C23</stp>
        <stp>NOW US Equity</stp>
        <stp>DEFERRED_REV/1M</stp>
        <stp>FPR=2021Y</stp>
        <stp>FPT=A</stp>
        <stp>FA_ACT_EST_DATA=E, EST_SOURCE=ZXS</stp>
        <stp>ACT_EST_MAPPING=PRECISE</stp>
        <stp>FS=MRC</stp>
        <stp>CURRENCY=USD</stp>
        <stp>XLFILL=b</stp>
        <tr r="W190" s="2"/>
      </tp>
      <tp t="s">
        <v>#N/A Requesting Data...</v>
        <stp/>
        <stp>##V3_BQLV12</stp>
        <stp>[MODL_NOW_US1.xlsx]Single Period!R183C44</stp>
        <stp>NOW US Equity</stp>
        <stp>BS_TOTAL_LIABILITIES/1M</stp>
        <stp>FPR=2021Y</stp>
        <stp>FPT=A</stp>
        <stp>FA_ACT_EST_DATA=E, EST_SOURCE=ARE</stp>
        <stp>ACT_EST_MAPPING=PRECISE</stp>
        <stp>FS=MRC</stp>
        <stp>CURRENCY=USD</stp>
        <stp>XLFILL=b</stp>
        <tr r="AR183" s="2"/>
      </tp>
      <tp t="s">
        <v>#N/A Requesting Data...</v>
        <stp/>
        <stp>##V3_BQLV12</stp>
        <stp>[MODL_NOW_US1.xlsx]Single Period!R185C29</stp>
        <stp>NOW US Equity</stp>
        <stp>BS_TOT_ASSET/1M</stp>
        <stp>FPR=2021Y</stp>
        <stp>FPT=A</stp>
        <stp>FA_ACT_EST_DATA=E, EST_SOURCE=BNS</stp>
        <stp>ACT_EST_MAPPING=PRECISE</stp>
        <stp>FS=MRC</stp>
        <stp>CURRENCY=USD</stp>
        <stp>XLFILL=b</stp>
        <tr r="AC185" s="2"/>
      </tp>
      <tp t="s">
        <v>#N/A Requesting Data...</v>
        <stp/>
        <stp>##V3_BQLV12</stp>
        <stp>[MODL_NOW_US1.xlsx]Single Period!R183C41</stp>
        <stp>NOW US Equity</stp>
        <stp>BS_TOTAL_LIABILITIES/1M</stp>
        <stp>FPR=2021Y</stp>
        <stp>FPT=A</stp>
        <stp>FA_ACT_EST_DATA=E, EST_SOURCE=ARG</stp>
        <stp>ACT_EST_MAPPING=PRECISE</stp>
        <stp>FS=MRC</stp>
        <stp>CURRENCY=USD</stp>
        <stp>XLFILL=b</stp>
        <tr r="AO183" s="2"/>
      </tp>
      <tp t="s">
        <v>#N/A Requesting Data...</v>
        <stp/>
        <stp>##V3_BQLV12</stp>
        <stp>[MODL_NOW_US1.xlsx]Single Period!R183C48</stp>
        <stp>NOW US Equity</stp>
        <stp>BS_TOTAL_LIABILITIES/1M</stp>
        <stp>FPR=2021Y</stp>
        <stp>FPT=A</stp>
        <stp>FA_ACT_EST_DATA=E, EST_SOURCE=CRC</stp>
        <stp>ACT_EST_MAPPING=PRECISE</stp>
        <stp>FS=MRC</stp>
        <stp>CURRENCY=USD</stp>
        <stp>XLFILL=b</stp>
        <tr r="AV183" s="2"/>
      </tp>
      <tp t="s">
        <v>#N/A Requesting Data...</v>
        <stp/>
        <stp>##V3_BQLV12</stp>
        <stp>[MODL_NOW_US1.xlsx]Single Period!R170C29</stp>
        <stp>NOW US Equity</stp>
        <stp>BS_TOT_ASSET/1M</stp>
        <stp>FPR=2021Y</stp>
        <stp>FPT=A</stp>
        <stp>FA_ACT_EST_DATA=E, EST_SOURCE=BNS</stp>
        <stp>ACT_EST_MAPPING=PRECISE</stp>
        <stp>FS=MRC</stp>
        <stp>CURRENCY=USD</stp>
        <stp>XLFILL=b</stp>
        <tr r="AC170" s="2"/>
      </tp>
      <tp t="s">
        <v>#N/A Requesting Data...</v>
        <stp/>
        <stp>##V3_BQLV12</stp>
        <stp>[MODL_NOW_US1.xlsx]Single Period!R237C31</stp>
        <stp>NOW US Equity</stp>
        <stp>FCF_PER_DIL_SHR</stp>
        <stp>FPR=2021Y</stp>
        <stp>FPT=A</stp>
        <stp>FA_ACT_EST_DATA=E, EST_SOURCE=GSR</stp>
        <stp>ACT_EST_MAPPING=PRECISE</stp>
        <stp>FS=MRC</stp>
        <stp>CURRENCY=USD</stp>
        <stp>XLFILL=b</stp>
        <tr r="AE237" s="2"/>
      </tp>
      <tp t="s">
        <v>#N/A Requesting Data...</v>
        <stp/>
        <stp>##V3_BQLV12</stp>
        <stp>[MODL_NOW_US1.xlsx]Single Period!R237C35</stp>
        <stp>NOW US Equity</stp>
        <stp>FCF_PER_DIL_SHR</stp>
        <stp>FPR=2021Y</stp>
        <stp>FPT=A</stp>
        <stp>FA_ACT_EST_DATA=E, EST_SOURCE=MSR</stp>
        <stp>ACT_EST_MAPPING=PRECISE</stp>
        <stp>FS=MRC</stp>
        <stp>CURRENCY=USD</stp>
        <stp>XLFILL=b</stp>
        <tr r="AI237" s="2"/>
      </tp>
      <tp t="s">
        <v>#N/A Requesting Data...</v>
        <stp/>
        <stp>##V3_BQLV12</stp>
        <stp>[MODL_NOW_US1.xlsx]Single Period!R114C45</stp>
        <stp>SEG0000230986 Segment</stp>
        <stp>CB_IS_GROSS_MARGIN</stp>
        <stp>FPR=2021Y</stp>
        <stp>FPT=A</stp>
        <stp>FA_ACT_EST_DATA=E, EST_SOURCE=PJE</stp>
        <stp>ACT_EST_MAPPING=PRECISE</stp>
        <stp>FS=MRC</stp>
        <stp>CURRENCY=USD</stp>
        <stp>XLFILL=b</stp>
        <tr r="AS114" s="2"/>
      </tp>
      <tp t="s">
        <v>#N/A Requesting Data...</v>
        <stp/>
        <stp>##V3_BQLV12</stp>
        <stp>[MODL_NOW_US1.xlsx]Single Period!R37C34</stp>
        <stp>NOW US Equity</stp>
        <stp>BS_REMAINING_PERFORMANCE_OBLIG/1M</stp>
        <stp>FPR=2021Y</stp>
        <stp>FPT=A</stp>
        <stp>FA_ACT_EST_DATA=E, EST_SOURCE=PSG</stp>
        <stp>ACT_EST_MAPPING=PRECISE</stp>
        <stp>FS=MRC</stp>
        <stp>CURRENCY=USD</stp>
        <stp>XLFILL=b</stp>
        <tr r="AH37" s="2"/>
      </tp>
      <tp t="s">
        <v>#N/A Requesting Data...</v>
        <stp/>
        <stp>##V3_BQLV12</stp>
        <stp>[MODL_NOW_US1.xlsx]Single Period!R237C34</stp>
        <stp>NOW US Equity</stp>
        <stp>FCF_PER_DIL_SHR</stp>
        <stp>FPR=2021Y</stp>
        <stp>FPT=A</stp>
        <stp>FA_ACT_EST_DATA=E, EST_SOURCE=PSG</stp>
        <stp>ACT_EST_MAPPING=PRECISE</stp>
        <stp>FS=MRC</stp>
        <stp>CURRENCY=USD</stp>
        <stp>XLFILL=b</stp>
        <tr r="AH237" s="2"/>
      </tp>
      <tp t="s">
        <v>#N/A Requesting Data...</v>
        <stp/>
        <stp>##V3_BQLV12</stp>
        <stp>[MODL_NOW_US1.xlsx]Single Period!R4C13</stp>
        <stp>NOW US Equity</stp>
        <stp>LAST(IS_COMP_SALES(FA_ACT_EST_DATA=E, EST_SOURCE=KEY).analyst_name)</stp>
        <stp>FPR=2021Y</stp>
        <stp>FPT=A</stp>
        <stp>ACT_EST_MAPPING=PRECISE</stp>
        <stp>FS=MRC</stp>
        <stp>CURRENCY=USD</stp>
        <stp>XLFILL=b</stp>
        <tr r="M4" s="2"/>
      </tp>
      <tp t="s">
        <v>#N/A Requesting Data...</v>
        <stp/>
        <stp>##V3_BQLV12</stp>
        <stp>[MODL_NOW_US1.xlsx]Single Period!R32C28</stp>
        <stp>NOW US Equity</stp>
        <stp>BS_REMAINING_PERFORMANCE_OBLIG/1M</stp>
        <stp>FPR=2021Y</stp>
        <stp>FPT=A</stp>
        <stp>FA_ACT_EST_DATA=E, EST_SOURCE=EVR</stp>
        <stp>ACT_EST_MAPPING=PRECISE</stp>
        <stp>FS=MRC</stp>
        <stp>CURRENCY=USD</stp>
        <stp>XLFILL=b</stp>
        <tr r="AB32" s="2"/>
      </tp>
      <tp t="s">
        <v>#N/A Requesting Data...</v>
        <stp/>
        <stp>##V3_BQLV12</stp>
        <stp>[MODL_NOW_US1.xlsx]Single Period!R37C35</stp>
        <stp>NOW US Equity</stp>
        <stp>BS_REMAINING_PERFORMANCE_OBLIG/1M</stp>
        <stp>FPR=2021Y</stp>
        <stp>FPT=A</stp>
        <stp>FA_ACT_EST_DATA=E, EST_SOURCE=MSR</stp>
        <stp>ACT_EST_MAPPING=PRECISE</stp>
        <stp>FS=MRC</stp>
        <stp>CURRENCY=USD</stp>
        <stp>XLFILL=b</stp>
        <tr r="AI37" s="2"/>
      </tp>
      <tp t="s">
        <v>#N/A Requesting Data...</v>
        <stp/>
        <stp>##V3_BQLV12</stp>
        <stp>[MODL_NOW_US1.xlsx]Single Period!R37C31</stp>
        <stp>NOW US Equity</stp>
        <stp>BS_REMAINING_PERFORMANCE_OBLIG/1M</stp>
        <stp>FPR=2021Y</stp>
        <stp>FPT=A</stp>
        <stp>FA_ACT_EST_DATA=E, EST_SOURCE=GSR</stp>
        <stp>ACT_EST_MAPPING=PRECISE</stp>
        <stp>FS=MRC</stp>
        <stp>CURRENCY=USD</stp>
        <stp>XLFILL=b</stp>
        <tr r="AE37" s="2"/>
      </tp>
      <tp t="s">
        <v>#N/A Requesting Data...</v>
        <stp/>
        <stp>##V3_BQLV12</stp>
        <stp>[MODL_NOW_US1.xlsx]Single Period!R237C42</stp>
        <stp>NOW US Equity</stp>
        <stp>FCF_PER_DIL_SHR</stp>
        <stp>FPR=2021Y</stp>
        <stp>FPT=A</stp>
        <stp>FA_ACT_EST_DATA=E, EST_SOURCE=CTI</stp>
        <stp>ACT_EST_MAPPING=PRECISE</stp>
        <stp>FS=MRC</stp>
        <stp>CURRENCY=USD</stp>
        <stp>XLFILL=b</stp>
        <tr r="AP237" s="2"/>
      </tp>
      <tp t="s">
        <v>#N/A Requesting Data...</v>
        <stp/>
        <stp>##V3_BQLV12</stp>
        <stp>[MODL_NOW_US1.xlsx]Single Period!R132C17</stp>
        <stp>NOW US Equity</stp>
        <stp>CONT_INC_PER_SH</stp>
        <stp>FPR=2021Y</stp>
        <stp>FPT=A</stp>
        <stp>FA_ACT_EST_DATA=E, EST_SOURCE=RHR</stp>
        <stp>ACT_EST_MAPPING=PRECISE</stp>
        <stp>FS=MRC</stp>
        <stp>CURRENCY=USD</stp>
        <stp>XLFILL=b</stp>
        <tr r="Q132" s="2"/>
      </tp>
      <tp t="s">
        <v>#N/A Requesting Data...</v>
        <stp/>
        <stp>##V3_BQLV12</stp>
        <stp>[MODL_NOW_US1.xlsx]Single Period!R37C19</stp>
        <stp>NOW US Equity</stp>
        <stp>BS_REMAINING_PERFORMANCE_OBLIG/1M</stp>
        <stp>FPR=2021Y</stp>
        <stp>FPT=A</stp>
        <stp>FA_ACT_EST_DATA=E, EST_SOURCE=MSV</stp>
        <stp>ACT_EST_MAPPING=PRECISE</stp>
        <stp>FS=MRC</stp>
        <stp>CURRENCY=USD</stp>
        <stp>XLFILL=b</stp>
        <tr r="S37" s="2"/>
      </tp>
      <tp t="s">
        <v>#N/A Requesting Data...</v>
        <stp/>
        <stp>##V3_BQLV12</stp>
        <stp>[MODL_NOW_US1.xlsx]Single Period!R102C8</stp>
        <stp>NOW US Equity</stp>
        <stp>CONTRIBUTOR_STATS(IS_COMP_PTP_EX_STK_BASED_COMP, STD)/1M</stp>
        <stp>FPR=2021Y</stp>
        <stp>FPT=A</stp>
        <stp>FA_ACT_EST_DATA=E</stp>
        <stp>ACT_EST_MAPPING=PRECISE</stp>
        <stp>FS=MRC</stp>
        <stp>CURRENCY=USD</stp>
        <stp>XLFILL=b</stp>
        <tr r="H102" s="2"/>
      </tp>
      <tp t="s">
        <v>#N/A Requesting Data...</v>
        <stp/>
        <stp>##V3_BQLV12</stp>
        <stp>[MODL_NOW_US1.xlsx]Single Period!R91C9</stp>
        <stp>NOW US Equity</stp>
        <stp>CONTRIBUTOR_STATS(ADJ_R_AND_D_TO_SALES, MEDIAN)</stp>
        <stp>FPR=2021Y</stp>
        <stp>FPT=A</stp>
        <stp>FA_ACT_EST_DATA=E</stp>
        <stp>ACT_EST_MAPPING=PRECISE</stp>
        <stp>FS=MRC</stp>
        <stp>CURRENCY=USD</stp>
        <stp>XLFILL=b</stp>
        <tr r="I91" s="2"/>
      </tp>
      <tp t="s">
        <v>#N/A Requesting Data...</v>
        <stp/>
        <stp>##V3_BQLV12</stp>
        <stp>[MODL_NOW_US1.xlsx]Single Period!R93C39</stp>
        <stp>NOW US Equity</stp>
        <stp>G_AND_A_COST_PCT_REVENUES</stp>
        <stp>FPR=2021Y</stp>
        <stp>FPT=A</stp>
        <stp>FA_ACT_EST_DATA=E, EST_SOURCE=DZB</stp>
        <stp>ACT_EST_MAPPING=PRECISE</stp>
        <stp>FS=MRC</stp>
        <stp>CURRENCY=USD</stp>
        <stp>XLFILL=b</stp>
        <tr r="AM93" s="2"/>
      </tp>
      <tp t="s">
        <v>#N/A Requesting Data...</v>
        <stp/>
        <stp>##V3_BQLV12</stp>
        <stp>[MODL_NOW_US1.xlsx]Single Period!R39C37</stp>
        <stp>NOW US Equity</stp>
        <stp>IS_BILLINGS/1M</stp>
        <stp>FPR=2021Y</stp>
        <stp>FPT=A</stp>
        <stp>FA_ACT_EST_DATA=E, EST_SOURCE=TTC</stp>
        <stp>ACT_EST_MAPPING=PRECISE</stp>
        <stp>FS=MRC</stp>
        <stp>CURRENCY=USD</stp>
        <stp>XLFILL=b</stp>
        <tr r="AK39" s="2"/>
      </tp>
      <tp t="s">
        <v>#N/A Requesting Data...</v>
        <stp/>
        <stp>##V3_BQLV12</stp>
        <stp>[MODL_NOW_US1.xlsx]Single Period!R147C25</stp>
        <stp>NOW US Equity</stp>
        <stp>IS_AMORT_OF_TOT_INTANG_PRETX/1M</stp>
        <stp>FPR=2021Y</stp>
        <stp>FPT=A</stp>
        <stp>FA_ACT_EST_DATA=E, EST_SOURCE=DBG</stp>
        <stp>ACT_EST_MAPPING=PRECISE</stp>
        <stp>FS=MRC</stp>
        <stp>CURRENCY=USD</stp>
        <stp>XLFILL=b</stp>
        <tr r="Y147" s="2"/>
      </tp>
      <tp t="s">
        <v>#N/A Requesting Data...</v>
        <stp/>
        <stp>##V3_BQLV12</stp>
        <stp>[MODL_NOW_US1.xlsx]Single Period!R222C13</stp>
        <stp>NOW US Equity</stp>
        <stp>CF_CASH_FROM_INV_ACT/1M</stp>
        <stp>FPR=2021Y</stp>
        <stp>FPT=A</stp>
        <stp>FA_ACT_EST_DATA=E, EST_SOURCE=KEY</stp>
        <stp>ACT_EST_MAPPING=PRECISE</stp>
        <stp>FS=MRC</stp>
        <stp>CURRENCY=USD</stp>
        <stp>XLFILL=b</stp>
        <tr r="M222" s="2"/>
      </tp>
      <tp t="s">
        <v>#N/A Requesting Data...</v>
        <stp/>
        <stp>##V3_BQLV12</stp>
        <stp>[MODL_NOW_US1.xlsx]Single Period!R147C27</stp>
        <stp>NOW US Equity</stp>
        <stp>IS_AMORT_OF_TOT_INTANG_PRETX/1M</stp>
        <stp>FPR=2021Y</stp>
        <stp>FPT=A</stp>
        <stp>FA_ACT_EST_DATA=E, EST_SOURCE=RBC</stp>
        <stp>ACT_EST_MAPPING=PRECISE</stp>
        <stp>FS=MRC</stp>
        <stp>CURRENCY=USD</stp>
        <stp>XLFILL=b</stp>
        <tr r="AA147" s="2"/>
      </tp>
      <tp t="s">
        <v>#N/A Requesting Data...</v>
        <stp/>
        <stp>##V3_BQLV12</stp>
        <stp>[MODL_NOW_US1.xlsx]Single Period!R117C8</stp>
        <stp>NOW US Equity</stp>
        <stp>CONTRIBUTOR_STATS(IS_TOT_OPER_EXP, STD)/1M</stp>
        <stp>FPR=2021Y</stp>
        <stp>FPT=A</stp>
        <stp>FA_ACT_EST_DATA=E</stp>
        <stp>ACT_EST_MAPPING=PRECISE</stp>
        <stp>FS=MRC</stp>
        <stp>CURRENCY=USD</stp>
        <stp>XLFILL=b</stp>
        <tr r="H117" s="2"/>
      </tp>
      <tp t="s">
        <v>#N/A Requesting Data...</v>
        <stp/>
        <stp>##V3_BQLV12</stp>
        <stp>[MODL_NOW_US1.xlsx]Single Period!R43C7</stp>
        <stp>SEG0000230975 Segment</stp>
        <stp>CONTRIBUTOR_STATS(CB_ADJ_BILLINGS_AMT, MAX)/1M</stp>
        <stp>FPR=2021Y</stp>
        <stp>FPT=A</stp>
        <stp>FA_ACT_EST_DATA=E</stp>
        <stp>ACT_EST_MAPPING=PRECISE</stp>
        <stp>FS=MRC</stp>
        <stp>CURRENCY=USD</stp>
        <stp>XLFILL=b</stp>
        <tr r="G43" s="2"/>
      </tp>
      <tp t="s">
        <v>#N/A Requesting Data...</v>
        <stp/>
        <stp>##V3_BQLV12</stp>
        <stp>[MODL_NOW_US1.xlsx]Single Period!R43C6</stp>
        <stp>SEG0000230975 Segment</stp>
        <stp>CONTRIBUTOR_STATS(CB_ADJ_BILLINGS_AMT, MIN)/1M</stp>
        <stp>FPR=2021Y</stp>
        <stp>FPT=A</stp>
        <stp>FA_ACT_EST_DATA=E</stp>
        <stp>ACT_EST_MAPPING=PRECISE</stp>
        <stp>FS=MRC</stp>
        <stp>CURRENCY=USD</stp>
        <stp>XLFILL=b</stp>
        <tr r="F43" s="2"/>
      </tp>
      <tp t="s">
        <v>#N/A Requesting Data...</v>
        <stp/>
        <stp>##V3_BQLV12</stp>
        <stp>[MODL_NOW_US1.xlsx]Single Period!R39C42</stp>
        <stp>NOW US Equity</stp>
        <stp>IS_BILLINGS/1M</stp>
        <stp>FPR=2021Y</stp>
        <stp>FPT=A</stp>
        <stp>FA_ACT_EST_DATA=E, EST_SOURCE=CTI</stp>
        <stp>ACT_EST_MAPPING=PRECISE</stp>
        <stp>FS=MRC</stp>
        <stp>CURRENCY=USD</stp>
        <stp>XLFILL=b</stp>
        <tr r="AP39" s="2"/>
      </tp>
      <tp t="s">
        <v>#N/A Requesting Data...</v>
        <stp/>
        <stp>##V3_BQLV12</stp>
        <stp>[MODL_NOW_US1.xlsx]Single Period!R115C39</stp>
        <stp>NOW US Equity</stp>
        <stp>GROSS_PROFIT/1M</stp>
        <stp>FPR=2021Y</stp>
        <stp>FPT=A</stp>
        <stp>FA_ACT_EST_DATA=E, EST_SOURCE=DZB</stp>
        <stp>ACT_EST_MAPPING=PRECISE</stp>
        <stp>FS=MRC</stp>
        <stp>CURRENCY=USD</stp>
        <stp>XLFILL=b</stp>
        <tr r="AM115" s="2"/>
      </tp>
      <tp t="s">
        <v>#N/A Requesting Data...</v>
        <stp/>
        <stp>##V3_BQLV12</stp>
        <stp>[MODL_NOW_US1.xlsx]Single Period!R93C46</stp>
        <stp>NOW US Equity</stp>
        <stp>G_AND_A_COST_PCT_REVENUES</stp>
        <stp>FPR=2021Y</stp>
        <stp>FPT=A</stp>
        <stp>FA_ACT_EST_DATA=E, EST_SOURCE=MZS</stp>
        <stp>ACT_EST_MAPPING=PRECISE</stp>
        <stp>FS=MRC</stp>
        <stp>CURRENCY=USD</stp>
        <stp>XLFILL=b</stp>
        <tr r="AT93" s="2"/>
      </tp>
      <tp t="s">
        <v>#N/A Requesting Data...</v>
        <stp/>
        <stp>##V3_BQLV12</stp>
        <stp>[MODL_NOW_US1.xlsx]Single Period!R147C26</stp>
        <stp>NOW US Equity</stp>
        <stp>IS_AMORT_OF_TOT_INTANG_PRETX/1M</stp>
        <stp>FPR=2021Y</stp>
        <stp>FPT=A</stp>
        <stp>FA_ACT_EST_DATA=E, EST_SOURCE=UBS</stp>
        <stp>ACT_EST_MAPPING=PRECISE</stp>
        <stp>FS=MRC</stp>
        <stp>CURRENCY=USD</stp>
        <stp>XLFILL=b</stp>
        <tr r="Z147" s="2"/>
      </tp>
      <tp t="s">
        <v>#N/A Requesting Data...</v>
        <stp/>
        <stp>##V3_BQLV12</stp>
        <stp>[MODL_NOW_US1.xlsx]Single Period!R165C21</stp>
        <stp>NOW US Equity</stp>
        <stp>BS_OPER_LEA_RT_OF_USE_ASSETS/1M</stp>
        <stp>FPR=2021Y</stp>
        <stp>FPT=A</stp>
        <stp>FA_ACT_EST_DATA=E, EST_SOURCE=JMP</stp>
        <stp>ACT_EST_MAPPING=PRECISE</stp>
        <stp>FS=MRC</stp>
        <stp>CURRENCY=USD</stp>
        <stp>XLFILL=b</stp>
        <tr r="U165" s="2"/>
      </tp>
      <tp t="s">
        <v>#N/A Requesting Data...</v>
        <stp/>
        <stp>##V3_BQLV12</stp>
        <stp>[MODL_NOW_US1.xlsx]Single Period!R43C8</stp>
        <stp>SEG0000230975 Segment</stp>
        <stp>CONTRIBUTOR_STATS(CB_ADJ_BILLINGS_AMT, STD)/1M</stp>
        <stp>FPR=2021Y</stp>
        <stp>FPT=A</stp>
        <stp>FA_ACT_EST_DATA=E</stp>
        <stp>ACT_EST_MAPPING=PRECISE</stp>
        <stp>FS=MRC</stp>
        <stp>CURRENCY=USD</stp>
        <stp>XLFILL=b</stp>
        <tr r="H43" s="2"/>
      </tp>
      <tp t="s">
        <v>#N/A Requesting Data...</v>
        <stp/>
        <stp>##V3_BQLV12</stp>
        <stp>[MODL_NOW_US1.xlsx]Single Period!R183C37</stp>
        <stp>NOW US Equity</stp>
        <stp>BS_TOTAL_LIABILITIES/1M</stp>
        <stp>FPR=2021Y</stp>
        <stp>FPT=A</stp>
        <stp>FA_ACT_EST_DATA=E, EST_SOURCE=TTC</stp>
        <stp>ACT_EST_MAPPING=PRECISE</stp>
        <stp>FS=MRC</stp>
        <stp>CURRENCY=USD</stp>
        <stp>XLFILL=b</stp>
        <tr r="AK183" s="2"/>
      </tp>
      <tp t="s">
        <v>#N/A Requesting Data...</v>
        <stp/>
        <stp>##V3_BQLV12</stp>
        <stp>[MODL_NOW_US1.xlsx]Single Period!R117C7</stp>
        <stp>NOW US Equity</stp>
        <stp>CONTRIBUTOR_STATS(IS_TOT_OPER_EXP, MAX)/1M</stp>
        <stp>FPR=2021Y</stp>
        <stp>FPT=A</stp>
        <stp>FA_ACT_EST_DATA=E</stp>
        <stp>ACT_EST_MAPPING=PRECISE</stp>
        <stp>FS=MRC</stp>
        <stp>CURRENCY=USD</stp>
        <stp>XLFILL=b</stp>
        <tr r="G117" s="2"/>
      </tp>
      <tp t="s">
        <v>#N/A Requesting Data...</v>
        <stp/>
        <stp>##V3_BQLV12</stp>
        <stp>[MODL_NOW_US1.xlsx]Single Period!R117C6</stp>
        <stp>NOW US Equity</stp>
        <stp>CONTRIBUTOR_STATS(IS_TOT_OPER_EXP, MIN)/1M</stp>
        <stp>FPR=2021Y</stp>
        <stp>FPT=A</stp>
        <stp>FA_ACT_EST_DATA=E</stp>
        <stp>ACT_EST_MAPPING=PRECISE</stp>
        <stp>FS=MRC</stp>
        <stp>CURRENCY=USD</stp>
        <stp>XLFILL=b</stp>
        <tr r="F117" s="2"/>
      </tp>
      <tp t="s">
        <v>#N/A Requesting Data...</v>
        <stp/>
        <stp>##V3_BQLV12</stp>
        <stp>[MODL_NOW_US1.xlsx]Single Period!R165C18</stp>
        <stp>NOW US Equity</stp>
        <stp>BS_OPER_LEA_RT_OF_USE_ASSETS/1M</stp>
        <stp>FPR=2021Y</stp>
        <stp>FPT=A</stp>
        <stp>FA_ACT_EST_DATA=E, EST_SOURCE=SNR</stp>
        <stp>ACT_EST_MAPPING=PRECISE</stp>
        <stp>FS=MRC</stp>
        <stp>CURRENCY=USD</stp>
        <stp>XLFILL=b</stp>
        <tr r="R165" s="2"/>
      </tp>
      <tp t="s">
        <v>#N/A Requesting Data...</v>
        <stp/>
        <stp>##V3_BQLV12</stp>
        <stp>[MODL_NOW_US1.xlsx]Single Period!R118C28</stp>
        <stp>NOW US Equity</stp>
        <stp>OPERATING_EXPENSES_TO_NET_SALES</stp>
        <stp>FPR=2021Y</stp>
        <stp>FPT=A</stp>
        <stp>FA_ACT_EST_DATA=E, EST_SOURCE=EVR</stp>
        <stp>ACT_EST_MAPPING=PRECISE</stp>
        <stp>FS=MRC</stp>
        <stp>CURRENCY=USD</stp>
        <stp>XLFILL=b</stp>
        <tr r="AB118" s="2"/>
      </tp>
      <tp t="s">
        <v>#N/A Requesting Data...</v>
        <stp/>
        <stp>##V3_BQLV12</stp>
        <stp>[MODL_NOW_US1.xlsx]Single Period!R4C40</stp>
        <stp>NOW US Equity</stp>
        <stp>LAST(IS_COMP_SALES(FA_ACT_EST_DATA=E, EST_SOURCE=DWI).analyst_name)</stp>
        <stp>FPR=2021Y</stp>
        <stp>FPT=A</stp>
        <stp>ACT_EST_MAPPING=PRECISE</stp>
        <stp>FS=MRC</stp>
        <stp>CURRENCY=USD</stp>
        <stp>XLFILL=b</stp>
        <tr r="AN4" s="2"/>
      </tp>
      <tp t="s">
        <v>#N/A Requesting Data...</v>
        <stp/>
        <stp>##V3_BQLV12</stp>
        <stp>[MODL_NOW_US1.xlsx]Single Period!R114C36</stp>
        <stp>SEG0000230986 Segment</stp>
        <stp>CB_IS_GROSS_MARGIN</stp>
        <stp>FPR=2021Y</stp>
        <stp>FPT=A</stp>
        <stp>FA_ACT_EST_DATA=E, EST_SOURCE=JEF</stp>
        <stp>ACT_EST_MAPPING=PRECISE</stp>
        <stp>FS=MRC</stp>
        <stp>CURRENCY=USD</stp>
        <stp>XLFILL=b</stp>
        <tr r="AJ114" s="2"/>
      </tp>
      <tp t="s">
        <v>#N/A Requesting Data...</v>
        <stp/>
        <stp>##V3_BQLV12</stp>
        <stp>[MODL_NOW_US1.xlsx]Single Period!R132C22</stp>
        <stp>NOW US Equity</stp>
        <stp>CONT_INC_PER_SH</stp>
        <stp>FPR=2021Y</stp>
        <stp>FPT=A</stp>
        <stp>FA_ACT_EST_DATA=E, EST_SOURCE=NDH</stp>
        <stp>ACT_EST_MAPPING=PRECISE</stp>
        <stp>FS=MRC</stp>
        <stp>CURRENCY=USD</stp>
        <stp>XLFILL=b</stp>
        <tr r="V132" s="2"/>
      </tp>
      <tp t="s">
        <v>#N/A Requesting Data...</v>
        <stp/>
        <stp>##V3_BQLV12</stp>
        <stp>[MODL_NOW_US1.xlsx]Single Period!R4C39</stp>
        <stp>NOW US Equity</stp>
        <stp>LAST(IS_COMP_SALES(FA_ACT_EST_DATA=E, EST_SOURCE=DZB).analyst_name)</stp>
        <stp>FPR=2021Y</stp>
        <stp>FPT=A</stp>
        <stp>ACT_EST_MAPPING=PRECISE</stp>
        <stp>FS=MRC</stp>
        <stp>CURRENCY=USD</stp>
        <stp>XLFILL=b</stp>
        <tr r="AM4" s="2"/>
      </tp>
      <tp t="s">
        <v>#N/A Requesting Data...</v>
        <stp/>
        <stp>##V3_BQLV12</stp>
        <stp>[MODL_NOW_US1.xlsx]Single Period!R132C36</stp>
        <stp>NOW US Equity</stp>
        <stp>CONT_INC_PER_SH</stp>
        <stp>FPR=2021Y</stp>
        <stp>FPT=A</stp>
        <stp>FA_ACT_EST_DATA=E, EST_SOURCE=JEF</stp>
        <stp>ACT_EST_MAPPING=PRECISE</stp>
        <stp>FS=MRC</stp>
        <stp>CURRENCY=USD</stp>
        <stp>XLFILL=b</stp>
        <tr r="AJ132" s="2"/>
      </tp>
      <tp t="s">
        <v>#N/A Requesting Data...</v>
        <stp/>
        <stp>##V3_BQLV12</stp>
        <stp>[MODL_NOW_US1.xlsx]Single Period!R118C38</stp>
        <stp>NOW US Equity</stp>
        <stp>OPERATING_EXPENSES_TO_NET_SALES</stp>
        <stp>FPR=2021Y</stp>
        <stp>FPT=A</stp>
        <stp>FA_ACT_EST_DATA=E, EST_SOURCE=RWB</stp>
        <stp>ACT_EST_MAPPING=PRECISE</stp>
        <stp>FS=MRC</stp>
        <stp>CURRENCY=USD</stp>
        <stp>XLFILL=b</stp>
        <tr r="AL118" s="2"/>
      </tp>
      <tp t="s">
        <v>#N/A Requesting Data...</v>
        <stp/>
        <stp>##V3_BQLV12</stp>
        <stp>[MODL_NOW_US1.xlsx]Single Period!R51C43</stp>
        <stp>NOW US Equity</stp>
        <stp>ACCOUNTS_PAYABLE_TURNOVER_DAYS</stp>
        <stp>FPR=2021Y</stp>
        <stp>FPT=A</stp>
        <stp>FA_ACT_EST_DATA=E, EST_SOURCE=WFT</stp>
        <stp>ACT_EST_MAPPING=PRECISE</stp>
        <stp>FS=MRC</stp>
        <stp>CURRENCY=USD</stp>
        <stp>XLFILL=b</stp>
        <tr r="AQ51" s="2"/>
      </tp>
      <tp t="s">
        <v>#N/A Requesting Data...</v>
        <stp/>
        <stp>##V3_BQLV12</stp>
        <stp>[MODL_NOW_US1.xlsx]Single Period!R4C25</stp>
        <stp>NOW US Equity</stp>
        <stp>LAST(IS_COMP_SALES(FA_ACT_EST_DATA=E, EST_SOURCE=DBG).analyst_name)</stp>
        <stp>FPR=2021Y</stp>
        <stp>FPT=A</stp>
        <stp>ACT_EST_MAPPING=PRECISE</stp>
        <stp>FS=MRC</stp>
        <stp>CURRENCY=USD</stp>
        <stp>XLFILL=b</stp>
        <tr r="Y4" s="2"/>
      </tp>
      <tp t="s">
        <v>#N/A Requesting Data...</v>
        <stp/>
        <stp>##V3_BQLV12</stp>
        <stp>[MODL_NOW_US1.xlsx]Single Period!R114C13</stp>
        <stp>SEG0000230986 Segment</stp>
        <stp>CB_IS_GROSS_MARGIN</stp>
        <stp>FPR=2021Y</stp>
        <stp>FPT=A</stp>
        <stp>FA_ACT_EST_DATA=E, EST_SOURCE=KEY</stp>
        <stp>ACT_EST_MAPPING=PRECISE</stp>
        <stp>FS=MRC</stp>
        <stp>CURRENCY=USD</stp>
        <stp>XLFILL=b</stp>
        <tr r="M114" s="2"/>
      </tp>
      <tp t="s">
        <v>#N/A Requesting Data...</v>
        <stp/>
        <stp>##V3_BQLV12</stp>
        <stp>[MODL_NOW_US1.xlsx]Single Period!R221C8</stp>
        <stp>NOW US Equity</stp>
        <stp>CONTRIBUTOR_STATS(CB_CF_OTHER_INVESTING_ACTIVITIES, STD)/1M</stp>
        <stp>FPR=2021Y</stp>
        <stp>FPT=A</stp>
        <stp>FA_ACT_EST_DATA=E</stp>
        <stp>ACT_EST_MAPPING=PRECISE</stp>
        <stp>FS=MRC</stp>
        <stp>CURRENCY=USD</stp>
        <stp>XLFILL=b</stp>
        <tr r="H221" s="2"/>
      </tp>
      <tp t="s">
        <v>#N/A Requesting Data...</v>
        <stp/>
        <stp>##V3_BQLV12</stp>
        <stp>[MODL_NOW_US1.xlsx]Single Period!R144C6</stp>
        <stp>NOW US Equity</stp>
        <stp>CONTRIBUTOR_STATS(IS_SBC_ATT_TO_GENL_AND_ADMIN_PRETX, MIN)/1M</stp>
        <stp>FPR=2021Y</stp>
        <stp>FPT=A</stp>
        <stp>FA_ACT_EST_DATA=E</stp>
        <stp>ACT_EST_MAPPING=PRECISE</stp>
        <stp>FS=MRC</stp>
        <stp>CURRENCY=USD</stp>
        <stp>XLFILL=b</stp>
        <tr r="F144" s="2"/>
      </tp>
      <tp t="s">
        <v>#N/A Requesting Data...</v>
        <stp/>
        <stp>##V3_BQLV12</stp>
        <stp>[MODL_NOW_US1.xlsx]Single Period!R144C7</stp>
        <stp>NOW US Equity</stp>
        <stp>CONTRIBUTOR_STATS(IS_SBC_ATT_TO_GENL_AND_ADMIN_PRETX, MAX)/1M</stp>
        <stp>FPR=2021Y</stp>
        <stp>FPT=A</stp>
        <stp>FA_ACT_EST_DATA=E</stp>
        <stp>ACT_EST_MAPPING=PRECISE</stp>
        <stp>FS=MRC</stp>
        <stp>CURRENCY=USD</stp>
        <stp>XLFILL=b</stp>
        <tr r="G144" s="2"/>
      </tp>
      <tp t="s">
        <v>#N/A Requesting Data...</v>
        <stp/>
        <stp>##V3_BQLV12</stp>
        <stp>[MODL_NOW_US1.xlsx]Single Period!R144C8</stp>
        <stp>NOW US Equity</stp>
        <stp>CONTRIBUTOR_STATS(IS_SBC_ATT_TO_GENL_AND_ADMIN_PRETX, STD)/1M</stp>
        <stp>FPR=2021Y</stp>
        <stp>FPT=A</stp>
        <stp>FA_ACT_EST_DATA=E</stp>
        <stp>ACT_EST_MAPPING=PRECISE</stp>
        <stp>FS=MRC</stp>
        <stp>CURRENCY=USD</stp>
        <stp>XLFILL=b</stp>
        <tr r="H144" s="2"/>
      </tp>
      <tp t="s">
        <v>#N/A Requesting Data...</v>
        <stp/>
        <stp>##V3_BQLV12</stp>
        <stp>[MODL_NOW_US1.xlsx]Single Period!R66C9</stp>
        <stp>SEG0000230986 Segment</stp>
        <stp>CONTRIBUTOR_STATS(SALES_REV_TURN, MEDIAN)/1M</stp>
        <stp>FPR=2021Y</stp>
        <stp>FPT=A</stp>
        <stp>FA_ACT_EST_DATA=E</stp>
        <stp>ACT_EST_MAPPING=PRECISE</stp>
        <stp>FS=MRC</stp>
        <stp>CURRENCY=USD</stp>
        <stp>XLFILL=b</stp>
        <tr r="I66" s="2"/>
      </tp>
      <tp t="s">
        <v>#N/A Requesting Data...</v>
        <stp/>
        <stp>##V3_BQLV12</stp>
        <stp>[MODL_NOW_US1.xlsx]Single Period!R75C9</stp>
        <stp>SEG0000230992 Segment</stp>
        <stp>CONTRIBUTOR_STATS(SALES_REV_TURN, MEDIAN)/1M</stp>
        <stp>FPR=2021Y</stp>
        <stp>FPT=A</stp>
        <stp>FA_ACT_EST_DATA=E</stp>
        <stp>ACT_EST_MAPPING=PRECISE</stp>
        <stp>FS=MRC</stp>
        <stp>CURRENCY=USD</stp>
        <stp>XLFILL=b</stp>
        <tr r="I75" s="2"/>
      </tp>
      <tp t="s">
        <v>#N/A Requesting Data...</v>
        <stp/>
        <stp>##V3_BQLV12</stp>
        <stp>[MODL_NOW_US1.xlsx]Single Period!R20C9</stp>
        <stp>SEG0000230986 Segment</stp>
        <stp>CONTRIBUTOR_STATS(SALES_REV_TURN, MEDIAN)/1M</stp>
        <stp>FPR=2021Y</stp>
        <stp>FPT=A</stp>
        <stp>FA_ACT_EST_DATA=E</stp>
        <stp>ACT_EST_MAPPING=PRECISE</stp>
        <stp>FS=MRC</stp>
        <stp>CURRENCY=USD</stp>
        <stp>XLFILL=b</stp>
        <tr r="I20" s="2"/>
      </tp>
      <tp t="s">
        <v>#N/A Requesting Data...</v>
        <stp/>
        <stp>##V3_BQLV12</stp>
        <stp>[MODL_NOW_US1.xlsx]Single Period!R221C7</stp>
        <stp>NOW US Equity</stp>
        <stp>CONTRIBUTOR_STATS(CB_CF_OTHER_INVESTING_ACTIVITIES, MAX)/1M</stp>
        <stp>FPR=2021Y</stp>
        <stp>FPT=A</stp>
        <stp>FA_ACT_EST_DATA=E</stp>
        <stp>ACT_EST_MAPPING=PRECISE</stp>
        <stp>FS=MRC</stp>
        <stp>CURRENCY=USD</stp>
        <stp>XLFILL=b</stp>
        <tr r="G221" s="2"/>
      </tp>
      <tp t="s">
        <v>#N/A Requesting Data...</v>
        <stp/>
        <stp>##V3_BQLV12</stp>
        <stp>[MODL_NOW_US1.xlsx]Single Period!R15C9</stp>
        <stp>SEG0000230992 Segment</stp>
        <stp>CONTRIBUTOR_STATS(SALES_REV_TURN, MEDIAN)/1M</stp>
        <stp>FPR=2021Y</stp>
        <stp>FPT=A</stp>
        <stp>FA_ACT_EST_DATA=E</stp>
        <stp>ACT_EST_MAPPING=PRECISE</stp>
        <stp>FS=MRC</stp>
        <stp>CURRENCY=USD</stp>
        <stp>XLFILL=b</stp>
        <tr r="I15" s="2"/>
      </tp>
      <tp t="s">
        <v>#N/A Requesting Data...</v>
        <stp/>
        <stp>##V3_BQLV12</stp>
        <stp>[MODL_NOW_US1.xlsx]Single Period!R221C6</stp>
        <stp>NOW US Equity</stp>
        <stp>CONTRIBUTOR_STATS(CB_CF_OTHER_INVESTING_ACTIVITIES, MIN)/1M</stp>
        <stp>FPR=2021Y</stp>
        <stp>FPT=A</stp>
        <stp>FA_ACT_EST_DATA=E</stp>
        <stp>ACT_EST_MAPPING=PRECISE</stp>
        <stp>FS=MRC</stp>
        <stp>CURRENCY=USD</stp>
        <stp>XLFILL=b</stp>
        <tr r="F221" s="2"/>
      </tp>
      <tp t="s">
        <v>#N/A Requesting Data...</v>
        <stp/>
        <stp>##V3_BQLV12</stp>
        <stp>[MODL_NOW_US1.xlsx]Single Period!R16C9</stp>
        <stp>SEG0000230969 Segment</stp>
        <stp>CONTRIBUTOR_STATS(SALES_REV_TURN, MEDIAN)/1M</stp>
        <stp>FPR=2021Y</stp>
        <stp>FPT=A</stp>
        <stp>FA_ACT_EST_DATA=E</stp>
        <stp>ACT_EST_MAPPING=PRECISE</stp>
        <stp>FS=MRC</stp>
        <stp>CURRENCY=USD</stp>
        <stp>XLFILL=b</stp>
        <tr r="I16" s="2"/>
      </tp>
      <tp t="s">
        <v>#N/A Requesting Data...</v>
        <stp/>
        <stp>##V3_BQLV12</stp>
        <stp>[MODL_NOW_US1.xlsx]Single Period!R102C7</stp>
        <stp>NOW US Equity</stp>
        <stp>CONTRIBUTOR_STATS(IS_COMP_PTP_EX_STK_BASED_COMP, MAX)/1M</stp>
        <stp>FPR=2021Y</stp>
        <stp>FPT=A</stp>
        <stp>FA_ACT_EST_DATA=E</stp>
        <stp>ACT_EST_MAPPING=PRECISE</stp>
        <stp>FS=MRC</stp>
        <stp>CURRENCY=USD</stp>
        <stp>XLFILL=b</stp>
        <tr r="G102" s="2"/>
      </tp>
      <tp t="s">
        <v>#N/A Requesting Data...</v>
        <stp/>
        <stp>##V3_BQLV12</stp>
        <stp>[MODL_NOW_US1.xlsx]Single Period!R14C9</stp>
        <stp>SEG0000230975 Segment</stp>
        <stp>CONTRIBUTOR_STATS(SALES_REV_TURN, MEDIAN)/1M</stp>
        <stp>FPR=2021Y</stp>
        <stp>FPT=A</stp>
        <stp>FA_ACT_EST_DATA=E</stp>
        <stp>ACT_EST_MAPPING=PRECISE</stp>
        <stp>FS=MRC</stp>
        <stp>CURRENCY=USD</stp>
        <stp>XLFILL=b</stp>
        <tr r="I14" s="2"/>
      </tp>
      <tp t="s">
        <v>#N/A Requesting Data...</v>
        <stp/>
        <stp>##V3_BQLV12</stp>
        <stp>[MODL_NOW_US1.xlsx]Single Period!R58C9</stp>
        <stp>SEG0000230975 Segment</stp>
        <stp>CONTRIBUTOR_STATS(SALES_REV_TURN, MEDIAN)/1M</stp>
        <stp>FPR=2021Y</stp>
        <stp>FPT=A</stp>
        <stp>FA_ACT_EST_DATA=E</stp>
        <stp>ACT_EST_MAPPING=PRECISE</stp>
        <stp>FS=MRC</stp>
        <stp>CURRENCY=USD</stp>
        <stp>XLFILL=b</stp>
        <tr r="I58" s="2"/>
      </tp>
      <tp t="s">
        <v>#N/A Requesting Data...</v>
        <stp/>
        <stp>##V3_BQLV12</stp>
        <stp>[MODL_NOW_US1.xlsx]Single Period!R77C9</stp>
        <stp>SEG0000230969 Segment</stp>
        <stp>CONTRIBUTOR_STATS(SALES_REV_TURN, MEDIAN)/1M</stp>
        <stp>FPR=2021Y</stp>
        <stp>FPT=A</stp>
        <stp>FA_ACT_EST_DATA=E</stp>
        <stp>ACT_EST_MAPPING=PRECISE</stp>
        <stp>FS=MRC</stp>
        <stp>CURRENCY=USD</stp>
        <stp>XLFILL=b</stp>
        <tr r="I77" s="2"/>
      </tp>
      <tp t="s">
        <v>#N/A Requesting Data...</v>
        <stp/>
        <stp>##V3_BQLV12</stp>
        <stp>[MODL_NOW_US1.xlsx]Single Period!R7C33</stp>
        <stp>NOW US Equity</stp>
        <stp>IS_COMP_SALES/1M</stp>
        <stp>FPR=2021Y</stp>
        <stp>FPT=A</stp>
        <stp>FA_ACT_EST_DATA=E, EST_SOURCE=MAC</stp>
        <stp>ACT_EST_MAPPING=PRECISE</stp>
        <stp>FS=MRC</stp>
        <stp>CURRENCY=USD</stp>
        <stp>XLFILL=b</stp>
        <tr r="AG7" s="2"/>
      </tp>
      <tp t="s">
        <v>#N/A Requesting Data...</v>
        <stp/>
        <stp>##V3_BQLV12</stp>
        <stp>[MODL_NOW_US1.xlsx]Single Period!R125C8</stp>
        <stp>NOW US Equity</stp>
        <stp>CONTRIBUTOR_STATS(OPER_INC_TO_NET_SALES, STD)</stp>
        <stp>FPR=2021Y</stp>
        <stp>FPT=A</stp>
        <stp>FA_ACT_EST_DATA=E</stp>
        <stp>ACT_EST_MAPPING=PRECISE</stp>
        <stp>FS=MRC</stp>
        <stp>CURRENCY=USD</stp>
        <stp>XLFILL=b</stp>
        <tr r="H125" s="2"/>
      </tp>
      <tp t="s">
        <v>#N/A Requesting Data...</v>
        <stp/>
        <stp>##V3_BQLV12</stp>
        <stp>[MODL_NOW_US1.xlsx]Single Period!R170C16</stp>
        <stp>NOW US Equity</stp>
        <stp>BS_TOT_ASSET/1M</stp>
        <stp>FPR=2021Y</stp>
        <stp>FPT=A</stp>
        <stp>FA_ACT_EST_DATA=E, EST_SOURCE=BCA</stp>
        <stp>ACT_EST_MAPPING=PRECISE</stp>
        <stp>FS=MRC</stp>
        <stp>CURRENCY=USD</stp>
        <stp>XLFILL=b</stp>
        <tr r="P170" s="2"/>
      </tp>
      <tp t="s">
        <v>#N/A Requesting Data...</v>
        <stp/>
        <stp>##V3_BQLV12</stp>
        <stp>[MODL_NOW_US1.xlsx]Single Period!R165C27</stp>
        <stp>NOW US Equity</stp>
        <stp>BS_OPER_LEA_RT_OF_USE_ASSETS/1M</stp>
        <stp>FPR=2021Y</stp>
        <stp>FPT=A</stp>
        <stp>FA_ACT_EST_DATA=E, EST_SOURCE=RBC</stp>
        <stp>ACT_EST_MAPPING=PRECISE</stp>
        <stp>FS=MRC</stp>
        <stp>CURRENCY=USD</stp>
        <stp>XLFILL=b</stp>
        <tr r="AA165" s="2"/>
      </tp>
      <tp t="s">
        <v>#N/A Requesting Data...</v>
        <stp/>
        <stp>##V3_BQLV12</stp>
        <stp>[MODL_NOW_US1.xlsx]Single Period!R115C41</stp>
        <stp>NOW US Equity</stp>
        <stp>GROSS_PROFIT/1M</stp>
        <stp>FPR=2021Y</stp>
        <stp>FPT=A</stp>
        <stp>FA_ACT_EST_DATA=E, EST_SOURCE=ARG</stp>
        <stp>ACT_EST_MAPPING=PRECISE</stp>
        <stp>FS=MRC</stp>
        <stp>CURRENCY=USD</stp>
        <stp>XLFILL=b</stp>
        <tr r="AO115" s="2"/>
      </tp>
      <tp t="s">
        <v>#N/A Requesting Data...</v>
        <stp/>
        <stp>##V3_BQLV12</stp>
        <stp>[MODL_NOW_US1.xlsx]Single Period!R185C30</stp>
        <stp>NOW US Equity</stp>
        <stp>BS_TOT_ASSET/1M</stp>
        <stp>FPR=2021Y</stp>
        <stp>FPT=A</stp>
        <stp>FA_ACT_EST_DATA=E, EST_SOURCE=BAM</stp>
        <stp>ACT_EST_MAPPING=PRECISE</stp>
        <stp>FS=MRC</stp>
        <stp>CURRENCY=USD</stp>
        <stp>XLFILL=b</stp>
        <tr r="AD185" s="2"/>
      </tp>
      <tp t="s">
        <v>#N/A Requesting Data...</v>
        <stp/>
        <stp>##V3_BQLV12</stp>
        <stp>[MODL_NOW_US1.xlsx]Single Period!R115C44</stp>
        <stp>NOW US Equity</stp>
        <stp>GROSS_PROFIT/1M</stp>
        <stp>FPR=2021Y</stp>
        <stp>FPT=A</stp>
        <stp>FA_ACT_EST_DATA=E, EST_SOURCE=ARE</stp>
        <stp>ACT_EST_MAPPING=PRECISE</stp>
        <stp>FS=MRC</stp>
        <stp>CURRENCY=USD</stp>
        <stp>XLFILL=b</stp>
        <tr r="AR115" s="2"/>
      </tp>
      <tp t="s">
        <v>#N/A Requesting Data...</v>
        <stp/>
        <stp>##V3_BQLV12</stp>
        <stp>[MODL_NOW_US1.xlsx]Single Period!R190C28</stp>
        <stp>NOW US Equity</stp>
        <stp>DEFERRED_REV/1M</stp>
        <stp>FPR=2021Y</stp>
        <stp>FPT=A</stp>
        <stp>FA_ACT_EST_DATA=E, EST_SOURCE=EVR</stp>
        <stp>ACT_EST_MAPPING=PRECISE</stp>
        <stp>FS=MRC</stp>
        <stp>CURRENCY=USD</stp>
        <stp>XLFILL=b</stp>
        <tr r="AB190" s="2"/>
      </tp>
      <tp t="s">
        <v>#N/A Requesting Data...</v>
        <stp/>
        <stp>##V3_BQLV12</stp>
        <stp>[MODL_NOW_US1.xlsx]Single Period!R170C33</stp>
        <stp>NOW US Equity</stp>
        <stp>BS_TOT_ASSET/1M</stp>
        <stp>FPR=2021Y</stp>
        <stp>FPT=A</stp>
        <stp>FA_ACT_EST_DATA=E, EST_SOURCE=MAC</stp>
        <stp>ACT_EST_MAPPING=PRECISE</stp>
        <stp>FS=MRC</stp>
        <stp>CURRENCY=USD</stp>
        <stp>XLFILL=b</stp>
        <tr r="AG170" s="2"/>
      </tp>
      <tp t="s">
        <v>#N/A Requesting Data...</v>
        <stp/>
        <stp>##V3_BQLV12</stp>
        <stp>[MODL_NOW_US1.xlsx]Single Period!R165C25</stp>
        <stp>NOW US Equity</stp>
        <stp>BS_OPER_LEA_RT_OF_USE_ASSETS/1M</stp>
        <stp>FPR=2021Y</stp>
        <stp>FPT=A</stp>
        <stp>FA_ACT_EST_DATA=E, EST_SOURCE=DBG</stp>
        <stp>ACT_EST_MAPPING=PRECISE</stp>
        <stp>FS=MRC</stp>
        <stp>CURRENCY=USD</stp>
        <stp>XLFILL=b</stp>
        <tr r="Y165" s="2"/>
      </tp>
      <tp t="s">
        <v>#N/A Requesting Data...</v>
        <stp/>
        <stp>##V3_BQLV12</stp>
        <stp>[MODL_NOW_US1.xlsx]Single Period!R181C7</stp>
        <stp>NOW US Equity</stp>
        <stp>CONTRIBUTOR_STATS(BS_LONG_TERM_BORROWINGS, MAX)/1M</stp>
        <stp>FPR=2021Y</stp>
        <stp>FPT=A</stp>
        <stp>FA_ACT_EST_DATA=E</stp>
        <stp>ACT_EST_MAPPING=PRECISE</stp>
        <stp>FS=MRC</stp>
        <stp>CURRENCY=USD</stp>
        <stp>XLFILL=b</stp>
        <tr r="G181" s="2"/>
      </tp>
      <tp t="s">
        <v>#N/A Requesting Data...</v>
        <stp/>
        <stp>##V3_BQLV12</stp>
        <stp>[MODL_NOW_US1.xlsx]Single Period!R181C6</stp>
        <stp>NOW US Equity</stp>
        <stp>CONTRIBUTOR_STATS(BS_LONG_TERM_BORROWINGS, MIN)/1M</stp>
        <stp>FPR=2021Y</stp>
        <stp>FPT=A</stp>
        <stp>FA_ACT_EST_DATA=E</stp>
        <stp>ACT_EST_MAPPING=PRECISE</stp>
        <stp>FS=MRC</stp>
        <stp>CURRENCY=USD</stp>
        <stp>XLFILL=b</stp>
        <tr r="F181" s="2"/>
      </tp>
      <tp t="s">
        <v>#N/A Requesting Data...</v>
        <stp/>
        <stp>##V3_BQLV12</stp>
        <stp>[MODL_NOW_US1.xlsx]Single Period!R185C33</stp>
        <stp>NOW US Equity</stp>
        <stp>BS_TOT_ASSET/1M</stp>
        <stp>FPR=2021Y</stp>
        <stp>FPT=A</stp>
        <stp>FA_ACT_EST_DATA=E, EST_SOURCE=MAC</stp>
        <stp>ACT_EST_MAPPING=PRECISE</stp>
        <stp>FS=MRC</stp>
        <stp>CURRENCY=USD</stp>
        <stp>XLFILL=b</stp>
        <tr r="AG185" s="2"/>
      </tp>
      <tp t="s">
        <v>#N/A Requesting Data...</v>
        <stp/>
        <stp>##V3_BQLV12</stp>
        <stp>[MODL_NOW_US1.xlsx]Single Period!R170C30</stp>
        <stp>NOW US Equity</stp>
        <stp>BS_TOT_ASSET/1M</stp>
        <stp>FPR=2021Y</stp>
        <stp>FPT=A</stp>
        <stp>FA_ACT_EST_DATA=E, EST_SOURCE=BAM</stp>
        <stp>ACT_EST_MAPPING=PRECISE</stp>
        <stp>FS=MRC</stp>
        <stp>CURRENCY=USD</stp>
        <stp>XLFILL=b</stp>
        <tr r="AD170" s="2"/>
      </tp>
      <tp t="s">
        <v>#N/A Requesting Data...</v>
        <stp/>
        <stp>##V3_BQLV12</stp>
        <stp>[MODL_NOW_US1.xlsx]Single Period!R93C47</stp>
        <stp>NOW US Equity</stp>
        <stp>G_AND_A_COST_PCT_REVENUES</stp>
        <stp>FPR=2021Y</stp>
        <stp>FPT=A</stp>
        <stp>FA_ACT_EST_DATA=E, EST_SOURCE=SUM</stp>
        <stp>ACT_EST_MAPPING=PRECISE</stp>
        <stp>FS=MRC</stp>
        <stp>CURRENCY=USD</stp>
        <stp>XLFILL=b</stp>
        <tr r="AU93" s="2"/>
      </tp>
      <tp t="s">
        <v>#N/A Requesting Data...</v>
        <stp/>
        <stp>##V3_BQLV12</stp>
        <stp>[MODL_NOW_US1.xlsx]Single Period!R185C16</stp>
        <stp>NOW US Equity</stp>
        <stp>BS_TOT_ASSET/1M</stp>
        <stp>FPR=2021Y</stp>
        <stp>FPT=A</stp>
        <stp>FA_ACT_EST_DATA=E, EST_SOURCE=BCA</stp>
        <stp>ACT_EST_MAPPING=PRECISE</stp>
        <stp>FS=MRC</stp>
        <stp>CURRENCY=USD</stp>
        <stp>XLFILL=b</stp>
        <tr r="P185" s="2"/>
      </tp>
      <tp t="s">
        <v>#N/A Requesting Data...</v>
        <stp/>
        <stp>##V3_BQLV12</stp>
        <stp>[MODL_NOW_US1.xlsx]Single Period!R115C48</stp>
        <stp>NOW US Equity</stp>
        <stp>GROSS_PROFIT/1M</stp>
        <stp>FPR=2021Y</stp>
        <stp>FPT=A</stp>
        <stp>FA_ACT_EST_DATA=E, EST_SOURCE=CRC</stp>
        <stp>ACT_EST_MAPPING=PRECISE</stp>
        <stp>FS=MRC</stp>
        <stp>CURRENCY=USD</stp>
        <stp>XLFILL=b</stp>
        <tr r="AV115" s="2"/>
      </tp>
      <tp t="s">
        <v>#N/A Requesting Data...</v>
        <stp/>
        <stp>##V3_BQLV12</stp>
        <stp>[MODL_NOW_US1.xlsx]Single Period!R147C21</stp>
        <stp>NOW US Equity</stp>
        <stp>IS_AMORT_OF_TOT_INTANG_PRETX/1M</stp>
        <stp>FPR=2021Y</stp>
        <stp>FPT=A</stp>
        <stp>FA_ACT_EST_DATA=E, EST_SOURCE=JMP</stp>
        <stp>ACT_EST_MAPPING=PRECISE</stp>
        <stp>FS=MRC</stp>
        <stp>CURRENCY=USD</stp>
        <stp>XLFILL=b</stp>
        <tr r="U147" s="2"/>
      </tp>
      <tp t="s">
        <v>#N/A Requesting Data...</v>
        <stp/>
        <stp>##V3_BQLV12</stp>
        <stp>[MODL_NOW_US1.xlsx]Single Period!R165C26</stp>
        <stp>NOW US Equity</stp>
        <stp>BS_OPER_LEA_RT_OF_USE_ASSETS/1M</stp>
        <stp>FPR=2021Y</stp>
        <stp>FPT=A</stp>
        <stp>FA_ACT_EST_DATA=E, EST_SOURCE=UBS</stp>
        <stp>ACT_EST_MAPPING=PRECISE</stp>
        <stp>FS=MRC</stp>
        <stp>CURRENCY=USD</stp>
        <stp>XLFILL=b</stp>
        <tr r="Z165" s="2"/>
      </tp>
      <tp t="s">
        <v>#N/A Requesting Data...</v>
        <stp/>
        <stp>##V3_BQLV12</stp>
        <stp>[MODL_NOW_US1.xlsx]Single Period!R170C43</stp>
        <stp>NOW US Equity</stp>
        <stp>BS_TOT_ASSET/1M</stp>
        <stp>FPR=2021Y</stp>
        <stp>FPT=A</stp>
        <stp>FA_ACT_EST_DATA=E, EST_SOURCE=WFT</stp>
        <stp>ACT_EST_MAPPING=PRECISE</stp>
        <stp>FS=MRC</stp>
        <stp>CURRENCY=USD</stp>
        <stp>XLFILL=b</stp>
        <tr r="AQ170" s="2"/>
      </tp>
      <tp t="s">
        <v>#N/A Requesting Data...</v>
        <stp/>
        <stp>##V3_BQLV12</stp>
        <stp>[MODL_NOW_US1.xlsx]Single Period!R190C38</stp>
        <stp>NOW US Equity</stp>
        <stp>DEFERRED_REV/1M</stp>
        <stp>FPR=2021Y</stp>
        <stp>FPT=A</stp>
        <stp>FA_ACT_EST_DATA=E, EST_SOURCE=RWB</stp>
        <stp>ACT_EST_MAPPING=PRECISE</stp>
        <stp>FS=MRC</stp>
        <stp>CURRENCY=USD</stp>
        <stp>XLFILL=b</stp>
        <tr r="AL190" s="2"/>
      </tp>
      <tp t="s">
        <v>#N/A Requesting Data...</v>
        <stp/>
        <stp>##V3_BQLV12</stp>
        <stp>[MODL_NOW_US1.xlsx]Single Period!R181C8</stp>
        <stp>NOW US Equity</stp>
        <stp>CONTRIBUTOR_STATS(BS_LONG_TERM_BORROWINGS, STD)/1M</stp>
        <stp>FPR=2021Y</stp>
        <stp>FPT=A</stp>
        <stp>FA_ACT_EST_DATA=E</stp>
        <stp>ACT_EST_MAPPING=PRECISE</stp>
        <stp>FS=MRC</stp>
        <stp>CURRENCY=USD</stp>
        <stp>XLFILL=b</stp>
        <tr r="H181" s="2"/>
      </tp>
      <tp t="s">
        <v>#N/A Requesting Data...</v>
        <stp/>
        <stp>##V3_BQLV12</stp>
        <stp>[MODL_NOW_US1.xlsx]Single Period!R147C18</stp>
        <stp>NOW US Equity</stp>
        <stp>IS_AMORT_OF_TOT_INTANG_PRETX/1M</stp>
        <stp>FPR=2021Y</stp>
        <stp>FPT=A</stp>
        <stp>FA_ACT_EST_DATA=E, EST_SOURCE=SNR</stp>
        <stp>ACT_EST_MAPPING=PRECISE</stp>
        <stp>FS=MRC</stp>
        <stp>CURRENCY=USD</stp>
        <stp>XLFILL=b</stp>
        <tr r="R147" s="2"/>
      </tp>
      <tp t="s">
        <v>#N/A Requesting Data...</v>
        <stp/>
        <stp>##V3_BQLV12</stp>
        <stp>[MODL_NOW_US1.xlsx]Single Period!R185C43</stp>
        <stp>NOW US Equity</stp>
        <stp>BS_TOT_ASSET/1M</stp>
        <stp>FPR=2021Y</stp>
        <stp>FPT=A</stp>
        <stp>FA_ACT_EST_DATA=E, EST_SOURCE=WFT</stp>
        <stp>ACT_EST_MAPPING=PRECISE</stp>
        <stp>FS=MRC</stp>
        <stp>CURRENCY=USD</stp>
        <stp>XLFILL=b</stp>
        <tr r="AQ185" s="2"/>
      </tp>
      <tp t="s">
        <v>#N/A Requesting Data...</v>
        <stp/>
        <stp>##V3_BQLV12</stp>
        <stp>[MODL_NOW_US1.xlsx]Single Period!R4C28</stp>
        <stp>NOW US Equity</stp>
        <stp>LAST(IS_COMP_SALES(FA_ACT_EST_DATA=E, EST_SOURCE=EVR).analyst_name)</stp>
        <stp>FPR=2021Y</stp>
        <stp>FPT=A</stp>
        <stp>ACT_EST_MAPPING=PRECISE</stp>
        <stp>FS=MRC</stp>
        <stp>CURRENCY=USD</stp>
        <stp>XLFILL=b</stp>
        <tr r="AB4" s="2"/>
      </tp>
      <tp t="s">
        <v>#N/A Requesting Data...</v>
        <stp/>
        <stp>##V3_BQLV12</stp>
        <stp>[MODL_NOW_US1.xlsx]Single Period!R132C49</stp>
        <stp>NOW US Equity</stp>
        <stp>CONT_INC_PER_SH</stp>
        <stp>FPR=2021Y</stp>
        <stp>FPT=A</stp>
        <stp>FA_ACT_EST_DATA=E, EST_SOURCE=SCB</stp>
        <stp>ACT_EST_MAPPING=PRECISE</stp>
        <stp>FS=MRC</stp>
        <stp>CURRENCY=USD</stp>
        <stp>XLFILL=b</stp>
        <tr r="AW132" s="2"/>
      </tp>
      <tp t="s">
        <v>#N/A Requesting Data...</v>
        <stp/>
        <stp>##V3_BQLV12</stp>
        <stp>[MODL_NOW_US1.xlsx]Single Period!R237C46</stp>
        <stp>NOW US Equity</stp>
        <stp>FCF_PER_DIL_SHR</stp>
        <stp>FPR=2021Y</stp>
        <stp>FPT=A</stp>
        <stp>FA_ACT_EST_DATA=E, EST_SOURCE=MZS</stp>
        <stp>ACT_EST_MAPPING=PRECISE</stp>
        <stp>FS=MRC</stp>
        <stp>CURRENCY=USD</stp>
        <stp>XLFILL=b</stp>
        <tr r="AT237" s="2"/>
      </tp>
      <tp t="s">
        <v>#N/A Requesting Data...</v>
        <stp/>
        <stp>##V3_BQLV12</stp>
        <stp>[MODL_NOW_US1.xlsx]Single Period!R113C10</stp>
        <stp>SEG0000230986 Segment</stp>
        <stp>IS_COGS_TO_FE_AND_PP_AND_G/1M</stp>
        <stp>FPR=2021Y</stp>
        <stp>FPT=A</stp>
        <stp>FA_ACT_EST_DATA=E, EST_SOURCE=CMPY</stp>
        <stp>ACT_EST_MAPPING=PRECISE</stp>
        <stp>FS=MRC</stp>
        <stp>CURRENCY=USD</stp>
        <stp>XLFILL=b</stp>
        <tr r="J113" s="2"/>
      </tp>
      <tp t="s">
        <v>#N/A Requesting Data...</v>
        <stp/>
        <stp>##V3_BQLV12</stp>
        <stp>[MODL_NOW_US1.xlsx]Single Period!R114C22</stp>
        <stp>SEG0000230986 Segment</stp>
        <stp>CB_IS_GROSS_MARGIN</stp>
        <stp>FPR=2021Y</stp>
        <stp>FPT=A</stp>
        <stp>FA_ACT_EST_DATA=E, EST_SOURCE=NDH</stp>
        <stp>ACT_EST_MAPPING=PRECISE</stp>
        <stp>FS=MRC</stp>
        <stp>CURRENCY=USD</stp>
        <stp>XLFILL=b</stp>
        <tr r="V114" s="2"/>
      </tp>
      <tp t="s">
        <v>#N/A Requesting Data...</v>
        <stp/>
        <stp>##V3_BQLV12</stp>
        <stp>[MODL_NOW_US1.xlsx]Single Period!R118C24</stp>
        <stp>NOW US Equity</stp>
        <stp>OPERATING_EXPENSES_TO_NET_SALES</stp>
        <stp>FPR=2021Y</stp>
        <stp>FPT=A</stp>
        <stp>FA_ACT_EST_DATA=E, EST_SOURCE=CWN</stp>
        <stp>ACT_EST_MAPPING=PRECISE</stp>
        <stp>FS=MRC</stp>
        <stp>CURRENCY=USD</stp>
        <stp>XLFILL=b</stp>
        <tr r="X118" s="2"/>
      </tp>
      <tp t="s">
        <v>#N/A Requesting Data...</v>
        <stp/>
        <stp>##V3_BQLV12</stp>
        <stp>[MODL_NOW_US1.xlsx]Single Period!R32C23</stp>
        <stp>NOW US Equity</stp>
        <stp>BS_REMAINING_PERFORMANCE_OBLIG/1M</stp>
        <stp>FPR=2021Y</stp>
        <stp>FPT=A</stp>
        <stp>FA_ACT_EST_DATA=E, EST_SOURCE=ZXS</stp>
        <stp>ACT_EST_MAPPING=PRECISE</stp>
        <stp>FS=MRC</stp>
        <stp>CURRENCY=USD</stp>
        <stp>XLFILL=b</stp>
        <tr r="W32" s="2"/>
      </tp>
      <tp t="s">
        <v>#N/A Requesting Data...</v>
        <stp/>
        <stp>##V3_BQLV12</stp>
        <stp>[MODL_NOW_US1.xlsx]Single Period!R43C10</stp>
        <stp>SEG0000230975 Segment</stp>
        <stp>CB_ADJ_BILLINGS_AMT/1M</stp>
        <stp>FPR=2021Y</stp>
        <stp>FPT=A</stp>
        <stp>FA_ACT_EST_DATA=E, EST_SOURCE=CMPY</stp>
        <stp>ACT_EST_MAPPING=PRECISE</stp>
        <stp>FS=MRC</stp>
        <stp>CURRENCY=USD</stp>
        <stp>XLFILL=b</stp>
        <tr r="J43" s="2"/>
      </tp>
      <tp t="s">
        <v>#N/A Requesting Data...</v>
        <stp/>
        <stp>##V3_BQLV12</stp>
        <stp>[MODL_NOW_US1.xlsx]Single Period!R47C10</stp>
        <stp>SEG0000230986 Segment</stp>
        <stp>CB_ADJ_BILLINGS_AMT/1M</stp>
        <stp>FPR=2021Y</stp>
        <stp>FPT=A</stp>
        <stp>FA_ACT_EST_DATA=E, EST_SOURCE=CMPY</stp>
        <stp>ACT_EST_MAPPING=PRECISE</stp>
        <stp>FS=MRC</stp>
        <stp>CURRENCY=USD</stp>
        <stp>XLFILL=b</stp>
        <tr r="J47" s="2"/>
      </tp>
      <tp t="s">
        <v>#N/A Requesting Data...</v>
        <stp/>
        <stp>##V3_BQLV12</stp>
        <stp>[MODL_NOW_US1.xlsx]Single Period!R102C6</stp>
        <stp>NOW US Equity</stp>
        <stp>CONTRIBUTOR_STATS(IS_COMP_PTP_EX_STK_BASED_COMP, MIN)/1M</stp>
        <stp>FPR=2021Y</stp>
        <stp>FPT=A</stp>
        <stp>FA_ACT_EST_DATA=E</stp>
        <stp>ACT_EST_MAPPING=PRECISE</stp>
        <stp>FS=MRC</stp>
        <stp>CURRENCY=USD</stp>
        <stp>XLFILL=b</stp>
        <tr r="F102" s="2"/>
      </tp>
      <tp t="s">
        <v>#N/A Requesting Data...</v>
        <stp/>
        <stp>##V3_BQLV12</stp>
        <stp>[MODL_NOW_US1.xlsx]Single Period!R7C36</stp>
        <stp>NOW US Equity</stp>
        <stp>IS_COMP_SALES/1M</stp>
        <stp>FPR=2021Y</stp>
        <stp>FPT=A</stp>
        <stp>FA_ACT_EST_DATA=E, EST_SOURCE=JEF</stp>
        <stp>ACT_EST_MAPPING=PRECISE</stp>
        <stp>FS=MRC</stp>
        <stp>CURRENCY=USD</stp>
        <stp>XLFILL=b</stp>
        <tr r="AJ7" s="2"/>
      </tp>
      <tp t="s">
        <v>#N/A Requesting Data...</v>
        <stp/>
        <stp>##V3_BQLV12</stp>
        <stp>[MODL_NOW_US1.xlsx]Single Period!R117C9</stp>
        <stp>NOW US Equity</stp>
        <stp>CONTRIBUTOR_STATS(IS_TOT_OPER_EXP, MEDIAN)/1M</stp>
        <stp>FPR=2021Y</stp>
        <stp>FPT=A</stp>
        <stp>FA_ACT_EST_DATA=E</stp>
        <stp>ACT_EST_MAPPING=PRECISE</stp>
        <stp>FS=MRC</stp>
        <stp>CURRENCY=USD</stp>
        <stp>XLFILL=b</stp>
        <tr r="I117" s="2"/>
      </tp>
      <tp t="s">
        <v>#N/A Requesting Data...</v>
        <stp/>
        <stp>##V3_BQLV12</stp>
        <stp>[MODL_NOW_US1.xlsx]Single Period!R138C6</stp>
        <stp>NOW US Equity</stp>
        <stp>CONTRIBUTOR_STATS(SBC_NON_GAAP_TO_SALES, MIN)</stp>
        <stp>FPR=2021Y</stp>
        <stp>FPT=A</stp>
        <stp>FA_ACT_EST_DATA=E</stp>
        <stp>ACT_EST_MAPPING=PRECISE</stp>
        <stp>FS=MRC</stp>
        <stp>CURRENCY=USD</stp>
        <stp>XLFILL=b</stp>
        <tr r="F138" s="2"/>
      </tp>
      <tp t="s">
        <v>#N/A Requesting Data...</v>
        <stp/>
        <stp>##V3_BQLV12</stp>
        <stp>[MODL_NOW_US1.xlsx]Single Period!R138C7</stp>
        <stp>NOW US Equity</stp>
        <stp>CONTRIBUTOR_STATS(SBC_NON_GAAP_TO_SALES, MAX)</stp>
        <stp>FPR=2021Y</stp>
        <stp>FPT=A</stp>
        <stp>FA_ACT_EST_DATA=E</stp>
        <stp>ACT_EST_MAPPING=PRECISE</stp>
        <stp>FS=MRC</stp>
        <stp>CURRENCY=USD</stp>
        <stp>XLFILL=b</stp>
        <tr r="G138" s="2"/>
      </tp>
      <tp t="s">
        <v>#N/A Requesting Data...</v>
        <stp/>
        <stp>##V3_BQLV12</stp>
        <stp>[MODL_NOW_US1.xlsx]Single Period!R93C37</stp>
        <stp>NOW US Equity</stp>
        <stp>G_AND_A_COST_PCT_REVENUES</stp>
        <stp>FPR=2021Y</stp>
        <stp>FPT=A</stp>
        <stp>FA_ACT_EST_DATA=E, EST_SOURCE=TTC</stp>
        <stp>ACT_EST_MAPPING=PRECISE</stp>
        <stp>FS=MRC</stp>
        <stp>CURRENCY=USD</stp>
        <stp>XLFILL=b</stp>
        <tr r="AK93" s="2"/>
      </tp>
      <tp t="s">
        <v>#N/A Requesting Data...</v>
        <stp/>
        <stp>##V3_BQLV12</stp>
        <stp>[MODL_NOW_US1.xlsx]Single Period!R39C39</stp>
        <stp>NOW US Equity</stp>
        <stp>IS_BILLINGS/1M</stp>
        <stp>FPR=2021Y</stp>
        <stp>FPT=A</stp>
        <stp>FA_ACT_EST_DATA=E, EST_SOURCE=DZB</stp>
        <stp>ACT_EST_MAPPING=PRECISE</stp>
        <stp>FS=MRC</stp>
        <stp>CURRENCY=USD</stp>
        <stp>XLFILL=b</stp>
        <tr r="AM39" s="2"/>
      </tp>
      <tp t="s">
        <v>#N/A Requesting Data...</v>
        <stp/>
        <stp>##V3_BQLV12</stp>
        <stp>[MODL_NOW_US1.xlsx]Single Period!R147C45</stp>
        <stp>NOW US Equity</stp>
        <stp>IS_AMORT_OF_TOT_INTANG_PRETX/1M</stp>
        <stp>FPR=2021Y</stp>
        <stp>FPT=A</stp>
        <stp>FA_ACT_EST_DATA=E, EST_SOURCE=PJE</stp>
        <stp>ACT_EST_MAPPING=PRECISE</stp>
        <stp>FS=MRC</stp>
        <stp>CURRENCY=USD</stp>
        <stp>XLFILL=b</stp>
        <tr r="AS147" s="2"/>
      </tp>
      <tp t="s">
        <v>#N/A Requesting Data...</v>
        <stp/>
        <stp>##V3_BQLV12</stp>
        <stp>[MODL_NOW_US1.xlsx]Single Period!R115C37</stp>
        <stp>NOW US Equity</stp>
        <stp>GROSS_PROFIT/1M</stp>
        <stp>FPR=2021Y</stp>
        <stp>FPT=A</stp>
        <stp>FA_ACT_EST_DATA=E, EST_SOURCE=TTC</stp>
        <stp>ACT_EST_MAPPING=PRECISE</stp>
        <stp>FS=MRC</stp>
        <stp>CURRENCY=USD</stp>
        <stp>XLFILL=b</stp>
        <tr r="AK115" s="2"/>
      </tp>
      <tp t="s">
        <v>#N/A Requesting Data...</v>
        <stp/>
        <stp>##V3_BQLV12</stp>
        <stp>[MODL_NOW_US1.xlsx]Single Period!R165C32</stp>
        <stp>NOW US Equity</stp>
        <stp>BS_OPER_LEA_RT_OF_USE_ASSETS/1M</stp>
        <stp>FPR=2021Y</stp>
        <stp>FPT=A</stp>
        <stp>FA_ACT_EST_DATA=E, EST_SOURCE=FBC</stp>
        <stp>ACT_EST_MAPPING=PRECISE</stp>
        <stp>FS=MRC</stp>
        <stp>CURRENCY=USD</stp>
        <stp>XLFILL=b</stp>
        <tr r="AF165" s="2"/>
      </tp>
      <tp t="s">
        <v>#N/A Requesting Data...</v>
        <stp/>
        <stp>##V3_BQLV12</stp>
        <stp>[MODL_NOW_US1.xlsx]Single Period!R185C20</stp>
        <stp>NOW US Equity</stp>
        <stp>BS_TOT_ASSET/1M</stp>
        <stp>FPR=2021Y</stp>
        <stp>FPT=A</stp>
        <stp>FA_ACT_EST_DATA=E, EST_SOURCE=CAN</stp>
        <stp>ACT_EST_MAPPING=PRECISE</stp>
        <stp>FS=MRC</stp>
        <stp>CURRENCY=USD</stp>
        <stp>XLFILL=b</stp>
        <tr r="T185" s="2"/>
      </tp>
      <tp t="s">
        <v>#N/A Requesting Data...</v>
        <stp/>
        <stp>##V3_BQLV12</stp>
        <stp>[MODL_NOW_US1.xlsx]Single Period!R185C12</stp>
        <stp>NOW US Equity</stp>
        <stp>BS_TOT_ASSET/1M</stp>
        <stp>FPR=2021Y</stp>
        <stp>FPT=A</stp>
        <stp>FA_ACT_EST_DATA=E, EST_SOURCE=WBL</stp>
        <stp>ACT_EST_MAPPING=PRECISE</stp>
        <stp>FS=MRC</stp>
        <stp>CURRENCY=USD</stp>
        <stp>XLFILL=b</stp>
        <tr r="L185" s="2"/>
      </tp>
      <tp t="s">
        <v>#N/A Requesting Data...</v>
        <stp/>
        <stp>##V3_BQLV12</stp>
        <stp>[MODL_NOW_US1.xlsx]Single Period!R87C11</stp>
        <stp>NOW US Equity</stp>
        <stp>CB_IS_ADJUSTED_OPEX/1M</stp>
        <stp>FPR=2021Y</stp>
        <stp>FPT=A</stp>
        <stp>FA_ACT_EST_DATA=E, EST_SOURCE=JPM</stp>
        <stp>ACT_EST_MAPPING=PRECISE</stp>
        <stp>FS=MRC</stp>
        <stp>CURRENCY=USD</stp>
        <stp>XLFILL=b</stp>
        <tr r="K87" s="2"/>
      </tp>
      <tp t="s">
        <v>#N/A Requesting Data...</v>
        <stp/>
        <stp>##V3_BQLV12</stp>
        <stp>[MODL_NOW_US1.xlsx]Single Period!R170C20</stp>
        <stp>NOW US Equity</stp>
        <stp>BS_TOT_ASSET/1M</stp>
        <stp>FPR=2021Y</stp>
        <stp>FPT=A</stp>
        <stp>FA_ACT_EST_DATA=E, EST_SOURCE=CAN</stp>
        <stp>ACT_EST_MAPPING=PRECISE</stp>
        <stp>FS=MRC</stp>
        <stp>CURRENCY=USD</stp>
        <stp>XLFILL=b</stp>
        <tr r="T170" s="2"/>
      </tp>
      <tp t="s">
        <v>#N/A Requesting Data...</v>
        <stp/>
        <stp>##V3_BQLV12</stp>
        <stp>[MODL_NOW_US1.xlsx]Single Period!R170C12</stp>
        <stp>NOW US Equity</stp>
        <stp>BS_TOT_ASSET/1M</stp>
        <stp>FPR=2021Y</stp>
        <stp>FPT=A</stp>
        <stp>FA_ACT_EST_DATA=E, EST_SOURCE=WBL</stp>
        <stp>ACT_EST_MAPPING=PRECISE</stp>
        <stp>FS=MRC</stp>
        <stp>CURRENCY=USD</stp>
        <stp>XLFILL=b</stp>
        <tr r="L170" s="2"/>
      </tp>
      <tp t="s">
        <v>#N/A Requesting Data...</v>
        <stp/>
        <stp>##V3_BQLV12</stp>
        <stp>[MODL_NOW_US1.xlsx]Single Period!R42C8</stp>
        <stp>SEG0000230975 Segment</stp>
        <stp>CONTRIBUTOR_STATS(IS_BILLINGS, STD)/1M</stp>
        <stp>FPR=2021Y</stp>
        <stp>FPT=A</stp>
        <stp>FA_ACT_EST_DATA=E</stp>
        <stp>ACT_EST_MAPPING=PRECISE</stp>
        <stp>FS=MRC</stp>
        <stp>CURRENCY=USD</stp>
        <stp>XLFILL=b</stp>
        <tr r="H42" s="2"/>
      </tp>
      <tp t="s">
        <v>#N/A Requesting Data...</v>
        <stp/>
        <stp>##V3_BQLV12</stp>
        <stp>[MODL_NOW_US1.xlsx]Single Period!R21C8</stp>
        <stp>SEG0000230986 Segment</stp>
        <stp>CONTRIBUTOR_STATS(IS_BILLINGS, STD)/1M</stp>
        <stp>FPR=2021Y</stp>
        <stp>FPT=A</stp>
        <stp>FA_ACT_EST_DATA=E</stp>
        <stp>ACT_EST_MAPPING=PRECISE</stp>
        <stp>FS=MRC</stp>
        <stp>CURRENCY=USD</stp>
        <stp>XLFILL=b</stp>
        <tr r="H21" s="2"/>
      </tp>
      <tp t="s">
        <v>#N/A Requesting Data...</v>
        <stp/>
        <stp>##V3_BQLV12</stp>
        <stp>[MODL_NOW_US1.xlsx]Single Period!R93C42</stp>
        <stp>NOW US Equity</stp>
        <stp>G_AND_A_COST_PCT_REVENUES</stp>
        <stp>FPR=2021Y</stp>
        <stp>FPT=A</stp>
        <stp>FA_ACT_EST_DATA=E, EST_SOURCE=CTI</stp>
        <stp>ACT_EST_MAPPING=PRECISE</stp>
        <stp>FS=MRC</stp>
        <stp>CURRENCY=USD</stp>
        <stp>XLFILL=b</stp>
        <tr r="AP93" s="2"/>
      </tp>
      <tp t="s">
        <v>#N/A Requesting Data...</v>
        <stp/>
        <stp>##V3_BQLV12</stp>
        <stp>[MODL_NOW_US1.xlsx]Single Period!R190C24</stp>
        <stp>NOW US Equity</stp>
        <stp>DEFERRED_REV/1M</stp>
        <stp>FPR=2021Y</stp>
        <stp>FPT=A</stp>
        <stp>FA_ACT_EST_DATA=E, EST_SOURCE=CWN</stp>
        <stp>ACT_EST_MAPPING=PRECISE</stp>
        <stp>FS=MRC</stp>
        <stp>CURRENCY=USD</stp>
        <stp>XLFILL=b</stp>
        <tr r="X190" s="2"/>
      </tp>
      <tp t="s">
        <v>#N/A Requesting Data...</v>
        <stp/>
        <stp>##V3_BQLV12</stp>
        <stp>[MODL_NOW_US1.xlsx]Single Period!R39C46</stp>
        <stp>NOW US Equity</stp>
        <stp>IS_BILLINGS/1M</stp>
        <stp>FPR=2021Y</stp>
        <stp>FPT=A</stp>
        <stp>FA_ACT_EST_DATA=E, EST_SOURCE=MZS</stp>
        <stp>ACT_EST_MAPPING=PRECISE</stp>
        <stp>FS=MRC</stp>
        <stp>CURRENCY=USD</stp>
        <stp>XLFILL=b</stp>
        <tr r="AT39" s="2"/>
      </tp>
      <tp t="s">
        <v>#N/A Requesting Data...</v>
        <stp/>
        <stp>##V3_BQLV12</stp>
        <stp>[MODL_NOW_US1.xlsx]Single Period!R21C6</stp>
        <stp>SEG0000230986 Segment</stp>
        <stp>CONTRIBUTOR_STATS(IS_BILLINGS, MIN)/1M</stp>
        <stp>FPR=2021Y</stp>
        <stp>FPT=A</stp>
        <stp>FA_ACT_EST_DATA=E</stp>
        <stp>ACT_EST_MAPPING=PRECISE</stp>
        <stp>FS=MRC</stp>
        <stp>CURRENCY=USD</stp>
        <stp>XLFILL=b</stp>
        <tr r="F21" s="2"/>
      </tp>
      <tp t="s">
        <v>#N/A Requesting Data...</v>
        <stp/>
        <stp>##V3_BQLV12</stp>
        <stp>[MODL_NOW_US1.xlsx]Single Period!R42C6</stp>
        <stp>SEG0000230975 Segment</stp>
        <stp>CONTRIBUTOR_STATS(IS_BILLINGS, MIN)/1M</stp>
        <stp>FPR=2021Y</stp>
        <stp>FPT=A</stp>
        <stp>FA_ACT_EST_DATA=E</stp>
        <stp>ACT_EST_MAPPING=PRECISE</stp>
        <stp>FS=MRC</stp>
        <stp>CURRENCY=USD</stp>
        <stp>XLFILL=b</stp>
        <tr r="F42" s="2"/>
      </tp>
      <tp t="s">
        <v>#N/A Requesting Data...</v>
        <stp/>
        <stp>##V3_BQLV12</stp>
        <stp>[MODL_NOW_US1.xlsx]Single Period!R21C7</stp>
        <stp>SEG0000230986 Segment</stp>
        <stp>CONTRIBUTOR_STATS(IS_BILLINGS, MAX)/1M</stp>
        <stp>FPR=2021Y</stp>
        <stp>FPT=A</stp>
        <stp>FA_ACT_EST_DATA=E</stp>
        <stp>ACT_EST_MAPPING=PRECISE</stp>
        <stp>FS=MRC</stp>
        <stp>CURRENCY=USD</stp>
        <stp>XLFILL=b</stp>
        <tr r="G21" s="2"/>
      </tp>
      <tp t="s">
        <v>#N/A Requesting Data...</v>
        <stp/>
        <stp>##V3_BQLV12</stp>
        <stp>[MODL_NOW_US1.xlsx]Single Period!R42C7</stp>
        <stp>SEG0000230975 Segment</stp>
        <stp>CONTRIBUTOR_STATS(IS_BILLINGS, MAX)/1M</stp>
        <stp>FPR=2021Y</stp>
        <stp>FPT=A</stp>
        <stp>FA_ACT_EST_DATA=E</stp>
        <stp>ACT_EST_MAPPING=PRECISE</stp>
        <stp>FS=MRC</stp>
        <stp>CURRENCY=USD</stp>
        <stp>XLFILL=b</stp>
        <tr r="G42" s="2"/>
      </tp>
      <tp t="s">
        <v>#N/A Requesting Data...</v>
        <stp/>
        <stp>##V3_BQLV12</stp>
        <stp>[MODL_NOW_US1.xlsx]Single Period!R183C39</stp>
        <stp>NOW US Equity</stp>
        <stp>BS_TOTAL_LIABILITIES/1M</stp>
        <stp>FPR=2021Y</stp>
        <stp>FPT=A</stp>
        <stp>FA_ACT_EST_DATA=E, EST_SOURCE=DZB</stp>
        <stp>ACT_EST_MAPPING=PRECISE</stp>
        <stp>FS=MRC</stp>
        <stp>CURRENCY=USD</stp>
        <stp>XLFILL=b</stp>
        <tr r="AM183" s="2"/>
      </tp>
      <tp t="s">
        <v>#N/A Requesting Data...</v>
        <stp/>
        <stp>##V3_BQLV12</stp>
        <stp>[MODL_NOW_US1.xlsx]Single Period!R87C15</stp>
        <stp>NOW US Equity</stp>
        <stp>CB_IS_ADJUSTED_OPEX/1M</stp>
        <stp>FPR=2021Y</stp>
        <stp>FPT=A</stp>
        <stp>FA_ACT_EST_DATA=E, EST_SOURCE=OPY</stp>
        <stp>ACT_EST_MAPPING=PRECISE</stp>
        <stp>FS=MRC</stp>
        <stp>CURRENCY=USD</stp>
        <stp>XLFILL=b</stp>
        <tr r="O87" s="2"/>
      </tp>
      <tp t="s">
        <v>#N/A Requesting Data...</v>
        <stp/>
        <stp>##V3_BQLV12</stp>
        <stp>[MODL_NOW_US1.xlsx]Single Period!R122C13</stp>
        <stp>NOW US Equity</stp>
        <stp>IS_MERGER_AND_ACQUIS_EXPN_OP/1M</stp>
        <stp>FPR=2021Y</stp>
        <stp>FPT=A</stp>
        <stp>FA_ACT_EST_DATA=E, EST_SOURCE=KEY</stp>
        <stp>ACT_EST_MAPPING=PRECISE</stp>
        <stp>FS=MRC</stp>
        <stp>CURRENCY=USD</stp>
        <stp>XLFILL=b</stp>
        <tr r="M122" s="2"/>
      </tp>
      <tp t="s">
        <v>#N/A Requesting Data...</v>
        <stp/>
        <stp>##V3_BQLV12</stp>
        <stp>[MODL_NOW_US1.xlsx]Single Period!R51C22</stp>
        <stp>NOW US Equity</stp>
        <stp>ACCOUNTS_PAYABLE_TURNOVER_DAYS</stp>
        <stp>FPR=2021Y</stp>
        <stp>FPT=A</stp>
        <stp>FA_ACT_EST_DATA=E, EST_SOURCE=NDH</stp>
        <stp>ACT_EST_MAPPING=PRECISE</stp>
        <stp>FS=MRC</stp>
        <stp>CURRENCY=USD</stp>
        <stp>XLFILL=b</stp>
        <tr r="V51" s="2"/>
      </tp>
      <tp t="s">
        <v>#N/A Requesting Data...</v>
        <stp/>
        <stp>##V3_BQLV12</stp>
        <stp>[MODL_NOW_US1.xlsx]Single Period!R112C10</stp>
        <stp>SEG0000230975 Segment</stp>
        <stp>IS_COGS_TO_FE_AND_PP_AND_G/1M</stp>
        <stp>FPR=2021Y</stp>
        <stp>FPT=A</stp>
        <stp>FA_ACT_EST_DATA=E, EST_SOURCE=CMPY</stp>
        <stp>ACT_EST_MAPPING=PRECISE</stp>
        <stp>FS=MRC</stp>
        <stp>CURRENCY=USD</stp>
        <stp>XLFILL=b</stp>
        <tr r="J112" s="2"/>
      </tp>
      <tp t="s">
        <v>#N/A Requesting Data...</v>
        <stp/>
        <stp>##V3_BQLV12</stp>
        <stp>[MODL_NOW_US1.xlsx]Single Period!R118C48</stp>
        <stp>NOW US Equity</stp>
        <stp>OPERATING_EXPENSES_TO_NET_SALES</stp>
        <stp>FPR=2021Y</stp>
        <stp>FPT=A</stp>
        <stp>FA_ACT_EST_DATA=E, EST_SOURCE=CRC</stp>
        <stp>ACT_EST_MAPPING=PRECISE</stp>
        <stp>FS=MRC</stp>
        <stp>CURRENCY=USD</stp>
        <stp>XLFILL=b</stp>
        <tr r="AV118" s="2"/>
      </tp>
      <tp t="s">
        <v>#N/A Requesting Data...</v>
        <stp/>
        <stp>##V3_BQLV12</stp>
        <stp>[MODL_NOW_US1.xlsx]Single Period!R4C32</stp>
        <stp>NOW US Equity</stp>
        <stp>LAST(IS_COMP_SALES(FA_ACT_EST_DATA=E, EST_SOURCE=FBC).analyst_name)</stp>
        <stp>FPR=2021Y</stp>
        <stp>FPT=A</stp>
        <stp>ACT_EST_MAPPING=PRECISE</stp>
        <stp>FS=MRC</stp>
        <stp>CURRENCY=USD</stp>
        <stp>XLFILL=b</stp>
        <tr r="AF4" s="2"/>
      </tp>
      <tp t="s">
        <v>#N/A Requesting Data...</v>
        <stp/>
        <stp>##V3_BQLV12</stp>
        <stp>[MODL_NOW_US1.xlsx]Single Period!R132C13</stp>
        <stp>NOW US Equity</stp>
        <stp>CONT_INC_PER_SH</stp>
        <stp>FPR=2021Y</stp>
        <stp>FPT=A</stp>
        <stp>FA_ACT_EST_DATA=E, EST_SOURCE=KEY</stp>
        <stp>ACT_EST_MAPPING=PRECISE</stp>
        <stp>FS=MRC</stp>
        <stp>CURRENCY=USD</stp>
        <stp>XLFILL=b</stp>
        <tr r="M132" s="2"/>
      </tp>
      <tp t="s">
        <v>#N/A Requesting Data...</v>
        <stp/>
        <stp>##V3_BQLV12</stp>
        <stp>[MODL_NOW_US1.xlsx]Single Period!R118C44</stp>
        <stp>NOW US Equity</stp>
        <stp>OPERATING_EXPENSES_TO_NET_SALES</stp>
        <stp>FPR=2021Y</stp>
        <stp>FPT=A</stp>
        <stp>FA_ACT_EST_DATA=E, EST_SOURCE=ARE</stp>
        <stp>ACT_EST_MAPPING=PRECISE</stp>
        <stp>FS=MRC</stp>
        <stp>CURRENCY=USD</stp>
        <stp>XLFILL=b</stp>
        <tr r="AR118" s="2"/>
      </tp>
      <tp t="s">
        <v>#N/A Requesting Data...</v>
        <stp/>
        <stp>##V3_BQLV12</stp>
        <stp>[MODL_NOW_US1.xlsx]Single Period!R118C41</stp>
        <stp>NOW US Equity</stp>
        <stp>OPERATING_EXPENSES_TO_NET_SALES</stp>
        <stp>FPR=2021Y</stp>
        <stp>FPT=A</stp>
        <stp>FA_ACT_EST_DATA=E, EST_SOURCE=ARG</stp>
        <stp>ACT_EST_MAPPING=PRECISE</stp>
        <stp>FS=MRC</stp>
        <stp>CURRENCY=USD</stp>
        <stp>XLFILL=b</stp>
        <tr r="AO118" s="2"/>
      </tp>
      <tp t="s">
        <v>#N/A Requesting Data...</v>
        <stp/>
        <stp>##V3_BQLV12</stp>
        <stp>[MODL_NOW_US1.xlsx]Single Period!R149C7</stp>
        <stp>NOW US Equity</stp>
        <stp>CONTRIBUTOR_STATS(IS_AMORT_ACQD_INTANG_GEN_AND_ADMIN, MAX)/1M</stp>
        <stp>FPR=2021Y</stp>
        <stp>FPT=A</stp>
        <stp>FA_ACT_EST_DATA=E</stp>
        <stp>ACT_EST_MAPPING=PRECISE</stp>
        <stp>FS=MRC</stp>
        <stp>CURRENCY=USD</stp>
        <stp>XLFILL=b</stp>
        <tr r="G149" s="2"/>
      </tp>
      <tp t="s">
        <v>#N/A Requesting Data...</v>
        <stp/>
        <stp>##V3_BQLV12</stp>
        <stp>[MODL_NOW_US1.xlsx]Single Period!R149C6</stp>
        <stp>NOW US Equity</stp>
        <stp>CONTRIBUTOR_STATS(IS_AMORT_ACQD_INTANG_GEN_AND_ADMIN, MIN)/1M</stp>
        <stp>FPR=2021Y</stp>
        <stp>FPT=A</stp>
        <stp>FA_ACT_EST_DATA=E</stp>
        <stp>ACT_EST_MAPPING=PRECISE</stp>
        <stp>FS=MRC</stp>
        <stp>CURRENCY=USD</stp>
        <stp>XLFILL=b</stp>
        <tr r="F149" s="2"/>
      </tp>
      <tp t="s">
        <v>#N/A Requesting Data...</v>
        <stp/>
        <stp>##V3_BQLV12</stp>
        <stp>[MODL_NOW_US1.xlsx]Single Period!R67C10</stp>
        <stp>SEG0000230986 Segment</stp>
        <stp>IS_PERCENTAGE_OF_REVENUE</stp>
        <stp>FPR=2021Y</stp>
        <stp>FPT=A</stp>
        <stp>FA_ACT_EST_DATA=E, EST_SOURCE=CMPY</stp>
        <stp>ACT_EST_MAPPING=PRECISE</stp>
        <stp>FS=MRC</stp>
        <stp>CURRENCY=USD</stp>
        <stp>XLFILL=b</stp>
        <tr r="J67" s="2"/>
      </tp>
      <tp t="s">
        <v>#N/A Requesting Data...</v>
        <stp/>
        <stp>##V3_BQLV12</stp>
        <stp>[MODL_NOW_US1.xlsx]Single Period!R235C6</stp>
        <stp>NOW US Equity</stp>
        <stp>CONTRIBUTOR_STATS(CF_FREE_CASH_FLOW_AS_REPORTED, MIN)/1M</stp>
        <stp>FPR=2021Y</stp>
        <stp>FPT=A</stp>
        <stp>FA_ACT_EST_DATA=E</stp>
        <stp>ACT_EST_MAPPING=PRECISE</stp>
        <stp>FS=MRC</stp>
        <stp>CURRENCY=USD</stp>
        <stp>XLFILL=b</stp>
        <tr r="F235" s="2"/>
      </tp>
      <tp t="s">
        <v>#N/A Requesting Data...</v>
        <stp/>
        <stp>##V3_BQLV12</stp>
        <stp>[MODL_NOW_US1.xlsx]Single Period!R149C8</stp>
        <stp>NOW US Equity</stp>
        <stp>CONTRIBUTOR_STATS(IS_AMORT_ACQD_INTANG_GEN_AND_ADMIN, STD)/1M</stp>
        <stp>FPR=2021Y</stp>
        <stp>FPT=A</stp>
        <stp>FA_ACT_EST_DATA=E</stp>
        <stp>ACT_EST_MAPPING=PRECISE</stp>
        <stp>FS=MRC</stp>
        <stp>CURRENCY=USD</stp>
        <stp>XLFILL=b</stp>
        <tr r="H149" s="2"/>
      </tp>
      <tp t="s">
        <v>#N/A Requesting Data...</v>
        <stp/>
        <stp>##V3_BQLV12</stp>
        <stp>[MODL_NOW_US1.xlsx]Single Period!R7C32</stp>
        <stp>NOW US Equity</stp>
        <stp>IS_COMP_SALES/1M</stp>
        <stp>FPR=2021Y</stp>
        <stp>FPT=A</stp>
        <stp>FA_ACT_EST_DATA=E, EST_SOURCE=FBC</stp>
        <stp>ACT_EST_MAPPING=PRECISE</stp>
        <stp>FS=MRC</stp>
        <stp>CURRENCY=USD</stp>
        <stp>XLFILL=b</stp>
        <tr r="AF7" s="2"/>
      </tp>
      <tp t="s">
        <v>#N/A Requesting Data...</v>
        <stp/>
        <stp>##V3_BQLV12</stp>
        <stp>[MODL_NOW_US1.xlsx]Single Period!R7C12</stp>
        <stp>NOW US Equity</stp>
        <stp>IS_COMP_SALES/1M</stp>
        <stp>FPR=2021Y</stp>
        <stp>FPT=A</stp>
        <stp>FA_ACT_EST_DATA=E, EST_SOURCE=WBL</stp>
        <stp>ACT_EST_MAPPING=PRECISE</stp>
        <stp>FS=MRC</stp>
        <stp>CURRENCY=USD</stp>
        <stp>XLFILL=b</stp>
        <tr r="L7" s="2"/>
      </tp>
      <tp t="s">
        <v>#N/A Requesting Data...</v>
        <stp/>
        <stp>##V3_BQLV12</stp>
        <stp>[MODL_NOW_US1.xlsx]Single Period!R87C34</stp>
        <stp>NOW US Equity</stp>
        <stp>CB_IS_ADJUSTED_OPEX/1M</stp>
        <stp>FPR=2021Y</stp>
        <stp>FPT=A</stp>
        <stp>FA_ACT_EST_DATA=E, EST_SOURCE=PSG</stp>
        <stp>ACT_EST_MAPPING=PRECISE</stp>
        <stp>FS=MRC</stp>
        <stp>CURRENCY=USD</stp>
        <stp>XLFILL=b</stp>
        <tr r="AH87" s="2"/>
      </tp>
      <tp t="s">
        <v>#N/A Requesting Data...</v>
        <stp/>
        <stp>##V3_BQLV12</stp>
        <stp>[MODL_NOW_US1.xlsx]Single Period!R93C38</stp>
        <stp>NOW US Equity</stp>
        <stp>G_AND_A_COST_PCT_REVENUES</stp>
        <stp>FPR=2021Y</stp>
        <stp>FPT=A</stp>
        <stp>FA_ACT_EST_DATA=E, EST_SOURCE=RWB</stp>
        <stp>ACT_EST_MAPPING=PRECISE</stp>
        <stp>FS=MRC</stp>
        <stp>CURRENCY=USD</stp>
        <stp>XLFILL=b</stp>
        <tr r="AL93" s="2"/>
      </tp>
      <tp t="s">
        <v>#N/A Requesting Data...</v>
        <stp/>
        <stp>##V3_BQLV12</stp>
        <stp>[MODL_NOW_US1.xlsx]Single Period!R170C27</stp>
        <stp>NOW US Equity</stp>
        <stp>BS_TOT_ASSET/1M</stp>
        <stp>FPR=2021Y</stp>
        <stp>FPT=A</stp>
        <stp>FA_ACT_EST_DATA=E, EST_SOURCE=RBC</stp>
        <stp>ACT_EST_MAPPING=PRECISE</stp>
        <stp>FS=MRC</stp>
        <stp>CURRENCY=USD</stp>
        <stp>XLFILL=b</stp>
        <tr r="AA170" s="2"/>
      </tp>
      <tp t="s">
        <v>#N/A Requesting Data...</v>
        <stp/>
        <stp>##V3_BQLV12</stp>
        <stp>[MODL_NOW_US1.xlsx]Single Period!R165C16</stp>
        <stp>NOW US Equity</stp>
        <stp>BS_OPER_LEA_RT_OF_USE_ASSETS/1M</stp>
        <stp>FPR=2021Y</stp>
        <stp>FPT=A</stp>
        <stp>FA_ACT_EST_DATA=E, EST_SOURCE=BCA</stp>
        <stp>ACT_EST_MAPPING=PRECISE</stp>
        <stp>FS=MRC</stp>
        <stp>CURRENCY=USD</stp>
        <stp>XLFILL=b</stp>
        <tr r="P165" s="2"/>
      </tp>
      <tp t="s">
        <v>#N/A Requesting Data...</v>
        <stp/>
        <stp>##V3_BQLV12</stp>
        <stp>[MODL_NOW_US1.xlsx]Single Period!R183C23</stp>
        <stp>NOW US Equity</stp>
        <stp>BS_TOTAL_LIABILITIES/1M</stp>
        <stp>FPR=2021Y</stp>
        <stp>FPT=A</stp>
        <stp>FA_ACT_EST_DATA=E, EST_SOURCE=ZXS</stp>
        <stp>ACT_EST_MAPPING=PRECISE</stp>
        <stp>FS=MRC</stp>
        <stp>CURRENCY=USD</stp>
        <stp>XLFILL=b</stp>
        <tr r="W183" s="2"/>
      </tp>
      <tp t="s">
        <v>#N/A Requesting Data...</v>
        <stp/>
        <stp>##V3_BQLV12</stp>
        <stp>[MODL_NOW_US1.xlsx]Single Period!R170C25</stp>
        <stp>NOW US Equity</stp>
        <stp>BS_TOT_ASSET/1M</stp>
        <stp>FPR=2021Y</stp>
        <stp>FPT=A</stp>
        <stp>FA_ACT_EST_DATA=E, EST_SOURCE=DBG</stp>
        <stp>ACT_EST_MAPPING=PRECISE</stp>
        <stp>FS=MRC</stp>
        <stp>CURRENCY=USD</stp>
        <stp>XLFILL=b</stp>
        <tr r="Y170" s="2"/>
      </tp>
      <tp t="s">
        <v>#N/A Requesting Data...</v>
        <stp/>
        <stp>##V3_BQLV12</stp>
        <stp>[MODL_NOW_US1.xlsx]Single Period!R165C33</stp>
        <stp>NOW US Equity</stp>
        <stp>BS_OPER_LEA_RT_OF_USE_ASSETS/1M</stp>
        <stp>FPR=2021Y</stp>
        <stp>FPT=A</stp>
        <stp>FA_ACT_EST_DATA=E, EST_SOURCE=MAC</stp>
        <stp>ACT_EST_MAPPING=PRECISE</stp>
        <stp>FS=MRC</stp>
        <stp>CURRENCY=USD</stp>
        <stp>XLFILL=b</stp>
        <tr r="AG165" s="2"/>
      </tp>
      <tp t="s">
        <v>#N/A Requesting Data...</v>
        <stp/>
        <stp>##V3_BQLV12</stp>
        <stp>[MODL_NOW_US1.xlsx]Single Period!R165C30</stp>
        <stp>NOW US Equity</stp>
        <stp>BS_OPER_LEA_RT_OF_USE_ASSETS/1M</stp>
        <stp>FPR=2021Y</stp>
        <stp>FPT=A</stp>
        <stp>FA_ACT_EST_DATA=E, EST_SOURCE=BAM</stp>
        <stp>ACT_EST_MAPPING=PRECISE</stp>
        <stp>FS=MRC</stp>
        <stp>CURRENCY=USD</stp>
        <stp>XLFILL=b</stp>
        <tr r="AD165" s="2"/>
      </tp>
      <tp t="s">
        <v>#N/A Requesting Data...</v>
        <stp/>
        <stp>##V3_BQLV12</stp>
        <stp>[MODL_NOW_US1.xlsx]Single Period!R93C40</stp>
        <stp>NOW US Equity</stp>
        <stp>G_AND_A_COST_PCT_REVENUES</stp>
        <stp>FPR=2021Y</stp>
        <stp>FPT=A</stp>
        <stp>FA_ACT_EST_DATA=E, EST_SOURCE=DWI</stp>
        <stp>ACT_EST_MAPPING=PRECISE</stp>
        <stp>FS=MRC</stp>
        <stp>CURRENCY=USD</stp>
        <stp>XLFILL=b</stp>
        <tr r="AN93" s="2"/>
      </tp>
      <tp t="s">
        <v>#N/A Requesting Data...</v>
        <stp/>
        <stp>##V3_BQLV12</stp>
        <stp>[MODL_NOW_US1.xlsx]Single Period!R185C25</stp>
        <stp>NOW US Equity</stp>
        <stp>BS_TOT_ASSET/1M</stp>
        <stp>FPR=2021Y</stp>
        <stp>FPT=A</stp>
        <stp>FA_ACT_EST_DATA=E, EST_SOURCE=DBG</stp>
        <stp>ACT_EST_MAPPING=PRECISE</stp>
        <stp>FS=MRC</stp>
        <stp>CURRENCY=USD</stp>
        <stp>XLFILL=b</stp>
        <tr r="Y185" s="2"/>
      </tp>
      <tp t="s">
        <v>#N/A Requesting Data...</v>
        <stp/>
        <stp>##V3_BQLV12</stp>
        <stp>[MODL_NOW_US1.xlsx]Single Period!R222C17</stp>
        <stp>NOW US Equity</stp>
        <stp>CF_CASH_FROM_INV_ACT/1M</stp>
        <stp>FPR=2021Y</stp>
        <stp>FPT=A</stp>
        <stp>FA_ACT_EST_DATA=E, EST_SOURCE=RHR</stp>
        <stp>ACT_EST_MAPPING=PRECISE</stp>
        <stp>FS=MRC</stp>
        <stp>CURRENCY=USD</stp>
        <stp>XLFILL=b</stp>
        <tr r="Q222" s="2"/>
      </tp>
      <tp t="s">
        <v>#N/A Requesting Data...</v>
        <stp/>
        <stp>##V3_BQLV12</stp>
        <stp>[MODL_NOW_US1.xlsx]Single Period!R122C49</stp>
        <stp>NOW US Equity</stp>
        <stp>IS_MERGER_AND_ACQUIS_EXPN_OP/1M</stp>
        <stp>FPR=2021Y</stp>
        <stp>FPT=A</stp>
        <stp>FA_ACT_EST_DATA=E, EST_SOURCE=SCB</stp>
        <stp>ACT_EST_MAPPING=PRECISE</stp>
        <stp>FS=MRC</stp>
        <stp>CURRENCY=USD</stp>
        <stp>XLFILL=b</stp>
        <tr r="AW122" s="2"/>
      </tp>
      <tp t="s">
        <v>#N/A Requesting Data...</v>
        <stp/>
        <stp>##V3_BQLV12</stp>
        <stp>[MODL_NOW_US1.xlsx]Single Period!R93C24</stp>
        <stp>NOW US Equity</stp>
        <stp>G_AND_A_COST_PCT_REVENUES</stp>
        <stp>FPR=2021Y</stp>
        <stp>FPT=A</stp>
        <stp>FA_ACT_EST_DATA=E, EST_SOURCE=CWN</stp>
        <stp>ACT_EST_MAPPING=PRECISE</stp>
        <stp>FS=MRC</stp>
        <stp>CURRENCY=USD</stp>
        <stp>XLFILL=b</stp>
        <tr r="X93" s="2"/>
      </tp>
      <tp t="s">
        <v>#N/A Requesting Data...</v>
        <stp/>
        <stp>##V3_BQLV12</stp>
        <stp>[MODL_NOW_US1.xlsx]Single Period!R185C27</stp>
        <stp>NOW US Equity</stp>
        <stp>BS_TOT_ASSET/1M</stp>
        <stp>FPR=2021Y</stp>
        <stp>FPT=A</stp>
        <stp>FA_ACT_EST_DATA=E, EST_SOURCE=RBC</stp>
        <stp>ACT_EST_MAPPING=PRECISE</stp>
        <stp>FS=MRC</stp>
        <stp>CURRENCY=USD</stp>
        <stp>XLFILL=b</stp>
        <tr r="AA185" s="2"/>
      </tp>
      <tp t="s">
        <v>#N/A Requesting Data...</v>
        <stp/>
        <stp>##V3_BQLV12</stp>
        <stp>[MODL_NOW_US1.xlsx]Single Period!R115C38</stp>
        <stp>NOW US Equity</stp>
        <stp>GROSS_PROFIT/1M</stp>
        <stp>FPR=2021Y</stp>
        <stp>FPT=A</stp>
        <stp>FA_ACT_EST_DATA=E, EST_SOURCE=RWB</stp>
        <stp>ACT_EST_MAPPING=PRECISE</stp>
        <stp>FS=MRC</stp>
        <stp>CURRENCY=USD</stp>
        <stp>XLFILL=b</stp>
        <tr r="AL115" s="2"/>
      </tp>
      <tp t="s">
        <v>#N/A Requesting Data...</v>
        <stp/>
        <stp>##V3_BQLV12</stp>
        <stp>[MODL_NOW_US1.xlsx]Single Period!R165C43</stp>
        <stp>NOW US Equity</stp>
        <stp>BS_OPER_LEA_RT_OF_USE_ASSETS/1M</stp>
        <stp>FPR=2021Y</stp>
        <stp>FPT=A</stp>
        <stp>FA_ACT_EST_DATA=E, EST_SOURCE=WFT</stp>
        <stp>ACT_EST_MAPPING=PRECISE</stp>
        <stp>FS=MRC</stp>
        <stp>CURRENCY=USD</stp>
        <stp>XLFILL=b</stp>
        <tr r="AQ165" s="2"/>
      </tp>
      <tp t="s">
        <v>#N/A Requesting Data...</v>
        <stp/>
        <stp>##V3_BQLV12</stp>
        <stp>[MODL_NOW_US1.xlsx]Single Period!R87C19</stp>
        <stp>NOW US Equity</stp>
        <stp>CB_IS_ADJUSTED_OPEX/1M</stp>
        <stp>FPR=2021Y</stp>
        <stp>FPT=A</stp>
        <stp>FA_ACT_EST_DATA=E, EST_SOURCE=MSV</stp>
        <stp>ACT_EST_MAPPING=PRECISE</stp>
        <stp>FS=MRC</stp>
        <stp>CURRENCY=USD</stp>
        <stp>XLFILL=b</stp>
        <tr r="S87" s="2"/>
      </tp>
      <tp t="s">
        <v>#N/A Requesting Data...</v>
        <stp/>
        <stp>##V3_BQLV12</stp>
        <stp>[MODL_NOW_US1.xlsx]Single Period!R170C26</stp>
        <stp>NOW US Equity</stp>
        <stp>BS_TOT_ASSET/1M</stp>
        <stp>FPR=2021Y</stp>
        <stp>FPT=A</stp>
        <stp>FA_ACT_EST_DATA=E, EST_SOURCE=UBS</stp>
        <stp>ACT_EST_MAPPING=PRECISE</stp>
        <stp>FS=MRC</stp>
        <stp>CURRENCY=USD</stp>
        <stp>XLFILL=b</stp>
        <tr r="Z170" s="2"/>
      </tp>
      <tp t="s">
        <v>#N/A Requesting Data...</v>
        <stp/>
        <stp>##V3_BQLV12</stp>
        <stp>[MODL_NOW_US1.xlsx]Single Period!R190C48</stp>
        <stp>NOW US Equity</stp>
        <stp>DEFERRED_REV/1M</stp>
        <stp>FPR=2021Y</stp>
        <stp>FPT=A</stp>
        <stp>FA_ACT_EST_DATA=E, EST_SOURCE=CRC</stp>
        <stp>ACT_EST_MAPPING=PRECISE</stp>
        <stp>FS=MRC</stp>
        <stp>CURRENCY=USD</stp>
        <stp>XLFILL=b</stp>
        <tr r="AV190" s="2"/>
      </tp>
      <tp t="s">
        <v>#N/A Requesting Data...</v>
        <stp/>
        <stp>##V3_BQLV12</stp>
        <stp>[MODL_NOW_US1.xlsx]Single Period!R87C31</stp>
        <stp>NOW US Equity</stp>
        <stp>CB_IS_ADJUSTED_OPEX/1M</stp>
        <stp>FPR=2021Y</stp>
        <stp>FPT=A</stp>
        <stp>FA_ACT_EST_DATA=E, EST_SOURCE=GSR</stp>
        <stp>ACT_EST_MAPPING=PRECISE</stp>
        <stp>FS=MRC</stp>
        <stp>CURRENCY=USD</stp>
        <stp>XLFILL=b</stp>
        <tr r="AE87" s="2"/>
      </tp>
      <tp t="s">
        <v>#N/A Requesting Data...</v>
        <stp/>
        <stp>##V3_BQLV12</stp>
        <stp>[MODL_NOW_US1.xlsx]Single Period!R87C35</stp>
        <stp>NOW US Equity</stp>
        <stp>CB_IS_ADJUSTED_OPEX/1M</stp>
        <stp>FPR=2021Y</stp>
        <stp>FPT=A</stp>
        <stp>FA_ACT_EST_DATA=E, EST_SOURCE=MSR</stp>
        <stp>ACT_EST_MAPPING=PRECISE</stp>
        <stp>FS=MRC</stp>
        <stp>CURRENCY=USD</stp>
        <stp>XLFILL=b</stp>
        <tr r="AI87" s="2"/>
      </tp>
      <tp t="s">
        <v>#N/A Requesting Data...</v>
        <stp/>
        <stp>##V3_BQLV12</stp>
        <stp>[MODL_NOW_US1.xlsx]Single Period!R190C41</stp>
        <stp>NOW US Equity</stp>
        <stp>DEFERRED_REV/1M</stp>
        <stp>FPR=2021Y</stp>
        <stp>FPT=A</stp>
        <stp>FA_ACT_EST_DATA=E, EST_SOURCE=ARG</stp>
        <stp>ACT_EST_MAPPING=PRECISE</stp>
        <stp>FS=MRC</stp>
        <stp>CURRENCY=USD</stp>
        <stp>XLFILL=b</stp>
        <tr r="AO190" s="2"/>
      </tp>
      <tp t="s">
        <v>#N/A Requesting Data...</v>
        <stp/>
        <stp>##V3_BQLV12</stp>
        <stp>[MODL_NOW_US1.xlsx]Single Period!R185C26</stp>
        <stp>NOW US Equity</stp>
        <stp>BS_TOT_ASSET/1M</stp>
        <stp>FPR=2021Y</stp>
        <stp>FPT=A</stp>
        <stp>FA_ACT_EST_DATA=E, EST_SOURCE=UBS</stp>
        <stp>ACT_EST_MAPPING=PRECISE</stp>
        <stp>FS=MRC</stp>
        <stp>CURRENCY=USD</stp>
        <stp>XLFILL=b</stp>
        <tr r="Z185" s="2"/>
      </tp>
      <tp t="s">
        <v>#N/A Requesting Data...</v>
        <stp/>
        <stp>##V3_BQLV12</stp>
        <stp>[MODL_NOW_US1.xlsx]Single Period!R190C44</stp>
        <stp>NOW US Equity</stp>
        <stp>DEFERRED_REV/1M</stp>
        <stp>FPR=2021Y</stp>
        <stp>FPT=A</stp>
        <stp>FA_ACT_EST_DATA=E, EST_SOURCE=ARE</stp>
        <stp>ACT_EST_MAPPING=PRECISE</stp>
        <stp>FS=MRC</stp>
        <stp>CURRENCY=USD</stp>
        <stp>XLFILL=b</stp>
        <tr r="AR190" s="2"/>
      </tp>
      <tp t="s">
        <v>#N/A Requesting Data...</v>
        <stp/>
        <stp>##V3_BQLV12</stp>
        <stp>[MODL_NOW_US1.xlsx]Single Period!R115C28</stp>
        <stp>NOW US Equity</stp>
        <stp>GROSS_PROFIT/1M</stp>
        <stp>FPR=2021Y</stp>
        <stp>FPT=A</stp>
        <stp>FA_ACT_EST_DATA=E, EST_SOURCE=EVR</stp>
        <stp>ACT_EST_MAPPING=PRECISE</stp>
        <stp>FS=MRC</stp>
        <stp>CURRENCY=USD</stp>
        <stp>XLFILL=b</stp>
        <tr r="AB115" s="2"/>
      </tp>
      <tp t="s">
        <v>#N/A Requesting Data...</v>
        <stp/>
        <stp>##V3_BQLV12</stp>
        <stp>[MODL_NOW_US1.xlsx]Single Period!R4C31</stp>
        <stp>NOW US Equity</stp>
        <stp>LAST(IS_COMP_SALES(FA_ACT_EST_DATA=E, EST_SOURCE=GSR).analyst_name)</stp>
        <stp>FPR=2021Y</stp>
        <stp>FPT=A</stp>
        <stp>ACT_EST_MAPPING=PRECISE</stp>
        <stp>FS=MRC</stp>
        <stp>CURRENCY=USD</stp>
        <stp>XLFILL=b</stp>
        <tr r="AE4" s="2"/>
      </tp>
      <tp t="s">
        <v>#N/A Requesting Data...</v>
        <stp/>
        <stp>##V3_BQLV12</stp>
        <stp>[MODL_NOW_US1.xlsx]Single Period!R181C10</stp>
        <stp>NOW US Equity</stp>
        <stp>BS_LONG_TERM_BORROWINGS/1M</stp>
        <stp>FPR=2021Y</stp>
        <stp>FPT=A</stp>
        <stp>FA_ACT_EST_DATA=E, EST_SOURCE=CMPY</stp>
        <stp>ACT_EST_MAPPING=PRECISE</stp>
        <stp>FS=MRC</stp>
        <stp>CURRENCY=USD</stp>
        <stp>XLFILL=b</stp>
        <tr r="J181" s="2"/>
      </tp>
      <tp t="s">
        <v>#N/A Requesting Data...</v>
        <stp/>
        <stp>##V3_BQLV12</stp>
        <stp>[MODL_NOW_US1.xlsx]Single Period!R51C36</stp>
        <stp>NOW US Equity</stp>
        <stp>ACCOUNTS_PAYABLE_TURNOVER_DAYS</stp>
        <stp>FPR=2021Y</stp>
        <stp>FPT=A</stp>
        <stp>FA_ACT_EST_DATA=E, EST_SOURCE=JEF</stp>
        <stp>ACT_EST_MAPPING=PRECISE</stp>
        <stp>FS=MRC</stp>
        <stp>CURRENCY=USD</stp>
        <stp>XLFILL=b</stp>
        <tr r="AJ51" s="2"/>
      </tp>
      <tp t="s">
        <v>#N/A Requesting Data...</v>
        <stp/>
        <stp>##V3_BQLV12</stp>
        <stp>[MODL_NOW_US1.xlsx]Single Period!R32C39</stp>
        <stp>NOW US Equity</stp>
        <stp>BS_REMAINING_PERFORMANCE_OBLIG/1M</stp>
        <stp>FPR=2021Y</stp>
        <stp>FPT=A</stp>
        <stp>FA_ACT_EST_DATA=E, EST_SOURCE=DZB</stp>
        <stp>ACT_EST_MAPPING=PRECISE</stp>
        <stp>FS=MRC</stp>
        <stp>CURRENCY=USD</stp>
        <stp>XLFILL=b</stp>
        <tr r="AM32" s="2"/>
      </tp>
      <tp t="s">
        <v>#N/A Requesting Data...</v>
        <stp/>
        <stp>##V3_BQLV12</stp>
        <stp>[MODL_NOW_US1.xlsx]Single Period!R114C43</stp>
        <stp>SEG0000230986 Segment</stp>
        <stp>CB_IS_GROSS_MARGIN</stp>
        <stp>FPR=2021Y</stp>
        <stp>FPT=A</stp>
        <stp>FA_ACT_EST_DATA=E, EST_SOURCE=WFT</stp>
        <stp>ACT_EST_MAPPING=PRECISE</stp>
        <stp>FS=MRC</stp>
        <stp>CURRENCY=USD</stp>
        <stp>XLFILL=b</stp>
        <tr r="AQ114" s="2"/>
      </tp>
      <tp t="s">
        <v>#N/A Requesting Data...</v>
        <stp/>
        <stp>##V3_BQLV12</stp>
        <stp>[MODL_NOW_US1.xlsx]Single Period!R32C46</stp>
        <stp>NOW US Equity</stp>
        <stp>BS_REMAINING_PERFORMANCE_OBLIG/1M</stp>
        <stp>FPR=2021Y</stp>
        <stp>FPT=A</stp>
        <stp>FA_ACT_EST_DATA=E, EST_SOURCE=MZS</stp>
        <stp>ACT_EST_MAPPING=PRECISE</stp>
        <stp>FS=MRC</stp>
        <stp>CURRENCY=USD</stp>
        <stp>XLFILL=b</stp>
        <tr r="AT32" s="2"/>
      </tp>
      <tp t="s">
        <v>#N/A Requesting Data...</v>
        <stp/>
        <stp>##V3_BQLV12</stp>
        <stp>[MODL_NOW_US1.xlsx]Single Period!R114C10</stp>
        <stp>SEG0000230986 Segment</stp>
        <stp>CB_IS_GROSS_MARGIN</stp>
        <stp>FPR=2021Y</stp>
        <stp>FPT=A</stp>
        <stp>FA_ACT_EST_DATA=E, EST_SOURCE=CMPY</stp>
        <stp>ACT_EST_MAPPING=PRECISE</stp>
        <stp>FS=MRC</stp>
        <stp>CURRENCY=USD</stp>
        <stp>XLFILL=b</stp>
        <tr r="J114" s="2"/>
      </tp>
      <tp t="s">
        <v>#N/A Requesting Data...</v>
        <stp/>
        <stp>##V3_BQLV12</stp>
        <stp>[MODL_NOW_US1.xlsx]Single Period!R51C13</stp>
        <stp>NOW US Equity</stp>
        <stp>ACCOUNTS_PAYABLE_TURNOVER_DAYS</stp>
        <stp>FPR=2021Y</stp>
        <stp>FPT=A</stp>
        <stp>FA_ACT_EST_DATA=E, EST_SOURCE=KEY</stp>
        <stp>ACT_EST_MAPPING=PRECISE</stp>
        <stp>FS=MRC</stp>
        <stp>CURRENCY=USD</stp>
        <stp>XLFILL=b</stp>
        <tr r="M51" s="2"/>
      </tp>
      <tp t="s">
        <v>#N/A Requesting Data...</v>
        <stp/>
        <stp>##V3_BQLV12</stp>
        <stp>[MODL_NOW_US1.xlsx]Single Period!R118C37</stp>
        <stp>NOW US Equity</stp>
        <stp>OPERATING_EXPENSES_TO_NET_SALES</stp>
        <stp>FPR=2021Y</stp>
        <stp>FPT=A</stp>
        <stp>FA_ACT_EST_DATA=E, EST_SOURCE=TTC</stp>
        <stp>ACT_EST_MAPPING=PRECISE</stp>
        <stp>FS=MRC</stp>
        <stp>CURRENCY=USD</stp>
        <stp>XLFILL=b</stp>
        <tr r="AK118" s="2"/>
      </tp>
      <tp t="s">
        <v>#N/A Requesting Data...</v>
        <stp/>
        <stp>##V3_BQLV12</stp>
        <stp>[MODL_NOW_US1.xlsx]Single Period!R59C10</stp>
        <stp>SEG0000230975 Segment</stp>
        <stp>IS_PERCENTAGE_OF_REVENUE</stp>
        <stp>FPR=2021Y</stp>
        <stp>FPT=A</stp>
        <stp>FA_ACT_EST_DATA=E, EST_SOURCE=CMPY</stp>
        <stp>ACT_EST_MAPPING=PRECISE</stp>
        <stp>FS=MRC</stp>
        <stp>CURRENCY=USD</stp>
        <stp>XLFILL=b</stp>
        <tr r="J59" s="2"/>
      </tp>
      <tp t="s">
        <v>#N/A Requesting Data...</v>
        <stp/>
        <stp>##V3_BQLV12</stp>
        <stp>[MODL_NOW_US1.xlsx]Single Period!R235C7</stp>
        <stp>NOW US Equity</stp>
        <stp>CONTRIBUTOR_STATS(CF_FREE_CASH_FLOW_AS_REPORTED, MAX)/1M</stp>
        <stp>FPR=2021Y</stp>
        <stp>FPT=A</stp>
        <stp>FA_ACT_EST_DATA=E</stp>
        <stp>ACT_EST_MAPPING=PRECISE</stp>
        <stp>FS=MRC</stp>
        <stp>CURRENCY=USD</stp>
        <stp>XLFILL=b</stp>
        <tr r="G235" s="2"/>
      </tp>
      <tp t="s">
        <v>#N/A Requesting Data...</v>
        <stp/>
        <stp>##V3_BQLV12</stp>
        <stp>[MODL_NOW_US1.xlsx]Single Period!R6C7</stp>
        <stp>NOW US Equity</stp>
        <stp>CONTRIBUTOR_STATS(IS_COMP_EPS_EXCL_STOCK_COMP, MAX)</stp>
        <stp>FPR=2021Y</stp>
        <stp>FPT=A</stp>
        <stp>FA_ACT_EST_DATA=E</stp>
        <stp>ACT_EST_MAPPING=PRECISE</stp>
        <stp>FS=MRC</stp>
        <stp>CURRENCY=USD</stp>
        <stp>XLFILL=b</stp>
        <tr r="G6" s="2"/>
      </tp>
      <tp t="s">
        <v>#N/A Requesting Data...</v>
        <stp/>
        <stp>##V3_BQLV12</stp>
        <stp>[MODL_NOW_US1.xlsx]Single Period!R7C20</stp>
        <stp>NOW US Equity</stp>
        <stp>IS_COMP_SALES/1M</stp>
        <stp>FPR=2021Y</stp>
        <stp>FPT=A</stp>
        <stp>FA_ACT_EST_DATA=E, EST_SOURCE=CAN</stp>
        <stp>ACT_EST_MAPPING=PRECISE</stp>
        <stp>FS=MRC</stp>
        <stp>CURRENCY=USD</stp>
        <stp>XLFILL=b</stp>
        <tr r="T7" s="2"/>
      </tp>
      <tp t="s">
        <v>#N/A Requesting Data...</v>
        <stp/>
        <stp>##V3_BQLV12</stp>
        <stp>[MODL_NOW_US1.xlsx]Single Period!R7C30</stp>
        <stp>NOW US Equity</stp>
        <stp>IS_COMP_SALES/1M</stp>
        <stp>FPR=2021Y</stp>
        <stp>FPT=A</stp>
        <stp>FA_ACT_EST_DATA=E, EST_SOURCE=BAM</stp>
        <stp>ACT_EST_MAPPING=PRECISE</stp>
        <stp>FS=MRC</stp>
        <stp>CURRENCY=USD</stp>
        <stp>XLFILL=b</stp>
        <tr r="AD7" s="2"/>
      </tp>
      <tp t="s">
        <v>#N/A Requesting Data...</v>
        <stp/>
        <stp>##V3_BQLV12</stp>
        <stp>[MODL_NOW_US1.xlsx]Single Period!R6C6</stp>
        <stp>NOW US Equity</stp>
        <stp>CONTRIBUTOR_STATS(IS_COMP_EPS_EXCL_STOCK_COMP, MIN)</stp>
        <stp>FPR=2021Y</stp>
        <stp>FPT=A</stp>
        <stp>FA_ACT_EST_DATA=E</stp>
        <stp>ACT_EST_MAPPING=PRECISE</stp>
        <stp>FS=MRC</stp>
        <stp>CURRENCY=USD</stp>
        <stp>XLFILL=b</stp>
        <tr r="F6" s="2"/>
      </tp>
      <tp t="s">
        <v>#N/A Requesting Data...</v>
        <stp/>
        <stp>##V3_BQLV12</stp>
        <stp>[MODL_NOW_US1.xlsx]Single Period!R120C17</stp>
        <stp>NOW US Equity</stp>
        <stp>IS_OPEX_R_AND_D_GAAP/1M</stp>
        <stp>FPR=2021Y</stp>
        <stp>FPT=A</stp>
        <stp>FA_ACT_EST_DATA=E, EST_SOURCE=RHR</stp>
        <stp>ACT_EST_MAPPING=PRECISE</stp>
        <stp>FS=MRC</stp>
        <stp>CURRENCY=USD</stp>
        <stp>XLFILL=b</stp>
        <tr r="Q120" s="2"/>
      </tp>
      <tp t="s">
        <v>#N/A Requesting Data...</v>
        <stp/>
        <stp>##V3_BQLV12</stp>
        <stp>[MODL_NOW_US1.xlsx]Single Period!R87C48</stp>
        <stp>NOW US Equity</stp>
        <stp>CB_IS_ADJUSTED_OPEX/1M</stp>
        <stp>FPR=2021Y</stp>
        <stp>FPT=A</stp>
        <stp>FA_ACT_EST_DATA=E, EST_SOURCE=CRC</stp>
        <stp>ACT_EST_MAPPING=PRECISE</stp>
        <stp>FS=MRC</stp>
        <stp>CURRENCY=USD</stp>
        <stp>XLFILL=b</stp>
        <tr r="AV87" s="2"/>
      </tp>
      <tp t="s">
        <v>#N/A Requesting Data...</v>
        <stp/>
        <stp>##V3_BQLV12</stp>
        <stp>[MODL_NOW_US1.xlsx]Single Period!R87C44</stp>
        <stp>NOW US Equity</stp>
        <stp>CB_IS_ADJUSTED_OPEX/1M</stp>
        <stp>FPR=2021Y</stp>
        <stp>FPT=A</stp>
        <stp>FA_ACT_EST_DATA=E, EST_SOURCE=ARE</stp>
        <stp>ACT_EST_MAPPING=PRECISE</stp>
        <stp>FS=MRC</stp>
        <stp>CURRENCY=USD</stp>
        <stp>XLFILL=b</stp>
        <tr r="AR87" s="2"/>
      </tp>
      <tp t="s">
        <v>#N/A Requesting Data...</v>
        <stp/>
        <stp>##V3_BQLV12</stp>
        <stp>[MODL_NOW_US1.xlsx]Single Period!R208C6</stp>
        <stp>NOW US Equity</stp>
        <stp>CONTRIBUTOR_STATS(CF_CHANGE_IN_OTHR_ASSTS, MIN)/1M</stp>
        <stp>FPR=2021Y</stp>
        <stp>FPT=A</stp>
        <stp>FA_ACT_EST_DATA=E</stp>
        <stp>ACT_EST_MAPPING=PRECISE</stp>
        <stp>FS=MRC</stp>
        <stp>CURRENCY=USD</stp>
        <stp>XLFILL=b</stp>
        <tr r="F208" s="2"/>
      </tp>
      <tp t="s">
        <v>#N/A Requesting Data...</v>
        <stp/>
        <stp>##V3_BQLV12</stp>
        <stp>[MODL_NOW_US1.xlsx]Single Period!R208C7</stp>
        <stp>NOW US Equity</stp>
        <stp>CONTRIBUTOR_STATS(CF_CHANGE_IN_OTHR_ASSTS, MAX)/1M</stp>
        <stp>FPR=2021Y</stp>
        <stp>FPT=A</stp>
        <stp>FA_ACT_EST_DATA=E</stp>
        <stp>ACT_EST_MAPPING=PRECISE</stp>
        <stp>FS=MRC</stp>
        <stp>CURRENCY=USD</stp>
        <stp>XLFILL=b</stp>
        <tr r="G208" s="2"/>
      </tp>
      <tp t="s">
        <v>#N/A Requesting Data...</v>
        <stp/>
        <stp>##V3_BQLV12</stp>
        <stp>[MODL_NOW_US1.xlsx]Single Period!R7C5</stp>
        <stp>NOW US Equity</stp>
        <stp>IS_COMP_SALES/1M</stp>
        <stp>FPR=2021Y</stp>
        <stp>FPT=A</stp>
        <stp>FA_ACT_EST_DATA=E</stp>
        <stp>ACT_EST_MAPPING=PRECISE</stp>
        <stp>FS=MRC</stp>
        <stp>CURRENCY=USD</stp>
        <stp>XLFILL=b</stp>
        <tr r="E7" s="2"/>
      </tp>
      <tp t="s">
        <v>#N/A Requesting Data...</v>
        <stp/>
        <stp>##V3_BQLV12</stp>
        <stp>[MODL_NOW_US1.xlsx]Single Period!R87C41</stp>
        <stp>NOW US Equity</stp>
        <stp>CB_IS_ADJUSTED_OPEX/1M</stp>
        <stp>FPR=2021Y</stp>
        <stp>FPT=A</stp>
        <stp>FA_ACT_EST_DATA=E, EST_SOURCE=ARG</stp>
        <stp>ACT_EST_MAPPING=PRECISE</stp>
        <stp>FS=MRC</stp>
        <stp>CURRENCY=USD</stp>
        <stp>XLFILL=b</stp>
        <tr r="AO87" s="2"/>
      </tp>
      <tp t="s">
        <v>#N/A Requesting Data...</v>
        <stp/>
        <stp>##V3_BQLV12</stp>
        <stp>[MODL_NOW_US1.xlsx]Single Period!R170C32</stp>
        <stp>NOW US Equity</stp>
        <stp>BS_TOT_ASSET/1M</stp>
        <stp>FPR=2021Y</stp>
        <stp>FPT=A</stp>
        <stp>FA_ACT_EST_DATA=E, EST_SOURCE=FBC</stp>
        <stp>ACT_EST_MAPPING=PRECISE</stp>
        <stp>FS=MRC</stp>
        <stp>CURRENCY=USD</stp>
        <stp>XLFILL=b</stp>
        <tr r="AF170" s="2"/>
      </tp>
      <tp t="s">
        <v>#N/A Requesting Data...</v>
        <stp/>
        <stp>##V3_BQLV12</stp>
        <stp>[MODL_NOW_US1.xlsx]Single Period!R122C36</stp>
        <stp>NOW US Equity</stp>
        <stp>IS_MERGER_AND_ACQUIS_EXPN_OP/1M</stp>
        <stp>FPR=2021Y</stp>
        <stp>FPT=A</stp>
        <stp>FA_ACT_EST_DATA=E, EST_SOURCE=JEF</stp>
        <stp>ACT_EST_MAPPING=PRECISE</stp>
        <stp>FS=MRC</stp>
        <stp>CURRENCY=USD</stp>
        <stp>XLFILL=b</stp>
        <tr r="AJ122" s="2"/>
      </tp>
      <tp t="s">
        <v>#N/A Requesting Data...</v>
        <stp/>
        <stp>##V3_BQLV12</stp>
        <stp>[MODL_NOW_US1.xlsx]Single Period!R185C32</stp>
        <stp>NOW US Equity</stp>
        <stp>BS_TOT_ASSET/1M</stp>
        <stp>FPR=2021Y</stp>
        <stp>FPT=A</stp>
        <stp>FA_ACT_EST_DATA=E, EST_SOURCE=FBC</stp>
        <stp>ACT_EST_MAPPING=PRECISE</stp>
        <stp>FS=MRC</stp>
        <stp>CURRENCY=USD</stp>
        <stp>XLFILL=b</stp>
        <tr r="AF185" s="2"/>
      </tp>
      <tp t="s">
        <v>#N/A Requesting Data...</v>
        <stp/>
        <stp>##V3_BQLV12</stp>
        <stp>[MODL_NOW_US1.xlsx]Single Period!R147C14</stp>
        <stp>NOW US Equity</stp>
        <stp>IS_AMORT_OF_TOT_INTANG_PRETX/1M</stp>
        <stp>FPR=2021Y</stp>
        <stp>FPT=A</stp>
        <stp>FA_ACT_EST_DATA=E, EST_SOURCE=BMO</stp>
        <stp>ACT_EST_MAPPING=PRECISE</stp>
        <stp>FS=MRC</stp>
        <stp>CURRENCY=USD</stp>
        <stp>XLFILL=b</stp>
        <tr r="N147" s="2"/>
      </tp>
      <tp t="s">
        <v>#N/A Requesting Data...</v>
        <stp/>
        <stp>##V3_BQLV12</stp>
        <stp>[MODL_NOW_US1.xlsx]Single Period!R165C12</stp>
        <stp>NOW US Equity</stp>
        <stp>BS_OPER_LEA_RT_OF_USE_ASSETS/1M</stp>
        <stp>FPR=2021Y</stp>
        <stp>FPT=A</stp>
        <stp>FA_ACT_EST_DATA=E, EST_SOURCE=WBL</stp>
        <stp>ACT_EST_MAPPING=PRECISE</stp>
        <stp>FS=MRC</stp>
        <stp>CURRENCY=USD</stp>
        <stp>XLFILL=b</stp>
        <tr r="L165" s="2"/>
      </tp>
      <tp t="s">
        <v>#N/A Requesting Data...</v>
        <stp/>
        <stp>##V3_BQLV12</stp>
        <stp>[MODL_NOW_US1.xlsx]Single Period!R165C20</stp>
        <stp>NOW US Equity</stp>
        <stp>BS_OPER_LEA_RT_OF_USE_ASSETS/1M</stp>
        <stp>FPR=2021Y</stp>
        <stp>FPT=A</stp>
        <stp>FA_ACT_EST_DATA=E, EST_SOURCE=CAN</stp>
        <stp>ACT_EST_MAPPING=PRECISE</stp>
        <stp>FS=MRC</stp>
        <stp>CURRENCY=USD</stp>
        <stp>XLFILL=b</stp>
        <tr r="T165" s="2"/>
      </tp>
      <tp t="s">
        <v>#N/A Requesting Data...</v>
        <stp/>
        <stp>##V3_BQLV12</stp>
        <stp>[MODL_NOW_US1.xlsx]Single Period!R122C22</stp>
        <stp>NOW US Equity</stp>
        <stp>IS_MERGER_AND_ACQUIS_EXPN_OP/1M</stp>
        <stp>FPR=2021Y</stp>
        <stp>FPT=A</stp>
        <stp>FA_ACT_EST_DATA=E, EST_SOURCE=NDH</stp>
        <stp>ACT_EST_MAPPING=PRECISE</stp>
        <stp>FS=MRC</stp>
        <stp>CURRENCY=USD</stp>
        <stp>XLFILL=b</stp>
        <tr r="V122" s="2"/>
      </tp>
      <tp t="s">
        <v>#N/A Requesting Data...</v>
        <stp/>
        <stp>##V3_BQLV12</stp>
        <stp>[MODL_NOW_US1.xlsx]Single Period!R115C24</stp>
        <stp>NOW US Equity</stp>
        <stp>GROSS_PROFIT/1M</stp>
        <stp>FPR=2021Y</stp>
        <stp>FPT=A</stp>
        <stp>FA_ACT_EST_DATA=E, EST_SOURCE=CWN</stp>
        <stp>ACT_EST_MAPPING=PRECISE</stp>
        <stp>FS=MRC</stp>
        <stp>CURRENCY=USD</stp>
        <stp>XLFILL=b</stp>
        <tr r="X115" s="2"/>
      </tp>
      <tp t="s">
        <v>#N/A Requesting Data...</v>
        <stp/>
        <stp>##V3_BQLV12</stp>
        <stp>[MODL_NOW_US1.xlsx]Single Period!R39C23</stp>
        <stp>NOW US Equity</stp>
        <stp>IS_BILLINGS/1M</stp>
        <stp>FPR=2021Y</stp>
        <stp>FPT=A</stp>
        <stp>FA_ACT_EST_DATA=E, EST_SOURCE=ZXS</stp>
        <stp>ACT_EST_MAPPING=PRECISE</stp>
        <stp>FS=MRC</stp>
        <stp>CURRENCY=USD</stp>
        <stp>XLFILL=b</stp>
        <tr r="W39" s="2"/>
      </tp>
      <tp t="s">
        <v>#N/A Requesting Data...</v>
        <stp/>
        <stp>##V3_BQLV12</stp>
        <stp>[MODL_NOW_US1.xlsx]Single Period!R93C28</stp>
        <stp>NOW US Equity</stp>
        <stp>G_AND_A_COST_PCT_REVENUES</stp>
        <stp>FPR=2021Y</stp>
        <stp>FPT=A</stp>
        <stp>FA_ACT_EST_DATA=E, EST_SOURCE=EVR</stp>
        <stp>ACT_EST_MAPPING=PRECISE</stp>
        <stp>FS=MRC</stp>
        <stp>CURRENCY=USD</stp>
        <stp>XLFILL=b</stp>
        <tr r="AB93" s="2"/>
      </tp>
      <tp t="s">
        <v>#N/A Requesting Data...</v>
        <stp/>
        <stp>##V3_BQLV12</stp>
        <stp>[MODL_NOW_US1.xlsx]Single Period!R218C5</stp>
        <stp>NOW US Equity</stp>
        <stp>CF_ACQUISITION_OF_INTANG_ASSETS/1M</stp>
        <stp>FPR=2021Y</stp>
        <stp>FPT=A</stp>
        <stp>FA_ACT_EST_DATA=E</stp>
        <stp>ACT_EST_MAPPING=PRECISE</stp>
        <stp>FS=MRC</stp>
        <stp>CURRENCY=USD</stp>
        <stp>XLFILL=b</stp>
        <tr r="E218" s="2"/>
      </tp>
      <tp t="s">
        <v>#N/A Requesting Data...</v>
        <stp/>
        <stp>##V3_BQLV12</stp>
        <stp>[MODL_NOW_US1.xlsx]Single Period!R208C8</stp>
        <stp>NOW US Equity</stp>
        <stp>CONTRIBUTOR_STATS(CF_CHANGE_IN_OTHR_ASSTS, STD)/1M</stp>
        <stp>FPR=2021Y</stp>
        <stp>FPT=A</stp>
        <stp>FA_ACT_EST_DATA=E</stp>
        <stp>ACT_EST_MAPPING=PRECISE</stp>
        <stp>FS=MRC</stp>
        <stp>CURRENCY=USD</stp>
        <stp>XLFILL=b</stp>
        <tr r="H208" s="2"/>
      </tp>
      <tp t="s">
        <v>#N/A Requesting Data...</v>
        <stp/>
        <stp>##V3_BQLV12</stp>
        <stp>[MODL_NOW_US1.xlsx]Single Period!R147C29</stp>
        <stp>NOW US Equity</stp>
        <stp>IS_AMORT_OF_TOT_INTANG_PRETX/1M</stp>
        <stp>FPR=2021Y</stp>
        <stp>FPT=A</stp>
        <stp>FA_ACT_EST_DATA=E, EST_SOURCE=BNS</stp>
        <stp>ACT_EST_MAPPING=PRECISE</stp>
        <stp>FS=MRC</stp>
        <stp>CURRENCY=USD</stp>
        <stp>XLFILL=b</stp>
        <tr r="AC147" s="2"/>
      </tp>
      <tp t="s">
        <v>#N/A Requesting Data...</v>
        <stp/>
        <stp>##V3_BQLV12</stp>
        <stp>[MODL_NOW_US1.xlsx]Single Period!R190C37</stp>
        <stp>NOW US Equity</stp>
        <stp>DEFERRED_REV/1M</stp>
        <stp>FPR=2021Y</stp>
        <stp>FPT=A</stp>
        <stp>FA_ACT_EST_DATA=E, EST_SOURCE=TTC</stp>
        <stp>ACT_EST_MAPPING=PRECISE</stp>
        <stp>FS=MRC</stp>
        <stp>CURRENCY=USD</stp>
        <stp>XLFILL=b</stp>
        <tr r="AK190" s="2"/>
      </tp>
      <tp t="s">
        <v>#N/A Requesting Data...</v>
        <stp/>
        <stp>##V3_BQLV12</stp>
        <stp>[MODL_NOW_US1.xlsx]Single Period!R51C27</stp>
        <stp>NOW US Equity</stp>
        <stp>ACCOUNTS_PAYABLE_TURNOVER_DAYS</stp>
        <stp>FPR=2021Y</stp>
        <stp>FPT=A</stp>
        <stp>FA_ACT_EST_DATA=E, EST_SOURCE=RBC</stp>
        <stp>ACT_EST_MAPPING=PRECISE</stp>
        <stp>FS=MRC</stp>
        <stp>CURRENCY=USD</stp>
        <stp>XLFILL=b</stp>
        <tr r="AA51" s="2"/>
      </tp>
      <tp t="s">
        <v>#N/A Requesting Data...</v>
        <stp/>
        <stp>##V3_BQLV12</stp>
        <stp>[MODL_NOW_US1.xlsx]Single Period!R132C30</stp>
        <stp>NOW US Equity</stp>
        <stp>CONT_INC_PER_SH</stp>
        <stp>FPR=2021Y</stp>
        <stp>FPT=A</stp>
        <stp>FA_ACT_EST_DATA=E, EST_SOURCE=BAM</stp>
        <stp>ACT_EST_MAPPING=PRECISE</stp>
        <stp>FS=MRC</stp>
        <stp>CURRENCY=USD</stp>
        <stp>XLFILL=b</stp>
        <tr r="AD132" s="2"/>
      </tp>
      <tp t="s">
        <v>#N/A Requesting Data...</v>
        <stp/>
        <stp>##V3_BQLV12</stp>
        <stp>[MODL_NOW_US1.xlsx]Single Period!R51C32</stp>
        <stp>NOW US Equity</stp>
        <stp>ACCOUNTS_PAYABLE_TURNOVER_DAYS</stp>
        <stp>FPR=2021Y</stp>
        <stp>FPT=A</stp>
        <stp>FA_ACT_EST_DATA=E, EST_SOURCE=FBC</stp>
        <stp>ACT_EST_MAPPING=PRECISE</stp>
        <stp>FS=MRC</stp>
        <stp>CURRENCY=USD</stp>
        <stp>XLFILL=b</stp>
        <tr r="AF51" s="2"/>
      </tp>
      <tp t="s">
        <v>#N/A Requesting Data...</v>
        <stp/>
        <stp>##V3_BQLV12</stp>
        <stp>[MODL_NOW_US1.xlsx]Single Period!R114C33</stp>
        <stp>SEG0000230986 Segment</stp>
        <stp>CB_IS_GROSS_MARGIN</stp>
        <stp>FPR=2021Y</stp>
        <stp>FPT=A</stp>
        <stp>FA_ACT_EST_DATA=E, EST_SOURCE=MAC</stp>
        <stp>ACT_EST_MAPPING=PRECISE</stp>
        <stp>FS=MRC</stp>
        <stp>CURRENCY=USD</stp>
        <stp>XLFILL=b</stp>
        <tr r="AG114" s="2"/>
      </tp>
      <tp t="s">
        <v>#N/A Requesting Data...</v>
        <stp/>
        <stp>##V3_BQLV12</stp>
        <stp>[MODL_NOW_US1.xlsx]Single Period!R51C25</stp>
        <stp>NOW US Equity</stp>
        <stp>ACCOUNTS_PAYABLE_TURNOVER_DAYS</stp>
        <stp>FPR=2021Y</stp>
        <stp>FPT=A</stp>
        <stp>FA_ACT_EST_DATA=E, EST_SOURCE=DBG</stp>
        <stp>ACT_EST_MAPPING=PRECISE</stp>
        <stp>FS=MRC</stp>
        <stp>CURRENCY=USD</stp>
        <stp>XLFILL=b</stp>
        <tr r="Y51" s="2"/>
      </tp>
      <tp t="s">
        <v>#N/A Requesting Data...</v>
        <stp/>
        <stp>##V3_BQLV12</stp>
        <stp>[MODL_NOW_US1.xlsx]Single Period!R132C16</stp>
        <stp>NOW US Equity</stp>
        <stp>CONT_INC_PER_SH</stp>
        <stp>FPR=2021Y</stp>
        <stp>FPT=A</stp>
        <stp>FA_ACT_EST_DATA=E, EST_SOURCE=BCA</stp>
        <stp>ACT_EST_MAPPING=PRECISE</stp>
        <stp>FS=MRC</stp>
        <stp>CURRENCY=USD</stp>
        <stp>XLFILL=b</stp>
        <tr r="P132" s="2"/>
      </tp>
      <tp t="s">
        <v>#N/A Requesting Data...</v>
        <stp/>
        <stp>##V3_BQLV12</stp>
        <stp>[MODL_NOW_US1.xlsx]Single Period!R114C20</stp>
        <stp>SEG0000230986 Segment</stp>
        <stp>CB_IS_GROSS_MARGIN</stp>
        <stp>FPR=2021Y</stp>
        <stp>FPT=A</stp>
        <stp>FA_ACT_EST_DATA=E, EST_SOURCE=CAN</stp>
        <stp>ACT_EST_MAPPING=PRECISE</stp>
        <stp>FS=MRC</stp>
        <stp>CURRENCY=USD</stp>
        <stp>XLFILL=b</stp>
        <tr r="T114" s="2"/>
      </tp>
      <tp t="s">
        <v>#N/A Requesting Data...</v>
        <stp/>
        <stp>##V3_BQLV12</stp>
        <stp>[MODL_NOW_US1.xlsx]Single Period!R118C31</stp>
        <stp>NOW US Equity</stp>
        <stp>OPERATING_EXPENSES_TO_NET_SALES</stp>
        <stp>FPR=2021Y</stp>
        <stp>FPT=A</stp>
        <stp>FA_ACT_EST_DATA=E, EST_SOURCE=GSR</stp>
        <stp>ACT_EST_MAPPING=PRECISE</stp>
        <stp>FS=MRC</stp>
        <stp>CURRENCY=USD</stp>
        <stp>XLFILL=b</stp>
        <tr r="AE118" s="2"/>
      </tp>
      <tp t="s">
        <v>#N/A Requesting Data...</v>
        <stp/>
        <stp>##V3_BQLV12</stp>
        <stp>[MODL_NOW_US1.xlsx]Single Period!R114C30</stp>
        <stp>SEG0000230986 Segment</stp>
        <stp>CB_IS_GROSS_MARGIN</stp>
        <stp>FPR=2021Y</stp>
        <stp>FPT=A</stp>
        <stp>FA_ACT_EST_DATA=E, EST_SOURCE=BAM</stp>
        <stp>ACT_EST_MAPPING=PRECISE</stp>
        <stp>FS=MRC</stp>
        <stp>CURRENCY=USD</stp>
        <stp>XLFILL=b</stp>
        <tr r="AD114" s="2"/>
      </tp>
      <tp t="s">
        <v>#N/A Requesting Data...</v>
        <stp/>
        <stp>##V3_BQLV12</stp>
        <stp>[MODL_NOW_US1.xlsx]Single Period!R118C35</stp>
        <stp>NOW US Equity</stp>
        <stp>OPERATING_EXPENSES_TO_NET_SALES</stp>
        <stp>FPR=2021Y</stp>
        <stp>FPT=A</stp>
        <stp>FA_ACT_EST_DATA=E, EST_SOURCE=MSR</stp>
        <stp>ACT_EST_MAPPING=PRECISE</stp>
        <stp>FS=MRC</stp>
        <stp>CURRENCY=USD</stp>
        <stp>XLFILL=b</stp>
        <tr r="AI118" s="2"/>
      </tp>
      <tp t="s">
        <v>#N/A Requesting Data...</v>
        <stp/>
        <stp>##V3_BQLV12</stp>
        <stp>[MODL_NOW_US1.xlsx]Single Period!R51C12</stp>
        <stp>NOW US Equity</stp>
        <stp>ACCOUNTS_PAYABLE_TURNOVER_DAYS</stp>
        <stp>FPR=2021Y</stp>
        <stp>FPT=A</stp>
        <stp>FA_ACT_EST_DATA=E, EST_SOURCE=WBL</stp>
        <stp>ACT_EST_MAPPING=PRECISE</stp>
        <stp>FS=MRC</stp>
        <stp>CURRENCY=USD</stp>
        <stp>XLFILL=b</stp>
        <tr r="L51" s="2"/>
      </tp>
      <tp t="s">
        <v>#N/A Requesting Data...</v>
        <stp/>
        <stp>##V3_BQLV12</stp>
        <stp>[MODL_NOW_US1.xlsx]Single Period!R132C33</stp>
        <stp>NOW US Equity</stp>
        <stp>CONT_INC_PER_SH</stp>
        <stp>FPR=2021Y</stp>
        <stp>FPT=A</stp>
        <stp>FA_ACT_EST_DATA=E, EST_SOURCE=MAC</stp>
        <stp>ACT_EST_MAPPING=PRECISE</stp>
        <stp>FS=MRC</stp>
        <stp>CURRENCY=USD</stp>
        <stp>XLFILL=b</stp>
        <tr r="AG132" s="2"/>
      </tp>
      <tp t="s">
        <v>#N/A Requesting Data...</v>
        <stp/>
        <stp>##V3_BQLV12</stp>
        <stp>[MODL_NOW_US1.xlsx]Single Period!R118C42</stp>
        <stp>NOW US Equity</stp>
        <stp>OPERATING_EXPENSES_TO_NET_SALES</stp>
        <stp>FPR=2021Y</stp>
        <stp>FPT=A</stp>
        <stp>FA_ACT_EST_DATA=E, EST_SOURCE=CTI</stp>
        <stp>ACT_EST_MAPPING=PRECISE</stp>
        <stp>FS=MRC</stp>
        <stp>CURRENCY=USD</stp>
        <stp>XLFILL=b</stp>
        <tr r="AP118" s="2"/>
      </tp>
      <tp t="s">
        <v>#N/A Requesting Data...</v>
        <stp/>
        <stp>##V3_BQLV12</stp>
        <stp>[MODL_NOW_US1.xlsx]Single Period!R24C10</stp>
        <stp>NOW US Equity</stp>
        <stp>IS_ADJ_GROSS_PROFIT_AS_REPORTED/1M</stp>
        <stp>FPR=2021Y</stp>
        <stp>FPT=A</stp>
        <stp>FA_ACT_EST_DATA=E, EST_SOURCE=CMPY</stp>
        <stp>ACT_EST_MAPPING=PRECISE</stp>
        <stp>FS=MRC</stp>
        <stp>CURRENCY=USD</stp>
        <stp>XLFILL=b</stp>
        <tr r="J24" s="2"/>
      </tp>
      <tp t="s">
        <v>#N/A Requesting Data...</v>
        <stp/>
        <stp>##V3_BQLV12</stp>
        <stp>[MODL_NOW_US1.xlsx]Single Period!R51C26</stp>
        <stp>NOW US Equity</stp>
        <stp>ACCOUNTS_PAYABLE_TURNOVER_DAYS</stp>
        <stp>FPR=2021Y</stp>
        <stp>FPT=A</stp>
        <stp>FA_ACT_EST_DATA=E, EST_SOURCE=UBS</stp>
        <stp>ACT_EST_MAPPING=PRECISE</stp>
        <stp>FS=MRC</stp>
        <stp>CURRENCY=USD</stp>
        <stp>XLFILL=b</stp>
        <tr r="Z51" s="2"/>
      </tp>
      <tp t="s">
        <v>#N/A Requesting Data...</v>
        <stp/>
        <stp>##V3_BQLV12</stp>
        <stp>[MODL_NOW_US1.xlsx]Single Period!R132C43</stp>
        <stp>NOW US Equity</stp>
        <stp>CONT_INC_PER_SH</stp>
        <stp>FPR=2021Y</stp>
        <stp>FPT=A</stp>
        <stp>FA_ACT_EST_DATA=E, EST_SOURCE=WFT</stp>
        <stp>ACT_EST_MAPPING=PRECISE</stp>
        <stp>FS=MRC</stp>
        <stp>CURRENCY=USD</stp>
        <stp>XLFILL=b</stp>
        <tr r="AQ132" s="2"/>
      </tp>
      <tp t="s">
        <v>#N/A Requesting Data...</v>
        <stp/>
        <stp>##V3_BQLV12</stp>
        <stp>[MODL_NOW_US1.xlsx]Single Period!R37C23</stp>
        <stp>NOW US Equity</stp>
        <stp>BS_REMAINING_PERFORMANCE_OBLIG/1M</stp>
        <stp>FPR=2021Y</stp>
        <stp>FPT=A</stp>
        <stp>FA_ACT_EST_DATA=E, EST_SOURCE=ZXS</stp>
        <stp>ACT_EST_MAPPING=PRECISE</stp>
        <stp>FS=MRC</stp>
        <stp>CURRENCY=USD</stp>
        <stp>XLFILL=b</stp>
        <tr r="W37" s="2"/>
      </tp>
      <tp t="s">
        <v>#N/A Requesting Data...</v>
        <stp/>
        <stp>##V3_BQLV12</stp>
        <stp>[MODL_NOW_US1.xlsx]Single Period!R118C34</stp>
        <stp>NOW US Equity</stp>
        <stp>OPERATING_EXPENSES_TO_NET_SALES</stp>
        <stp>FPR=2021Y</stp>
        <stp>FPT=A</stp>
        <stp>FA_ACT_EST_DATA=E, EST_SOURCE=PSG</stp>
        <stp>ACT_EST_MAPPING=PRECISE</stp>
        <stp>FS=MRC</stp>
        <stp>CURRENCY=USD</stp>
        <stp>XLFILL=b</stp>
        <tr r="AH118" s="2"/>
      </tp>
      <tp t="s">
        <v>#N/A Requesting Data...</v>
        <stp/>
        <stp>##V3_BQLV12</stp>
        <stp>[MODL_NOW_US1.xlsx]Single Period!R84C10</stp>
        <stp>NOW US Equity</stp>
        <stp>IS_ADJ_GROSS_PROFIT_AS_REPORTED/1M</stp>
        <stp>FPR=2021Y</stp>
        <stp>FPT=A</stp>
        <stp>FA_ACT_EST_DATA=E, EST_SOURCE=CMPY</stp>
        <stp>ACT_EST_MAPPING=PRECISE</stp>
        <stp>FS=MRC</stp>
        <stp>CURRENCY=USD</stp>
        <stp>XLFILL=b</stp>
        <tr r="J84" s="2"/>
      </tp>
      <tp t="s">
        <v>#N/A Requesting Data...</v>
        <stp/>
        <stp>##V3_BQLV12</stp>
        <stp>[MODL_NOW_US1.xlsx]Single Period!R93C9</stp>
        <stp>NOW US Equity</stp>
        <stp>CONTRIBUTOR_STATS(G_AND_A_COST_PCT_REVENUES, MEDIAN)</stp>
        <stp>FPR=2021Y</stp>
        <stp>FPT=A</stp>
        <stp>FA_ACT_EST_DATA=E</stp>
        <stp>ACT_EST_MAPPING=PRECISE</stp>
        <stp>FS=MRC</stp>
        <stp>CURRENCY=USD</stp>
        <stp>XLFILL=b</stp>
        <tr r="I93" s="2"/>
      </tp>
      <tp t="s">
        <v>#N/A Requesting Data...</v>
        <stp/>
        <stp>##V3_BQLV12</stp>
        <stp>[MODL_NOW_US1.xlsx]Single Period!R51C10</stp>
        <stp>NOW US Equity</stp>
        <stp>ACCOUNTS_PAYABLE_TURNOVER_DAYS</stp>
        <stp>FPR=2021Y</stp>
        <stp>FPT=A</stp>
        <stp>FA_ACT_EST_DATA=E, EST_SOURCE=CMPY</stp>
        <stp>ACT_EST_MAPPING=PRECISE</stp>
        <stp>FS=MRC</stp>
        <stp>CURRENCY=USD</stp>
        <stp>XLFILL=b</stp>
        <tr r="J51" s="2"/>
      </tp>
      <tp t="s">
        <v>#N/A Requesting Data...</v>
        <stp/>
        <stp>##V3_BQLV12</stp>
        <stp>[MODL_NOW_US1.xlsx]Single Period!R194C8</stp>
        <stp>NOW US Equity</stp>
        <stp>CONTRIBUTOR_STATS(CB_BS_OTHER_CURRENT_ASSETS, STD)/1M</stp>
        <stp>FPR=2021Y</stp>
        <stp>FPT=A</stp>
        <stp>FA_ACT_EST_DATA=E</stp>
        <stp>ACT_EST_MAPPING=PRECISE</stp>
        <stp>FS=MRC</stp>
        <stp>CURRENCY=USD</stp>
        <stp>XLFILL=b</stp>
        <tr r="H194" s="2"/>
      </tp>
      <tp t="s">
        <v>#N/A Requesting Data...</v>
        <stp/>
        <stp>##V3_BQLV12</stp>
        <stp>[MODL_NOW_US1.xlsx]Single Period!R194C7</stp>
        <stp>NOW US Equity</stp>
        <stp>CONTRIBUTOR_STATS(CB_BS_OTHER_CURRENT_ASSETS, MAX)/1M</stp>
        <stp>FPR=2021Y</stp>
        <stp>FPT=A</stp>
        <stp>FA_ACT_EST_DATA=E</stp>
        <stp>ACT_EST_MAPPING=PRECISE</stp>
        <stp>FS=MRC</stp>
        <stp>CURRENCY=USD</stp>
        <stp>XLFILL=b</stp>
        <tr r="G194" s="2"/>
      </tp>
      <tp t="s">
        <v>#N/A Requesting Data...</v>
        <stp/>
        <stp>##V3_BQLV12</stp>
        <stp>[MODL_NOW_US1.xlsx]Single Period!R194C6</stp>
        <stp>NOW US Equity</stp>
        <stp>CONTRIBUTOR_STATS(CB_BS_OTHER_CURRENT_ASSETS, MIN)/1M</stp>
        <stp>FPR=2021Y</stp>
        <stp>FPT=A</stp>
        <stp>FA_ACT_EST_DATA=E</stp>
        <stp>ACT_EST_MAPPING=PRECISE</stp>
        <stp>FS=MRC</stp>
        <stp>CURRENCY=USD</stp>
        <stp>XLFILL=b</stp>
        <tr r="F194" s="2"/>
      </tp>
      <tp t="s">
        <v>#N/A Requesting Data...</v>
        <stp/>
        <stp>##V3_BQLV12</stp>
        <stp>[MODL_NOW_US1.xlsx]Single Period!R159C9</stp>
        <stp>NOW US Equity</stp>
        <stp>CONTRIBUTOR_STATS(CB_BS_OTHER_CURRENT_ASSETS, MEDIAN)/1M</stp>
        <stp>FPR=2021Y</stp>
        <stp>FPT=A</stp>
        <stp>FA_ACT_EST_DATA=E</stp>
        <stp>ACT_EST_MAPPING=PRECISE</stp>
        <stp>FS=MRC</stp>
        <stp>CURRENCY=USD</stp>
        <stp>XLFILL=b</stp>
        <tr r="I159" s="2"/>
      </tp>
      <tp t="s">
        <v>#N/A Requesting Data...</v>
        <stp/>
        <stp>##V3_BQLV12</stp>
        <stp>[MODL_NOW_US1.xlsx]Single Period!R131C9</stp>
        <stp>NOW US Equity</stp>
        <stp>CONTRIBUTOR_STATS(IS_AVG_NUM_SH_FOR_EPS, MEDIAN)/1M</stp>
        <stp>FPR=2021Y</stp>
        <stp>FPT=A</stp>
        <stp>FA_ACT_EST_DATA=E</stp>
        <stp>ACT_EST_MAPPING=PRECISE</stp>
        <stp>FS=MRC</stp>
        <stp>CURRENCY=USD</stp>
        <stp>XLFILL=b</stp>
        <tr r="I131" s="2"/>
      </tp>
      <tp t="s">
        <v>#N/A Requesting Data...</v>
        <stp/>
        <stp>##V3_BQLV12</stp>
        <stp>[MODL_NOW_US1.xlsx]Single Period!R7C22</stp>
        <stp>NOW US Equity</stp>
        <stp>IS_COMP_SALES/1M</stp>
        <stp>FPR=2021Y</stp>
        <stp>FPT=A</stp>
        <stp>FA_ACT_EST_DATA=E, EST_SOURCE=NDH</stp>
        <stp>ACT_EST_MAPPING=PRECISE</stp>
        <stp>FS=MRC</stp>
        <stp>CURRENCY=USD</stp>
        <stp>XLFILL=b</stp>
        <tr r="V7" s="2"/>
      </tp>
      <tp t="s">
        <v>#N/A Requesting Data...</v>
        <stp/>
        <stp>##V3_BQLV12</stp>
        <stp>[MODL_NOW_US1.xlsx]Single Period!R194C9</stp>
        <stp>NOW US Equity</stp>
        <stp>CONTRIBUTOR_STATS(CB_BS_OTHER_CURRENT_ASSETS, MEDIAN)/1M</stp>
        <stp>FPR=2021Y</stp>
        <stp>FPT=A</stp>
        <stp>FA_ACT_EST_DATA=E</stp>
        <stp>ACT_EST_MAPPING=PRECISE</stp>
        <stp>FS=MRC</stp>
        <stp>CURRENCY=USD</stp>
        <stp>XLFILL=b</stp>
        <tr r="I194" s="2"/>
      </tp>
      <tp t="s">
        <v>#N/A Requesting Data...</v>
        <stp/>
        <stp>##V3_BQLV12</stp>
        <stp>[MODL_NOW_US1.xlsx]Single Period!R182C9</stp>
        <stp>NOW US Equity</stp>
        <stp>CONTRIBUTOR_STATS(BS_OTHER_NONCURRENT_LIABILITIES, MEDIAN)/1M</stp>
        <stp>FPR=2021Y</stp>
        <stp>FPT=A</stp>
        <stp>FA_ACT_EST_DATA=E</stp>
        <stp>ACT_EST_MAPPING=PRECISE</stp>
        <stp>FS=MRC</stp>
        <stp>CURRENCY=USD</stp>
        <stp>XLFILL=b</stp>
        <tr r="I182" s="2"/>
      </tp>
      <tp t="s">
        <v>#N/A Requesting Data...</v>
        <stp/>
        <stp>##V3_BQLV12</stp>
        <stp>[MODL_NOW_US1.xlsx]Single Period!R7C18</stp>
        <stp>NOW US Equity</stp>
        <stp>IS_COMP_SALES/1M</stp>
        <stp>FPR=2021Y</stp>
        <stp>FPT=A</stp>
        <stp>FA_ACT_EST_DATA=E, EST_SOURCE=SNR</stp>
        <stp>ACT_EST_MAPPING=PRECISE</stp>
        <stp>FS=MRC</stp>
        <stp>CURRENCY=USD</stp>
        <stp>XLFILL=b</stp>
        <tr r="R7" s="2"/>
      </tp>
      <tp t="s">
        <v>#N/A Requesting Data...</v>
        <stp/>
        <stp>##V3_BQLV12</stp>
        <stp>[MODL_NOW_US1.xlsx]Single Period!R133C9</stp>
        <stp>NOW US Equity</stp>
        <stp>CONTRIBUTOR_STATS(IS_SH_FOR_DILUTED_EPS, MEDIAN)/1M</stp>
        <stp>FPR=2021Y</stp>
        <stp>FPT=A</stp>
        <stp>FA_ACT_EST_DATA=E</stp>
        <stp>ACT_EST_MAPPING=PRECISE</stp>
        <stp>FS=MRC</stp>
        <stp>CURRENCY=USD</stp>
        <stp>XLFILL=b</stp>
        <tr r="I133" s="2"/>
      </tp>
      <tp t="s">
        <v>#N/A Requesting Data...</v>
        <stp/>
        <stp>##V3_BQLV12</stp>
        <stp>[MODL_NOW_US1.xlsx]Single Period!R7C13</stp>
        <stp>NOW US Equity</stp>
        <stp>IS_COMP_SALES/1M</stp>
        <stp>FPR=2021Y</stp>
        <stp>FPT=A</stp>
        <stp>FA_ACT_EST_DATA=E, EST_SOURCE=KEY</stp>
        <stp>ACT_EST_MAPPING=PRECISE</stp>
        <stp>FS=MRC</stp>
        <stp>CURRENCY=USD</stp>
        <stp>XLFILL=b</stp>
        <tr r="M7" s="2"/>
      </tp>
      <tp t="s">
        <v>#N/A Requesting Data...</v>
        <stp/>
        <stp>##V3_BQLV12</stp>
        <stp>[MODL_NOW_US1.xlsx]Single Period!R185C22</stp>
        <stp>NOW US Equity</stp>
        <stp>BS_TOT_ASSET/1M</stp>
        <stp>FPR=2021Y</stp>
        <stp>FPT=A</stp>
        <stp>FA_ACT_EST_DATA=E, EST_SOURCE=NDH</stp>
        <stp>ACT_EST_MAPPING=PRECISE</stp>
        <stp>FS=MRC</stp>
        <stp>CURRENCY=USD</stp>
        <stp>XLFILL=b</stp>
        <tr r="V185" s="2"/>
      </tp>
      <tp t="s">
        <v>#N/A Requesting Data...</v>
        <stp/>
        <stp>##V3_BQLV12</stp>
        <stp>[MODL_NOW_US1.xlsx]Single Period!R222C18</stp>
        <stp>NOW US Equity</stp>
        <stp>CF_CASH_FROM_INV_ACT/1M</stp>
        <stp>FPR=2021Y</stp>
        <stp>FPT=A</stp>
        <stp>FA_ACT_EST_DATA=E, EST_SOURCE=SNR</stp>
        <stp>ACT_EST_MAPPING=PRECISE</stp>
        <stp>FS=MRC</stp>
        <stp>CURRENCY=USD</stp>
        <stp>XLFILL=b</stp>
        <tr r="R222" s="2"/>
      </tp>
      <tp t="s">
        <v>#N/A Requesting Data...</v>
        <stp/>
        <stp>##V3_BQLV12</stp>
        <stp>[MODL_NOW_US1.xlsx]Single Period!R170C36</stp>
        <stp>NOW US Equity</stp>
        <stp>BS_TOT_ASSET/1M</stp>
        <stp>FPR=2021Y</stp>
        <stp>FPT=A</stp>
        <stp>FA_ACT_EST_DATA=E, EST_SOURCE=JEF</stp>
        <stp>ACT_EST_MAPPING=PRECISE</stp>
        <stp>FS=MRC</stp>
        <stp>CURRENCY=USD</stp>
        <stp>XLFILL=b</stp>
        <tr r="AJ170" s="2"/>
      </tp>
      <tp t="s">
        <v>#N/A Requesting Data...</v>
        <stp/>
        <stp>##V3_BQLV12</stp>
        <stp>[MODL_NOW_US1.xlsx]Single Period!R122C32</stp>
        <stp>NOW US Equity</stp>
        <stp>IS_MERGER_AND_ACQUIS_EXPN_OP/1M</stp>
        <stp>FPR=2021Y</stp>
        <stp>FPT=A</stp>
        <stp>FA_ACT_EST_DATA=E, EST_SOURCE=FBC</stp>
        <stp>ACT_EST_MAPPING=PRECISE</stp>
        <stp>FS=MRC</stp>
        <stp>CURRENCY=USD</stp>
        <stp>XLFILL=b</stp>
        <tr r="AF122" s="2"/>
      </tp>
      <tp t="s">
        <v>#N/A Requesting Data...</v>
        <stp/>
        <stp>##V3_BQLV12</stp>
        <stp>[MODL_NOW_US1.xlsx]Single Period!R222C21</stp>
        <stp>NOW US Equity</stp>
        <stp>CF_CASH_FROM_INV_ACT/1M</stp>
        <stp>FPR=2021Y</stp>
        <stp>FPT=A</stp>
        <stp>FA_ACT_EST_DATA=E, EST_SOURCE=JMP</stp>
        <stp>ACT_EST_MAPPING=PRECISE</stp>
        <stp>FS=MRC</stp>
        <stp>CURRENCY=USD</stp>
        <stp>XLFILL=b</stp>
        <tr r="U222" s="2"/>
      </tp>
      <tp t="s">
        <v>#N/A Requesting Data...</v>
        <stp/>
        <stp>##V3_BQLV12</stp>
        <stp>[MODL_NOW_US1.xlsx]Single Period!R190C35</stp>
        <stp>NOW US Equity</stp>
        <stp>DEFERRED_REV/1M</stp>
        <stp>FPR=2021Y</stp>
        <stp>FPT=A</stp>
        <stp>FA_ACT_EST_DATA=E, EST_SOURCE=MSR</stp>
        <stp>ACT_EST_MAPPING=PRECISE</stp>
        <stp>FS=MRC</stp>
        <stp>CURRENCY=USD</stp>
        <stp>XLFILL=b</stp>
        <tr r="AI190" s="2"/>
      </tp>
      <tp t="s">
        <v>#N/A Requesting Data...</v>
        <stp/>
        <stp>##V3_BQLV12</stp>
        <stp>[MODL_NOW_US1.xlsx]Single Period!R17C8</stp>
        <stp>SEG0000230975 Segment</stp>
        <stp>CONTRIBUTOR_STATS(IS_BILLINGS, STD)/1M</stp>
        <stp>FPR=2021Y</stp>
        <stp>FPT=A</stp>
        <stp>FA_ACT_EST_DATA=E</stp>
        <stp>ACT_EST_MAPPING=PRECISE</stp>
        <stp>FS=MRC</stp>
        <stp>CURRENCY=USD</stp>
        <stp>XLFILL=b</stp>
        <tr r="H17" s="2"/>
      </tp>
      <tp t="s">
        <v>#N/A Requesting Data...</v>
        <stp/>
        <stp>##V3_BQLV12</stp>
        <stp>[MODL_NOW_US1.xlsx]Single Period!R185C36</stp>
        <stp>NOW US Equity</stp>
        <stp>BS_TOT_ASSET/1M</stp>
        <stp>FPR=2021Y</stp>
        <stp>FPT=A</stp>
        <stp>FA_ACT_EST_DATA=E, EST_SOURCE=JEF</stp>
        <stp>ACT_EST_MAPPING=PRECISE</stp>
        <stp>FS=MRC</stp>
        <stp>CURRENCY=USD</stp>
        <stp>XLFILL=b</stp>
        <tr r="AJ185" s="2"/>
      </tp>
      <tp t="s">
        <v>#N/A Requesting Data...</v>
        <stp/>
        <stp>##V3_BQLV12</stp>
        <stp>[MODL_NOW_US1.xlsx]Single Period!R170C22</stp>
        <stp>NOW US Equity</stp>
        <stp>BS_TOT_ASSET/1M</stp>
        <stp>FPR=2021Y</stp>
        <stp>FPT=A</stp>
        <stp>FA_ACT_EST_DATA=E, EST_SOURCE=NDH</stp>
        <stp>ACT_EST_MAPPING=PRECISE</stp>
        <stp>FS=MRC</stp>
        <stp>CURRENCY=USD</stp>
        <stp>XLFILL=b</stp>
        <tr r="V170" s="2"/>
      </tp>
      <tp t="s">
        <v>#N/A Requesting Data...</v>
        <stp/>
        <stp>##V3_BQLV12</stp>
        <stp>[MODL_NOW_US1.xlsx]Single Period!R190C31</stp>
        <stp>NOW US Equity</stp>
        <stp>DEFERRED_REV/1M</stp>
        <stp>FPR=2021Y</stp>
        <stp>FPT=A</stp>
        <stp>FA_ACT_EST_DATA=E, EST_SOURCE=GSR</stp>
        <stp>ACT_EST_MAPPING=PRECISE</stp>
        <stp>FS=MRC</stp>
        <stp>CURRENCY=USD</stp>
        <stp>XLFILL=b</stp>
        <tr r="AE190" s="2"/>
      </tp>
      <tp t="s">
        <v>#N/A Requesting Data...</v>
        <stp/>
        <stp>##V3_BQLV12</stp>
        <stp>[MODL_NOW_US1.xlsx]Single Period!R87C47</stp>
        <stp>NOW US Equity</stp>
        <stp>CB_IS_ADJUSTED_OPEX/1M</stp>
        <stp>FPR=2021Y</stp>
        <stp>FPT=A</stp>
        <stp>FA_ACT_EST_DATA=E, EST_SOURCE=SUM</stp>
        <stp>ACT_EST_MAPPING=PRECISE</stp>
        <stp>FS=MRC</stp>
        <stp>CURRENCY=USD</stp>
        <stp>XLFILL=b</stp>
        <tr r="AU87" s="2"/>
      </tp>
      <tp t="s">
        <v>#N/A Requesting Data...</v>
        <stp/>
        <stp>##V3_BQLV12</stp>
        <stp>[MODL_NOW_US1.xlsx]Single Period!R190C42</stp>
        <stp>NOW US Equity</stp>
        <stp>DEFERRED_REV/1M</stp>
        <stp>FPR=2021Y</stp>
        <stp>FPT=A</stp>
        <stp>FA_ACT_EST_DATA=E, EST_SOURCE=CTI</stp>
        <stp>ACT_EST_MAPPING=PRECISE</stp>
        <stp>FS=MRC</stp>
        <stp>CURRENCY=USD</stp>
        <stp>XLFILL=b</stp>
        <tr r="AP190" s="2"/>
      </tp>
      <tp t="s">
        <v>#N/A Requesting Data...</v>
        <stp/>
        <stp>##V3_BQLV12</stp>
        <stp>[MODL_NOW_US1.xlsx]Single Period!R120C45</stp>
        <stp>NOW US Equity</stp>
        <stp>IS_OPEX_R_AND_D_GAAP/1M</stp>
        <stp>FPR=2021Y</stp>
        <stp>FPT=A</stp>
        <stp>FA_ACT_EST_DATA=E, EST_SOURCE=PJE</stp>
        <stp>ACT_EST_MAPPING=PRECISE</stp>
        <stp>FS=MRC</stp>
        <stp>CURRENCY=USD</stp>
        <stp>XLFILL=b</stp>
        <tr r="AS120" s="2"/>
      </tp>
      <tp t="s">
        <v>#N/A Requesting Data...</v>
        <stp/>
        <stp>##V3_BQLV12</stp>
        <stp>[MODL_NOW_US1.xlsx]Single Period!R17C6</stp>
        <stp>SEG0000230975 Segment</stp>
        <stp>CONTRIBUTOR_STATS(IS_BILLINGS, MIN)/1M</stp>
        <stp>FPR=2021Y</stp>
        <stp>FPT=A</stp>
        <stp>FA_ACT_EST_DATA=E</stp>
        <stp>ACT_EST_MAPPING=PRECISE</stp>
        <stp>FS=MRC</stp>
        <stp>CURRENCY=USD</stp>
        <stp>XLFILL=b</stp>
        <tr r="F17" s="2"/>
      </tp>
      <tp t="s">
        <v>#N/A Requesting Data...</v>
        <stp/>
        <stp>##V3_BQLV12</stp>
        <stp>[MODL_NOW_US1.xlsx]Single Period!R17C7</stp>
        <stp>SEG0000230975 Segment</stp>
        <stp>CONTRIBUTOR_STATS(IS_BILLINGS, MAX)/1M</stp>
        <stp>FPR=2021Y</stp>
        <stp>FPT=A</stp>
        <stp>FA_ACT_EST_DATA=E</stp>
        <stp>ACT_EST_MAPPING=PRECISE</stp>
        <stp>FS=MRC</stp>
        <stp>CURRENCY=USD</stp>
        <stp>XLFILL=b</stp>
        <tr r="G17" s="2"/>
      </tp>
      <tp t="s">
        <v>#N/A Requesting Data...</v>
        <stp/>
        <stp>##V3_BQLV12</stp>
        <stp>[MODL_NOW_US1.xlsx]Single Period!R115C19</stp>
        <stp>NOW US Equity</stp>
        <stp>GROSS_PROFIT/1M</stp>
        <stp>FPR=2021Y</stp>
        <stp>FPT=A</stp>
        <stp>FA_ACT_EST_DATA=E, EST_SOURCE=MSV</stp>
        <stp>ACT_EST_MAPPING=PRECISE</stp>
        <stp>FS=MRC</stp>
        <stp>CURRENCY=USD</stp>
        <stp>XLFILL=b</stp>
        <tr r="S115" s="2"/>
      </tp>
      <tp t="s">
        <v>#N/A Requesting Data...</v>
        <stp/>
        <stp>##V3_BQLV12</stp>
        <stp>[MODL_NOW_US1.xlsx]Single Period!R190C34</stp>
        <stp>NOW US Equity</stp>
        <stp>DEFERRED_REV/1M</stp>
        <stp>FPR=2021Y</stp>
        <stp>FPT=A</stp>
        <stp>FA_ACT_EST_DATA=E, EST_SOURCE=PSG</stp>
        <stp>ACT_EST_MAPPING=PRECISE</stp>
        <stp>FS=MRC</stp>
        <stp>CURRENCY=USD</stp>
        <stp>XLFILL=b</stp>
        <tr r="AH190" s="2"/>
      </tp>
      <tp t="s">
        <v>#N/A Requesting Data...</v>
        <stp/>
        <stp>##V3_BQLV12</stp>
        <stp>[MODL_NOW_US1.xlsx]Single Period!R165C13</stp>
        <stp>NOW US Equity</stp>
        <stp>BS_OPER_LEA_RT_OF_USE_ASSETS/1M</stp>
        <stp>FPR=2021Y</stp>
        <stp>FPT=A</stp>
        <stp>FA_ACT_EST_DATA=E, EST_SOURCE=KEY</stp>
        <stp>ACT_EST_MAPPING=PRECISE</stp>
        <stp>FS=MRC</stp>
        <stp>CURRENCY=USD</stp>
        <stp>XLFILL=b</stp>
        <tr r="M165" s="2"/>
      </tp>
      <tp t="s">
        <v>#N/A Requesting Data...</v>
        <stp/>
        <stp>##V3_BQLV12</stp>
        <stp>[MODL_NOW_US1.xlsx]Single Period!R132C20</stp>
        <stp>NOW US Equity</stp>
        <stp>CONT_INC_PER_SH</stp>
        <stp>FPR=2021Y</stp>
        <stp>FPT=A</stp>
        <stp>FA_ACT_EST_DATA=E, EST_SOURCE=CAN</stp>
        <stp>ACT_EST_MAPPING=PRECISE</stp>
        <stp>FS=MRC</stp>
        <stp>CURRENCY=USD</stp>
        <stp>XLFILL=b</stp>
        <tr r="T132" s="2"/>
      </tp>
      <tp t="s">
        <v>#N/A Requesting Data...</v>
        <stp/>
        <stp>##V3_BQLV12</stp>
        <stp>[MODL_NOW_US1.xlsx]Single Period!R132C12</stp>
        <stp>NOW US Equity</stp>
        <stp>CONT_INC_PER_SH</stp>
        <stp>FPR=2021Y</stp>
        <stp>FPT=A</stp>
        <stp>FA_ACT_EST_DATA=E, EST_SOURCE=WBL</stp>
        <stp>ACT_EST_MAPPING=PRECISE</stp>
        <stp>FS=MRC</stp>
        <stp>CURRENCY=USD</stp>
        <stp>XLFILL=b</stp>
        <tr r="L132" s="2"/>
      </tp>
      <tp t="s">
        <v>#N/A Requesting Data...</v>
        <stp/>
        <stp>##V3_BQLV12</stp>
        <stp>[MODL_NOW_US1.xlsx]Single Period!R237C23</stp>
        <stp>NOW US Equity</stp>
        <stp>FCF_PER_DIL_SHR</stp>
        <stp>FPR=2021Y</stp>
        <stp>FPT=A</stp>
        <stp>FA_ACT_EST_DATA=E, EST_SOURCE=ZXS</stp>
        <stp>ACT_EST_MAPPING=PRECISE</stp>
        <stp>FS=MRC</stp>
        <stp>CURRENCY=USD</stp>
        <stp>XLFILL=b</stp>
        <tr r="W237" s="2"/>
      </tp>
      <tp t="s">
        <v>#N/A Requesting Data...</v>
        <stp/>
        <stp>##V3_BQLV12</stp>
        <stp>[MODL_NOW_US1.xlsx]Single Period!R51C16</stp>
        <stp>NOW US Equity</stp>
        <stp>ACCOUNTS_PAYABLE_TURNOVER_DAYS</stp>
        <stp>FPR=2021Y</stp>
        <stp>FPT=A</stp>
        <stp>FA_ACT_EST_DATA=E, EST_SOURCE=BCA</stp>
        <stp>ACT_EST_MAPPING=PRECISE</stp>
        <stp>FS=MRC</stp>
        <stp>CURRENCY=USD</stp>
        <stp>XLFILL=b</stp>
        <tr r="P51" s="2"/>
      </tp>
      <tp t="s">
        <v>#N/A Requesting Data...</v>
        <stp/>
        <stp>##V3_BQLV12</stp>
        <stp>[MODL_NOW_US1.xlsx]Single Period!R4C41</stp>
        <stp>NOW US Equity</stp>
        <stp>LAST(IS_COMP_SALES(FA_ACT_EST_DATA=E, EST_SOURCE=ARG).analyst_name)</stp>
        <stp>FPR=2021Y</stp>
        <stp>FPT=A</stp>
        <stp>ACT_EST_MAPPING=PRECISE</stp>
        <stp>FS=MRC</stp>
        <stp>CURRENCY=USD</stp>
        <stp>XLFILL=b</stp>
        <tr r="AO4" s="2"/>
      </tp>
      <tp t="s">
        <v>#N/A Requesting Data...</v>
        <stp/>
        <stp>##V3_BQLV12</stp>
        <stp>[MODL_NOW_US1.xlsx]Single Period!R4C44</stp>
        <stp>NOW US Equity</stp>
        <stp>LAST(IS_COMP_SALES(FA_ACT_EST_DATA=E, EST_SOURCE=ARE).analyst_name)</stp>
        <stp>FPR=2021Y</stp>
        <stp>FPT=A</stp>
        <stp>ACT_EST_MAPPING=PRECISE</stp>
        <stp>FS=MRC</stp>
        <stp>CURRENCY=USD</stp>
        <stp>XLFILL=b</stp>
        <tr r="AR4" s="2"/>
      </tp>
      <tp t="s">
        <v>#N/A Requesting Data...</v>
        <stp/>
        <stp>##V3_BQLV12</stp>
        <stp>[MODL_NOW_US1.xlsx]Single Period!R51C49</stp>
        <stp>NOW US Equity</stp>
        <stp>ACCOUNTS_PAYABLE_TURNOVER_DAYS</stp>
        <stp>FPR=2021Y</stp>
        <stp>FPT=A</stp>
        <stp>FA_ACT_EST_DATA=E, EST_SOURCE=SCB</stp>
        <stp>ACT_EST_MAPPING=PRECISE</stp>
        <stp>FS=MRC</stp>
        <stp>CURRENCY=USD</stp>
        <stp>XLFILL=b</stp>
        <tr r="AW51" s="2"/>
      </tp>
      <tp t="s">
        <v>#N/A Requesting Data...</v>
        <stp/>
        <stp>##V3_BQLV12</stp>
        <stp>[MODL_NOW_US1.xlsx]Single Period!R118C15</stp>
        <stp>NOW US Equity</stp>
        <stp>OPERATING_EXPENSES_TO_NET_SALES</stp>
        <stp>FPR=2021Y</stp>
        <stp>FPT=A</stp>
        <stp>FA_ACT_EST_DATA=E, EST_SOURCE=OPY</stp>
        <stp>ACT_EST_MAPPING=PRECISE</stp>
        <stp>FS=MRC</stp>
        <stp>CURRENCY=USD</stp>
        <stp>XLFILL=b</stp>
        <tr r="O118" s="2"/>
      </tp>
      <tp t="s">
        <v>#N/A Requesting Data...</v>
        <stp/>
        <stp>##V3_BQLV12</stp>
        <stp>[MODL_NOW_US1.xlsx]Single Period!R118C47</stp>
        <stp>NOW US Equity</stp>
        <stp>OPERATING_EXPENSES_TO_NET_SALES</stp>
        <stp>FPR=2021Y</stp>
        <stp>FPT=A</stp>
        <stp>FA_ACT_EST_DATA=E, EST_SOURCE=SUM</stp>
        <stp>ACT_EST_MAPPING=PRECISE</stp>
        <stp>FS=MRC</stp>
        <stp>CURRENCY=USD</stp>
        <stp>XLFILL=b</stp>
        <tr r="AU118" s="2"/>
      </tp>
      <tp t="s">
        <v>#N/A Requesting Data...</v>
        <stp/>
        <stp>##V3_BQLV12</stp>
        <stp>[MODL_NOW_US1.xlsx]Single Period!R118C11</stp>
        <stp>NOW US Equity</stp>
        <stp>OPERATING_EXPENSES_TO_NET_SALES</stp>
        <stp>FPR=2021Y</stp>
        <stp>FPT=A</stp>
        <stp>FA_ACT_EST_DATA=E, EST_SOURCE=JPM</stp>
        <stp>ACT_EST_MAPPING=PRECISE</stp>
        <stp>FS=MRC</stp>
        <stp>CURRENCY=USD</stp>
        <stp>XLFILL=b</stp>
        <tr r="K118" s="2"/>
      </tp>
      <tp t="s">
        <v>#N/A Requesting Data...</v>
        <stp/>
        <stp>##V3_BQLV12</stp>
        <stp>[MODL_NOW_US1.xlsx]Single Period!R101C8</stp>
        <stp>NOW US Equity</stp>
        <stp>CONTRIBUTOR_STATS(CB_IS_OTHER_NON_OPER_INC_EXPN, STD)/1M</stp>
        <stp>FPR=2021Y</stp>
        <stp>FPT=A</stp>
        <stp>FA_ACT_EST_DATA=E</stp>
        <stp>ACT_EST_MAPPING=PRECISE</stp>
        <stp>FS=MRC</stp>
        <stp>CURRENCY=USD</stp>
        <stp>XLFILL=b</stp>
        <tr r="H101" s="2"/>
      </tp>
      <tp t="s">
        <v>#N/A Requesting Data...</v>
        <stp/>
        <stp>##V3_BQLV12</stp>
        <stp>[MODL_NOW_US1.xlsx]Single Period!R7C25</stp>
        <stp>NOW US Equity</stp>
        <stp>IS_COMP_SALES/1M</stp>
        <stp>FPR=2021Y</stp>
        <stp>FPT=A</stp>
        <stp>FA_ACT_EST_DATA=E, EST_SOURCE=DBG</stp>
        <stp>ACT_EST_MAPPING=PRECISE</stp>
        <stp>FS=MRC</stp>
        <stp>CURRENCY=USD</stp>
        <stp>XLFILL=b</stp>
        <tr r="Y7" s="2"/>
      </tp>
      <tp t="s">
        <v>#N/A Requesting Data...</v>
        <stp/>
        <stp>##V3_BQLV12</stp>
        <stp>[MODL_NOW_US1.xlsx]Single Period!R7C29</stp>
        <stp>NOW US Equity</stp>
        <stp>IS_COMP_SALES/1M</stp>
        <stp>FPR=2021Y</stp>
        <stp>FPT=A</stp>
        <stp>FA_ACT_EST_DATA=E, EST_SOURCE=BNS</stp>
        <stp>ACT_EST_MAPPING=PRECISE</stp>
        <stp>FS=MRC</stp>
        <stp>CURRENCY=USD</stp>
        <stp>XLFILL=b</stp>
        <tr r="AC7" s="2"/>
      </tp>
      <tp t="s">
        <v>#N/A Requesting Data...</v>
        <stp/>
        <stp>##V3_BQLV12</stp>
        <stp>[MODL_NOW_US1.xlsx]Single Period!R185C49</stp>
        <stp>NOW US Equity</stp>
        <stp>BS_TOT_ASSET/1M</stp>
        <stp>FPR=2021Y</stp>
        <stp>FPT=A</stp>
        <stp>FA_ACT_EST_DATA=E, EST_SOURCE=SCB</stp>
        <stp>ACT_EST_MAPPING=PRECISE</stp>
        <stp>FS=MRC</stp>
        <stp>CURRENCY=USD</stp>
        <stp>XLFILL=b</stp>
        <tr r="AW185" s="2"/>
      </tp>
      <tp t="s">
        <v>#N/A Requesting Data...</v>
        <stp/>
        <stp>##V3_BQLV12</stp>
        <stp>[MODL_NOW_US1.xlsx]Single Period!R122C27</stp>
        <stp>NOW US Equity</stp>
        <stp>IS_MERGER_AND_ACQUIS_EXPN_OP/1M</stp>
        <stp>FPR=2021Y</stp>
        <stp>FPT=A</stp>
        <stp>FA_ACT_EST_DATA=E, EST_SOURCE=RBC</stp>
        <stp>ACT_EST_MAPPING=PRECISE</stp>
        <stp>FS=MRC</stp>
        <stp>CURRENCY=USD</stp>
        <stp>XLFILL=b</stp>
        <tr r="AA122" s="2"/>
      </tp>
      <tp t="s">
        <v>#N/A Requesting Data...</v>
        <stp/>
        <stp>##V3_BQLV12</stp>
        <stp>[MODL_NOW_US1.xlsx]Single Period!R190C15</stp>
        <stp>NOW US Equity</stp>
        <stp>DEFERRED_REV/1M</stp>
        <stp>FPR=2021Y</stp>
        <stp>FPT=A</stp>
        <stp>FA_ACT_EST_DATA=E, EST_SOURCE=OPY</stp>
        <stp>ACT_EST_MAPPING=PRECISE</stp>
        <stp>FS=MRC</stp>
        <stp>CURRENCY=USD</stp>
        <stp>XLFILL=b</stp>
        <tr r="O190" s="2"/>
      </tp>
      <tp t="s">
        <v>#N/A Requesting Data...</v>
        <stp/>
        <stp>##V3_BQLV12</stp>
        <stp>[MODL_NOW_US1.xlsx]Single Period!R87C37</stp>
        <stp>NOW US Equity</stp>
        <stp>CB_IS_ADJUSTED_OPEX/1M</stp>
        <stp>FPR=2021Y</stp>
        <stp>FPT=A</stp>
        <stp>FA_ACT_EST_DATA=E, EST_SOURCE=TTC</stp>
        <stp>ACT_EST_MAPPING=PRECISE</stp>
        <stp>FS=MRC</stp>
        <stp>CURRENCY=USD</stp>
        <stp>XLFILL=b</stp>
        <tr r="AK87" s="2"/>
      </tp>
      <tp t="s">
        <v>#N/A Requesting Data...</v>
        <stp/>
        <stp>##V3_BQLV12</stp>
        <stp>[MODL_NOW_US1.xlsx]Single Period!R120C21</stp>
        <stp>NOW US Equity</stp>
        <stp>IS_OPEX_R_AND_D_GAAP/1M</stp>
        <stp>FPR=2021Y</stp>
        <stp>FPT=A</stp>
        <stp>FA_ACT_EST_DATA=E, EST_SOURCE=JMP</stp>
        <stp>ACT_EST_MAPPING=PRECISE</stp>
        <stp>FS=MRC</stp>
        <stp>CURRENCY=USD</stp>
        <stp>XLFILL=b</stp>
        <tr r="U120" s="2"/>
      </tp>
      <tp t="s">
        <v>#N/A Requesting Data...</v>
        <stp/>
        <stp>##V3_BQLV12</stp>
        <stp>[MODL_NOW_US1.xlsx]Single Period!R122C25</stp>
        <stp>NOW US Equity</stp>
        <stp>IS_MERGER_AND_ACQUIS_EXPN_OP/1M</stp>
        <stp>FPR=2021Y</stp>
        <stp>FPT=A</stp>
        <stp>FA_ACT_EST_DATA=E, EST_SOURCE=DBG</stp>
        <stp>ACT_EST_MAPPING=PRECISE</stp>
        <stp>FS=MRC</stp>
        <stp>CURRENCY=USD</stp>
        <stp>XLFILL=b</stp>
        <tr r="Y122" s="2"/>
      </tp>
      <tp t="s">
        <v>#N/A Requesting Data...</v>
        <stp/>
        <stp>##V3_BQLV12</stp>
        <stp>[MODL_NOW_US1.xlsx]Single Period!R87C42</stp>
        <stp>NOW US Equity</stp>
        <stp>CB_IS_ADJUSTED_OPEX/1M</stp>
        <stp>FPR=2021Y</stp>
        <stp>FPT=A</stp>
        <stp>FA_ACT_EST_DATA=E, EST_SOURCE=CTI</stp>
        <stp>ACT_EST_MAPPING=PRECISE</stp>
        <stp>FS=MRC</stp>
        <stp>CURRENCY=USD</stp>
        <stp>XLFILL=b</stp>
        <tr r="AP87" s="2"/>
      </tp>
      <tp t="s">
        <v>#N/A Requesting Data...</v>
        <stp/>
        <stp>##V3_BQLV12</stp>
        <stp>[MODL_NOW_US1.xlsx]Single Period!R177C8</stp>
        <stp>NOW US Equity</stp>
        <stp>CONTRIBUTOR_STATS(BS_ST_CPTL_LEA_AND_OP_LEA_LIABS, STD)/1M</stp>
        <stp>FPR=2021Y</stp>
        <stp>FPT=A</stp>
        <stp>FA_ACT_EST_DATA=E</stp>
        <stp>ACT_EST_MAPPING=PRECISE</stp>
        <stp>FS=MRC</stp>
        <stp>CURRENCY=USD</stp>
        <stp>XLFILL=b</stp>
        <tr r="H177" s="2"/>
      </tp>
      <tp t="s">
        <v>#N/A Requesting Data...</v>
        <stp/>
        <stp>##V3_BQLV12</stp>
        <stp>[MODL_NOW_US1.xlsx]Single Period!R81C9</stp>
        <stp>NOW US Equity</stp>
        <stp>CONTRIBUTOR_STATS(IS_ADJ_SALES_YOY_CHG_PCT_CC, MEDIAN)</stp>
        <stp>FPR=2021Y</stp>
        <stp>FPT=A</stp>
        <stp>FA_ACT_EST_DATA=E</stp>
        <stp>ACT_EST_MAPPING=PRECISE</stp>
        <stp>FS=MRC</stp>
        <stp>CURRENCY=USD</stp>
        <stp>XLFILL=b</stp>
        <tr r="I81" s="2"/>
      </tp>
      <tp t="s">
        <v>#N/A Requesting Data...</v>
        <stp/>
        <stp>##V3_BQLV12</stp>
        <stp>[MODL_NOW_US1.xlsx]Single Period!R115C40</stp>
        <stp>NOW US Equity</stp>
        <stp>GROSS_PROFIT/1M</stp>
        <stp>FPR=2021Y</stp>
        <stp>FPT=A</stp>
        <stp>FA_ACT_EST_DATA=E, EST_SOURCE=DWI</stp>
        <stp>ACT_EST_MAPPING=PRECISE</stp>
        <stp>FS=MRC</stp>
        <stp>CURRENCY=USD</stp>
        <stp>XLFILL=b</stp>
        <tr r="AN115" s="2"/>
      </tp>
      <tp t="s">
        <v>#N/A Requesting Data...</v>
        <stp/>
        <stp>##V3_BQLV12</stp>
        <stp>[MODL_NOW_US1.xlsx]Single Period!R170C49</stp>
        <stp>NOW US Equity</stp>
        <stp>BS_TOT_ASSET/1M</stp>
        <stp>FPR=2021Y</stp>
        <stp>FPT=A</stp>
        <stp>FA_ACT_EST_DATA=E, EST_SOURCE=SCB</stp>
        <stp>ACT_EST_MAPPING=PRECISE</stp>
        <stp>FS=MRC</stp>
        <stp>CURRENCY=USD</stp>
        <stp>XLFILL=b</stp>
        <tr r="AW170" s="2"/>
      </tp>
      <tp t="s">
        <v>#N/A Requesting Data...</v>
        <stp/>
        <stp>##V3_BQLV12</stp>
        <stp>[MODL_NOW_US1.xlsx]Single Period!R93C11</stp>
        <stp>NOW US Equity</stp>
        <stp>G_AND_A_COST_PCT_REVENUES</stp>
        <stp>FPR=2021Y</stp>
        <stp>FPT=A</stp>
        <stp>FA_ACT_EST_DATA=E, EST_SOURCE=JPM</stp>
        <stp>ACT_EST_MAPPING=PRECISE</stp>
        <stp>FS=MRC</stp>
        <stp>CURRENCY=USD</stp>
        <stp>XLFILL=b</stp>
        <tr r="K93" s="2"/>
      </tp>
      <tp t="s">
        <v>#N/A Requesting Data...</v>
        <stp/>
        <stp>##V3_BQLV12</stp>
        <stp>[MODL_NOW_US1.xlsx]Single Period!R120C18</stp>
        <stp>NOW US Equity</stp>
        <stp>IS_OPEX_R_AND_D_GAAP/1M</stp>
        <stp>FPR=2021Y</stp>
        <stp>FPT=A</stp>
        <stp>FA_ACT_EST_DATA=E, EST_SOURCE=SNR</stp>
        <stp>ACT_EST_MAPPING=PRECISE</stp>
        <stp>FS=MRC</stp>
        <stp>CURRENCY=USD</stp>
        <stp>XLFILL=b</stp>
        <tr r="R120" s="2"/>
      </tp>
      <tp t="s">
        <v>#N/A Requesting Data...</v>
        <stp/>
        <stp>##V3_BQLV12</stp>
        <stp>[MODL_NOW_US1.xlsx]Single Period!R122C26</stp>
        <stp>NOW US Equity</stp>
        <stp>IS_MERGER_AND_ACQUIS_EXPN_OP/1M</stp>
        <stp>FPR=2021Y</stp>
        <stp>FPT=A</stp>
        <stp>FA_ACT_EST_DATA=E, EST_SOURCE=UBS</stp>
        <stp>ACT_EST_MAPPING=PRECISE</stp>
        <stp>FS=MRC</stp>
        <stp>CURRENCY=USD</stp>
        <stp>XLFILL=b</stp>
        <tr r="Z122" s="2"/>
      </tp>
      <tp t="s">
        <v>#N/A Requesting Data...</v>
        <stp/>
        <stp>##V3_BQLV12</stp>
        <stp>[MODL_NOW_US1.xlsx]Single Period!R190C11</stp>
        <stp>NOW US Equity</stp>
        <stp>DEFERRED_REV/1M</stp>
        <stp>FPR=2021Y</stp>
        <stp>FPT=A</stp>
        <stp>FA_ACT_EST_DATA=E, EST_SOURCE=JPM</stp>
        <stp>ACT_EST_MAPPING=PRECISE</stp>
        <stp>FS=MRC</stp>
        <stp>CURRENCY=USD</stp>
        <stp>XLFILL=b</stp>
        <tr r="K190" s="2"/>
      </tp>
      <tp t="s">
        <v>#N/A Requesting Data...</v>
        <stp/>
        <stp>##V3_BQLV12</stp>
        <stp>[MODL_NOW_US1.xlsx]Single Period!R177C7</stp>
        <stp>NOW US Equity</stp>
        <stp>CONTRIBUTOR_STATS(BS_ST_CPTL_LEA_AND_OP_LEA_LIABS, MAX)/1M</stp>
        <stp>FPR=2021Y</stp>
        <stp>FPT=A</stp>
        <stp>FA_ACT_EST_DATA=E</stp>
        <stp>ACT_EST_MAPPING=PRECISE</stp>
        <stp>FS=MRC</stp>
        <stp>CURRENCY=USD</stp>
        <stp>XLFILL=b</stp>
        <tr r="G177" s="2"/>
      </tp>
      <tp t="s">
        <v>#N/A Requesting Data...</v>
        <stp/>
        <stp>##V3_BQLV12</stp>
        <stp>[MODL_NOW_US1.xlsx]Single Period!R177C6</stp>
        <stp>NOW US Equity</stp>
        <stp>CONTRIBUTOR_STATS(BS_ST_CPTL_LEA_AND_OP_LEA_LIABS, MIN)/1M</stp>
        <stp>FPR=2021Y</stp>
        <stp>FPT=A</stp>
        <stp>FA_ACT_EST_DATA=E</stp>
        <stp>ACT_EST_MAPPING=PRECISE</stp>
        <stp>FS=MRC</stp>
        <stp>CURRENCY=USD</stp>
        <stp>XLFILL=b</stp>
        <tr r="F177" s="2"/>
      </tp>
      <tp t="s">
        <v>#N/A Requesting Data...</v>
        <stp/>
        <stp>##V3_BQLV12</stp>
        <stp>[MODL_NOW_US1.xlsx]Single Period!R190C47</stp>
        <stp>NOW US Equity</stp>
        <stp>DEFERRED_REV/1M</stp>
        <stp>FPR=2021Y</stp>
        <stp>FPT=A</stp>
        <stp>FA_ACT_EST_DATA=E, EST_SOURCE=SUM</stp>
        <stp>ACT_EST_MAPPING=PRECISE</stp>
        <stp>FS=MRC</stp>
        <stp>CURRENCY=USD</stp>
        <stp>XLFILL=b</stp>
        <tr r="AU190" s="2"/>
      </tp>
      <tp t="s">
        <v>#N/A Requesting Data...</v>
        <stp/>
        <stp>##V3_BQLV12</stp>
        <stp>[MODL_NOW_US1.xlsx]Single Period!R222C45</stp>
        <stp>NOW US Equity</stp>
        <stp>CF_CASH_FROM_INV_ACT/1M</stp>
        <stp>FPR=2021Y</stp>
        <stp>FPT=A</stp>
        <stp>FA_ACT_EST_DATA=E, EST_SOURCE=PJE</stp>
        <stp>ACT_EST_MAPPING=PRECISE</stp>
        <stp>FS=MRC</stp>
        <stp>CURRENCY=USD</stp>
        <stp>XLFILL=b</stp>
        <tr r="AS222" s="2"/>
      </tp>
      <tp t="s">
        <v>#N/A Requesting Data...</v>
        <stp/>
        <stp>##V3_BQLV12</stp>
        <stp>[MODL_NOW_US1.xlsx]Single Period!R93C15</stp>
        <stp>NOW US Equity</stp>
        <stp>G_AND_A_COST_PCT_REVENUES</stp>
        <stp>FPR=2021Y</stp>
        <stp>FPT=A</stp>
        <stp>FA_ACT_EST_DATA=E, EST_SOURCE=OPY</stp>
        <stp>ACT_EST_MAPPING=PRECISE</stp>
        <stp>FS=MRC</stp>
        <stp>CURRENCY=USD</stp>
        <stp>XLFILL=b</stp>
        <tr r="O93" s="2"/>
      </tp>
      <tp t="s">
        <v>#N/A Requesting Data...</v>
        <stp/>
        <stp>##V3_BQLV12</stp>
        <stp>[MODL_NOW_US1.xlsx]Single Period!R114C49</stp>
        <stp>SEG0000230986 Segment</stp>
        <stp>CB_IS_GROSS_MARGIN</stp>
        <stp>FPR=2021Y</stp>
        <stp>FPT=A</stp>
        <stp>FA_ACT_EST_DATA=E, EST_SOURCE=SCB</stp>
        <stp>ACT_EST_MAPPING=PRECISE</stp>
        <stp>FS=MRC</stp>
        <stp>CURRENCY=USD</stp>
        <stp>XLFILL=b</stp>
        <tr r="AW114" s="2"/>
      </tp>
      <tp t="s">
        <v>#N/A Requesting Data...</v>
        <stp/>
        <stp>##V3_BQLV12</stp>
        <stp>[MODL_NOW_US1.xlsx]Single Period!R114C16</stp>
        <stp>SEG0000230986 Segment</stp>
        <stp>CB_IS_GROSS_MARGIN</stp>
        <stp>FPR=2021Y</stp>
        <stp>FPT=A</stp>
        <stp>FA_ACT_EST_DATA=E, EST_SOURCE=BCA</stp>
        <stp>ACT_EST_MAPPING=PRECISE</stp>
        <stp>FS=MRC</stp>
        <stp>CURRENCY=USD</stp>
        <stp>XLFILL=b</stp>
        <tr r="P114" s="2"/>
      </tp>
      <tp t="s">
        <v>#N/A Requesting Data...</v>
        <stp/>
        <stp>##V3_BQLV12</stp>
        <stp>[MODL_NOW_US1.xlsx]Single Period!R118C19</stp>
        <stp>NOW US Equity</stp>
        <stp>OPERATING_EXPENSES_TO_NET_SALES</stp>
        <stp>FPR=2021Y</stp>
        <stp>FPT=A</stp>
        <stp>FA_ACT_EST_DATA=E, EST_SOURCE=MSV</stp>
        <stp>ACT_EST_MAPPING=PRECISE</stp>
        <stp>FS=MRC</stp>
        <stp>CURRENCY=USD</stp>
        <stp>XLFILL=b</stp>
        <tr r="S118" s="2"/>
      </tp>
      <tp t="s">
        <v>#N/A Requesting Data...</v>
        <stp/>
        <stp>##V3_BQLV12</stp>
        <stp>[MODL_NOW_US1.xlsx]Single Period!R37C39</stp>
        <stp>NOW US Equity</stp>
        <stp>BS_REMAINING_PERFORMANCE_OBLIG/1M</stp>
        <stp>FPR=2021Y</stp>
        <stp>FPT=A</stp>
        <stp>FA_ACT_EST_DATA=E, EST_SOURCE=DZB</stp>
        <stp>ACT_EST_MAPPING=PRECISE</stp>
        <stp>FS=MRC</stp>
        <stp>CURRENCY=USD</stp>
        <stp>XLFILL=b</stp>
        <tr r="AM37" s="2"/>
      </tp>
      <tp t="s">
        <v>#N/A Requesting Data...</v>
        <stp/>
        <stp>##V3_BQLV12</stp>
        <stp>[MODL_NOW_US1.xlsx]Single Period!R132C27</stp>
        <stp>NOW US Equity</stp>
        <stp>CONT_INC_PER_SH</stp>
        <stp>FPR=2021Y</stp>
        <stp>FPT=A</stp>
        <stp>FA_ACT_EST_DATA=E, EST_SOURCE=RBC</stp>
        <stp>ACT_EST_MAPPING=PRECISE</stp>
        <stp>FS=MRC</stp>
        <stp>CURRENCY=USD</stp>
        <stp>XLFILL=b</stp>
        <tr r="AA132" s="2"/>
      </tp>
      <tp t="s">
        <v>#N/A Requesting Data...</v>
        <stp/>
        <stp>##V3_BQLV12</stp>
        <stp>[MODL_NOW_US1.xlsx]Single Period!R132C25</stp>
        <stp>NOW US Equity</stp>
        <stp>CONT_INC_PER_SH</stp>
        <stp>FPR=2021Y</stp>
        <stp>FPT=A</stp>
        <stp>FA_ACT_EST_DATA=E, EST_SOURCE=DBG</stp>
        <stp>ACT_EST_MAPPING=PRECISE</stp>
        <stp>FS=MRC</stp>
        <stp>CURRENCY=USD</stp>
        <stp>XLFILL=b</stp>
        <tr r="Y132" s="2"/>
      </tp>
      <tp t="s">
        <v>#N/A Requesting Data...</v>
        <stp/>
        <stp>##V3_BQLV12</stp>
        <stp>[MODL_NOW_US1.xlsx]Single Period!R4C16</stp>
        <stp>NOW US Equity</stp>
        <stp>LAST(IS_COMP_SALES(FA_ACT_EST_DATA=E, EST_SOURCE=BCA).analyst_name)</stp>
        <stp>FPR=2021Y</stp>
        <stp>FPT=A</stp>
        <stp>ACT_EST_MAPPING=PRECISE</stp>
        <stp>FS=MRC</stp>
        <stp>CURRENCY=USD</stp>
        <stp>XLFILL=b</stp>
        <tr r="P4" s="2"/>
      </tp>
      <tp t="s">
        <v>#N/A Requesting Data...</v>
        <stp/>
        <stp>##V3_BQLV12</stp>
        <stp>[MODL_NOW_US1.xlsx]Single Period!R4C30</stp>
        <stp>NOW US Equity</stp>
        <stp>LAST(IS_COMP_SALES(FA_ACT_EST_DATA=E, EST_SOURCE=BAM).analyst_name)</stp>
        <stp>FPR=2021Y</stp>
        <stp>FPT=A</stp>
        <stp>ACT_EST_MAPPING=PRECISE</stp>
        <stp>FS=MRC</stp>
        <stp>CURRENCY=USD</stp>
        <stp>XLFILL=b</stp>
        <tr r="AD4" s="2"/>
      </tp>
      <tp t="s">
        <v>#N/A Requesting Data...</v>
        <stp/>
        <stp>##V3_BQLV12</stp>
        <stp>[MODL_NOW_US1.xlsx]Single Period!R4C29</stp>
        <stp>NOW US Equity</stp>
        <stp>LAST(IS_COMP_SALES(FA_ACT_EST_DATA=E, EST_SOURCE=BNS).analyst_name)</stp>
        <stp>FPR=2021Y</stp>
        <stp>FPT=A</stp>
        <stp>ACT_EST_MAPPING=PRECISE</stp>
        <stp>FS=MRC</stp>
        <stp>CURRENCY=USD</stp>
        <stp>XLFILL=b</stp>
        <tr r="AC4" s="2"/>
      </tp>
      <tp t="s">
        <v>#N/A Requesting Data...</v>
        <stp/>
        <stp>##V3_BQLV12</stp>
        <stp>[MODL_NOW_US1.xlsx]Single Period!R37C46</stp>
        <stp>NOW US Equity</stp>
        <stp>BS_REMAINING_PERFORMANCE_OBLIG/1M</stp>
        <stp>FPR=2021Y</stp>
        <stp>FPT=A</stp>
        <stp>FA_ACT_EST_DATA=E, EST_SOURCE=MZS</stp>
        <stp>ACT_EST_MAPPING=PRECISE</stp>
        <stp>FS=MRC</stp>
        <stp>CURRENCY=USD</stp>
        <stp>XLFILL=b</stp>
        <tr r="AT37" s="2"/>
      </tp>
      <tp t="s">
        <v>#N/A Requesting Data...</v>
        <stp/>
        <stp>##V3_BQLV12</stp>
        <stp>[MODL_NOW_US1.xlsx]Single Period!R237C39</stp>
        <stp>NOW US Equity</stp>
        <stp>FCF_PER_DIL_SHR</stp>
        <stp>FPR=2021Y</stp>
        <stp>FPT=A</stp>
        <stp>FA_ACT_EST_DATA=E, EST_SOURCE=DZB</stp>
        <stp>ACT_EST_MAPPING=PRECISE</stp>
        <stp>FS=MRC</stp>
        <stp>CURRENCY=USD</stp>
        <stp>XLFILL=b</stp>
        <tr r="AM237" s="2"/>
      </tp>
      <tp t="s">
        <v>#N/A Requesting Data...</v>
        <stp/>
        <stp>##V3_BQLV12</stp>
        <stp>[MODL_NOW_US1.xlsx]Single Period!R132C26</stp>
        <stp>NOW US Equity</stp>
        <stp>CONT_INC_PER_SH</stp>
        <stp>FPR=2021Y</stp>
        <stp>FPT=A</stp>
        <stp>FA_ACT_EST_DATA=E, EST_SOURCE=UBS</stp>
        <stp>ACT_EST_MAPPING=PRECISE</stp>
        <stp>FS=MRC</stp>
        <stp>CURRENCY=USD</stp>
        <stp>XLFILL=b</stp>
        <tr r="Z132" s="2"/>
      </tp>
      <tp t="s">
        <v>#N/A Requesting Data...</v>
        <stp/>
        <stp>##V3_BQLV12</stp>
        <stp>[MODL_NOW_US1.xlsx]Single Period!R4C14</stp>
        <stp>NOW US Equity</stp>
        <stp>LAST(IS_COMP_SALES(FA_ACT_EST_DATA=E, EST_SOURCE=BMO).analyst_name)</stp>
        <stp>FPR=2021Y</stp>
        <stp>FPT=A</stp>
        <stp>ACT_EST_MAPPING=PRECISE</stp>
        <stp>FS=MRC</stp>
        <stp>CURRENCY=USD</stp>
        <stp>XLFILL=b</stp>
        <tr r="N4" s="2"/>
      </tp>
      <tp t="s">
        <v>#N/A Requesting Data...</v>
        <stp/>
        <stp>##V3_BQLV12</stp>
        <stp>[MODL_NOW_US1.xlsx]Single Period!R202C5</stp>
        <stp>NOW US Equity</stp>
        <stp>CF_AMORTIZATN_OF_DEFRRD_COMPNSTN/1M</stp>
        <stp>FPR=2021Y</stp>
        <stp>FPT=A</stp>
        <stp>FA_ACT_EST_DATA=E</stp>
        <stp>ACT_EST_MAPPING=PRECISE</stp>
        <stp>FS=MRC</stp>
        <stp>CURRENCY=USD</stp>
        <stp>XLFILL=b</stp>
        <tr r="E202" s="2"/>
      </tp>
      <tp t="s">
        <v>#N/A Requesting Data...</v>
        <stp/>
        <stp>##V3_BQLV12</stp>
        <stp>[MODL_NOW_US1.xlsx]Single Period!R131C8</stp>
        <stp>NOW US Equity</stp>
        <stp>CONTRIBUTOR_STATS(IS_AVG_NUM_SH_FOR_EPS, STD)/1M</stp>
        <stp>FPR=2021Y</stp>
        <stp>FPT=A</stp>
        <stp>FA_ACT_EST_DATA=E</stp>
        <stp>ACT_EST_MAPPING=PRECISE</stp>
        <stp>FS=MRC</stp>
        <stp>CURRENCY=USD</stp>
        <stp>XLFILL=b</stp>
        <tr r="H131" s="2"/>
      </tp>
      <tp t="s">
        <v>#N/A Requesting Data...</v>
        <stp/>
        <stp>##V3_BQLV12</stp>
        <stp>[MODL_NOW_US1.xlsx]Single Period!R199C9</stp>
        <stp>NOW US Equity</stp>
        <stp>CONTRIBUTOR_STATS(IS_COMP_NET_INCOME_GAAP, MEDIAN)/1M</stp>
        <stp>FPR=2021Y</stp>
        <stp>FPT=A</stp>
        <stp>FA_ACT_EST_DATA=E</stp>
        <stp>ACT_EST_MAPPING=PRECISE</stp>
        <stp>FS=MRC</stp>
        <stp>CURRENCY=USD</stp>
        <stp>XLFILL=b</stp>
        <tr r="I199" s="2"/>
      </tp>
      <tp t="s">
        <v>#N/A Requesting Data...</v>
        <stp/>
        <stp>##V3_BQLV12</stp>
        <stp>[MODL_NOW_US1.xlsx]Single Period!R7C26</stp>
        <stp>NOW US Equity</stp>
        <stp>IS_COMP_SALES/1M</stp>
        <stp>FPR=2021Y</stp>
        <stp>FPT=A</stp>
        <stp>FA_ACT_EST_DATA=E, EST_SOURCE=UBS</stp>
        <stp>ACT_EST_MAPPING=PRECISE</stp>
        <stp>FS=MRC</stp>
        <stp>CURRENCY=USD</stp>
        <stp>XLFILL=b</stp>
        <tr r="Z7" s="2"/>
      </tp>
      <tp t="s">
        <v>#N/A Requesting Data...</v>
        <stp/>
        <stp>##V3_BQLV12</stp>
        <stp>[MODL_NOW_US1.xlsx]Single Period!R190C19</stp>
        <stp>NOW US Equity</stp>
        <stp>DEFERRED_REV/1M</stp>
        <stp>FPR=2021Y</stp>
        <stp>FPT=A</stp>
        <stp>FA_ACT_EST_DATA=E, EST_SOURCE=MSV</stp>
        <stp>ACT_EST_MAPPING=PRECISE</stp>
        <stp>FS=MRC</stp>
        <stp>CURRENCY=USD</stp>
        <stp>XLFILL=b</stp>
        <tr r="S190" s="2"/>
      </tp>
      <tp t="s">
        <v>#N/A Requesting Data...</v>
        <stp/>
        <stp>##V3_BQLV12</stp>
        <stp>[MODL_NOW_US1.xlsx]Single Period!R93C34</stp>
        <stp>NOW US Equity</stp>
        <stp>G_AND_A_COST_PCT_REVENUES</stp>
        <stp>FPR=2021Y</stp>
        <stp>FPT=A</stp>
        <stp>FA_ACT_EST_DATA=E, EST_SOURCE=PSG</stp>
        <stp>ACT_EST_MAPPING=PRECISE</stp>
        <stp>FS=MRC</stp>
        <stp>CURRENCY=USD</stp>
        <stp>XLFILL=b</stp>
        <tr r="AH93" s="2"/>
      </tp>
      <tp t="s">
        <v>#N/A Requesting Data...</v>
        <stp/>
        <stp>##V3_BQLV12</stp>
        <stp>[MODL_NOW_US1.xlsx]Single Period!R87C38</stp>
        <stp>NOW US Equity</stp>
        <stp>CB_IS_ADJUSTED_OPEX/1M</stp>
        <stp>FPR=2021Y</stp>
        <stp>FPT=A</stp>
        <stp>FA_ACT_EST_DATA=E, EST_SOURCE=RWB</stp>
        <stp>ACT_EST_MAPPING=PRECISE</stp>
        <stp>FS=MRC</stp>
        <stp>CURRENCY=USD</stp>
        <stp>XLFILL=b</stp>
        <tr r="AL87" s="2"/>
      </tp>
      <tp t="s">
        <v>#N/A Requesting Data...</v>
        <stp/>
        <stp>##V3_BQLV12</stp>
        <stp>[MODL_NOW_US1.xlsx]Single Period!R165C36</stp>
        <stp>NOW US Equity</stp>
        <stp>BS_OPER_LEA_RT_OF_USE_ASSETS/1M</stp>
        <stp>FPR=2021Y</stp>
        <stp>FPT=A</stp>
        <stp>FA_ACT_EST_DATA=E, EST_SOURCE=JEF</stp>
        <stp>ACT_EST_MAPPING=PRECISE</stp>
        <stp>FS=MRC</stp>
        <stp>CURRENCY=USD</stp>
        <stp>XLFILL=b</stp>
        <tr r="AJ165" s="2"/>
      </tp>
      <tp t="s">
        <v>#N/A Requesting Data...</v>
        <stp/>
        <stp>##V3_BQLV12</stp>
        <stp>[MODL_NOW_US1.xlsx]Single Period!R183C46</stp>
        <stp>NOW US Equity</stp>
        <stp>BS_TOTAL_LIABILITIES/1M</stp>
        <stp>FPR=2021Y</stp>
        <stp>FPT=A</stp>
        <stp>FA_ACT_EST_DATA=E, EST_SOURCE=MZS</stp>
        <stp>ACT_EST_MAPPING=PRECISE</stp>
        <stp>FS=MRC</stp>
        <stp>CURRENCY=USD</stp>
        <stp>XLFILL=b</stp>
        <tr r="AT183" s="2"/>
      </tp>
      <tp t="s">
        <v>#N/A Requesting Data...</v>
        <stp/>
        <stp>##V3_BQLV12</stp>
        <stp>[MODL_NOW_US1.xlsx]Single Period!R115C34</stp>
        <stp>NOW US Equity</stp>
        <stp>GROSS_PROFIT/1M</stp>
        <stp>FPR=2021Y</stp>
        <stp>FPT=A</stp>
        <stp>FA_ACT_EST_DATA=E, EST_SOURCE=PSG</stp>
        <stp>ACT_EST_MAPPING=PRECISE</stp>
        <stp>FS=MRC</stp>
        <stp>CURRENCY=USD</stp>
        <stp>XLFILL=b</stp>
        <tr r="AH115" s="2"/>
      </tp>
      <tp t="s">
        <v>#N/A Requesting Data...</v>
        <stp/>
        <stp>##V3_BQLV12</stp>
        <stp>[MODL_NOW_US1.xlsx]Single Period!R160C7</stp>
        <stp>NOW US Equity</stp>
        <stp>CONTRIBUTOR_STATS(PREPAID_EXPNSS_AND_OTHR, MAX)/1M</stp>
        <stp>FPR=2021Y</stp>
        <stp>FPT=A</stp>
        <stp>FA_ACT_EST_DATA=E</stp>
        <stp>ACT_EST_MAPPING=PRECISE</stp>
        <stp>FS=MRC</stp>
        <stp>CURRENCY=USD</stp>
        <stp>XLFILL=b</stp>
        <tr r="G160" s="2"/>
      </tp>
      <tp t="s">
        <v>#N/A Requesting Data...</v>
        <stp/>
        <stp>##V3_BQLV12</stp>
        <stp>[MODL_NOW_US1.xlsx]Single Period!R160C6</stp>
        <stp>NOW US Equity</stp>
        <stp>CONTRIBUTOR_STATS(PREPAID_EXPNSS_AND_OTHR, MIN)/1M</stp>
        <stp>FPR=2021Y</stp>
        <stp>FPT=A</stp>
        <stp>FA_ACT_EST_DATA=E</stp>
        <stp>ACT_EST_MAPPING=PRECISE</stp>
        <stp>FS=MRC</stp>
        <stp>CURRENCY=USD</stp>
        <stp>XLFILL=b</stp>
        <tr r="F160" s="2"/>
      </tp>
      <tp t="s">
        <v>#N/A Requesting Data...</v>
        <stp/>
        <stp>##V3_BQLV12</stp>
        <stp>[MODL_NOW_US1.xlsx]Single Period!R87C24</stp>
        <stp>NOW US Equity</stp>
        <stp>CB_IS_ADJUSTED_OPEX/1M</stp>
        <stp>FPR=2021Y</stp>
        <stp>FPT=A</stp>
        <stp>FA_ACT_EST_DATA=E, EST_SOURCE=CWN</stp>
        <stp>ACT_EST_MAPPING=PRECISE</stp>
        <stp>FS=MRC</stp>
        <stp>CURRENCY=USD</stp>
        <stp>XLFILL=b</stp>
        <tr r="X87" s="2"/>
      </tp>
      <tp t="s">
        <v>#N/A Requesting Data...</v>
        <stp/>
        <stp>##V3_BQLV12</stp>
        <stp>[MODL_NOW_US1.xlsx]Single Period!R46C8</stp>
        <stp>SEG0000230986 Segment</stp>
        <stp>CONTRIBUTOR_STATS(IS_BILLINGS, STD)/1M</stp>
        <stp>FPR=2021Y</stp>
        <stp>FPT=A</stp>
        <stp>FA_ACT_EST_DATA=E</stp>
        <stp>ACT_EST_MAPPING=PRECISE</stp>
        <stp>FS=MRC</stp>
        <stp>CURRENCY=USD</stp>
        <stp>XLFILL=b</stp>
        <tr r="H46" s="2"/>
      </tp>
      <tp t="s">
        <v>#N/A Requesting Data...</v>
        <stp/>
        <stp>##V3_BQLV12</stp>
        <stp>[MODL_NOW_US1.xlsx]Single Period!R87C40</stp>
        <stp>NOW US Equity</stp>
        <stp>CB_IS_ADJUSTED_OPEX/1M</stp>
        <stp>FPR=2021Y</stp>
        <stp>FPT=A</stp>
        <stp>FA_ACT_EST_DATA=E, EST_SOURCE=DWI</stp>
        <stp>ACT_EST_MAPPING=PRECISE</stp>
        <stp>FS=MRC</stp>
        <stp>CURRENCY=USD</stp>
        <stp>XLFILL=b</stp>
        <tr r="AN87" s="2"/>
      </tp>
      <tp t="s">
        <v>#N/A Requesting Data...</v>
        <stp/>
        <stp>##V3_BQLV12</stp>
        <stp>[MODL_NOW_US1.xlsx]Single Period!R122C20</stp>
        <stp>NOW US Equity</stp>
        <stp>IS_MERGER_AND_ACQUIS_EXPN_OP/1M</stp>
        <stp>FPR=2021Y</stp>
        <stp>FPT=A</stp>
        <stp>FA_ACT_EST_DATA=E, EST_SOURCE=CAN</stp>
        <stp>ACT_EST_MAPPING=PRECISE</stp>
        <stp>FS=MRC</stp>
        <stp>CURRENCY=USD</stp>
        <stp>XLFILL=b</stp>
        <tr r="T122" s="2"/>
      </tp>
      <tp t="s">
        <v>#N/A Requesting Data...</v>
        <stp/>
        <stp>##V3_BQLV12</stp>
        <stp>[MODL_NOW_US1.xlsx]Single Period!R122C12</stp>
        <stp>NOW US Equity</stp>
        <stp>IS_MERGER_AND_ACQUIS_EXPN_OP/1M</stp>
        <stp>FPR=2021Y</stp>
        <stp>FPT=A</stp>
        <stp>FA_ACT_EST_DATA=E, EST_SOURCE=WBL</stp>
        <stp>ACT_EST_MAPPING=PRECISE</stp>
        <stp>FS=MRC</stp>
        <stp>CURRENCY=USD</stp>
        <stp>XLFILL=b</stp>
        <tr r="L122" s="2"/>
      </tp>
      <tp t="s">
        <v>#N/A Requesting Data...</v>
        <stp/>
        <stp>##V3_BQLV12</stp>
        <stp>[MODL_NOW_US1.xlsx]Single Period!R115C42</stp>
        <stp>NOW US Equity</stp>
        <stp>GROSS_PROFIT/1M</stp>
        <stp>FPR=2021Y</stp>
        <stp>FPT=A</stp>
        <stp>FA_ACT_EST_DATA=E, EST_SOURCE=CTI</stp>
        <stp>ACT_EST_MAPPING=PRECISE</stp>
        <stp>FS=MRC</stp>
        <stp>CURRENCY=USD</stp>
        <stp>XLFILL=b</stp>
        <tr r="AP115" s="2"/>
      </tp>
      <tp t="s">
        <v>#N/A Requesting Data...</v>
        <stp/>
        <stp>##V3_BQLV12</stp>
        <stp>[MODL_NOW_US1.xlsx]Single Period!R120C29</stp>
        <stp>NOW US Equity</stp>
        <stp>IS_OPEX_R_AND_D_GAAP/1M</stp>
        <stp>FPR=2021Y</stp>
        <stp>FPT=A</stp>
        <stp>FA_ACT_EST_DATA=E, EST_SOURCE=BNS</stp>
        <stp>ACT_EST_MAPPING=PRECISE</stp>
        <stp>FS=MRC</stp>
        <stp>CURRENCY=USD</stp>
        <stp>XLFILL=b</stp>
        <tr r="AC120" s="2"/>
      </tp>
      <tp t="s">
        <v>#N/A Requesting Data...</v>
        <stp/>
        <stp>##V3_BQLV12</stp>
        <stp>[MODL_NOW_US1.xlsx]Single Period!R165C22</stp>
        <stp>NOW US Equity</stp>
        <stp>BS_OPER_LEA_RT_OF_USE_ASSETS/1M</stp>
        <stp>FPR=2021Y</stp>
        <stp>FPT=A</stp>
        <stp>FA_ACT_EST_DATA=E, EST_SOURCE=NDH</stp>
        <stp>ACT_EST_MAPPING=PRECISE</stp>
        <stp>FS=MRC</stp>
        <stp>CURRENCY=USD</stp>
        <stp>XLFILL=b</stp>
        <tr r="V165" s="2"/>
      </tp>
      <tp t="s">
        <v>#N/A Requesting Data...</v>
        <stp/>
        <stp>##V3_BQLV12</stp>
        <stp>[MODL_NOW_US1.xlsx]Single Period!R93C35</stp>
        <stp>NOW US Equity</stp>
        <stp>G_AND_A_COST_PCT_REVENUES</stp>
        <stp>FPR=2021Y</stp>
        <stp>FPT=A</stp>
        <stp>FA_ACT_EST_DATA=E, EST_SOURCE=MSR</stp>
        <stp>ACT_EST_MAPPING=PRECISE</stp>
        <stp>FS=MRC</stp>
        <stp>CURRENCY=USD</stp>
        <stp>XLFILL=b</stp>
        <tr r="AI93" s="2"/>
      </tp>
      <tp t="s">
        <v>#N/A Requesting Data...</v>
        <stp/>
        <stp>##V3_BQLV12</stp>
        <stp>[MODL_NOW_US1.xlsx]Single Period!R93C31</stp>
        <stp>NOW US Equity</stp>
        <stp>G_AND_A_COST_PCT_REVENUES</stp>
        <stp>FPR=2021Y</stp>
        <stp>FPT=A</stp>
        <stp>FA_ACT_EST_DATA=E, EST_SOURCE=GSR</stp>
        <stp>ACT_EST_MAPPING=PRECISE</stp>
        <stp>FS=MRC</stp>
        <stp>CURRENCY=USD</stp>
        <stp>XLFILL=b</stp>
        <tr r="AE93" s="2"/>
      </tp>
      <tp t="s">
        <v>#N/A Requesting Data...</v>
        <stp/>
        <stp>##V3_BQLV12</stp>
        <stp>[MODL_NOW_US1.xlsx]Single Period!R115C35</stp>
        <stp>NOW US Equity</stp>
        <stp>GROSS_PROFIT/1M</stp>
        <stp>FPR=2021Y</stp>
        <stp>FPT=A</stp>
        <stp>FA_ACT_EST_DATA=E, EST_SOURCE=MSR</stp>
        <stp>ACT_EST_MAPPING=PRECISE</stp>
        <stp>FS=MRC</stp>
        <stp>CURRENCY=USD</stp>
        <stp>XLFILL=b</stp>
        <tr r="AI115" s="2"/>
      </tp>
      <tp t="s">
        <v>#N/A Requesting Data...</v>
        <stp/>
        <stp>##V3_BQLV12</stp>
        <stp>[MODL_NOW_US1.xlsx]Single Period!R185C13</stp>
        <stp>NOW US Equity</stp>
        <stp>BS_TOT_ASSET/1M</stp>
        <stp>FPR=2021Y</stp>
        <stp>FPT=A</stp>
        <stp>FA_ACT_EST_DATA=E, EST_SOURCE=KEY</stp>
        <stp>ACT_EST_MAPPING=PRECISE</stp>
        <stp>FS=MRC</stp>
        <stp>CURRENCY=USD</stp>
        <stp>XLFILL=b</stp>
        <tr r="M185" s="2"/>
      </tp>
      <tp t="s">
        <v>#N/A Requesting Data...</v>
        <stp/>
        <stp>##V3_BQLV12</stp>
        <stp>[MODL_NOW_US1.xlsx]Single Period!R147C17</stp>
        <stp>NOW US Equity</stp>
        <stp>IS_AMORT_OF_TOT_INTANG_PRETX/1M</stp>
        <stp>FPR=2021Y</stp>
        <stp>FPT=A</stp>
        <stp>FA_ACT_EST_DATA=E, EST_SOURCE=RHR</stp>
        <stp>ACT_EST_MAPPING=PRECISE</stp>
        <stp>FS=MRC</stp>
        <stp>CURRENCY=USD</stp>
        <stp>XLFILL=b</stp>
        <tr r="Q147" s="2"/>
      </tp>
      <tp t="s">
        <v>#N/A Requesting Data...</v>
        <stp/>
        <stp>##V3_BQLV12</stp>
        <stp>[MODL_NOW_US1.xlsx]Single Period!R93C19</stp>
        <stp>NOW US Equity</stp>
        <stp>G_AND_A_COST_PCT_REVENUES</stp>
        <stp>FPR=2021Y</stp>
        <stp>FPT=A</stp>
        <stp>FA_ACT_EST_DATA=E, EST_SOURCE=MSV</stp>
        <stp>ACT_EST_MAPPING=PRECISE</stp>
        <stp>FS=MRC</stp>
        <stp>CURRENCY=USD</stp>
        <stp>XLFILL=b</stp>
        <tr r="S93" s="2"/>
      </tp>
      <tp t="s">
        <v>#N/A Requesting Data...</v>
        <stp/>
        <stp>##V3_BQLV12</stp>
        <stp>[MODL_NOW_US1.xlsx]Single Period!R115C31</stp>
        <stp>NOW US Equity</stp>
        <stp>GROSS_PROFIT/1M</stp>
        <stp>FPR=2021Y</stp>
        <stp>FPT=A</stp>
        <stp>FA_ACT_EST_DATA=E, EST_SOURCE=GSR</stp>
        <stp>ACT_EST_MAPPING=PRECISE</stp>
        <stp>FS=MRC</stp>
        <stp>CURRENCY=USD</stp>
        <stp>XLFILL=b</stp>
        <tr r="AE115" s="2"/>
      </tp>
      <tp t="s">
        <v>#N/A Requesting Data...</v>
        <stp/>
        <stp>##V3_BQLV12</stp>
        <stp>[MODL_NOW_US1.xlsx]Single Period!R46C6</stp>
        <stp>SEG0000230986 Segment</stp>
        <stp>CONTRIBUTOR_STATS(IS_BILLINGS, MIN)/1M</stp>
        <stp>FPR=2021Y</stp>
        <stp>FPT=A</stp>
        <stp>FA_ACT_EST_DATA=E</stp>
        <stp>ACT_EST_MAPPING=PRECISE</stp>
        <stp>FS=MRC</stp>
        <stp>CURRENCY=USD</stp>
        <stp>XLFILL=b</stp>
        <tr r="F46" s="2"/>
      </tp>
      <tp t="s">
        <v>#N/A Requesting Data...</v>
        <stp/>
        <stp>##V3_BQLV12</stp>
        <stp>[MODL_NOW_US1.xlsx]Single Period!R46C7</stp>
        <stp>SEG0000230986 Segment</stp>
        <stp>CONTRIBUTOR_STATS(IS_BILLINGS, MAX)/1M</stp>
        <stp>FPR=2021Y</stp>
        <stp>FPT=A</stp>
        <stp>FA_ACT_EST_DATA=E</stp>
        <stp>ACT_EST_MAPPING=PRECISE</stp>
        <stp>FS=MRC</stp>
        <stp>CURRENCY=USD</stp>
        <stp>XLFILL=b</stp>
        <tr r="G46" s="2"/>
      </tp>
      <tp t="s">
        <v>#N/A Requesting Data...</v>
        <stp/>
        <stp>##V3_BQLV12</stp>
        <stp>[MODL_NOW_US1.xlsx]Single Period!R160C8</stp>
        <stp>NOW US Equity</stp>
        <stp>CONTRIBUTOR_STATS(PREPAID_EXPNSS_AND_OTHR, STD)/1M</stp>
        <stp>FPR=2021Y</stp>
        <stp>FPT=A</stp>
        <stp>FA_ACT_EST_DATA=E</stp>
        <stp>ACT_EST_MAPPING=PRECISE</stp>
        <stp>FS=MRC</stp>
        <stp>CURRENCY=USD</stp>
        <stp>XLFILL=b</stp>
        <tr r="H160" s="2"/>
      </tp>
      <tp t="s">
        <v>#N/A Requesting Data...</v>
        <stp/>
        <stp>##V3_BQLV12</stp>
        <stp>[MODL_NOW_US1.xlsx]Single Period!R170C13</stp>
        <stp>NOW US Equity</stp>
        <stp>BS_TOT_ASSET/1M</stp>
        <stp>FPR=2021Y</stp>
        <stp>FPT=A</stp>
        <stp>FA_ACT_EST_DATA=E, EST_SOURCE=KEY</stp>
        <stp>ACT_EST_MAPPING=PRECISE</stp>
        <stp>FS=MRC</stp>
        <stp>CURRENCY=USD</stp>
        <stp>XLFILL=b</stp>
        <tr r="M170" s="2"/>
      </tp>
      <tp t="s">
        <v>#N/A Requesting Data...</v>
        <stp/>
        <stp>##V3_BQLV12</stp>
        <stp>[MODL_NOW_US1.xlsx]Single Period!R120C14</stp>
        <stp>NOW US Equity</stp>
        <stp>IS_OPEX_R_AND_D_GAAP/1M</stp>
        <stp>FPR=2021Y</stp>
        <stp>FPT=A</stp>
        <stp>FA_ACT_EST_DATA=E, EST_SOURCE=BMO</stp>
        <stp>ACT_EST_MAPPING=PRECISE</stp>
        <stp>FS=MRC</stp>
        <stp>CURRENCY=USD</stp>
        <stp>XLFILL=b</stp>
        <tr r="N120" s="2"/>
      </tp>
      <tp t="s">
        <v>#N/A Requesting Data...</v>
        <stp/>
        <stp>##V3_BQLV12</stp>
        <stp>[MODL_NOW_US1.xlsx]Single Period!R4C24</stp>
        <stp>NOW US Equity</stp>
        <stp>LAST(IS_COMP_SALES(FA_ACT_EST_DATA=E, EST_SOURCE=CWN).analyst_name)</stp>
        <stp>FPR=2021Y</stp>
        <stp>FPT=A</stp>
        <stp>ACT_EST_MAPPING=PRECISE</stp>
        <stp>FS=MRC</stp>
        <stp>CURRENCY=USD</stp>
        <stp>XLFILL=b</stp>
        <tr r="X4" s="2"/>
      </tp>
      <tp t="s">
        <v>#N/A Requesting Data...</v>
        <stp/>
        <stp>##V3_BQLV12</stp>
        <stp>[MODL_NOW_US1.xlsx]Single Period!R114C25</stp>
        <stp>SEG0000230986 Segment</stp>
        <stp>CB_IS_GROSS_MARGIN</stp>
        <stp>FPR=2021Y</stp>
        <stp>FPT=A</stp>
        <stp>FA_ACT_EST_DATA=E, EST_SOURCE=DBG</stp>
        <stp>ACT_EST_MAPPING=PRECISE</stp>
        <stp>FS=MRC</stp>
        <stp>CURRENCY=USD</stp>
        <stp>XLFILL=b</stp>
        <tr r="Y114" s="2"/>
      </tp>
      <tp t="s">
        <v>#N/A Requesting Data...</v>
        <stp/>
        <stp>##V3_BQLV12</stp>
        <stp>[MODL_NOW_US1.xlsx]Single Period!R4C42</stp>
        <stp>NOW US Equity</stp>
        <stp>LAST(IS_COMP_SALES(FA_ACT_EST_DATA=E, EST_SOURCE=CTI).analyst_name)</stp>
        <stp>FPR=2021Y</stp>
        <stp>FPT=A</stp>
        <stp>ACT_EST_MAPPING=PRECISE</stp>
        <stp>FS=MRC</stp>
        <stp>CURRENCY=USD</stp>
        <stp>XLFILL=b</stp>
        <tr r="AP4" s="2"/>
      </tp>
      <tp t="s">
        <v>#N/A Requesting Data...</v>
        <stp/>
        <stp>##V3_BQLV12</stp>
        <stp>[MODL_NOW_US1.xlsx]Single Period!R51C33</stp>
        <stp>NOW US Equity</stp>
        <stp>ACCOUNTS_PAYABLE_TURNOVER_DAYS</stp>
        <stp>FPR=2021Y</stp>
        <stp>FPT=A</stp>
        <stp>FA_ACT_EST_DATA=E, EST_SOURCE=MAC</stp>
        <stp>ACT_EST_MAPPING=PRECISE</stp>
        <stp>FS=MRC</stp>
        <stp>CURRENCY=USD</stp>
        <stp>XLFILL=b</stp>
        <tr r="AG51" s="2"/>
      </tp>
      <tp t="s">
        <v>#N/A Requesting Data...</v>
        <stp/>
        <stp>##V3_BQLV12</stp>
        <stp>[MODL_NOW_US1.xlsx]Single Period!R4C48</stp>
        <stp>NOW US Equity</stp>
        <stp>LAST(IS_COMP_SALES(FA_ACT_EST_DATA=E, EST_SOURCE=CRC).analyst_name)</stp>
        <stp>FPR=2021Y</stp>
        <stp>FPT=A</stp>
        <stp>ACT_EST_MAPPING=PRECISE</stp>
        <stp>FS=MRC</stp>
        <stp>CURRENCY=USD</stp>
        <stp>XLFILL=b</stp>
        <tr r="AV4" s="2"/>
      </tp>
      <tp t="s">
        <v>#N/A Requesting Data...</v>
        <stp/>
        <stp>##V3_BQLV12</stp>
        <stp>[MODL_NOW_US1.xlsx]Single Period!R114C32</stp>
        <stp>SEG0000230986 Segment</stp>
        <stp>CB_IS_GROSS_MARGIN</stp>
        <stp>FPR=2021Y</stp>
        <stp>FPT=A</stp>
        <stp>FA_ACT_EST_DATA=E, EST_SOURCE=FBC</stp>
        <stp>ACT_EST_MAPPING=PRECISE</stp>
        <stp>FS=MRC</stp>
        <stp>CURRENCY=USD</stp>
        <stp>XLFILL=b</stp>
        <tr r="AF114" s="2"/>
      </tp>
      <tp t="s">
        <v>#N/A Requesting Data...</v>
        <stp/>
        <stp>##V3_BQLV12</stp>
        <stp>[MODL_NOW_US1.xlsx]Single Period!R114C27</stp>
        <stp>SEG0000230986 Segment</stp>
        <stp>CB_IS_GROSS_MARGIN</stp>
        <stp>FPR=2021Y</stp>
        <stp>FPT=A</stp>
        <stp>FA_ACT_EST_DATA=E, EST_SOURCE=RBC</stp>
        <stp>ACT_EST_MAPPING=PRECISE</stp>
        <stp>FS=MRC</stp>
        <stp>CURRENCY=USD</stp>
        <stp>XLFILL=b</stp>
        <tr r="AA114" s="2"/>
      </tp>
      <tp t="s">
        <v>#N/A Requesting Data...</v>
        <stp/>
        <stp>##V3_BQLV12</stp>
        <stp>[MODL_NOW_US1.xlsx]Single Period!R7C8</stp>
        <stp>NOW US Equity</stp>
        <stp>CONTRIBUTOR_STATS(IS_COMP_SALES, STD)/1M</stp>
        <stp>FPR=2021Y</stp>
        <stp>FPT=A</stp>
        <stp>FA_ACT_EST_DATA=E</stp>
        <stp>ACT_EST_MAPPING=PRECISE</stp>
        <stp>FS=MRC</stp>
        <stp>CURRENCY=USD</stp>
        <stp>XLFILL=b</stp>
        <tr r="H7" s="2"/>
      </tp>
      <tp t="s">
        <v>#N/A Requesting Data...</v>
        <stp/>
        <stp>##V3_BQLV12</stp>
        <stp>[MODL_NOW_US1.xlsx]Single Period!R114C12</stp>
        <stp>SEG0000230986 Segment</stp>
        <stp>CB_IS_GROSS_MARGIN</stp>
        <stp>FPR=2021Y</stp>
        <stp>FPT=A</stp>
        <stp>FA_ACT_EST_DATA=E, EST_SOURCE=WBL</stp>
        <stp>ACT_EST_MAPPING=PRECISE</stp>
        <stp>FS=MRC</stp>
        <stp>CURRENCY=USD</stp>
        <stp>XLFILL=b</stp>
        <tr r="L114" s="2"/>
      </tp>
      <tp t="s">
        <v>#N/A Requesting Data...</v>
        <stp/>
        <stp>##V3_BQLV12</stp>
        <stp>[MODL_NOW_US1.xlsx]Single Period!R51C30</stp>
        <stp>NOW US Equity</stp>
        <stp>ACCOUNTS_PAYABLE_TURNOVER_DAYS</stp>
        <stp>FPR=2021Y</stp>
        <stp>FPT=A</stp>
        <stp>FA_ACT_EST_DATA=E, EST_SOURCE=BAM</stp>
        <stp>ACT_EST_MAPPING=PRECISE</stp>
        <stp>FS=MRC</stp>
        <stp>CURRENCY=USD</stp>
        <stp>XLFILL=b</stp>
        <tr r="AD51" s="2"/>
      </tp>
      <tp t="s">
        <v>#N/A Requesting Data...</v>
        <stp/>
        <stp>##V3_BQLV12</stp>
        <stp>[MODL_NOW_US1.xlsx]Single Period!R132C32</stp>
        <stp>NOW US Equity</stp>
        <stp>CONT_INC_PER_SH</stp>
        <stp>FPR=2021Y</stp>
        <stp>FPT=A</stp>
        <stp>FA_ACT_EST_DATA=E, EST_SOURCE=FBC</stp>
        <stp>ACT_EST_MAPPING=PRECISE</stp>
        <stp>FS=MRC</stp>
        <stp>CURRENCY=USD</stp>
        <stp>XLFILL=b</stp>
        <tr r="AF132" s="2"/>
      </tp>
      <tp t="s">
        <v>#N/A Requesting Data...</v>
        <stp/>
        <stp>##V3_BQLV12</stp>
        <stp>[MODL_NOW_US1.xlsx]Single Period!R51C20</stp>
        <stp>NOW US Equity</stp>
        <stp>ACCOUNTS_PAYABLE_TURNOVER_DAYS</stp>
        <stp>FPR=2021Y</stp>
        <stp>FPT=A</stp>
        <stp>FA_ACT_EST_DATA=E, EST_SOURCE=CAN</stp>
        <stp>ACT_EST_MAPPING=PRECISE</stp>
        <stp>FS=MRC</stp>
        <stp>CURRENCY=USD</stp>
        <stp>XLFILL=b</stp>
        <tr r="T51" s="2"/>
      </tp>
      <tp t="s">
        <v>#N/A Requesting Data...</v>
        <stp/>
        <stp>##V3_BQLV12</stp>
        <stp>[MODL_NOW_US1.xlsx]Single Period!R118C40</stp>
        <stp>NOW US Equity</stp>
        <stp>OPERATING_EXPENSES_TO_NET_SALES</stp>
        <stp>FPR=2021Y</stp>
        <stp>FPT=A</stp>
        <stp>FA_ACT_EST_DATA=E, EST_SOURCE=DWI</stp>
        <stp>ACT_EST_MAPPING=PRECISE</stp>
        <stp>FS=MRC</stp>
        <stp>CURRENCY=USD</stp>
        <stp>XLFILL=b</stp>
        <tr r="AN118" s="2"/>
      </tp>
      <tp t="s">
        <v>#N/A Requesting Data...</v>
        <stp/>
        <stp>##V3_BQLV12</stp>
        <stp>[MODL_NOW_US1.xlsx]Single Period!R114C26</stp>
        <stp>SEG0000230986 Segment</stp>
        <stp>CB_IS_GROSS_MARGIN</stp>
        <stp>FPR=2021Y</stp>
        <stp>FPT=A</stp>
        <stp>FA_ACT_EST_DATA=E, EST_SOURCE=UBS</stp>
        <stp>ACT_EST_MAPPING=PRECISE</stp>
        <stp>FS=MRC</stp>
        <stp>CURRENCY=USD</stp>
        <stp>XLFILL=b</stp>
        <tr r="Z114" s="2"/>
      </tp>
      <tp t="s">
        <v>#N/A Requesting Data...</v>
        <stp/>
        <stp>##V3_BQLV12</stp>
        <stp>[MODL_NOW_US1.xlsx]Single Period!R4C20</stp>
        <stp>NOW US Equity</stp>
        <stp>LAST(IS_COMP_SALES(FA_ACT_EST_DATA=E, EST_SOURCE=CAN).analyst_name)</stp>
        <stp>FPR=2021Y</stp>
        <stp>FPT=A</stp>
        <stp>ACT_EST_MAPPING=PRECISE</stp>
        <stp>FS=MRC</stp>
        <stp>CURRENCY=USD</stp>
        <stp>XLFILL=b</stp>
        <tr r="T4" s="2"/>
      </tp>
      <tp t="s">
        <v>#N/A Requesting Data...</v>
        <stp/>
        <stp>##V3_BQLV12</stp>
        <stp>[MODL_NOW_US1.xlsx]Single Period!R42C10</stp>
        <stp>SEG0000230975 Segment</stp>
        <stp>IS_BILLINGS/1M</stp>
        <stp>FPR=2021Y</stp>
        <stp>FPT=A</stp>
        <stp>FA_ACT_EST_DATA=E, EST_SOURCE=CMPY</stp>
        <stp>ACT_EST_MAPPING=PRECISE</stp>
        <stp>FS=MRC</stp>
        <stp>CURRENCY=USD</stp>
        <stp>XLFILL=b</stp>
        <tr r="J42" s="2"/>
      </tp>
      <tp t="s">
        <v>#N/A Requesting Data...</v>
        <stp/>
        <stp>##V3_BQLV12</stp>
        <stp>[MODL_NOW_US1.xlsx]Single Period!R46C10</stp>
        <stp>SEG0000230986 Segment</stp>
        <stp>IS_BILLINGS/1M</stp>
        <stp>FPR=2021Y</stp>
        <stp>FPT=A</stp>
        <stp>FA_ACT_EST_DATA=E, EST_SOURCE=CMPY</stp>
        <stp>ACT_EST_MAPPING=PRECISE</stp>
        <stp>FS=MRC</stp>
        <stp>CURRENCY=USD</stp>
        <stp>XLFILL=b</stp>
        <tr r="J46" s="2"/>
      </tp>
      <tp t="s">
        <v>#N/A Requesting Data...</v>
        <stp/>
        <stp>##V3_BQLV12</stp>
        <stp>[MODL_NOW_US1.xlsx]Single Period!R17C10</stp>
        <stp>SEG0000230975 Segment</stp>
        <stp>IS_BILLINGS/1M</stp>
        <stp>FPR=2021Y</stp>
        <stp>FPT=A</stp>
        <stp>FA_ACT_EST_DATA=E, EST_SOURCE=CMPY</stp>
        <stp>ACT_EST_MAPPING=PRECISE</stp>
        <stp>FS=MRC</stp>
        <stp>CURRENCY=USD</stp>
        <stp>XLFILL=b</stp>
        <tr r="J17" s="2"/>
      </tp>
      <tp t="s">
        <v>#N/A Requesting Data...</v>
        <stp/>
        <stp>##V3_BQLV12</stp>
        <stp>[MODL_NOW_US1.xlsx]Single Period!R21C10</stp>
        <stp>SEG0000230986 Segment</stp>
        <stp>IS_BILLINGS/1M</stp>
        <stp>FPR=2021Y</stp>
        <stp>FPT=A</stp>
        <stp>FA_ACT_EST_DATA=E, EST_SOURCE=CMPY</stp>
        <stp>ACT_EST_MAPPING=PRECISE</stp>
        <stp>FS=MRC</stp>
        <stp>CURRENCY=USD</stp>
        <stp>XLFILL=b</stp>
        <tr r="J21" s="2"/>
      </tp>
      <tp t="s">
        <v>#N/A Requesting Data...</v>
        <stp/>
        <stp>##V3_BQLV12</stp>
        <stp>[MODL_NOW_US1.xlsx]Single Period!R6C9</stp>
        <stp>NOW US Equity</stp>
        <stp>CONTRIBUTOR_STATS(IS_COMP_EPS_EXCL_STOCK_COMP, MEDIAN)</stp>
        <stp>FPR=2021Y</stp>
        <stp>FPT=A</stp>
        <stp>FA_ACT_EST_DATA=E</stp>
        <stp>ACT_EST_MAPPING=PRECISE</stp>
        <stp>FS=MRC</stp>
        <stp>CURRENCY=USD</stp>
        <stp>XLFILL=b</stp>
        <tr r="I6" s="2"/>
      </tp>
      <tp t="s">
        <v>#N/A Requesting Data...</v>
        <stp/>
        <stp>##V3_BQLV12</stp>
        <stp>[MODL_NOW_US1.xlsx]Single Period!R7C27</stp>
        <stp>NOW US Equity</stp>
        <stp>IS_COMP_SALES/1M</stp>
        <stp>FPR=2021Y</stp>
        <stp>FPT=A</stp>
        <stp>FA_ACT_EST_DATA=E, EST_SOURCE=RBC</stp>
        <stp>ACT_EST_MAPPING=PRECISE</stp>
        <stp>FS=MRC</stp>
        <stp>CURRENCY=USD</stp>
        <stp>XLFILL=b</stp>
        <tr r="AA7" s="2"/>
      </tp>
      <tp t="s">
        <v>#N/A Requesting Data...</v>
        <stp/>
        <stp>##V3_BQLV12</stp>
        <stp>[MODL_NOW_US1.xlsx]Single Period!R7C16</stp>
        <stp>NOW US Equity</stp>
        <stp>IS_COMP_SALES/1M</stp>
        <stp>FPR=2021Y</stp>
        <stp>FPT=A</stp>
        <stp>FA_ACT_EST_DATA=E, EST_SOURCE=BCA</stp>
        <stp>ACT_EST_MAPPING=PRECISE</stp>
        <stp>FS=MRC</stp>
        <stp>CURRENCY=USD</stp>
        <stp>XLFILL=b</stp>
        <tr r="P7" s="2"/>
      </tp>
      <tp t="s">
        <v>#N/A Requesting Data...</v>
        <stp/>
        <stp>##V3_BQLV12</stp>
        <stp>[MODL_NOW_US1.xlsx]Single Period!R7C43</stp>
        <stp>NOW US Equity</stp>
        <stp>IS_COMP_SALES/1M</stp>
        <stp>FPR=2021Y</stp>
        <stp>FPT=A</stp>
        <stp>FA_ACT_EST_DATA=E, EST_SOURCE=WFT</stp>
        <stp>ACT_EST_MAPPING=PRECISE</stp>
        <stp>FS=MRC</stp>
        <stp>CURRENCY=USD</stp>
        <stp>XLFILL=b</stp>
        <tr r="AQ7" s="2"/>
      </tp>
      <tp t="s">
        <v>#N/A Requesting Data...</v>
        <stp/>
        <stp>##V3_BQLV12</stp>
        <stp>[MODL_NOW_US1.xlsx]Single Period!R209C9</stp>
        <stp>NOW US Equity</stp>
        <stp>CONTRIBUTOR_STATS(CF_CHANGE_IN_ACCOUNTS_PAYABLE, MEDIAN)/1M</stp>
        <stp>FPR=2021Y</stp>
        <stp>FPT=A</stp>
        <stp>FA_ACT_EST_DATA=E</stp>
        <stp>ACT_EST_MAPPING=PRECISE</stp>
        <stp>FS=MRC</stp>
        <stp>CURRENCY=USD</stp>
        <stp>XLFILL=b</stp>
        <tr r="I209" s="2"/>
      </tp>
      <tp t="s">
        <v>#N/A Requesting Data...</v>
        <stp/>
        <stp>##V3_BQLV12</stp>
        <stp>[MODL_NOW_US1.xlsx]Single Period!R93C48</stp>
        <stp>NOW US Equity</stp>
        <stp>G_AND_A_COST_PCT_REVENUES</stp>
        <stp>FPR=2021Y</stp>
        <stp>FPT=A</stp>
        <stp>FA_ACT_EST_DATA=E, EST_SOURCE=CRC</stp>
        <stp>ACT_EST_MAPPING=PRECISE</stp>
        <stp>FS=MRC</stp>
        <stp>CURRENCY=USD</stp>
        <stp>XLFILL=b</stp>
        <tr r="AV93" s="2"/>
      </tp>
      <tp t="s">
        <v>#N/A Requesting Data...</v>
        <stp/>
        <stp>##V3_BQLV12</stp>
        <stp>[MODL_NOW_US1.xlsx]Single Period!R122C16</stp>
        <stp>NOW US Equity</stp>
        <stp>IS_MERGER_AND_ACQUIS_EXPN_OP/1M</stp>
        <stp>FPR=2021Y</stp>
        <stp>FPT=A</stp>
        <stp>FA_ACT_EST_DATA=E, EST_SOURCE=BCA</stp>
        <stp>ACT_EST_MAPPING=PRECISE</stp>
        <stp>FS=MRC</stp>
        <stp>CURRENCY=USD</stp>
        <stp>XLFILL=b</stp>
        <tr r="P122" s="2"/>
      </tp>
      <tp t="s">
        <v>#N/A Requesting Data...</v>
        <stp/>
        <stp>##V3_BQLV12</stp>
        <stp>[MODL_NOW_US1.xlsx]Single Period!R222C29</stp>
        <stp>NOW US Equity</stp>
        <stp>CF_CASH_FROM_INV_ACT/1M</stp>
        <stp>FPR=2021Y</stp>
        <stp>FPT=A</stp>
        <stp>FA_ACT_EST_DATA=E, EST_SOURCE=BNS</stp>
        <stp>ACT_EST_MAPPING=PRECISE</stp>
        <stp>FS=MRC</stp>
        <stp>CURRENCY=USD</stp>
        <stp>XLFILL=b</stp>
        <tr r="AC222" s="2"/>
      </tp>
      <tp t="s">
        <v>#N/A Requesting Data...</v>
        <stp/>
        <stp>##V3_BQLV12</stp>
        <stp>[MODL_NOW_US1.xlsx]Single Period!R182C5</stp>
        <stp>NOW US Equity</stp>
        <stp>BS_OTHER_NONCURRENT_LIABILITIES/1M</stp>
        <stp>FPR=2021Y</stp>
        <stp>FPT=A</stp>
        <stp>FA_ACT_EST_DATA=E</stp>
        <stp>ACT_EST_MAPPING=PRECISE</stp>
        <stp>FS=MRC</stp>
        <stp>CURRENCY=USD</stp>
        <stp>XLFILL=b</stp>
        <tr r="E182" s="2"/>
      </tp>
      <tp t="s">
        <v>#N/A Requesting Data...</v>
        <stp/>
        <stp>##V3_BQLV12</stp>
        <stp>[MODL_NOW_US1.xlsx]Single Period!R93C41</stp>
        <stp>NOW US Equity</stp>
        <stp>G_AND_A_COST_PCT_REVENUES</stp>
        <stp>FPR=2021Y</stp>
        <stp>FPT=A</stp>
        <stp>FA_ACT_EST_DATA=E, EST_SOURCE=ARG</stp>
        <stp>ACT_EST_MAPPING=PRECISE</stp>
        <stp>FS=MRC</stp>
        <stp>CURRENCY=USD</stp>
        <stp>XLFILL=b</stp>
        <tr r="AO93" s="2"/>
      </tp>
      <tp t="s">
        <v>#N/A Requesting Data...</v>
        <stp/>
        <stp>##V3_BQLV12</stp>
        <stp>[MODL_NOW_US1.xlsx]Single Period!R93C44</stp>
        <stp>NOW US Equity</stp>
        <stp>G_AND_A_COST_PCT_REVENUES</stp>
        <stp>FPR=2021Y</stp>
        <stp>FPT=A</stp>
        <stp>FA_ACT_EST_DATA=E, EST_SOURCE=ARE</stp>
        <stp>ACT_EST_MAPPING=PRECISE</stp>
        <stp>FS=MRC</stp>
        <stp>CURRENCY=USD</stp>
        <stp>XLFILL=b</stp>
        <tr r="AR93" s="2"/>
      </tp>
      <tp t="s">
        <v>#N/A Requesting Data...</v>
        <stp/>
        <stp>##V3_BQLV12</stp>
        <stp>[MODL_NOW_US1.xlsx]Single Period!R122C33</stp>
        <stp>NOW US Equity</stp>
        <stp>IS_MERGER_AND_ACQUIS_EXPN_OP/1M</stp>
        <stp>FPR=2021Y</stp>
        <stp>FPT=A</stp>
        <stp>FA_ACT_EST_DATA=E, EST_SOURCE=MAC</stp>
        <stp>ACT_EST_MAPPING=PRECISE</stp>
        <stp>FS=MRC</stp>
        <stp>CURRENCY=USD</stp>
        <stp>XLFILL=b</stp>
        <tr r="AG122" s="2"/>
      </tp>
      <tp t="s">
        <v>#N/A Requesting Data...</v>
        <stp/>
        <stp>##V3_BQLV12</stp>
        <stp>[MODL_NOW_US1.xlsx]Single Period!R218C7</stp>
        <stp>NOW US Equity</stp>
        <stp>CONTRIBUTOR_STATS(CF_ACQUISITION_OF_INTANG_ASSETS, MAX)/1M</stp>
        <stp>FPR=2021Y</stp>
        <stp>FPT=A</stp>
        <stp>FA_ACT_EST_DATA=E</stp>
        <stp>ACT_EST_MAPPING=PRECISE</stp>
        <stp>FS=MRC</stp>
        <stp>CURRENCY=USD</stp>
        <stp>XLFILL=b</stp>
        <tr r="G218" s="2"/>
      </tp>
      <tp t="s">
        <v>#N/A Requesting Data...</v>
        <stp/>
        <stp>##V3_BQLV12</stp>
        <stp>[MODL_NOW_US1.xlsx]Single Period!R218C6</stp>
        <stp>NOW US Equity</stp>
        <stp>CONTRIBUTOR_STATS(CF_ACQUISITION_OF_INTANG_ASSETS, MIN)/1M</stp>
        <stp>FPR=2021Y</stp>
        <stp>FPT=A</stp>
        <stp>FA_ACT_EST_DATA=E</stp>
        <stp>ACT_EST_MAPPING=PRECISE</stp>
        <stp>FS=MRC</stp>
        <stp>CURRENCY=USD</stp>
        <stp>XLFILL=b</stp>
        <tr r="F218" s="2"/>
      </tp>
      <tp t="s">
        <v>#N/A Requesting Data...</v>
        <stp/>
        <stp>##V3_BQLV12</stp>
        <stp>[MODL_NOW_US1.xlsx]Single Period!R115C11</stp>
        <stp>NOW US Equity</stp>
        <stp>GROSS_PROFIT/1M</stp>
        <stp>FPR=2021Y</stp>
        <stp>FPT=A</stp>
        <stp>FA_ACT_EST_DATA=E, EST_SOURCE=JPM</stp>
        <stp>ACT_EST_MAPPING=PRECISE</stp>
        <stp>FS=MRC</stp>
        <stp>CURRENCY=USD</stp>
        <stp>XLFILL=b</stp>
        <tr r="K115" s="2"/>
      </tp>
      <tp t="s">
        <v>#N/A Requesting Data...</v>
        <stp/>
        <stp>##V3_BQLV12</stp>
        <stp>[MODL_NOW_US1.xlsx]Single Period!R122C30</stp>
        <stp>NOW US Equity</stp>
        <stp>IS_MERGER_AND_ACQUIS_EXPN_OP/1M</stp>
        <stp>FPR=2021Y</stp>
        <stp>FPT=A</stp>
        <stp>FA_ACT_EST_DATA=E, EST_SOURCE=BAM</stp>
        <stp>ACT_EST_MAPPING=PRECISE</stp>
        <stp>FS=MRC</stp>
        <stp>CURRENCY=USD</stp>
        <stp>XLFILL=b</stp>
        <tr r="AD122" s="2"/>
      </tp>
      <tp t="s">
        <v>#N/A Requesting Data...</v>
        <stp/>
        <stp>##V3_BQLV12</stp>
        <stp>[MODL_NOW_US1.xlsx]Single Period!R165C49</stp>
        <stp>NOW US Equity</stp>
        <stp>BS_OPER_LEA_RT_OF_USE_ASSETS/1M</stp>
        <stp>FPR=2021Y</stp>
        <stp>FPT=A</stp>
        <stp>FA_ACT_EST_DATA=E, EST_SOURCE=SCB</stp>
        <stp>ACT_EST_MAPPING=PRECISE</stp>
        <stp>FS=MRC</stp>
        <stp>CURRENCY=USD</stp>
        <stp>XLFILL=b</stp>
        <tr r="AW165" s="2"/>
      </tp>
      <tp t="s">
        <v>#N/A Requesting Data...</v>
        <stp/>
        <stp>##V3_BQLV12</stp>
        <stp>[MODL_NOW_US1.xlsx]Single Period!R115C47</stp>
        <stp>NOW US Equity</stp>
        <stp>GROSS_PROFIT/1M</stp>
        <stp>FPR=2021Y</stp>
        <stp>FPT=A</stp>
        <stp>FA_ACT_EST_DATA=E, EST_SOURCE=SUM</stp>
        <stp>ACT_EST_MAPPING=PRECISE</stp>
        <stp>FS=MRC</stp>
        <stp>CURRENCY=USD</stp>
        <stp>XLFILL=b</stp>
        <tr r="AU115" s="2"/>
      </tp>
      <tp t="s">
        <v>#N/A Requesting Data...</v>
        <stp/>
        <stp>##V3_BQLV12</stp>
        <stp>[MODL_NOW_US1.xlsx]Single Period!R122C43</stp>
        <stp>NOW US Equity</stp>
        <stp>IS_MERGER_AND_ACQUIS_EXPN_OP/1M</stp>
        <stp>FPR=2021Y</stp>
        <stp>FPT=A</stp>
        <stp>FA_ACT_EST_DATA=E, EST_SOURCE=WFT</stp>
        <stp>ACT_EST_MAPPING=PRECISE</stp>
        <stp>FS=MRC</stp>
        <stp>CURRENCY=USD</stp>
        <stp>XLFILL=b</stp>
        <tr r="AQ122" s="2"/>
      </tp>
      <tp t="s">
        <v>#N/A Requesting Data...</v>
        <stp/>
        <stp>##V3_BQLV12</stp>
        <stp>[MODL_NOW_US1.xlsx]Single Period!R222C14</stp>
        <stp>NOW US Equity</stp>
        <stp>CF_CASH_FROM_INV_ACT/1M</stp>
        <stp>FPR=2021Y</stp>
        <stp>FPT=A</stp>
        <stp>FA_ACT_EST_DATA=E, EST_SOURCE=BMO</stp>
        <stp>ACT_EST_MAPPING=PRECISE</stp>
        <stp>FS=MRC</stp>
        <stp>CURRENCY=USD</stp>
        <stp>XLFILL=b</stp>
        <tr r="N222" s="2"/>
      </tp>
      <tp t="s">
        <v>#N/A Requesting Data...</v>
        <stp/>
        <stp>##V3_BQLV12</stp>
        <stp>[MODL_NOW_US1.xlsx]Single Period!R87C28</stp>
        <stp>NOW US Equity</stp>
        <stp>CB_IS_ADJUSTED_OPEX/1M</stp>
        <stp>FPR=2021Y</stp>
        <stp>FPT=A</stp>
        <stp>FA_ACT_EST_DATA=E, EST_SOURCE=EVR</stp>
        <stp>ACT_EST_MAPPING=PRECISE</stp>
        <stp>FS=MRC</stp>
        <stp>CURRENCY=USD</stp>
        <stp>XLFILL=b</stp>
        <tr r="AB87" s="2"/>
      </tp>
      <tp t="s">
        <v>#N/A Requesting Data...</v>
        <stp/>
        <stp>##V3_BQLV12</stp>
        <stp>[MODL_NOW_US1.xlsx]Single Period!R218C8</stp>
        <stp>NOW US Equity</stp>
        <stp>CONTRIBUTOR_STATS(CF_ACQUISITION_OF_INTANG_ASSETS, STD)/1M</stp>
        <stp>FPR=2021Y</stp>
        <stp>FPT=A</stp>
        <stp>FA_ACT_EST_DATA=E</stp>
        <stp>ACT_EST_MAPPING=PRECISE</stp>
        <stp>FS=MRC</stp>
        <stp>CURRENCY=USD</stp>
        <stp>XLFILL=b</stp>
        <tr r="H218" s="2"/>
      </tp>
      <tp t="s">
        <v>#N/A Requesting Data...</v>
        <stp/>
        <stp>##V3_BQLV12</stp>
        <stp>[MODL_NOW_US1.xlsx]Single Period!R190C40</stp>
        <stp>NOW US Equity</stp>
        <stp>DEFERRED_REV/1M</stp>
        <stp>FPR=2021Y</stp>
        <stp>FPT=A</stp>
        <stp>FA_ACT_EST_DATA=E, EST_SOURCE=DWI</stp>
        <stp>ACT_EST_MAPPING=PRECISE</stp>
        <stp>FS=MRC</stp>
        <stp>CURRENCY=USD</stp>
        <stp>XLFILL=b</stp>
        <tr r="AN190" s="2"/>
      </tp>
      <tp t="s">
        <v>#N/A Requesting Data...</v>
        <stp/>
        <stp>##V3_BQLV12</stp>
        <stp>[MODL_NOW_US1.xlsx]Single Period!R115C15</stp>
        <stp>NOW US Equity</stp>
        <stp>GROSS_PROFIT/1M</stp>
        <stp>FPR=2021Y</stp>
        <stp>FPT=A</stp>
        <stp>FA_ACT_EST_DATA=E, EST_SOURCE=OPY</stp>
        <stp>ACT_EST_MAPPING=PRECISE</stp>
        <stp>FS=MRC</stp>
        <stp>CURRENCY=USD</stp>
        <stp>XLFILL=b</stp>
        <tr r="O115" s="2"/>
      </tp>
      <tp t="s">
        <v>#N/A Requesting Data...</v>
        <stp/>
        <stp>##V3_BQLV12</stp>
        <stp>[MODL_NOW_US1.xlsx]Single Period!R118C29</stp>
        <stp>NOW US Equity</stp>
        <stp>OPERATING_EXPENSES_TO_NET_SALES</stp>
        <stp>FPR=2021Y</stp>
        <stp>FPT=A</stp>
        <stp>FA_ACT_EST_DATA=E, EST_SOURCE=BNS</stp>
        <stp>ACT_EST_MAPPING=PRECISE</stp>
        <stp>FS=MRC</stp>
        <stp>CURRENCY=USD</stp>
        <stp>XLFILL=b</stp>
        <tr r="AC118" s="2"/>
      </tp>
      <tp t="s">
        <v>#N/A Requesting Data...</v>
        <stp/>
        <stp>##V3_BQLV12</stp>
        <stp>[MODL_NOW_US1.xlsx]Single Period!R37C22</stp>
        <stp>NOW US Equity</stp>
        <stp>BS_REMAINING_PERFORMANCE_OBLIG/1M</stp>
        <stp>FPR=2021Y</stp>
        <stp>FPT=A</stp>
        <stp>FA_ACT_EST_DATA=E, EST_SOURCE=NDH</stp>
        <stp>ACT_EST_MAPPING=PRECISE</stp>
        <stp>FS=MRC</stp>
        <stp>CURRENCY=USD</stp>
        <stp>XLFILL=b</stp>
        <tr r="V37" s="2"/>
      </tp>
      <tp t="s">
        <v>#N/A Requesting Data...</v>
        <stp/>
        <stp>##V3_BQLV12</stp>
        <stp>[MODL_NOW_US1.xlsx]Single Period!R125C10</stp>
        <stp>NOW US Equity</stp>
        <stp>OPER_INC_TO_NET_SALES</stp>
        <stp>FPR=2021Y</stp>
        <stp>FPT=A</stp>
        <stp>FA_ACT_EST_DATA=E, EST_SOURCE=CMPY</stp>
        <stp>ACT_EST_MAPPING=PRECISE</stp>
        <stp>FS=MRC</stp>
        <stp>CURRENCY=USD</stp>
        <stp>XLFILL=b</stp>
        <tr r="J125" s="2"/>
      </tp>
      <tp t="s">
        <v>#N/A Requesting Data...</v>
        <stp/>
        <stp>##V3_BQLV12</stp>
        <stp>[MODL_NOW_US1.xlsx]Single Period!R32C20</stp>
        <stp>NOW US Equity</stp>
        <stp>BS_REMAINING_PERFORMANCE_OBLIG/1M</stp>
        <stp>FPR=2021Y</stp>
        <stp>FPT=A</stp>
        <stp>FA_ACT_EST_DATA=E, EST_SOURCE=CAN</stp>
        <stp>ACT_EST_MAPPING=PRECISE</stp>
        <stp>FS=MRC</stp>
        <stp>CURRENCY=USD</stp>
        <stp>XLFILL=b</stp>
        <tr r="T32" s="2"/>
      </tp>
      <tp t="s">
        <v>#N/A Requesting Data...</v>
        <stp/>
        <stp>##V3_BQLV12</stp>
        <stp>[MODL_NOW_US1.xlsx]Single Period!R32C30</stp>
        <stp>NOW US Equity</stp>
        <stp>BS_REMAINING_PERFORMANCE_OBLIG/1M</stp>
        <stp>FPR=2021Y</stp>
        <stp>FPT=A</stp>
        <stp>FA_ACT_EST_DATA=E, EST_SOURCE=BAM</stp>
        <stp>ACT_EST_MAPPING=PRECISE</stp>
        <stp>FS=MRC</stp>
        <stp>CURRENCY=USD</stp>
        <stp>XLFILL=b</stp>
        <tr r="AD32" s="2"/>
      </tp>
      <tp t="s">
        <v>#N/A Requesting Data...</v>
        <stp/>
        <stp>##V3_BQLV12</stp>
        <stp>[MODL_NOW_US1.xlsx]Single Period!R32C33</stp>
        <stp>NOW US Equity</stp>
        <stp>BS_REMAINING_PERFORMANCE_OBLIG/1M</stp>
        <stp>FPR=2021Y</stp>
        <stp>FPT=A</stp>
        <stp>FA_ACT_EST_DATA=E, EST_SOURCE=MAC</stp>
        <stp>ACT_EST_MAPPING=PRECISE</stp>
        <stp>FS=MRC</stp>
        <stp>CURRENCY=USD</stp>
        <stp>XLFILL=b</stp>
        <tr r="AG32" s="2"/>
      </tp>
      <tp t="s">
        <v>#N/A Requesting Data...</v>
        <stp/>
        <stp>##V3_BQLV12</stp>
        <stp>[MODL_NOW_US1.xlsx]Single Period!R118C14</stp>
        <stp>NOW US Equity</stp>
        <stp>OPERATING_EXPENSES_TO_NET_SALES</stp>
        <stp>FPR=2021Y</stp>
        <stp>FPT=A</stp>
        <stp>FA_ACT_EST_DATA=E, EST_SOURCE=BMO</stp>
        <stp>ACT_EST_MAPPING=PRECISE</stp>
        <stp>FS=MRC</stp>
        <stp>CURRENCY=USD</stp>
        <stp>XLFILL=b</stp>
        <tr r="N118" s="2"/>
      </tp>
      <tp t="s">
        <v>#N/A Requesting Data...</v>
        <stp/>
        <stp>##V3_BQLV12</stp>
        <stp>[MODL_NOW_US1.xlsx]Single Period!R237C49</stp>
        <stp>NOW US Equity</stp>
        <stp>FCF_PER_DIL_SHR</stp>
        <stp>FPR=2021Y</stp>
        <stp>FPT=A</stp>
        <stp>FA_ACT_EST_DATA=E, EST_SOURCE=SCB</stp>
        <stp>ACT_EST_MAPPING=PRECISE</stp>
        <stp>FS=MRC</stp>
        <stp>CURRENCY=USD</stp>
        <stp>XLFILL=b</stp>
        <tr r="AW237" s="2"/>
      </tp>
      <tp t="s">
        <v>#N/A Requesting Data...</v>
        <stp/>
        <stp>##V3_BQLV12</stp>
        <stp>[MODL_NOW_US1.xlsx]Single Period!R132C46</stp>
        <stp>NOW US Equity</stp>
        <stp>CONT_INC_PER_SH</stp>
        <stp>FPR=2021Y</stp>
        <stp>FPT=A</stp>
        <stp>FA_ACT_EST_DATA=E, EST_SOURCE=MZS</stp>
        <stp>ACT_EST_MAPPING=PRECISE</stp>
        <stp>FS=MRC</stp>
        <stp>CURRENCY=USD</stp>
        <stp>XLFILL=b</stp>
        <tr r="AT132" s="2"/>
      </tp>
      <tp t="s">
        <v>#N/A Requesting Data...</v>
        <stp/>
        <stp>##V3_BQLV12</stp>
        <stp>[MODL_NOW_US1.xlsx]Single Period!R133C6</stp>
        <stp>NOW US Equity</stp>
        <stp>CONTRIBUTOR_STATS(IS_SH_FOR_DILUTED_EPS, MIN)/1M</stp>
        <stp>FPR=2021Y</stp>
        <stp>FPT=A</stp>
        <stp>FA_ACT_EST_DATA=E</stp>
        <stp>ACT_EST_MAPPING=PRECISE</stp>
        <stp>FS=MRC</stp>
        <stp>CURRENCY=USD</stp>
        <stp>XLFILL=b</stp>
        <tr r="F133" s="2"/>
      </tp>
      <tp t="s">
        <v>#N/A Requesting Data...</v>
        <stp/>
        <stp>##V3_BQLV12</stp>
        <stp>[MODL_NOW_US1.xlsx]Single Period!R20C5</stp>
        <stp>SEG0000230986 Segment</stp>
        <stp>SALES_REV_TURN/1M</stp>
        <stp>FPR=2021Y</stp>
        <stp>FPT=A</stp>
        <stp>FA_ACT_EST_DATA=E</stp>
        <stp>ACT_EST_MAPPING=PRECISE</stp>
        <stp>FS=MRC</stp>
        <stp>CURRENCY=USD</stp>
        <stp>XLFILL=b</stp>
        <tr r="E20" s="2"/>
      </tp>
      <tp t="s">
        <v>#N/A Requesting Data...</v>
        <stp/>
        <stp>##V3_BQLV12</stp>
        <stp>[MODL_NOW_US1.xlsx]Single Period!R131C5</stp>
        <stp>NOW US Equity</stp>
        <stp>IS_AVG_NUM_SH_FOR_EPS/1M</stp>
        <stp>FPR=2021Y</stp>
        <stp>FPT=A</stp>
        <stp>FA_ACT_EST_DATA=E</stp>
        <stp>ACT_EST_MAPPING=PRECISE</stp>
        <stp>FS=MRC</stp>
        <stp>CURRENCY=USD</stp>
        <stp>XLFILL=b</stp>
        <tr r="E131" s="2"/>
      </tp>
      <tp t="s">
        <v>#N/A Requesting Data...</v>
        <stp/>
        <stp>##V3_BQLV12</stp>
        <stp>[MODL_NOW_US1.xlsx]Single Period!R104C9</stp>
        <stp>NOW US Equity</stp>
        <stp>CONTRIBUTOR_STATS(IS_COMP_NET_INC_EXCL_STOCK_COMP, MEDIAN)/1M</stp>
        <stp>FPR=2021Y</stp>
        <stp>FPT=A</stp>
        <stp>FA_ACT_EST_DATA=E</stp>
        <stp>ACT_EST_MAPPING=PRECISE</stp>
        <stp>FS=MRC</stp>
        <stp>CURRENCY=USD</stp>
        <stp>XLFILL=b</stp>
        <tr r="I104" s="2"/>
      </tp>
      <tp t="s">
        <v>#N/A Requesting Data...</v>
        <stp/>
        <stp>##V3_BQLV12</stp>
        <stp>[MODL_NOW_US1.xlsx]Single Period!R7C48</stp>
        <stp>NOW US Equity</stp>
        <stp>IS_COMP_SALES/1M</stp>
        <stp>FPR=2021Y</stp>
        <stp>FPT=A</stp>
        <stp>FA_ACT_EST_DATA=E, EST_SOURCE=CRC</stp>
        <stp>ACT_EST_MAPPING=PRECISE</stp>
        <stp>FS=MRC</stp>
        <stp>CURRENCY=USD</stp>
        <stp>XLFILL=b</stp>
        <tr r="AV7" s="2"/>
      </tp>
      <tp t="s">
        <v>#N/A Requesting Data...</v>
        <stp/>
        <stp>##V3_BQLV12</stp>
        <stp>[MODL_NOW_US1.xlsx]Single Period!R7C19</stp>
        <stp>NOW US Equity</stp>
        <stp>IS_COMP_SALES/1M</stp>
        <stp>FPR=2021Y</stp>
        <stp>FPT=A</stp>
        <stp>FA_ACT_EST_DATA=E, EST_SOURCE=MSV</stp>
        <stp>ACT_EST_MAPPING=PRECISE</stp>
        <stp>FS=MRC</stp>
        <stp>CURRENCY=USD</stp>
        <stp>XLFILL=b</stp>
        <tr r="S7" s="2"/>
      </tp>
      <tp t="s">
        <v>#N/A Requesting Data...</v>
        <stp/>
        <stp>##V3_BQLV12</stp>
        <stp>[MODL_NOW_US1.xlsx]Single Period!R39C16</stp>
        <stp>NOW US Equity</stp>
        <stp>IS_BILLINGS/1M</stp>
        <stp>FPR=2021Y</stp>
        <stp>FPT=A</stp>
        <stp>FA_ACT_EST_DATA=E, EST_SOURCE=BCA</stp>
        <stp>ACT_EST_MAPPING=PRECISE</stp>
        <stp>FS=MRC</stp>
        <stp>CURRENCY=USD</stp>
        <stp>XLFILL=b</stp>
        <tr r="P39" s="2"/>
      </tp>
      <tp t="s">
        <v>#N/A Requesting Data...</v>
        <stp/>
        <stp>##V3_BQLV12</stp>
        <stp>[MODL_NOW_US1.xlsx]Single Period!R147C37</stp>
        <stp>NOW US Equity</stp>
        <stp>IS_AMORT_OF_TOT_INTANG_PRETX/1M</stp>
        <stp>FPR=2021Y</stp>
        <stp>FPT=A</stp>
        <stp>FA_ACT_EST_DATA=E, EST_SOURCE=TTC</stp>
        <stp>ACT_EST_MAPPING=PRECISE</stp>
        <stp>FS=MRC</stp>
        <stp>CURRENCY=USD</stp>
        <stp>XLFILL=b</stp>
        <tr r="AK147" s="2"/>
      </tp>
      <tp t="s">
        <v>#N/A Requesting Data...</v>
        <stp/>
        <stp>##V3_BQLV12</stp>
        <stp>[MODL_NOW_US1.xlsx]Single Period!R115C45</stp>
        <stp>NOW US Equity</stp>
        <stp>GROSS_PROFIT/1M</stp>
        <stp>FPR=2021Y</stp>
        <stp>FPT=A</stp>
        <stp>FA_ACT_EST_DATA=E, EST_SOURCE=PJE</stp>
        <stp>ACT_EST_MAPPING=PRECISE</stp>
        <stp>FS=MRC</stp>
        <stp>CURRENCY=USD</stp>
        <stp>XLFILL=b</stp>
        <tr r="AS115" s="2"/>
      </tp>
      <tp t="s">
        <v>#N/A Requesting Data...</v>
        <stp/>
        <stp>##V3_BQLV12</stp>
        <stp>[MODL_NOW_US1.xlsx]Single Period!R190C29</stp>
        <stp>NOW US Equity</stp>
        <stp>DEFERRED_REV/1M</stp>
        <stp>FPR=2021Y</stp>
        <stp>FPT=A</stp>
        <stp>FA_ACT_EST_DATA=E, EST_SOURCE=BNS</stp>
        <stp>ACT_EST_MAPPING=PRECISE</stp>
        <stp>FS=MRC</stp>
        <stp>CURRENCY=USD</stp>
        <stp>XLFILL=b</stp>
        <tr r="AC190" s="2"/>
      </tp>
      <tp t="s">
        <v>#N/A Requesting Data...</v>
        <stp/>
        <stp>##V3_BQLV12</stp>
        <stp>[MODL_NOW_US1.xlsx]Single Period!R183C26</stp>
        <stp>NOW US Equity</stp>
        <stp>BS_TOTAL_LIABILITIES/1M</stp>
        <stp>FPR=2021Y</stp>
        <stp>FPT=A</stp>
        <stp>FA_ACT_EST_DATA=E, EST_SOURCE=UBS</stp>
        <stp>ACT_EST_MAPPING=PRECISE</stp>
        <stp>FS=MRC</stp>
        <stp>CURRENCY=USD</stp>
        <stp>XLFILL=b</stp>
        <tr r="Z183" s="2"/>
      </tp>
      <tp t="s">
        <v>#N/A Requesting Data...</v>
        <stp/>
        <stp>##V3_BQLV12</stp>
        <stp>[MODL_NOW_US1.xlsx]Single Period!R39C49</stp>
        <stp>NOW US Equity</stp>
        <stp>IS_BILLINGS/1M</stp>
        <stp>FPR=2021Y</stp>
        <stp>FPT=A</stp>
        <stp>FA_ACT_EST_DATA=E, EST_SOURCE=SCB</stp>
        <stp>ACT_EST_MAPPING=PRECISE</stp>
        <stp>FS=MRC</stp>
        <stp>CURRENCY=USD</stp>
        <stp>XLFILL=b</stp>
        <tr r="AW39" s="2"/>
      </tp>
      <tp t="s">
        <v>#N/A Requesting Data...</v>
        <stp/>
        <stp>##V3_BQLV12</stp>
        <stp>[MODL_NOW_US1.xlsx]Single Period!R120C19</stp>
        <stp>NOW US Equity</stp>
        <stp>IS_OPEX_R_AND_D_GAAP/1M</stp>
        <stp>FPR=2021Y</stp>
        <stp>FPT=A</stp>
        <stp>FA_ACT_EST_DATA=E, EST_SOURCE=MSV</stp>
        <stp>ACT_EST_MAPPING=PRECISE</stp>
        <stp>FS=MRC</stp>
        <stp>CURRENCY=USD</stp>
        <stp>XLFILL=b</stp>
        <tr r="S120" s="2"/>
      </tp>
      <tp t="s">
        <v>#N/A Requesting Data...</v>
        <stp/>
        <stp>##V3_BQLV12</stp>
        <stp>[MODL_NOW_US1.xlsx]Single Period!R93C14</stp>
        <stp>NOW US Equity</stp>
        <stp>G_AND_A_COST_PCT_REVENUES</stp>
        <stp>FPR=2021Y</stp>
        <stp>FPT=A</stp>
        <stp>FA_ACT_EST_DATA=E, EST_SOURCE=BMO</stp>
        <stp>ACT_EST_MAPPING=PRECISE</stp>
        <stp>FS=MRC</stp>
        <stp>CURRENCY=USD</stp>
        <stp>XLFILL=b</stp>
        <tr r="N93" s="2"/>
      </tp>
      <tp t="s">
        <v>#N/A Requesting Data...</v>
        <stp/>
        <stp>##V3_BQLV12</stp>
        <stp>[MODL_NOW_US1.xlsx]Single Period!R222C40</stp>
        <stp>NOW US Equity</stp>
        <stp>CF_CASH_FROM_INV_ACT/1M</stp>
        <stp>FPR=2021Y</stp>
        <stp>FPT=A</stp>
        <stp>FA_ACT_EST_DATA=E, EST_SOURCE=DWI</stp>
        <stp>ACT_EST_MAPPING=PRECISE</stp>
        <stp>FS=MRC</stp>
        <stp>CURRENCY=USD</stp>
        <stp>XLFILL=b</stp>
        <tr r="AN222" s="2"/>
      </tp>
      <tp t="s">
        <v>#N/A Requesting Data...</v>
        <stp/>
        <stp>##V3_BQLV12</stp>
        <stp>[MODL_NOW_US1.xlsx]Single Period!R183C25</stp>
        <stp>NOW US Equity</stp>
        <stp>BS_TOTAL_LIABILITIES/1M</stp>
        <stp>FPR=2021Y</stp>
        <stp>FPT=A</stp>
        <stp>FA_ACT_EST_DATA=E, EST_SOURCE=DBG</stp>
        <stp>ACT_EST_MAPPING=PRECISE</stp>
        <stp>FS=MRC</stp>
        <stp>CURRENCY=USD</stp>
        <stp>XLFILL=b</stp>
        <tr r="Y183" s="2"/>
      </tp>
      <tp t="s">
        <v>#N/A Requesting Data...</v>
        <stp/>
        <stp>##V3_BQLV12</stp>
        <stp>[MODL_NOW_US1.xlsx]Single Period!R93C21</stp>
        <stp>NOW US Equity</stp>
        <stp>G_AND_A_COST_PCT_REVENUES</stp>
        <stp>FPR=2021Y</stp>
        <stp>FPT=A</stp>
        <stp>FA_ACT_EST_DATA=E, EST_SOURCE=JMP</stp>
        <stp>ACT_EST_MAPPING=PRECISE</stp>
        <stp>FS=MRC</stp>
        <stp>CURRENCY=USD</stp>
        <stp>XLFILL=b</stp>
        <tr r="U93" s="2"/>
      </tp>
      <tp t="s">
        <v>#N/A Requesting Data...</v>
        <stp/>
        <stp>##V3_BQLV12</stp>
        <stp>[MODL_NOW_US1.xlsx]Single Period!R190C14</stp>
        <stp>NOW US Equity</stp>
        <stp>DEFERRED_REV/1M</stp>
        <stp>FPR=2021Y</stp>
        <stp>FPT=A</stp>
        <stp>FA_ACT_EST_DATA=E, EST_SOURCE=BMO</stp>
        <stp>ACT_EST_MAPPING=PRECISE</stp>
        <stp>FS=MRC</stp>
        <stp>CURRENCY=USD</stp>
        <stp>XLFILL=b</stp>
        <tr r="N190" s="2"/>
      </tp>
      <tp t="s">
        <v>#N/A Requesting Data...</v>
        <stp/>
        <stp>##V3_BQLV12</stp>
        <stp>[MODL_NOW_US1.xlsx]Single Period!R170C23</stp>
        <stp>NOW US Equity</stp>
        <stp>BS_TOT_ASSET/1M</stp>
        <stp>FPR=2021Y</stp>
        <stp>FPT=A</stp>
        <stp>FA_ACT_EST_DATA=E, EST_SOURCE=ZXS</stp>
        <stp>ACT_EST_MAPPING=PRECISE</stp>
        <stp>FS=MRC</stp>
        <stp>CURRENCY=USD</stp>
        <stp>XLFILL=b</stp>
        <tr r="W170" s="2"/>
      </tp>
      <tp t="s">
        <v>#N/A Requesting Data...</v>
        <stp/>
        <stp>##V3_BQLV12</stp>
        <stp>[MODL_NOW_US1.xlsx]Single Period!R183C27</stp>
        <stp>NOW US Equity</stp>
        <stp>BS_TOTAL_LIABILITIES/1M</stp>
        <stp>FPR=2021Y</stp>
        <stp>FPT=A</stp>
        <stp>FA_ACT_EST_DATA=E, EST_SOURCE=RBC</stp>
        <stp>ACT_EST_MAPPING=PRECISE</stp>
        <stp>FS=MRC</stp>
        <stp>CURRENCY=USD</stp>
        <stp>XLFILL=b</stp>
        <tr r="AA183" s="2"/>
      </tp>
      <tp t="s">
        <v>#N/A Requesting Data...</v>
        <stp/>
        <stp>##V3_BQLV12</stp>
        <stp>[MODL_NOW_US1.xlsx]Single Period!R185C23</stp>
        <stp>NOW US Equity</stp>
        <stp>BS_TOT_ASSET/1M</stp>
        <stp>FPR=2021Y</stp>
        <stp>FPT=A</stp>
        <stp>FA_ACT_EST_DATA=E, EST_SOURCE=ZXS</stp>
        <stp>ACT_EST_MAPPING=PRECISE</stp>
        <stp>FS=MRC</stp>
        <stp>CURRENCY=USD</stp>
        <stp>XLFILL=b</stp>
        <tr r="W185" s="2"/>
      </tp>
      <tp t="s">
        <v>#N/A Requesting Data...</v>
        <stp/>
        <stp>##V3_BQLV12</stp>
        <stp>[MODL_NOW_US1.xlsx]Single Period!R37C36</stp>
        <stp>NOW US Equity</stp>
        <stp>BS_REMAINING_PERFORMANCE_OBLIG/1M</stp>
        <stp>FPR=2021Y</stp>
        <stp>FPT=A</stp>
        <stp>FA_ACT_EST_DATA=E, EST_SOURCE=JEF</stp>
        <stp>ACT_EST_MAPPING=PRECISE</stp>
        <stp>FS=MRC</stp>
        <stp>CURRENCY=USD</stp>
        <stp>XLFILL=b</stp>
        <tr r="AJ37" s="2"/>
      </tp>
      <tp t="s">
        <v>#N/A Requesting Data...</v>
        <stp/>
        <stp>##V3_BQLV12</stp>
        <stp>[MODL_NOW_US1.xlsx]Single Period!R237C36</stp>
        <stp>NOW US Equity</stp>
        <stp>FCF_PER_DIL_SHR</stp>
        <stp>FPR=2021Y</stp>
        <stp>FPT=A</stp>
        <stp>FA_ACT_EST_DATA=E, EST_SOURCE=JEF</stp>
        <stp>ACT_EST_MAPPING=PRECISE</stp>
        <stp>FS=MRC</stp>
        <stp>CURRENCY=USD</stp>
        <stp>XLFILL=b</stp>
        <tr r="AJ237" s="2"/>
      </tp>
      <tp t="s">
        <v>#N/A Requesting Data...</v>
        <stp/>
        <stp>##V3_BQLV12</stp>
        <stp>[MODL_NOW_US1.xlsx]Single Period!R37C13</stp>
        <stp>NOW US Equity</stp>
        <stp>BS_REMAINING_PERFORMANCE_OBLIG/1M</stp>
        <stp>FPR=2021Y</stp>
        <stp>FPT=A</stp>
        <stp>FA_ACT_EST_DATA=E, EST_SOURCE=KEY</stp>
        <stp>ACT_EST_MAPPING=PRECISE</stp>
        <stp>FS=MRC</stp>
        <stp>CURRENCY=USD</stp>
        <stp>XLFILL=b</stp>
        <tr r="M37" s="2"/>
      </tp>
      <tp t="s">
        <v>#N/A Requesting Data...</v>
        <stp/>
        <stp>##V3_BQLV12</stp>
        <stp>[MODL_NOW_US1.xlsx]Single Period!R237C22</stp>
        <stp>NOW US Equity</stp>
        <stp>FCF_PER_DIL_SHR</stp>
        <stp>FPR=2021Y</stp>
        <stp>FPT=A</stp>
        <stp>FA_ACT_EST_DATA=E, EST_SOURCE=NDH</stp>
        <stp>ACT_EST_MAPPING=PRECISE</stp>
        <stp>FS=MRC</stp>
        <stp>CURRENCY=USD</stp>
        <stp>XLFILL=b</stp>
        <tr r="V237" s="2"/>
      </tp>
      <tp t="s">
        <v>#N/A Requesting Data...</v>
        <stp/>
        <stp>##V3_BQLV12</stp>
        <stp>[MODL_NOW_US1.xlsx]Single Period!R133C7</stp>
        <stp>NOW US Equity</stp>
        <stp>CONTRIBUTOR_STATS(IS_SH_FOR_DILUTED_EPS, MAX)/1M</stp>
        <stp>FPR=2021Y</stp>
        <stp>FPT=A</stp>
        <stp>FA_ACT_EST_DATA=E</stp>
        <stp>ACT_EST_MAPPING=PRECISE</stp>
        <stp>FS=MRC</stp>
        <stp>CURRENCY=USD</stp>
        <stp>XLFILL=b</stp>
        <tr r="G133" s="2"/>
      </tp>
      <tp t="s">
        <v>#N/A Requesting Data...</v>
        <stp/>
        <stp>##V3_BQLV12</stp>
        <stp>[MODL_NOW_US1.xlsx]Single Period!R162C8</stp>
        <stp>NOW US Equity</stp>
        <stp>CONTRIBUTOR_STATS(BS_LONG_TERM_INVESTMENTS, STD)/1M</stp>
        <stp>FPR=2021Y</stp>
        <stp>FPT=A</stp>
        <stp>FA_ACT_EST_DATA=E</stp>
        <stp>ACT_EST_MAPPING=PRECISE</stp>
        <stp>FS=MRC</stp>
        <stp>CURRENCY=USD</stp>
        <stp>XLFILL=b</stp>
        <tr r="H162" s="2"/>
      </tp>
      <tp t="s">
        <v>#N/A Requesting Data...</v>
        <stp/>
        <stp>##V3_BQLV12</stp>
        <stp>[MODL_NOW_US1.xlsx]Single Period!R119C8</stp>
        <stp>NOW US Equity</stp>
        <stp>CONTRIBUTOR_STATS(CB_IS_S_AND_M_EXPENSE, STD)/1M</stp>
        <stp>FPR=2021Y</stp>
        <stp>FPT=A</stp>
        <stp>FA_ACT_EST_DATA=E</stp>
        <stp>ACT_EST_MAPPING=PRECISE</stp>
        <stp>FS=MRC</stp>
        <stp>CURRENCY=USD</stp>
        <stp>XLFILL=b</stp>
        <tr r="H119" s="2"/>
      </tp>
      <tp t="s">
        <v>#N/A Requesting Data...</v>
        <stp/>
        <stp>##V3_BQLV12</stp>
        <stp>[MODL_NOW_US1.xlsx]Single Period!R162C7</stp>
        <stp>NOW US Equity</stp>
        <stp>CONTRIBUTOR_STATS(BS_LONG_TERM_INVESTMENTS, MAX)/1M</stp>
        <stp>FPR=2021Y</stp>
        <stp>FPT=A</stp>
        <stp>FA_ACT_EST_DATA=E</stp>
        <stp>ACT_EST_MAPPING=PRECISE</stp>
        <stp>FS=MRC</stp>
        <stp>CURRENCY=USD</stp>
        <stp>XLFILL=b</stp>
        <tr r="G162" s="2"/>
      </tp>
      <tp t="s">
        <v>#N/A Requesting Data...</v>
        <stp/>
        <stp>##V3_BQLV12</stp>
        <stp>[MODL_NOW_US1.xlsx]Single Period!R162C6</stp>
        <stp>NOW US Equity</stp>
        <stp>CONTRIBUTOR_STATS(BS_LONG_TERM_INVESTMENTS, MIN)/1M</stp>
        <stp>FPR=2021Y</stp>
        <stp>FPT=A</stp>
        <stp>FA_ACT_EST_DATA=E</stp>
        <stp>ACT_EST_MAPPING=PRECISE</stp>
        <stp>FS=MRC</stp>
        <stp>CURRENCY=USD</stp>
        <stp>XLFILL=b</stp>
        <tr r="F162" s="2"/>
      </tp>
      <tp t="s">
        <v>#N/A Requesting Data...</v>
        <stp/>
        <stp>##V3_BQLV12</stp>
        <stp>[MODL_NOW_US1.xlsx]Single Period!R201C8</stp>
        <stp>NOW US Equity</stp>
        <stp>CONTRIBUTOR_STATS(D_AND_A_TO_SALES, STD)</stp>
        <stp>FPR=2021Y</stp>
        <stp>FPT=A</stp>
        <stp>FA_ACT_EST_DATA=E</stp>
        <stp>ACT_EST_MAPPING=PRECISE</stp>
        <stp>FS=MRC</stp>
        <stp>CURRENCY=USD</stp>
        <stp>XLFILL=b</stp>
        <tr r="H201" s="2"/>
      </tp>
      <tp t="s">
        <v>#N/A Requesting Data...</v>
        <stp/>
        <stp>##V3_BQLV12</stp>
        <stp>[MODL_NOW_US1.xlsx]Single Period!R21C5</stp>
        <stp>SEG0000230986 Segment</stp>
        <stp>IS_BILLINGS/1M</stp>
        <stp>FPR=2021Y</stp>
        <stp>FPT=A</stp>
        <stp>FA_ACT_EST_DATA=E</stp>
        <stp>ACT_EST_MAPPING=PRECISE</stp>
        <stp>FS=MRC</stp>
        <stp>CURRENCY=USD</stp>
        <stp>XLFILL=b</stp>
        <tr r="E21" s="2"/>
      </tp>
      <tp t="s">
        <v>#N/A Requesting Data...</v>
        <stp/>
        <stp>##V3_BQLV12</stp>
        <stp>[MODL_NOW_US1.xlsx]Single Period!R42C5</stp>
        <stp>SEG0000230975 Segment</stp>
        <stp>IS_BILLINGS/1M</stp>
        <stp>FPR=2021Y</stp>
        <stp>FPT=A</stp>
        <stp>FA_ACT_EST_DATA=E</stp>
        <stp>ACT_EST_MAPPING=PRECISE</stp>
        <stp>FS=MRC</stp>
        <stp>CURRENCY=USD</stp>
        <stp>XLFILL=b</stp>
        <tr r="E42" s="2"/>
      </tp>
      <tp t="s">
        <v>#N/A Requesting Data...</v>
        <stp/>
        <stp>##V3_BQLV12</stp>
        <stp>[MODL_NOW_US1.xlsx]Single Period!R7C23</stp>
        <stp>NOW US Equity</stp>
        <stp>IS_COMP_SALES/1M</stp>
        <stp>FPR=2021Y</stp>
        <stp>FPT=A</stp>
        <stp>FA_ACT_EST_DATA=E, EST_SOURCE=ZXS</stp>
        <stp>ACT_EST_MAPPING=PRECISE</stp>
        <stp>FS=MRC</stp>
        <stp>CURRENCY=USD</stp>
        <stp>XLFILL=b</stp>
        <tr r="W7" s="2"/>
      </tp>
      <tp t="s">
        <v>#N/A Requesting Data...</v>
        <stp/>
        <stp>##V3_BQLV12</stp>
        <stp>[MODL_NOW_US1.xlsx]Single Period!R147C44</stp>
        <stp>NOW US Equity</stp>
        <stp>IS_AMORT_OF_TOT_INTANG_PRETX/1M</stp>
        <stp>FPR=2021Y</stp>
        <stp>FPT=A</stp>
        <stp>FA_ACT_EST_DATA=E, EST_SOURCE=ARE</stp>
        <stp>ACT_EST_MAPPING=PRECISE</stp>
        <stp>FS=MRC</stp>
        <stp>CURRENCY=USD</stp>
        <stp>XLFILL=b</stp>
        <tr r="AR147" s="2"/>
      </tp>
      <tp t="s">
        <v>#N/A Requesting Data...</v>
        <stp/>
        <stp>##V3_BQLV12</stp>
        <stp>[MODL_NOW_US1.xlsx]Single Period!R39C27</stp>
        <stp>NOW US Equity</stp>
        <stp>IS_BILLINGS/1M</stp>
        <stp>FPR=2021Y</stp>
        <stp>FPT=A</stp>
        <stp>FA_ACT_EST_DATA=E, EST_SOURCE=RBC</stp>
        <stp>ACT_EST_MAPPING=PRECISE</stp>
        <stp>FS=MRC</stp>
        <stp>CURRENCY=USD</stp>
        <stp>XLFILL=b</stp>
        <tr r="AA39" s="2"/>
      </tp>
      <tp t="s">
        <v>#N/A Requesting Data...</v>
        <stp/>
        <stp>##V3_BQLV12</stp>
        <stp>[MODL_NOW_US1.xlsx]Single Period!R39C32</stp>
        <stp>NOW US Equity</stp>
        <stp>IS_BILLINGS/1M</stp>
        <stp>FPR=2021Y</stp>
        <stp>FPT=A</stp>
        <stp>FA_ACT_EST_DATA=E, EST_SOURCE=FBC</stp>
        <stp>ACT_EST_MAPPING=PRECISE</stp>
        <stp>FS=MRC</stp>
        <stp>CURRENCY=USD</stp>
        <stp>XLFILL=b</stp>
        <tr r="AF39" s="2"/>
      </tp>
      <tp t="s">
        <v>#N/A Requesting Data...</v>
        <stp/>
        <stp>##V3_BQLV12</stp>
        <stp>[MODL_NOW_US1.xlsx]Single Period!R39C25</stp>
        <stp>NOW US Equity</stp>
        <stp>IS_BILLINGS/1M</stp>
        <stp>FPR=2021Y</stp>
        <stp>FPT=A</stp>
        <stp>FA_ACT_EST_DATA=E, EST_SOURCE=DBG</stp>
        <stp>ACT_EST_MAPPING=PRECISE</stp>
        <stp>FS=MRC</stp>
        <stp>CURRENCY=USD</stp>
        <stp>XLFILL=b</stp>
        <tr r="Y39" s="2"/>
      </tp>
      <tp t="s">
        <v>#N/A Requesting Data...</v>
        <stp/>
        <stp>##V3_BQLV12</stp>
        <stp>[MODL_NOW_US1.xlsx]Single Period!R222C19</stp>
        <stp>NOW US Equity</stp>
        <stp>CF_CASH_FROM_INV_ACT/1M</stp>
        <stp>FPR=2021Y</stp>
        <stp>FPT=A</stp>
        <stp>FA_ACT_EST_DATA=E, EST_SOURCE=MSV</stp>
        <stp>ACT_EST_MAPPING=PRECISE</stp>
        <stp>FS=MRC</stp>
        <stp>CURRENCY=USD</stp>
        <stp>XLFILL=b</stp>
        <tr r="S222" s="2"/>
      </tp>
      <tp t="s">
        <v>#N/A Requesting Data...</v>
        <stp/>
        <stp>##V3_BQLV12</stp>
        <stp>[MODL_NOW_US1.xlsx]Single Period!R147C41</stp>
        <stp>NOW US Equity</stp>
        <stp>IS_AMORT_OF_TOT_INTANG_PRETX/1M</stp>
        <stp>FPR=2021Y</stp>
        <stp>FPT=A</stp>
        <stp>FA_ACT_EST_DATA=E, EST_SOURCE=ARG</stp>
        <stp>ACT_EST_MAPPING=PRECISE</stp>
        <stp>FS=MRC</stp>
        <stp>CURRENCY=USD</stp>
        <stp>XLFILL=b</stp>
        <tr r="AO147" s="2"/>
      </tp>
      <tp t="s">
        <v>#N/A Requesting Data...</v>
        <stp/>
        <stp>##V3_BQLV12</stp>
        <stp>[MODL_NOW_US1.xlsx]Single Period!R147C48</stp>
        <stp>NOW US Equity</stp>
        <stp>IS_AMORT_OF_TOT_INTANG_PRETX/1M</stp>
        <stp>FPR=2021Y</stp>
        <stp>FPT=A</stp>
        <stp>FA_ACT_EST_DATA=E, EST_SOURCE=CRC</stp>
        <stp>ACT_EST_MAPPING=PRECISE</stp>
        <stp>FS=MRC</stp>
        <stp>CURRENCY=USD</stp>
        <stp>XLFILL=b</stp>
        <tr r="AV147" s="2"/>
      </tp>
      <tp t="s">
        <v>#N/A Requesting Data...</v>
        <stp/>
        <stp>##V3_BQLV12</stp>
        <stp>[MODL_NOW_US1.xlsx]Single Period!R39C12</stp>
        <stp>NOW US Equity</stp>
        <stp>IS_BILLINGS/1M</stp>
        <stp>FPR=2021Y</stp>
        <stp>FPT=A</stp>
        <stp>FA_ACT_EST_DATA=E, EST_SOURCE=WBL</stp>
        <stp>ACT_EST_MAPPING=PRECISE</stp>
        <stp>FS=MRC</stp>
        <stp>CURRENCY=USD</stp>
        <stp>XLFILL=b</stp>
        <tr r="L39" s="2"/>
      </tp>
      <tp t="s">
        <v>#N/A Requesting Data...</v>
        <stp/>
        <stp>##V3_BQLV12</stp>
        <stp>[MODL_NOW_US1.xlsx]Single Period!R165C39</stp>
        <stp>NOW US Equity</stp>
        <stp>BS_OPER_LEA_RT_OF_USE_ASSETS/1M</stp>
        <stp>FPR=2021Y</stp>
        <stp>FPT=A</stp>
        <stp>FA_ACT_EST_DATA=E, EST_SOURCE=DZB</stp>
        <stp>ACT_EST_MAPPING=PRECISE</stp>
        <stp>FS=MRC</stp>
        <stp>CURRENCY=USD</stp>
        <stp>XLFILL=b</stp>
        <tr r="AM165" s="2"/>
      </tp>
      <tp t="s">
        <v>#N/A Requesting Data...</v>
        <stp/>
        <stp>##V3_BQLV12</stp>
        <stp>[MODL_NOW_US1.xlsx]Single Period!R39C26</stp>
        <stp>NOW US Equity</stp>
        <stp>IS_BILLINGS/1M</stp>
        <stp>FPR=2021Y</stp>
        <stp>FPT=A</stp>
        <stp>FA_ACT_EST_DATA=E, EST_SOURCE=UBS</stp>
        <stp>ACT_EST_MAPPING=PRECISE</stp>
        <stp>FS=MRC</stp>
        <stp>CURRENCY=USD</stp>
        <stp>XLFILL=b</stp>
        <tr r="Z39" s="2"/>
      </tp>
      <tp t="s">
        <v>#N/A Requesting Data...</v>
        <stp/>
        <stp>##V3_BQLV12</stp>
        <stp>[MODL_NOW_US1.xlsx]Single Period!R183C32</stp>
        <stp>NOW US Equity</stp>
        <stp>BS_TOTAL_LIABILITIES/1M</stp>
        <stp>FPR=2021Y</stp>
        <stp>FPT=A</stp>
        <stp>FA_ACT_EST_DATA=E, EST_SOURCE=FBC</stp>
        <stp>ACT_EST_MAPPING=PRECISE</stp>
        <stp>FS=MRC</stp>
        <stp>CURRENCY=USD</stp>
        <stp>XLFILL=b</stp>
        <tr r="AF183" s="2"/>
      </tp>
      <tp t="s">
        <v>#N/A Requesting Data...</v>
        <stp/>
        <stp>##V3_BQLV12</stp>
        <stp>[MODL_NOW_US1.xlsx]Single Period!R115C21</stp>
        <stp>NOW US Equity</stp>
        <stp>GROSS_PROFIT/1M</stp>
        <stp>FPR=2021Y</stp>
        <stp>FPT=A</stp>
        <stp>FA_ACT_EST_DATA=E, EST_SOURCE=JMP</stp>
        <stp>ACT_EST_MAPPING=PRECISE</stp>
        <stp>FS=MRC</stp>
        <stp>CURRENCY=USD</stp>
        <stp>XLFILL=b</stp>
        <tr r="U115" s="2"/>
      </tp>
      <tp t="s">
        <v>#N/A Requesting Data...</v>
        <stp/>
        <stp>##V3_BQLV12</stp>
        <stp>[MODL_NOW_US1.xlsx]Single Period!R87C17</stp>
        <stp>NOW US Equity</stp>
        <stp>CB_IS_ADJUSTED_OPEX/1M</stp>
        <stp>FPR=2021Y</stp>
        <stp>FPT=A</stp>
        <stp>FA_ACT_EST_DATA=E, EST_SOURCE=RHR</stp>
        <stp>ACT_EST_MAPPING=PRECISE</stp>
        <stp>FS=MRC</stp>
        <stp>CURRENCY=USD</stp>
        <stp>XLFILL=b</stp>
        <tr r="Q87" s="2"/>
      </tp>
      <tp t="s">
        <v>#N/A Requesting Data...</v>
        <stp/>
        <stp>##V3_BQLV12</stp>
        <stp>[MODL_NOW_US1.xlsx]Single Period!R120C40</stp>
        <stp>NOW US Equity</stp>
        <stp>IS_OPEX_R_AND_D_GAAP/1M</stp>
        <stp>FPR=2021Y</stp>
        <stp>FPT=A</stp>
        <stp>FA_ACT_EST_DATA=E, EST_SOURCE=DWI</stp>
        <stp>ACT_EST_MAPPING=PRECISE</stp>
        <stp>FS=MRC</stp>
        <stp>CURRENCY=USD</stp>
        <stp>XLFILL=b</stp>
        <tr r="AN120" s="2"/>
      </tp>
      <tp t="s">
        <v>#N/A Requesting Data...</v>
        <stp/>
        <stp>##V3_BQLV12</stp>
        <stp>[MODL_NOW_US1.xlsx]Single Period!R115C18</stp>
        <stp>NOW US Equity</stp>
        <stp>GROSS_PROFIT/1M</stp>
        <stp>FPR=2021Y</stp>
        <stp>FPT=A</stp>
        <stp>FA_ACT_EST_DATA=E, EST_SOURCE=SNR</stp>
        <stp>ACT_EST_MAPPING=PRECISE</stp>
        <stp>FS=MRC</stp>
        <stp>CURRENCY=USD</stp>
        <stp>XLFILL=b</stp>
        <tr r="R115" s="2"/>
      </tp>
      <tp t="s">
        <v>#N/A Requesting Data...</v>
        <stp/>
        <stp>##V3_BQLV12</stp>
        <stp>[MODL_NOW_US1.xlsx]Single Period!R190C9</stp>
        <stp>NOW US Equity</stp>
        <stp>CONTRIBUTOR_STATS(DEFERRED_REV, MEDIAN)/1M</stp>
        <stp>FPR=2021Y</stp>
        <stp>FPT=A</stp>
        <stp>FA_ACT_EST_DATA=E</stp>
        <stp>ACT_EST_MAPPING=PRECISE</stp>
        <stp>FS=MRC</stp>
        <stp>CURRENCY=USD</stp>
        <stp>XLFILL=b</stp>
        <tr r="I190" s="2"/>
      </tp>
      <tp t="s">
        <v>#N/A Requesting Data...</v>
        <stp/>
        <stp>##V3_BQLV12</stp>
        <stp>[MODL_NOW_US1.xlsx]Single Period!R32C49</stp>
        <stp>NOW US Equity</stp>
        <stp>BS_REMAINING_PERFORMANCE_OBLIG/1M</stp>
        <stp>FPR=2021Y</stp>
        <stp>FPT=A</stp>
        <stp>FA_ACT_EST_DATA=E, EST_SOURCE=SCB</stp>
        <stp>ACT_EST_MAPPING=PRECISE</stp>
        <stp>FS=MRC</stp>
        <stp>CURRENCY=USD</stp>
        <stp>XLFILL=b</stp>
        <tr r="AW32" s="2"/>
      </tp>
      <tp t="s">
        <v>#N/A Requesting Data...</v>
        <stp/>
        <stp>##V3_BQLV12</stp>
        <stp>[MODL_NOW_US1.xlsx]Single Period!R32C16</stp>
        <stp>NOW US Equity</stp>
        <stp>BS_REMAINING_PERFORMANCE_OBLIG/1M</stp>
        <stp>FPR=2021Y</stp>
        <stp>FPT=A</stp>
        <stp>FA_ACT_EST_DATA=E, EST_SOURCE=BCA</stp>
        <stp>ACT_EST_MAPPING=PRECISE</stp>
        <stp>FS=MRC</stp>
        <stp>CURRENCY=USD</stp>
        <stp>XLFILL=b</stp>
        <tr r="P32" s="2"/>
      </tp>
      <tp t="s">
        <v>#N/A Requesting Data...</v>
        <stp/>
        <stp>##V3_BQLV12</stp>
        <stp>[MODL_NOW_US1.xlsx]Single Period!R118C45</stp>
        <stp>NOW US Equity</stp>
        <stp>OPERATING_EXPENSES_TO_NET_SALES</stp>
        <stp>FPR=2021Y</stp>
        <stp>FPT=A</stp>
        <stp>FA_ACT_EST_DATA=E, EST_SOURCE=PJE</stp>
        <stp>ACT_EST_MAPPING=PRECISE</stp>
        <stp>FS=MRC</stp>
        <stp>CURRENCY=USD</stp>
        <stp>XLFILL=b</stp>
        <tr r="AS118" s="2"/>
      </tp>
      <tp t="s">
        <v>#N/A Requesting Data...</v>
        <stp/>
        <stp>##V3_BQLV12</stp>
        <stp>[MODL_NOW_US1.xlsx]Single Period!R37C43</stp>
        <stp>NOW US Equity</stp>
        <stp>BS_REMAINING_PERFORMANCE_OBLIG/1M</stp>
        <stp>FPR=2021Y</stp>
        <stp>FPT=A</stp>
        <stp>FA_ACT_EST_DATA=E, EST_SOURCE=WFT</stp>
        <stp>ACT_EST_MAPPING=PRECISE</stp>
        <stp>FS=MRC</stp>
        <stp>CURRENCY=USD</stp>
        <stp>XLFILL=b</stp>
        <tr r="AQ37" s="2"/>
      </tp>
      <tp t="s">
        <v>#N/A Requesting Data...</v>
        <stp/>
        <stp>##V3_BQLV12</stp>
        <stp>[MODL_NOW_US1.xlsx]Single Period!R15C5</stp>
        <stp>SEG0000230992 Segment</stp>
        <stp>SALES_REV_TURN/1M</stp>
        <stp>FPR=2021Y</stp>
        <stp>FPT=A</stp>
        <stp>FA_ACT_EST_DATA=E</stp>
        <stp>ACT_EST_MAPPING=PRECISE</stp>
        <stp>FS=MRC</stp>
        <stp>CURRENCY=USD</stp>
        <stp>XLFILL=b</stp>
        <tr r="E15" s="2"/>
      </tp>
      <tp t="s">
        <v>#N/A Requesting Data...</v>
        <stp/>
        <stp>##V3_BQLV12</stp>
        <stp>[MODL_NOW_US1.xlsx]Single Period!R205C9</stp>
        <stp>NOW US Equity</stp>
        <stp>CONTRIBUTOR_STATS(CB_CF_OTHR_NONCSH_ITEMS, MEDIAN)/1M</stp>
        <stp>FPR=2021Y</stp>
        <stp>FPT=A</stp>
        <stp>FA_ACT_EST_DATA=E</stp>
        <stp>ACT_EST_MAPPING=PRECISE</stp>
        <stp>FS=MRC</stp>
        <stp>CURRENCY=USD</stp>
        <stp>XLFILL=b</stp>
        <tr r="I205" s="2"/>
      </tp>
      <tp t="s">
        <v>#N/A Requesting Data...</v>
        <stp/>
        <stp>##V3_BQLV12</stp>
        <stp>[MODL_NOW_US1.xlsx]Single Period!R130C5</stp>
        <stp>NOW US Equity</stp>
        <stp>IS_COMP_NET_INCOME_GAAP/1M</stp>
        <stp>FPR=2021Y</stp>
        <stp>FPT=A</stp>
        <stp>FA_ACT_EST_DATA=E</stp>
        <stp>ACT_EST_MAPPING=PRECISE</stp>
        <stp>FS=MRC</stp>
        <stp>CURRENCY=USD</stp>
        <stp>XLFILL=b</stp>
        <tr r="E130" s="2"/>
      </tp>
      <tp t="s">
        <v>#N/A Requesting Data...</v>
        <stp/>
        <stp>##V3_BQLV12</stp>
        <stp>[MODL_NOW_US1.xlsx]Single Period!R177C5</stp>
        <stp>NOW US Equity</stp>
        <stp>BS_ST_CPTL_LEA_AND_OP_LEA_LIABS/1M</stp>
        <stp>FPR=2021Y</stp>
        <stp>FPT=A</stp>
        <stp>FA_ACT_EST_DATA=E</stp>
        <stp>ACT_EST_MAPPING=PRECISE</stp>
        <stp>FS=MRC</stp>
        <stp>CURRENCY=USD</stp>
        <stp>XLFILL=b</stp>
        <tr r="E177" s="2"/>
      </tp>
      <tp t="s">
        <v>#N/A Requesting Data...</v>
        <stp/>
        <stp>##V3_BQLV12</stp>
        <stp>[MODL_NOW_US1.xlsx]Single Period!R39C33</stp>
        <stp>NOW US Equity</stp>
        <stp>IS_BILLINGS/1M</stp>
        <stp>FPR=2021Y</stp>
        <stp>FPT=A</stp>
        <stp>FA_ACT_EST_DATA=E, EST_SOURCE=MAC</stp>
        <stp>ACT_EST_MAPPING=PRECISE</stp>
        <stp>FS=MRC</stp>
        <stp>CURRENCY=USD</stp>
        <stp>XLFILL=b</stp>
        <tr r="AG39" s="2"/>
      </tp>
      <tp t="s">
        <v>#N/A Requesting Data...</v>
        <stp/>
        <stp>##V3_BQLV12</stp>
        <stp>[MODL_NOW_US1.xlsx]Single Period!R120C35</stp>
        <stp>NOW US Equity</stp>
        <stp>IS_OPEX_R_AND_D_GAAP/1M</stp>
        <stp>FPR=2021Y</stp>
        <stp>FPT=A</stp>
        <stp>FA_ACT_EST_DATA=E, EST_SOURCE=MSR</stp>
        <stp>ACT_EST_MAPPING=PRECISE</stp>
        <stp>FS=MRC</stp>
        <stp>CURRENCY=USD</stp>
        <stp>XLFILL=b</stp>
        <tr r="AI120" s="2"/>
      </tp>
      <tp t="s">
        <v>#N/A Requesting Data...</v>
        <stp/>
        <stp>##V3_BQLV12</stp>
        <stp>[MODL_NOW_US1.xlsx]Single Period!R182C8</stp>
        <stp>NOW US Equity</stp>
        <stp>CONTRIBUTOR_STATS(BS_OTHER_NONCURRENT_LIABILITIES, STD)/1M</stp>
        <stp>FPR=2021Y</stp>
        <stp>FPT=A</stp>
        <stp>FA_ACT_EST_DATA=E</stp>
        <stp>ACT_EST_MAPPING=PRECISE</stp>
        <stp>FS=MRC</stp>
        <stp>CURRENCY=USD</stp>
        <stp>XLFILL=b</stp>
        <tr r="H182" s="2"/>
      </tp>
      <tp t="s">
        <v>#N/A Requesting Data...</v>
        <stp/>
        <stp>##V3_BQLV12</stp>
        <stp>[MODL_NOW_US1.xlsx]Single Period!R183C43</stp>
        <stp>NOW US Equity</stp>
        <stp>BS_TOTAL_LIABILITIES/1M</stp>
        <stp>FPR=2021Y</stp>
        <stp>FPT=A</stp>
        <stp>FA_ACT_EST_DATA=E, EST_SOURCE=WFT</stp>
        <stp>ACT_EST_MAPPING=PRECISE</stp>
        <stp>FS=MRC</stp>
        <stp>CURRENCY=USD</stp>
        <stp>XLFILL=b</stp>
        <tr r="AQ183" s="2"/>
      </tp>
      <tp t="s">
        <v>#N/A Requesting Data...</v>
        <stp/>
        <stp>##V3_BQLV12</stp>
        <stp>[MODL_NOW_US1.xlsx]Single Period!R222C15</stp>
        <stp>NOW US Equity</stp>
        <stp>CF_CASH_FROM_INV_ACT/1M</stp>
        <stp>FPR=2021Y</stp>
        <stp>FPT=A</stp>
        <stp>FA_ACT_EST_DATA=E, EST_SOURCE=OPY</stp>
        <stp>ACT_EST_MAPPING=PRECISE</stp>
        <stp>FS=MRC</stp>
        <stp>CURRENCY=USD</stp>
        <stp>XLFILL=b</stp>
        <tr r="O222" s="2"/>
      </tp>
      <tp t="s">
        <v>#N/A Requesting Data...</v>
        <stp/>
        <stp>##V3_BQLV12</stp>
        <stp>[MODL_NOW_US1.xlsx]Single Period!R120C31</stp>
        <stp>NOW US Equity</stp>
        <stp>IS_OPEX_R_AND_D_GAAP/1M</stp>
        <stp>FPR=2021Y</stp>
        <stp>FPT=A</stp>
        <stp>FA_ACT_EST_DATA=E, EST_SOURCE=GSR</stp>
        <stp>ACT_EST_MAPPING=PRECISE</stp>
        <stp>FS=MRC</stp>
        <stp>CURRENCY=USD</stp>
        <stp>XLFILL=b</stp>
        <tr r="AE120" s="2"/>
      </tp>
      <tp t="s">
        <v>#N/A Requesting Data...</v>
        <stp/>
        <stp>##V3_BQLV12</stp>
        <stp>[MODL_NOW_US1.xlsx]Single Period!R147C24</stp>
        <stp>NOW US Equity</stp>
        <stp>IS_AMORT_OF_TOT_INTANG_PRETX/1M</stp>
        <stp>FPR=2021Y</stp>
        <stp>FPT=A</stp>
        <stp>FA_ACT_EST_DATA=E, EST_SOURCE=CWN</stp>
        <stp>ACT_EST_MAPPING=PRECISE</stp>
        <stp>FS=MRC</stp>
        <stp>CURRENCY=USD</stp>
        <stp>XLFILL=b</stp>
        <tr r="X147" s="2"/>
      </tp>
      <tp t="s">
        <v>#N/A Requesting Data...</v>
        <stp/>
        <stp>##V3_BQLV12</stp>
        <stp>[MODL_NOW_US1.xlsx]Single Period!R39C20</stp>
        <stp>NOW US Equity</stp>
        <stp>IS_BILLINGS/1M</stp>
        <stp>FPR=2021Y</stp>
        <stp>FPT=A</stp>
        <stp>FA_ACT_EST_DATA=E, EST_SOURCE=CAN</stp>
        <stp>ACT_EST_MAPPING=PRECISE</stp>
        <stp>FS=MRC</stp>
        <stp>CURRENCY=USD</stp>
        <stp>XLFILL=b</stp>
        <tr r="T39" s="2"/>
      </tp>
      <tp t="s">
        <v>#N/A Requesting Data...</v>
        <stp/>
        <stp>##V3_BQLV12</stp>
        <stp>[MODL_NOW_US1.xlsx]Single Period!R115C14</stp>
        <stp>NOW US Equity</stp>
        <stp>GROSS_PROFIT/1M</stp>
        <stp>FPR=2021Y</stp>
        <stp>FPT=A</stp>
        <stp>FA_ACT_EST_DATA=E, EST_SOURCE=BMO</stp>
        <stp>ACT_EST_MAPPING=PRECISE</stp>
        <stp>FS=MRC</stp>
        <stp>CURRENCY=USD</stp>
        <stp>XLFILL=b</stp>
        <tr r="N115" s="2"/>
      </tp>
      <tp t="s">
        <v>#N/A Requesting Data...</v>
        <stp/>
        <stp>##V3_BQLV12</stp>
        <stp>[MODL_NOW_US1.xlsx]Single Period!R39C30</stp>
        <stp>NOW US Equity</stp>
        <stp>IS_BILLINGS/1M</stp>
        <stp>FPR=2021Y</stp>
        <stp>FPT=A</stp>
        <stp>FA_ACT_EST_DATA=E, EST_SOURCE=BAM</stp>
        <stp>ACT_EST_MAPPING=PRECISE</stp>
        <stp>FS=MRC</stp>
        <stp>CURRENCY=USD</stp>
        <stp>XLFILL=b</stp>
        <tr r="AD39" s="2"/>
      </tp>
      <tp t="s">
        <v>#N/A Requesting Data...</v>
        <stp/>
        <stp>##V3_BQLV12</stp>
        <stp>[MODL_NOW_US1.xlsx]Single Period!R183C33</stp>
        <stp>NOW US Equity</stp>
        <stp>BS_TOTAL_LIABILITIES/1M</stp>
        <stp>FPR=2021Y</stp>
        <stp>FPT=A</stp>
        <stp>FA_ACT_EST_DATA=E, EST_SOURCE=MAC</stp>
        <stp>ACT_EST_MAPPING=PRECISE</stp>
        <stp>FS=MRC</stp>
        <stp>CURRENCY=USD</stp>
        <stp>XLFILL=b</stp>
        <tr r="AG183" s="2"/>
      </tp>
      <tp t="s">
        <v>#N/A Requesting Data...</v>
        <stp/>
        <stp>##V3_BQLV12</stp>
        <stp>[MODL_NOW_US1.xlsx]Single Period!R222C47</stp>
        <stp>NOW US Equity</stp>
        <stp>CF_CASH_FROM_INV_ACT/1M</stp>
        <stp>FPR=2021Y</stp>
        <stp>FPT=A</stp>
        <stp>FA_ACT_EST_DATA=E, EST_SOURCE=SUM</stp>
        <stp>ACT_EST_MAPPING=PRECISE</stp>
        <stp>FS=MRC</stp>
        <stp>CURRENCY=USD</stp>
        <stp>XLFILL=b</stp>
        <tr r="AU222" s="2"/>
      </tp>
      <tp t="s">
        <v>#N/A Requesting Data...</v>
        <stp/>
        <stp>##V3_BQLV12</stp>
        <stp>[MODL_NOW_US1.xlsx]Single Period!R183C16</stp>
        <stp>NOW US Equity</stp>
        <stp>BS_TOTAL_LIABILITIES/1M</stp>
        <stp>FPR=2021Y</stp>
        <stp>FPT=A</stp>
        <stp>FA_ACT_EST_DATA=E, EST_SOURCE=BCA</stp>
        <stp>ACT_EST_MAPPING=PRECISE</stp>
        <stp>FS=MRC</stp>
        <stp>CURRENCY=USD</stp>
        <stp>XLFILL=b</stp>
        <tr r="P183" s="2"/>
      </tp>
      <tp t="s">
        <v>#N/A Requesting Data...</v>
        <stp/>
        <stp>##V3_BQLV12</stp>
        <stp>[MODL_NOW_US1.xlsx]Single Period!R222C11</stp>
        <stp>NOW US Equity</stp>
        <stp>CF_CASH_FROM_INV_ACT/1M</stp>
        <stp>FPR=2021Y</stp>
        <stp>FPT=A</stp>
        <stp>FA_ACT_EST_DATA=E, EST_SOURCE=JPM</stp>
        <stp>ACT_EST_MAPPING=PRECISE</stp>
        <stp>FS=MRC</stp>
        <stp>CURRENCY=USD</stp>
        <stp>XLFILL=b</stp>
        <tr r="K222" s="2"/>
      </tp>
      <tp t="s">
        <v>#N/A Requesting Data...</v>
        <stp/>
        <stp>##V3_BQLV12</stp>
        <stp>[MODL_NOW_US1.xlsx]Single Period!R165C23</stp>
        <stp>NOW US Equity</stp>
        <stp>BS_OPER_LEA_RT_OF_USE_ASSETS/1M</stp>
        <stp>FPR=2021Y</stp>
        <stp>FPT=A</stp>
        <stp>FA_ACT_EST_DATA=E, EST_SOURCE=ZXS</stp>
        <stp>ACT_EST_MAPPING=PRECISE</stp>
        <stp>FS=MRC</stp>
        <stp>CURRENCY=USD</stp>
        <stp>XLFILL=b</stp>
        <tr r="W165" s="2"/>
      </tp>
      <tp t="s">
        <v>#N/A Requesting Data...</v>
        <stp/>
        <stp>##V3_BQLV12</stp>
        <stp>[MODL_NOW_US1.xlsx]Single Period!R120C34</stp>
        <stp>NOW US Equity</stp>
        <stp>IS_OPEX_R_AND_D_GAAP/1M</stp>
        <stp>FPR=2021Y</stp>
        <stp>FPT=A</stp>
        <stp>FA_ACT_EST_DATA=E, EST_SOURCE=PSG</stp>
        <stp>ACT_EST_MAPPING=PRECISE</stp>
        <stp>FS=MRC</stp>
        <stp>CURRENCY=USD</stp>
        <stp>XLFILL=b</stp>
        <tr r="AH120" s="2"/>
      </tp>
      <tp t="s">
        <v>#N/A Requesting Data...</v>
        <stp/>
        <stp>##V3_BQLV12</stp>
        <stp>[MODL_NOW_US1.xlsx]Single Period!R182C6</stp>
        <stp>NOW US Equity</stp>
        <stp>CONTRIBUTOR_STATS(BS_OTHER_NONCURRENT_LIABILITIES, MIN)/1M</stp>
        <stp>FPR=2021Y</stp>
        <stp>FPT=A</stp>
        <stp>FA_ACT_EST_DATA=E</stp>
        <stp>ACT_EST_MAPPING=PRECISE</stp>
        <stp>FS=MRC</stp>
        <stp>CURRENCY=USD</stp>
        <stp>XLFILL=b</stp>
        <tr r="F182" s="2"/>
      </tp>
      <tp t="s">
        <v>#N/A Requesting Data...</v>
        <stp/>
        <stp>##V3_BQLV12</stp>
        <stp>[MODL_NOW_US1.xlsx]Single Period!R182C7</stp>
        <stp>NOW US Equity</stp>
        <stp>CONTRIBUTOR_STATS(BS_OTHER_NONCURRENT_LIABILITIES, MAX)/1M</stp>
        <stp>FPR=2021Y</stp>
        <stp>FPT=A</stp>
        <stp>FA_ACT_EST_DATA=E</stp>
        <stp>ACT_EST_MAPPING=PRECISE</stp>
        <stp>FS=MRC</stp>
        <stp>CURRENCY=USD</stp>
        <stp>XLFILL=b</stp>
        <tr r="G182" s="2"/>
      </tp>
      <tp t="s">
        <v>#N/A Requesting Data...</v>
        <stp/>
        <stp>##V3_BQLV12</stp>
        <stp>[MODL_NOW_US1.xlsx]Single Period!R120C42</stp>
        <stp>NOW US Equity</stp>
        <stp>IS_OPEX_R_AND_D_GAAP/1M</stp>
        <stp>FPR=2021Y</stp>
        <stp>FPT=A</stp>
        <stp>FA_ACT_EST_DATA=E, EST_SOURCE=CTI</stp>
        <stp>ACT_EST_MAPPING=PRECISE</stp>
        <stp>FS=MRC</stp>
        <stp>CURRENCY=USD</stp>
        <stp>XLFILL=b</stp>
        <tr r="AP120" s="2"/>
      </tp>
      <tp t="s">
        <v>#N/A Requesting Data...</v>
        <stp/>
        <stp>##V3_BQLV12</stp>
        <stp>[MODL_NOW_US1.xlsx]Single Period!R183C30</stp>
        <stp>NOW US Equity</stp>
        <stp>BS_TOTAL_LIABILITIES/1M</stp>
        <stp>FPR=2021Y</stp>
        <stp>FPT=A</stp>
        <stp>FA_ACT_EST_DATA=E, EST_SOURCE=BAM</stp>
        <stp>ACT_EST_MAPPING=PRECISE</stp>
        <stp>FS=MRC</stp>
        <stp>CURRENCY=USD</stp>
        <stp>XLFILL=b</stp>
        <tr r="AD183" s="2"/>
      </tp>
      <tp t="s">
        <v>#N/A Requesting Data...</v>
        <stp/>
        <stp>##V3_BQLV12</stp>
        <stp>[MODL_NOW_US1.xlsx]Single Period!R115C29</stp>
        <stp>NOW US Equity</stp>
        <stp>GROSS_PROFIT/1M</stp>
        <stp>FPR=2021Y</stp>
        <stp>FPT=A</stp>
        <stp>FA_ACT_EST_DATA=E, EST_SOURCE=BNS</stp>
        <stp>ACT_EST_MAPPING=PRECISE</stp>
        <stp>FS=MRC</stp>
        <stp>CURRENCY=USD</stp>
        <stp>XLFILL=b</stp>
        <tr r="AC115" s="2"/>
      </tp>
      <tp t="s">
        <v>#N/A Requesting Data...</v>
        <stp/>
        <stp>##V3_BQLV12</stp>
        <stp>[MODL_NOW_US1.xlsx]Single Period!R190C45</stp>
        <stp>NOW US Equity</stp>
        <stp>DEFERRED_REV/1M</stp>
        <stp>FPR=2021Y</stp>
        <stp>FPT=A</stp>
        <stp>FA_ACT_EST_DATA=E, EST_SOURCE=PJE</stp>
        <stp>ACT_EST_MAPPING=PRECISE</stp>
        <stp>FS=MRC</stp>
        <stp>CURRENCY=USD</stp>
        <stp>XLFILL=b</stp>
        <tr r="AS190" s="2"/>
      </tp>
      <tp t="s">
        <v>#N/A Requesting Data...</v>
        <stp/>
        <stp>##V3_BQLV12</stp>
        <stp>[MODL_NOW_US1.xlsx]Single Period!R118C18</stp>
        <stp>NOW US Equity</stp>
        <stp>OPERATING_EXPENSES_TO_NET_SALES</stp>
        <stp>FPR=2021Y</stp>
        <stp>FPT=A</stp>
        <stp>FA_ACT_EST_DATA=E, EST_SOURCE=SNR</stp>
        <stp>ACT_EST_MAPPING=PRECISE</stp>
        <stp>FS=MRC</stp>
        <stp>CURRENCY=USD</stp>
        <stp>XLFILL=b</stp>
        <tr r="R118" s="2"/>
      </tp>
      <tp t="s">
        <v>#N/A Requesting Data...</v>
        <stp/>
        <stp>##V3_BQLV12</stp>
        <stp>[MODL_NOW_US1.xlsx]Single Period!R32C12</stp>
        <stp>NOW US Equity</stp>
        <stp>BS_REMAINING_PERFORMANCE_OBLIG/1M</stp>
        <stp>FPR=2021Y</stp>
        <stp>FPT=A</stp>
        <stp>FA_ACT_EST_DATA=E, EST_SOURCE=WBL</stp>
        <stp>ACT_EST_MAPPING=PRECISE</stp>
        <stp>FS=MRC</stp>
        <stp>CURRENCY=USD</stp>
        <stp>XLFILL=b</stp>
        <tr r="L32" s="2"/>
      </tp>
      <tp t="s">
        <v>#N/A Requesting Data...</v>
        <stp/>
        <stp>##V3_BQLV12</stp>
        <stp>[MODL_NOW_US1.xlsx]Single Period!R237C13</stp>
        <stp>NOW US Equity</stp>
        <stp>FCF_PER_DIL_SHR</stp>
        <stp>FPR=2021Y</stp>
        <stp>FPT=A</stp>
        <stp>FA_ACT_EST_DATA=E, EST_SOURCE=KEY</stp>
        <stp>ACT_EST_MAPPING=PRECISE</stp>
        <stp>FS=MRC</stp>
        <stp>CURRENCY=USD</stp>
        <stp>XLFILL=b</stp>
        <tr r="M237" s="2"/>
      </tp>
      <tp t="s">
        <v>#N/A Requesting Data...</v>
        <stp/>
        <stp>##V3_BQLV12</stp>
        <stp>[MODL_NOW_US1.xlsx]Single Period!R120C9</stp>
        <stp>NOW US Equity</stp>
        <stp>CONTRIBUTOR_STATS(IS_OPEX_R_AND_D_GAAP, MEDIAN)/1M</stp>
        <stp>FPR=2021Y</stp>
        <stp>FPT=A</stp>
        <stp>FA_ACT_EST_DATA=E</stp>
        <stp>ACT_EST_MAPPING=PRECISE</stp>
        <stp>FS=MRC</stp>
        <stp>CURRENCY=USD</stp>
        <stp>XLFILL=b</stp>
        <tr r="I120" s="2"/>
      </tp>
      <tp t="s">
        <v>#N/A Requesting Data...</v>
        <stp/>
        <stp>##V3_BQLV12</stp>
        <stp>[MODL_NOW_US1.xlsx]Single Period!R32C27</stp>
        <stp>NOW US Equity</stp>
        <stp>BS_REMAINING_PERFORMANCE_OBLIG/1M</stp>
        <stp>FPR=2021Y</stp>
        <stp>FPT=A</stp>
        <stp>FA_ACT_EST_DATA=E, EST_SOURCE=RBC</stp>
        <stp>ACT_EST_MAPPING=PRECISE</stp>
        <stp>FS=MRC</stp>
        <stp>CURRENCY=USD</stp>
        <stp>XLFILL=b</stp>
        <tr r="AA32" s="2"/>
      </tp>
      <tp t="s">
        <v>#N/A Requesting Data...</v>
        <stp/>
        <stp>##V3_BQLV12</stp>
        <stp>[MODL_NOW_US1.xlsx]Single Period!R32C32</stp>
        <stp>NOW US Equity</stp>
        <stp>BS_REMAINING_PERFORMANCE_OBLIG/1M</stp>
        <stp>FPR=2021Y</stp>
        <stp>FPT=A</stp>
        <stp>FA_ACT_EST_DATA=E, EST_SOURCE=FBC</stp>
        <stp>ACT_EST_MAPPING=PRECISE</stp>
        <stp>FS=MRC</stp>
        <stp>CURRENCY=USD</stp>
        <stp>XLFILL=b</stp>
        <tr r="AF32" s="2"/>
      </tp>
      <tp t="s">
        <v>#N/A Requesting Data...</v>
        <stp/>
        <stp>##V3_BQLV12</stp>
        <stp>[MODL_NOW_US1.xlsx]Single Period!R118C21</stp>
        <stp>NOW US Equity</stp>
        <stp>OPERATING_EXPENSES_TO_NET_SALES</stp>
        <stp>FPR=2021Y</stp>
        <stp>FPT=A</stp>
        <stp>FA_ACT_EST_DATA=E, EST_SOURCE=JMP</stp>
        <stp>ACT_EST_MAPPING=PRECISE</stp>
        <stp>FS=MRC</stp>
        <stp>CURRENCY=USD</stp>
        <stp>XLFILL=b</stp>
        <tr r="U118" s="2"/>
      </tp>
      <tp t="s">
        <v>#N/A Requesting Data...</v>
        <stp/>
        <stp>##V3_BQLV12</stp>
        <stp>[MODL_NOW_US1.xlsx]Single Period!R32C25</stp>
        <stp>NOW US Equity</stp>
        <stp>BS_REMAINING_PERFORMANCE_OBLIG/1M</stp>
        <stp>FPR=2021Y</stp>
        <stp>FPT=A</stp>
        <stp>FA_ACT_EST_DATA=E, EST_SOURCE=DBG</stp>
        <stp>ACT_EST_MAPPING=PRECISE</stp>
        <stp>FS=MRC</stp>
        <stp>CURRENCY=USD</stp>
        <stp>XLFILL=b</stp>
        <tr r="Y32" s="2"/>
      </tp>
      <tp t="s">
        <v>#N/A Requesting Data...</v>
        <stp/>
        <stp>##V3_BQLV12</stp>
        <stp>[MODL_NOW_US1.xlsx]Single Period!R205C10</stp>
        <stp>NOW US Equity</stp>
        <stp>CB_CF_OTHR_NONCSH_ITEMS/1M</stp>
        <stp>FPR=2021Y</stp>
        <stp>FPT=A</stp>
        <stp>FA_ACT_EST_DATA=E, EST_SOURCE=CMPY</stp>
        <stp>ACT_EST_MAPPING=PRECISE</stp>
        <stp>FS=MRC</stp>
        <stp>CURRENCY=USD</stp>
        <stp>XLFILL=b</stp>
        <tr r="J205" s="2"/>
      </tp>
      <tp t="s">
        <v>#N/A Requesting Data...</v>
        <stp/>
        <stp>##V3_BQLV12</stp>
        <stp>[MODL_NOW_US1.xlsx]Single Period!R25C10</stp>
        <stp>NOW US Equity</stp>
        <stp>IS_COMP_GROSS_MARGIN_PERCENTAGE</stp>
        <stp>FPR=2021Y</stp>
        <stp>FPT=A</stp>
        <stp>FA_ACT_EST_DATA=E, EST_SOURCE=CMPY</stp>
        <stp>ACT_EST_MAPPING=PRECISE</stp>
        <stp>FS=MRC</stp>
        <stp>CURRENCY=USD</stp>
        <stp>XLFILL=b</stp>
        <tr r="J25" s="2"/>
      </tp>
      <tp t="s">
        <v>#N/A Requesting Data...</v>
        <stp/>
        <stp>##V3_BQLV12</stp>
        <stp>[MODL_NOW_US1.xlsx]Single Period!R32C26</stp>
        <stp>NOW US Equity</stp>
        <stp>BS_REMAINING_PERFORMANCE_OBLIG/1M</stp>
        <stp>FPR=2021Y</stp>
        <stp>FPT=A</stp>
        <stp>FA_ACT_EST_DATA=E, EST_SOURCE=UBS</stp>
        <stp>ACT_EST_MAPPING=PRECISE</stp>
        <stp>FS=MRC</stp>
        <stp>CURRENCY=USD</stp>
        <stp>XLFILL=b</stp>
        <tr r="Z32" s="2"/>
      </tp>
      <tp t="s">
        <v>#N/A Requesting Data...</v>
        <stp/>
        <stp>##V3_BQLV12</stp>
        <stp>[MODL_NOW_US1.xlsx]Single Period!R202C7</stp>
        <stp>NOW US Equity</stp>
        <stp>CONTRIBUTOR_STATS(CF_AMORTIZATN_OF_DEFRRD_COMPNSTN, MAX)/1M</stp>
        <stp>FPR=2021Y</stp>
        <stp>FPT=A</stp>
        <stp>FA_ACT_EST_DATA=E</stp>
        <stp>ACT_EST_MAPPING=PRECISE</stp>
        <stp>FS=MRC</stp>
        <stp>CURRENCY=USD</stp>
        <stp>XLFILL=b</stp>
        <tr r="G202" s="2"/>
      </tp>
      <tp t="s">
        <v>#N/A Requesting Data...</v>
        <stp/>
        <stp>##V3_BQLV12</stp>
        <stp>[MODL_NOW_US1.xlsx]Single Period!R202C6</stp>
        <stp>NOW US Equity</stp>
        <stp>CONTRIBUTOR_STATS(CF_AMORTIZATN_OF_DEFRRD_COMPNSTN, MIN)/1M</stp>
        <stp>FPR=2021Y</stp>
        <stp>FPT=A</stp>
        <stp>FA_ACT_EST_DATA=E</stp>
        <stp>ACT_EST_MAPPING=PRECISE</stp>
        <stp>FS=MRC</stp>
        <stp>CURRENCY=USD</stp>
        <stp>XLFILL=b</stp>
        <tr r="F202" s="2"/>
      </tp>
      <tp t="s">
        <v>#N/A Requesting Data...</v>
        <stp/>
        <stp>##V3_BQLV12</stp>
        <stp>[MODL_NOW_US1.xlsx]Single Period!R202C8</stp>
        <stp>NOW US Equity</stp>
        <stp>CONTRIBUTOR_STATS(CF_AMORTIZATN_OF_DEFRRD_COMPNSTN, STD)/1M</stp>
        <stp>FPR=2021Y</stp>
        <stp>FPT=A</stp>
        <stp>FA_ACT_EST_DATA=E</stp>
        <stp>ACT_EST_MAPPING=PRECISE</stp>
        <stp>FS=MRC</stp>
        <stp>CURRENCY=USD</stp>
        <stp>XLFILL=b</stp>
        <tr r="H202" s="2"/>
      </tp>
      <tp t="s">
        <v>#N/A Requesting Data...</v>
        <stp/>
        <stp>##V3_BQLV12</stp>
        <stp>[MODL_NOW_US1.xlsx]Single Period!R200C8</stp>
        <stp>NOW US Equity</stp>
        <stp>CONTRIBUTOR_STATS(CF_DEPR_AMORT, STD)/1M</stp>
        <stp>FPR=2021Y</stp>
        <stp>FPT=A</stp>
        <stp>FA_ACT_EST_DATA=E</stp>
        <stp>ACT_EST_MAPPING=PRECISE</stp>
        <stp>FS=MRC</stp>
        <stp>CURRENCY=USD</stp>
        <stp>XLFILL=b</stp>
        <tr r="H200" s="2"/>
      </tp>
      <tp t="s">
        <v>#N/A Requesting Data...</v>
        <stp/>
        <stp>##V3_BQLV12</stp>
        <stp>[MODL_NOW_US1.xlsx]Single Period!R208C5</stp>
        <stp>NOW US Equity</stp>
        <stp>CF_CHANGE_IN_OTHR_ASSTS/1M</stp>
        <stp>FPR=2021Y</stp>
        <stp>FPT=A</stp>
        <stp>FA_ACT_EST_DATA=E</stp>
        <stp>ACT_EST_MAPPING=PRECISE</stp>
        <stp>FS=MRC</stp>
        <stp>CURRENCY=USD</stp>
        <stp>XLFILL=b</stp>
        <tr r="E208" s="2"/>
      </tp>
      <tp t="s">
        <v>#N/A Requesting Data...</v>
        <stp/>
        <stp>##V3_BQLV12</stp>
        <stp>[MODL_NOW_US1.xlsx]Single Period!R185C39</stp>
        <stp>NOW US Equity</stp>
        <stp>BS_TOT_ASSET/1M</stp>
        <stp>FPR=2021Y</stp>
        <stp>FPT=A</stp>
        <stp>FA_ACT_EST_DATA=E, EST_SOURCE=DZB</stp>
        <stp>ACT_EST_MAPPING=PRECISE</stp>
        <stp>FS=MRC</stp>
        <stp>CURRENCY=USD</stp>
        <stp>XLFILL=b</stp>
        <tr r="AM185" s="2"/>
      </tp>
      <tp t="s">
        <v>#N/A Requesting Data...</v>
        <stp/>
        <stp>##V3_BQLV12</stp>
        <stp>[MODL_NOW_US1.xlsx]Single Period!R87C45</stp>
        <stp>NOW US Equity</stp>
        <stp>CB_IS_ADJUSTED_OPEX/1M</stp>
        <stp>FPR=2021Y</stp>
        <stp>FPT=A</stp>
        <stp>FA_ACT_EST_DATA=E, EST_SOURCE=PJE</stp>
        <stp>ACT_EST_MAPPING=PRECISE</stp>
        <stp>FS=MRC</stp>
        <stp>CURRENCY=USD</stp>
        <stp>XLFILL=b</stp>
        <tr r="AS87" s="2"/>
      </tp>
      <tp t="s">
        <v>#N/A Requesting Data...</v>
        <stp/>
        <stp>##V3_BQLV12</stp>
        <stp>[MODL_NOW_US1.xlsx]Single Period!R190C18</stp>
        <stp>NOW US Equity</stp>
        <stp>DEFERRED_REV/1M</stp>
        <stp>FPR=2021Y</stp>
        <stp>FPT=A</stp>
        <stp>FA_ACT_EST_DATA=E, EST_SOURCE=SNR</stp>
        <stp>ACT_EST_MAPPING=PRECISE</stp>
        <stp>FS=MRC</stp>
        <stp>CURRENCY=USD</stp>
        <stp>XLFILL=b</stp>
        <tr r="R190" s="2"/>
      </tp>
      <tp t="s">
        <v>#N/A Requesting Data...</v>
        <stp/>
        <stp>##V3_BQLV12</stp>
        <stp>[MODL_NOW_US1.xlsx]Single Period!R120C15</stp>
        <stp>NOW US Equity</stp>
        <stp>IS_OPEX_R_AND_D_GAAP/1M</stp>
        <stp>FPR=2021Y</stp>
        <stp>FPT=A</stp>
        <stp>FA_ACT_EST_DATA=E, EST_SOURCE=OPY</stp>
        <stp>ACT_EST_MAPPING=PRECISE</stp>
        <stp>FS=MRC</stp>
        <stp>CURRENCY=USD</stp>
        <stp>XLFILL=b</stp>
        <tr r="O120" s="2"/>
      </tp>
      <tp t="s">
        <v>#N/A Requesting Data...</v>
        <stp/>
        <stp>##V3_BQLV12</stp>
        <stp>[MODL_NOW_US1.xlsx]Single Period!R222C31</stp>
        <stp>NOW US Equity</stp>
        <stp>CF_CASH_FROM_INV_ACT/1M</stp>
        <stp>FPR=2021Y</stp>
        <stp>FPT=A</stp>
        <stp>FA_ACT_EST_DATA=E, EST_SOURCE=GSR</stp>
        <stp>ACT_EST_MAPPING=PRECISE</stp>
        <stp>FS=MRC</stp>
        <stp>CURRENCY=USD</stp>
        <stp>XLFILL=b</stp>
        <tr r="AE222" s="2"/>
      </tp>
      <tp t="s">
        <v>#N/A Requesting Data...</v>
        <stp/>
        <stp>##V3_BQLV12</stp>
        <stp>[MODL_NOW_US1.xlsx]Single Period!R147C38</stp>
        <stp>NOW US Equity</stp>
        <stp>IS_AMORT_OF_TOT_INTANG_PRETX/1M</stp>
        <stp>FPR=2021Y</stp>
        <stp>FPT=A</stp>
        <stp>FA_ACT_EST_DATA=E, EST_SOURCE=RWB</stp>
        <stp>ACT_EST_MAPPING=PRECISE</stp>
        <stp>FS=MRC</stp>
        <stp>CURRENCY=USD</stp>
        <stp>XLFILL=b</stp>
        <tr r="AL147" s="2"/>
      </tp>
      <tp t="s">
        <v>#N/A Requesting Data...</v>
        <stp/>
        <stp>##V3_BQLV12</stp>
        <stp>[MODL_NOW_US1.xlsx]Single Period!R170C39</stp>
        <stp>NOW US Equity</stp>
        <stp>BS_TOT_ASSET/1M</stp>
        <stp>FPR=2021Y</stp>
        <stp>FPT=A</stp>
        <stp>FA_ACT_EST_DATA=E, EST_SOURCE=DZB</stp>
        <stp>ACT_EST_MAPPING=PRECISE</stp>
        <stp>FS=MRC</stp>
        <stp>CURRENCY=USD</stp>
        <stp>XLFILL=b</stp>
        <tr r="AM170" s="2"/>
      </tp>
      <tp t="s">
        <v>#N/A Requesting Data...</v>
        <stp/>
        <stp>##V3_BQLV12</stp>
        <stp>[MODL_NOW_US1.xlsx]Single Period!R201C10</stp>
        <stp>NOW US Equity</stp>
        <stp>D_AND_A_TO_SALES</stp>
        <stp>FPR=2021Y</stp>
        <stp>FPT=A</stp>
        <stp>FA_ACT_EST_DATA=E, EST_SOURCE=CMPY</stp>
        <stp>ACT_EST_MAPPING=PRECISE</stp>
        <stp>FS=MRC</stp>
        <stp>CURRENCY=USD</stp>
        <stp>XLFILL=b</stp>
        <tr r="J201" s="2"/>
      </tp>
      <tp t="s">
        <v>#N/A Requesting Data...</v>
        <stp/>
        <stp>##V3_BQLV12</stp>
        <stp>[MODL_NOW_US1.xlsx]Single Period!R222C35</stp>
        <stp>NOW US Equity</stp>
        <stp>CF_CASH_FROM_INV_ACT/1M</stp>
        <stp>FPR=2021Y</stp>
        <stp>FPT=A</stp>
        <stp>FA_ACT_EST_DATA=E, EST_SOURCE=MSR</stp>
        <stp>ACT_EST_MAPPING=PRECISE</stp>
        <stp>FS=MRC</stp>
        <stp>CURRENCY=USD</stp>
        <stp>XLFILL=b</stp>
        <tr r="AI222" s="2"/>
      </tp>
      <tp t="s">
        <v>#N/A Requesting Data...</v>
        <stp/>
        <stp>##V3_BQLV12</stp>
        <stp>[MODL_NOW_US1.xlsx]Single Period!R190C21</stp>
        <stp>NOW US Equity</stp>
        <stp>DEFERRED_REV/1M</stp>
        <stp>FPR=2021Y</stp>
        <stp>FPT=A</stp>
        <stp>FA_ACT_EST_DATA=E, EST_SOURCE=JMP</stp>
        <stp>ACT_EST_MAPPING=PRECISE</stp>
        <stp>FS=MRC</stp>
        <stp>CURRENCY=USD</stp>
        <stp>XLFILL=b</stp>
        <tr r="U190" s="2"/>
      </tp>
      <tp t="s">
        <v>#N/A Requesting Data...</v>
        <stp/>
        <stp>##V3_BQLV12</stp>
        <stp>[MODL_NOW_US1.xlsx]Single Period!R93C29</stp>
        <stp>NOW US Equity</stp>
        <stp>G_AND_A_COST_PCT_REVENUES</stp>
        <stp>FPR=2021Y</stp>
        <stp>FPT=A</stp>
        <stp>FA_ACT_EST_DATA=E, EST_SOURCE=BNS</stp>
        <stp>ACT_EST_MAPPING=PRECISE</stp>
        <stp>FS=MRC</stp>
        <stp>CURRENCY=USD</stp>
        <stp>XLFILL=b</stp>
        <tr r="AC93" s="2"/>
      </tp>
      <tp t="s">
        <v>#N/A Requesting Data...</v>
        <stp/>
        <stp>##V3_BQLV12</stp>
        <stp>[MODL_NOW_US1.xlsx]Single Period!R93C18</stp>
        <stp>NOW US Equity</stp>
        <stp>G_AND_A_COST_PCT_REVENUES</stp>
        <stp>FPR=2021Y</stp>
        <stp>FPT=A</stp>
        <stp>FA_ACT_EST_DATA=E, EST_SOURCE=SNR</stp>
        <stp>ACT_EST_MAPPING=PRECISE</stp>
        <stp>FS=MRC</stp>
        <stp>CURRENCY=USD</stp>
        <stp>XLFILL=b</stp>
        <tr r="R93" s="2"/>
      </tp>
      <tp t="s">
        <v>#N/A Requesting Data...</v>
        <stp/>
        <stp>##V3_BQLV12</stp>
        <stp>[MODL_NOW_US1.xlsx]Single Period!R222C42</stp>
        <stp>NOW US Equity</stp>
        <stp>CF_CASH_FROM_INV_ACT/1M</stp>
        <stp>FPR=2021Y</stp>
        <stp>FPT=A</stp>
        <stp>FA_ACT_EST_DATA=E, EST_SOURCE=CTI</stp>
        <stp>ACT_EST_MAPPING=PRECISE</stp>
        <stp>FS=MRC</stp>
        <stp>CURRENCY=USD</stp>
        <stp>XLFILL=b</stp>
        <tr r="AP222" s="2"/>
      </tp>
      <tp t="s">
        <v>#N/A Requesting Data...</v>
        <stp/>
        <stp>##V3_BQLV12</stp>
        <stp>[MODL_NOW_US1.xlsx]Single Period!R122C46</stp>
        <stp>NOW US Equity</stp>
        <stp>IS_MERGER_AND_ACQUIS_EXPN_OP/1M</stp>
        <stp>FPR=2021Y</stp>
        <stp>FPT=A</stp>
        <stp>FA_ACT_EST_DATA=E, EST_SOURCE=MZS</stp>
        <stp>ACT_EST_MAPPING=PRECISE</stp>
        <stp>FS=MRC</stp>
        <stp>CURRENCY=USD</stp>
        <stp>XLFILL=b</stp>
        <tr r="AT122" s="2"/>
      </tp>
      <tp t="s">
        <v>#N/A Requesting Data...</v>
        <stp/>
        <stp>##V3_BQLV12</stp>
        <stp>[MODL_NOW_US1.xlsx]Single Period!R120C11</stp>
        <stp>NOW US Equity</stp>
        <stp>IS_OPEX_R_AND_D_GAAP/1M</stp>
        <stp>FPR=2021Y</stp>
        <stp>FPT=A</stp>
        <stp>FA_ACT_EST_DATA=E, EST_SOURCE=JPM</stp>
        <stp>ACT_EST_MAPPING=PRECISE</stp>
        <stp>FS=MRC</stp>
        <stp>CURRENCY=USD</stp>
        <stp>XLFILL=b</stp>
        <tr r="K120" s="2"/>
      </tp>
      <tp t="s">
        <v>#N/A Requesting Data...</v>
        <stp/>
        <stp>##V3_BQLV12</stp>
        <stp>[MODL_NOW_US1.xlsx]Single Period!R222C34</stp>
        <stp>NOW US Equity</stp>
        <stp>CF_CASH_FROM_INV_ACT/1M</stp>
        <stp>FPR=2021Y</stp>
        <stp>FPT=A</stp>
        <stp>FA_ACT_EST_DATA=E, EST_SOURCE=PSG</stp>
        <stp>ACT_EST_MAPPING=PRECISE</stp>
        <stp>FS=MRC</stp>
        <stp>CURRENCY=USD</stp>
        <stp>XLFILL=b</stp>
        <tr r="AH222" s="2"/>
      </tp>
      <tp t="s">
        <v>#N/A Requesting Data...</v>
        <stp/>
        <stp>##V3_BQLV12</stp>
        <stp>[MODL_NOW_US1.xlsx]Single Period!R147C28</stp>
        <stp>NOW US Equity</stp>
        <stp>IS_AMORT_OF_TOT_INTANG_PRETX/1M</stp>
        <stp>FPR=2021Y</stp>
        <stp>FPT=A</stp>
        <stp>FA_ACT_EST_DATA=E, EST_SOURCE=EVR</stp>
        <stp>ACT_EST_MAPPING=PRECISE</stp>
        <stp>FS=MRC</stp>
        <stp>CURRENCY=USD</stp>
        <stp>XLFILL=b</stp>
        <tr r="AB147" s="2"/>
      </tp>
      <tp t="s">
        <v>#N/A Requesting Data...</v>
        <stp/>
        <stp>##V3_BQLV12</stp>
        <stp>[MODL_NOW_US1.xlsx]Single Period!R183C12</stp>
        <stp>NOW US Equity</stp>
        <stp>BS_TOTAL_LIABILITIES/1M</stp>
        <stp>FPR=2021Y</stp>
        <stp>FPT=A</stp>
        <stp>FA_ACT_EST_DATA=E, EST_SOURCE=WBL</stp>
        <stp>ACT_EST_MAPPING=PRECISE</stp>
        <stp>FS=MRC</stp>
        <stp>CURRENCY=USD</stp>
        <stp>XLFILL=b</stp>
        <tr r="L183" s="2"/>
      </tp>
      <tp t="s">
        <v>#N/A Requesting Data...</v>
        <stp/>
        <stp>##V3_BQLV12</stp>
        <stp>[MODL_NOW_US1.xlsx]Single Period!R183C20</stp>
        <stp>NOW US Equity</stp>
        <stp>BS_TOTAL_LIABILITIES/1M</stp>
        <stp>FPR=2021Y</stp>
        <stp>FPT=A</stp>
        <stp>FA_ACT_EST_DATA=E, EST_SOURCE=CAN</stp>
        <stp>ACT_EST_MAPPING=PRECISE</stp>
        <stp>FS=MRC</stp>
        <stp>CURRENCY=USD</stp>
        <stp>XLFILL=b</stp>
        <tr r="T183" s="2"/>
      </tp>
      <tp t="s">
        <v>#N/A Requesting Data...</v>
        <stp/>
        <stp>##V3_BQLV12</stp>
        <stp>[MODL_NOW_US1.xlsx]Single Period!R120C47</stp>
        <stp>NOW US Equity</stp>
        <stp>IS_OPEX_R_AND_D_GAAP/1M</stp>
        <stp>FPR=2021Y</stp>
        <stp>FPT=A</stp>
        <stp>FA_ACT_EST_DATA=E, EST_SOURCE=SUM</stp>
        <stp>ACT_EST_MAPPING=PRECISE</stp>
        <stp>FS=MRC</stp>
        <stp>CURRENCY=USD</stp>
        <stp>XLFILL=b</stp>
        <tr r="AU120" s="2"/>
      </tp>
      <tp t="s">
        <v>#N/A Requesting Data...</v>
        <stp/>
        <stp>##V3_BQLV12</stp>
        <stp>[MODL_NOW_US1.xlsx]Single Period!R51C39</stp>
        <stp>NOW US Equity</stp>
        <stp>ACCOUNTS_PAYABLE_TURNOVER_DAYS</stp>
        <stp>FPR=2021Y</stp>
        <stp>FPT=A</stp>
        <stp>FA_ACT_EST_DATA=E, EST_SOURCE=DZB</stp>
        <stp>ACT_EST_MAPPING=PRECISE</stp>
        <stp>FS=MRC</stp>
        <stp>CURRENCY=USD</stp>
        <stp>XLFILL=b</stp>
        <tr r="AM51" s="2"/>
      </tp>
      <tp t="s">
        <v>#N/A Requesting Data...</v>
        <stp/>
        <stp>##V3_BQLV12</stp>
        <stp>[MODL_NOW_US1.xlsx]Single Period!R32C36</stp>
        <stp>NOW US Equity</stp>
        <stp>BS_REMAINING_PERFORMANCE_OBLIG/1M</stp>
        <stp>FPR=2021Y</stp>
        <stp>FPT=A</stp>
        <stp>FA_ACT_EST_DATA=E, EST_SOURCE=JEF</stp>
        <stp>ACT_EST_MAPPING=PRECISE</stp>
        <stp>FS=MRC</stp>
        <stp>CURRENCY=USD</stp>
        <stp>XLFILL=b</stp>
        <tr r="AJ32" s="2"/>
      </tp>
      <tp t="s">
        <v>#N/A Requesting Data...</v>
        <stp/>
        <stp>##V3_BQLV12</stp>
        <stp>[MODL_NOW_US1.xlsx]Single Period!R32C13</stp>
        <stp>NOW US Equity</stp>
        <stp>BS_REMAINING_PERFORMANCE_OBLIG/1M</stp>
        <stp>FPR=2021Y</stp>
        <stp>FPT=A</stp>
        <stp>FA_ACT_EST_DATA=E, EST_SOURCE=KEY</stp>
        <stp>ACT_EST_MAPPING=PRECISE</stp>
        <stp>FS=MRC</stp>
        <stp>CURRENCY=USD</stp>
        <stp>XLFILL=b</stp>
        <tr r="M32" s="2"/>
      </tp>
      <tp t="s">
        <v>#N/A Requesting Data...</v>
        <stp/>
        <stp>##V3_BQLV12</stp>
        <stp>[MODL_NOW_US1.xlsx]Single Period!R51C46</stp>
        <stp>NOW US Equity</stp>
        <stp>ACCOUNTS_PAYABLE_TURNOVER_DAYS</stp>
        <stp>FPR=2021Y</stp>
        <stp>FPT=A</stp>
        <stp>FA_ACT_EST_DATA=E, EST_SOURCE=MZS</stp>
        <stp>ACT_EST_MAPPING=PRECISE</stp>
        <stp>FS=MRC</stp>
        <stp>CURRENCY=USD</stp>
        <stp>XLFILL=b</stp>
        <tr r="AT51" s="2"/>
      </tp>
      <tp t="s">
        <v>#N/A Requesting Data...</v>
        <stp/>
        <stp>##V3_BQLV12</stp>
        <stp>[MODL_NOW_US1.xlsx]Single Period!R237C20</stp>
        <stp>NOW US Equity</stp>
        <stp>FCF_PER_DIL_SHR</stp>
        <stp>FPR=2021Y</stp>
        <stp>FPT=A</stp>
        <stp>FA_ACT_EST_DATA=E, EST_SOURCE=CAN</stp>
        <stp>ACT_EST_MAPPING=PRECISE</stp>
        <stp>FS=MRC</stp>
        <stp>CURRENCY=USD</stp>
        <stp>XLFILL=b</stp>
        <tr r="T237" s="2"/>
      </tp>
      <tp t="s">
        <v>#N/A Requesting Data...</v>
        <stp/>
        <stp>##V3_BQLV12</stp>
        <stp>[MODL_NOW_US1.xlsx]Single Period!R237C12</stp>
        <stp>NOW US Equity</stp>
        <stp>FCF_PER_DIL_SHR</stp>
        <stp>FPR=2021Y</stp>
        <stp>FPT=A</stp>
        <stp>FA_ACT_EST_DATA=E, EST_SOURCE=WBL</stp>
        <stp>ACT_EST_MAPPING=PRECISE</stp>
        <stp>FS=MRC</stp>
        <stp>CURRENCY=USD</stp>
        <stp>XLFILL=b</stp>
        <tr r="L237" s="2"/>
      </tp>
      <tp t="s">
        <v>#N/A Requesting Data...</v>
        <stp/>
        <stp>##V3_BQLV12</stp>
        <stp>[MODL_NOW_US1.xlsx]Single Period!R132C23</stp>
        <stp>NOW US Equity</stp>
        <stp>CONT_INC_PER_SH</stp>
        <stp>FPR=2021Y</stp>
        <stp>FPT=A</stp>
        <stp>FA_ACT_EST_DATA=E, EST_SOURCE=ZXS</stp>
        <stp>ACT_EST_MAPPING=PRECISE</stp>
        <stp>FS=MRC</stp>
        <stp>CURRENCY=USD</stp>
        <stp>XLFILL=b</stp>
        <tr r="W132" s="2"/>
      </tp>
      <tp t="s">
        <v>#N/A Requesting Data...</v>
        <stp/>
        <stp>##V3_BQLV12</stp>
        <stp>[MODL_NOW_US1.xlsx]Single Period!R221C5</stp>
        <stp>NOW US Equity</stp>
        <stp>CB_CF_OTHER_INVESTING_ACTIVITIES/1M</stp>
        <stp>FPR=2021Y</stp>
        <stp>FPT=A</stp>
        <stp>FA_ACT_EST_DATA=E</stp>
        <stp>ACT_EST_MAPPING=PRECISE</stp>
        <stp>FS=MRC</stp>
        <stp>CURRENCY=USD</stp>
        <stp>XLFILL=b</stp>
        <tr r="E221" s="2"/>
      </tp>
      <tp t="s">
        <v>#N/A Requesting Data...</v>
        <stp/>
        <stp>##V3_BQLV12</stp>
        <stp>[MODL_NOW_US1.xlsx]Single Period!R118C10</stp>
        <stp>NOW US Equity</stp>
        <stp>OPERATING_EXPENSES_TO_NET_SALES</stp>
        <stp>FPR=2021Y</stp>
        <stp>FPT=A</stp>
        <stp>FA_ACT_EST_DATA=E, EST_SOURCE=CMPY</stp>
        <stp>ACT_EST_MAPPING=PRECISE</stp>
        <stp>FS=MRC</stp>
        <stp>CURRENCY=USD</stp>
        <stp>XLFILL=b</stp>
        <tr r="J118" s="2"/>
      </tp>
      <tp t="s">
        <v>#N/A Requesting Data...</v>
        <stp/>
        <stp>##V3_BQLV12</stp>
        <stp>[MODL_NOW_US1.xlsx]Single Period!R75C5</stp>
        <stp>SEG0000230992 Segment</stp>
        <stp>SALES_REV_TURN/1M</stp>
        <stp>FPR=2021Y</stp>
        <stp>FPT=A</stp>
        <stp>FA_ACT_EST_DATA=E</stp>
        <stp>ACT_EST_MAPPING=PRECISE</stp>
        <stp>FS=MRC</stp>
        <stp>CURRENCY=USD</stp>
        <stp>XLFILL=b</stp>
        <tr r="E75" s="2"/>
      </tp>
      <tp t="s">
        <v>#N/A Requesting Data...</v>
        <stp/>
        <stp>##V3_BQLV12</stp>
        <stp>[MODL_NOW_US1.xlsx]Single Period!R66C5</stp>
        <stp>SEG0000230986 Segment</stp>
        <stp>SALES_REV_TURN/1M</stp>
        <stp>FPR=2021Y</stp>
        <stp>FPT=A</stp>
        <stp>FA_ACT_EST_DATA=E</stp>
        <stp>ACT_EST_MAPPING=PRECISE</stp>
        <stp>FS=MRC</stp>
        <stp>CURRENCY=USD</stp>
        <stp>XLFILL=b</stp>
        <tr r="E66" s="2"/>
      </tp>
      <tp t="s">
        <v>#N/A Requesting Data...</v>
        <stp/>
        <stp>##V3_BQLV12</stp>
        <stp>[MODL_NOW_US1.xlsx]Single Period!R102C9</stp>
        <stp>NOW US Equity</stp>
        <stp>CONTRIBUTOR_STATS(IS_COMP_PTP_EX_STK_BASED_COMP, MEDIAN)/1M</stp>
        <stp>FPR=2021Y</stp>
        <stp>FPT=A</stp>
        <stp>FA_ACT_EST_DATA=E</stp>
        <stp>ACT_EST_MAPPING=PRECISE</stp>
        <stp>FS=MRC</stp>
        <stp>CURRENCY=USD</stp>
        <stp>XLFILL=b</stp>
        <tr r="I102" s="2"/>
      </tp>
      <tp t="s">
        <v>#N/A Requesting Data...</v>
        <stp/>
        <stp>##V3_BQLV12</stp>
        <stp>[MODL_NOW_US1.xlsx]Single Period!R174C9</stp>
        <stp>NOW US Equity</stp>
        <stp>CONTRIBUTOR_STATS(BS_ACCT_PAYABLE, MEDIAN)/1M</stp>
        <stp>FPR=2021Y</stp>
        <stp>FPT=A</stp>
        <stp>FA_ACT_EST_DATA=E</stp>
        <stp>ACT_EST_MAPPING=PRECISE</stp>
        <stp>FS=MRC</stp>
        <stp>CURRENCY=USD</stp>
        <stp>XLFILL=b</stp>
        <tr r="I174" s="2"/>
      </tp>
      <tp t="s">
        <v>#N/A Requesting Data...</v>
        <stp/>
        <stp>##V3_BQLV12</stp>
        <stp>[MODL_NOW_US1.xlsx]Single Period!R17C5</stp>
        <stp>SEG0000230975 Segment</stp>
        <stp>IS_BILLINGS/1M</stp>
        <stp>FPR=2021Y</stp>
        <stp>FPT=A</stp>
        <stp>FA_ACT_EST_DATA=E</stp>
        <stp>ACT_EST_MAPPING=PRECISE</stp>
        <stp>FS=MRC</stp>
        <stp>CURRENCY=USD</stp>
        <stp>XLFILL=b</stp>
        <tr r="E17" s="2"/>
      </tp>
      <tp t="s">
        <v>#N/A Requesting Data...</v>
        <stp/>
        <stp>##V3_BQLV12</stp>
        <stp>[MODL_NOW_US1.xlsx]Single Period!R7C28</stp>
        <stp>NOW US Equity</stp>
        <stp>IS_COMP_SALES/1M</stp>
        <stp>FPR=2021Y</stp>
        <stp>FPT=A</stp>
        <stp>FA_ACT_EST_DATA=E, EST_SOURCE=EVR</stp>
        <stp>ACT_EST_MAPPING=PRECISE</stp>
        <stp>FS=MRC</stp>
        <stp>CURRENCY=USD</stp>
        <stp>XLFILL=b</stp>
        <tr r="AB7" s="2"/>
      </tp>
      <tp t="s">
        <v>#N/A Requesting Data...</v>
        <stp/>
        <stp>##V3_BQLV12</stp>
        <stp>[MODL_NOW_US1.xlsx]Single Period!R150C9</stp>
        <stp>NOW US Equity</stp>
        <stp>CONTRIBUTOR_STATS(IS_INC_TAX_EFFECT_NONGAAP_REC, MEDIAN)/1M</stp>
        <stp>FPR=2021Y</stp>
        <stp>FPT=A</stp>
        <stp>FA_ACT_EST_DATA=E</stp>
        <stp>ACT_EST_MAPPING=PRECISE</stp>
        <stp>FS=MRC</stp>
        <stp>CURRENCY=USD</stp>
        <stp>XLFILL=b</stp>
        <tr r="I150" s="2"/>
      </tp>
      <tp t="s">
        <v>#N/A Requesting Data...</v>
        <stp/>
        <stp>##V3_BQLV12</stp>
        <stp>[MODL_NOW_US1.xlsx]Single Period!R147C40</stp>
        <stp>NOW US Equity</stp>
        <stp>IS_AMORT_OF_TOT_INTANG_PRETX/1M</stp>
        <stp>FPR=2021Y</stp>
        <stp>FPT=A</stp>
        <stp>FA_ACT_EST_DATA=E, EST_SOURCE=DWI</stp>
        <stp>ACT_EST_MAPPING=PRECISE</stp>
        <stp>FS=MRC</stp>
        <stp>CURRENCY=USD</stp>
        <stp>XLFILL=b</stp>
        <tr r="AN147" s="2"/>
      </tp>
      <tp t="s">
        <v>#N/A Requesting Data...</v>
        <stp/>
        <stp>##V3_BQLV12</stp>
        <stp>[MODL_NOW_US1.xlsx]Single Period!R183C13</stp>
        <stp>NOW US Equity</stp>
        <stp>BS_TOTAL_LIABILITIES/1M</stp>
        <stp>FPR=2021Y</stp>
        <stp>FPT=A</stp>
        <stp>FA_ACT_EST_DATA=E, EST_SOURCE=KEY</stp>
        <stp>ACT_EST_MAPPING=PRECISE</stp>
        <stp>FS=MRC</stp>
        <stp>CURRENCY=USD</stp>
        <stp>XLFILL=b</stp>
        <tr r="M183" s="2"/>
      </tp>
      <tp t="s">
        <v>#N/A Requesting Data...</v>
        <stp/>
        <stp>##V3_BQLV12</stp>
        <stp>[MODL_NOW_US1.xlsx]Single Period!R87C14</stp>
        <stp>NOW US Equity</stp>
        <stp>CB_IS_ADJUSTED_OPEX/1M</stp>
        <stp>FPR=2021Y</stp>
        <stp>FPT=A</stp>
        <stp>FA_ACT_EST_DATA=E, EST_SOURCE=BMO</stp>
        <stp>ACT_EST_MAPPING=PRECISE</stp>
        <stp>FS=MRC</stp>
        <stp>CURRENCY=USD</stp>
        <stp>XLFILL=b</stp>
        <tr r="N87" s="2"/>
      </tp>
      <tp t="s">
        <v>#N/A Requesting Data...</v>
        <stp/>
        <stp>##V3_BQLV12</stp>
        <stp>[MODL_NOW_US1.xlsx]Single Period!R122C39</stp>
        <stp>NOW US Equity</stp>
        <stp>IS_MERGER_AND_ACQUIS_EXPN_OP/1M</stp>
        <stp>FPR=2021Y</stp>
        <stp>FPT=A</stp>
        <stp>FA_ACT_EST_DATA=E, EST_SOURCE=DZB</stp>
        <stp>ACT_EST_MAPPING=PRECISE</stp>
        <stp>FS=MRC</stp>
        <stp>CURRENCY=USD</stp>
        <stp>XLFILL=b</stp>
        <tr r="AM122" s="2"/>
      </tp>
      <tp t="s">
        <v>#N/A Requesting Data...</v>
        <stp/>
        <stp>##V3_BQLV12</stp>
        <stp>[MODL_NOW_US1.xlsx]Single Period!R170C46</stp>
        <stp>NOW US Equity</stp>
        <stp>BS_TOT_ASSET/1M</stp>
        <stp>FPR=2021Y</stp>
        <stp>FPT=A</stp>
        <stp>FA_ACT_EST_DATA=E, EST_SOURCE=MZS</stp>
        <stp>ACT_EST_MAPPING=PRECISE</stp>
        <stp>FS=MRC</stp>
        <stp>CURRENCY=USD</stp>
        <stp>XLFILL=b</stp>
        <tr r="AT170" s="2"/>
      </tp>
      <tp t="s">
        <v>#N/A Requesting Data...</v>
        <stp/>
        <stp>##V3_BQLV12</stp>
        <stp>[MODL_NOW_US1.xlsx]Single Period!R120C41</stp>
        <stp>NOW US Equity</stp>
        <stp>IS_OPEX_R_AND_D_GAAP/1M</stp>
        <stp>FPR=2021Y</stp>
        <stp>FPT=A</stp>
        <stp>FA_ACT_EST_DATA=E, EST_SOURCE=ARG</stp>
        <stp>ACT_EST_MAPPING=PRECISE</stp>
        <stp>FS=MRC</stp>
        <stp>CURRENCY=USD</stp>
        <stp>XLFILL=b</stp>
        <tr r="AO120" s="2"/>
      </tp>
      <tp t="s">
        <v>#N/A Requesting Data...</v>
        <stp/>
        <stp>##V3_BQLV12</stp>
        <stp>[MODL_NOW_US1.xlsx]Single Period!R120C44</stp>
        <stp>NOW US Equity</stp>
        <stp>IS_OPEX_R_AND_D_GAAP/1M</stp>
        <stp>FPR=2021Y</stp>
        <stp>FPT=A</stp>
        <stp>FA_ACT_EST_DATA=E, EST_SOURCE=ARE</stp>
        <stp>ACT_EST_MAPPING=PRECISE</stp>
        <stp>FS=MRC</stp>
        <stp>CURRENCY=USD</stp>
        <stp>XLFILL=b</stp>
        <tr r="AR120" s="2"/>
      </tp>
      <tp t="s">
        <v>#N/A Requesting Data...</v>
        <stp/>
        <stp>##V3_BQLV12</stp>
        <stp>[MODL_NOW_US1.xlsx]Single Period!R87C21</stp>
        <stp>NOW US Equity</stp>
        <stp>CB_IS_ADJUSTED_OPEX/1M</stp>
        <stp>FPR=2021Y</stp>
        <stp>FPT=A</stp>
        <stp>FA_ACT_EST_DATA=E, EST_SOURCE=JMP</stp>
        <stp>ACT_EST_MAPPING=PRECISE</stp>
        <stp>FS=MRC</stp>
        <stp>CURRENCY=USD</stp>
        <stp>XLFILL=b</stp>
        <tr r="U87" s="2"/>
      </tp>
      <tp t="s">
        <v>#N/A Requesting Data...</v>
        <stp/>
        <stp>##V3_BQLV12</stp>
        <stp>[MODL_NOW_US1.xlsx]Single Period!R185C46</stp>
        <stp>NOW US Equity</stp>
        <stp>BS_TOT_ASSET/1M</stp>
        <stp>FPR=2021Y</stp>
        <stp>FPT=A</stp>
        <stp>FA_ACT_EST_DATA=E, EST_SOURCE=MZS</stp>
        <stp>ACT_EST_MAPPING=PRECISE</stp>
        <stp>FS=MRC</stp>
        <stp>CURRENCY=USD</stp>
        <stp>XLFILL=b</stp>
        <tr r="AT185" s="2"/>
      </tp>
      <tp t="s">
        <v>#N/A Requesting Data...</v>
        <stp/>
        <stp>##V3_BQLV12</stp>
        <stp>[MODL_NOW_US1.xlsx]Single Period!R222C37</stp>
        <stp>NOW US Equity</stp>
        <stp>CF_CASH_FROM_INV_ACT/1M</stp>
        <stp>FPR=2021Y</stp>
        <stp>FPT=A</stp>
        <stp>FA_ACT_EST_DATA=E, EST_SOURCE=TTC</stp>
        <stp>ACT_EST_MAPPING=PRECISE</stp>
        <stp>FS=MRC</stp>
        <stp>CURRENCY=USD</stp>
        <stp>XLFILL=b</stp>
        <tr r="AK222" s="2"/>
      </tp>
      <tp t="s">
        <v>#N/A Requesting Data...</v>
        <stp/>
        <stp>##V3_BQLV12</stp>
        <stp>[MODL_NOW_US1.xlsx]Single Period!R120C48</stp>
        <stp>NOW US Equity</stp>
        <stp>IS_OPEX_R_AND_D_GAAP/1M</stp>
        <stp>FPR=2021Y</stp>
        <stp>FPT=A</stp>
        <stp>FA_ACT_EST_DATA=E, EST_SOURCE=CRC</stp>
        <stp>ACT_EST_MAPPING=PRECISE</stp>
        <stp>FS=MRC</stp>
        <stp>CURRENCY=USD</stp>
        <stp>XLFILL=b</stp>
        <tr r="AV120" s="2"/>
      </tp>
      <tp t="s">
        <v>#N/A Requesting Data...</v>
        <stp/>
        <stp>##V3_BQLV12</stp>
        <stp>[MODL_NOW_US1.xlsx]Single Period!R32C22</stp>
        <stp>NOW US Equity</stp>
        <stp>BS_REMAINING_PERFORMANCE_OBLIG/1M</stp>
        <stp>FPR=2021Y</stp>
        <stp>FPT=A</stp>
        <stp>FA_ACT_EST_DATA=E, EST_SOURCE=NDH</stp>
        <stp>ACT_EST_MAPPING=PRECISE</stp>
        <stp>FS=MRC</stp>
        <stp>CURRENCY=USD</stp>
        <stp>XLFILL=b</stp>
        <tr r="V32" s="2"/>
      </tp>
      <tp t="s">
        <v>#N/A Requesting Data...</v>
        <stp/>
        <stp>##V3_BQLV12</stp>
        <stp>[MODL_NOW_US1.xlsx]Single Period!R37C20</stp>
        <stp>NOW US Equity</stp>
        <stp>BS_REMAINING_PERFORMANCE_OBLIG/1M</stp>
        <stp>FPR=2021Y</stp>
        <stp>FPT=A</stp>
        <stp>FA_ACT_EST_DATA=E, EST_SOURCE=CAN</stp>
        <stp>ACT_EST_MAPPING=PRECISE</stp>
        <stp>FS=MRC</stp>
        <stp>CURRENCY=USD</stp>
        <stp>XLFILL=b</stp>
        <tr r="T37" s="2"/>
      </tp>
      <tp t="s">
        <v>#N/A Requesting Data...</v>
        <stp/>
        <stp>##V3_BQLV12</stp>
        <stp>[MODL_NOW_US1.xlsx]Single Period!R237C43</stp>
        <stp>NOW US Equity</stp>
        <stp>FCF_PER_DIL_SHR</stp>
        <stp>FPR=2021Y</stp>
        <stp>FPT=A</stp>
        <stp>FA_ACT_EST_DATA=E, EST_SOURCE=WFT</stp>
        <stp>ACT_EST_MAPPING=PRECISE</stp>
        <stp>FS=MRC</stp>
        <stp>CURRENCY=USD</stp>
        <stp>XLFILL=b</stp>
        <tr r="AQ237" s="2"/>
      </tp>
      <tp t="s">
        <v>#N/A Requesting Data...</v>
        <stp/>
        <stp>##V3_BQLV12</stp>
        <stp>[MODL_NOW_US1.xlsx]Single Period!R37C30</stp>
        <stp>NOW US Equity</stp>
        <stp>BS_REMAINING_PERFORMANCE_OBLIG/1M</stp>
        <stp>FPR=2021Y</stp>
        <stp>FPT=A</stp>
        <stp>FA_ACT_EST_DATA=E, EST_SOURCE=BAM</stp>
        <stp>ACT_EST_MAPPING=PRECISE</stp>
        <stp>FS=MRC</stp>
        <stp>CURRENCY=USD</stp>
        <stp>XLFILL=b</stp>
        <tr r="AD37" s="2"/>
      </tp>
      <tp t="s">
        <v>#N/A Requesting Data...</v>
        <stp/>
        <stp>##V3_BQLV12</stp>
        <stp>[MODL_NOW_US1.xlsx]Single Period!R37C33</stp>
        <stp>NOW US Equity</stp>
        <stp>BS_REMAINING_PERFORMANCE_OBLIG/1M</stp>
        <stp>FPR=2021Y</stp>
        <stp>FPT=A</stp>
        <stp>FA_ACT_EST_DATA=E, EST_SOURCE=MAC</stp>
        <stp>ACT_EST_MAPPING=PRECISE</stp>
        <stp>FS=MRC</stp>
        <stp>CURRENCY=USD</stp>
        <stp>XLFILL=b</stp>
        <tr r="AG37" s="2"/>
      </tp>
      <tp t="s">
        <v>#N/A Requesting Data...</v>
        <stp/>
        <stp>##V3_BQLV12</stp>
        <stp>[MODL_NOW_US1.xlsx]Single Period!R118C17</stp>
        <stp>NOW US Equity</stp>
        <stp>OPERATING_EXPENSES_TO_NET_SALES</stp>
        <stp>FPR=2021Y</stp>
        <stp>FPT=A</stp>
        <stp>FA_ACT_EST_DATA=E, EST_SOURCE=RHR</stp>
        <stp>ACT_EST_MAPPING=PRECISE</stp>
        <stp>FS=MRC</stp>
        <stp>CURRENCY=USD</stp>
        <stp>XLFILL=b</stp>
        <tr r="Q118" s="2"/>
      </tp>
      <tp t="s">
        <v>#N/A Requesting Data...</v>
        <stp/>
        <stp>##V3_BQLV12</stp>
        <stp>[MODL_NOW_US1.xlsx]Single Period!R237C33</stp>
        <stp>NOW US Equity</stp>
        <stp>FCF_PER_DIL_SHR</stp>
        <stp>FPR=2021Y</stp>
        <stp>FPT=A</stp>
        <stp>FA_ACT_EST_DATA=E, EST_SOURCE=MAC</stp>
        <stp>ACT_EST_MAPPING=PRECISE</stp>
        <stp>FS=MRC</stp>
        <stp>CURRENCY=USD</stp>
        <stp>XLFILL=b</stp>
        <tr r="AG237" s="2"/>
      </tp>
      <tp t="s">
        <v>#N/A Requesting Data...</v>
        <stp/>
        <stp>##V3_BQLV12</stp>
        <stp>[MODL_NOW_US1.xlsx]Single Period!R237C16</stp>
        <stp>NOW US Equity</stp>
        <stp>FCF_PER_DIL_SHR</stp>
        <stp>FPR=2021Y</stp>
        <stp>FPT=A</stp>
        <stp>FA_ACT_EST_DATA=E, EST_SOURCE=BCA</stp>
        <stp>ACT_EST_MAPPING=PRECISE</stp>
        <stp>FS=MRC</stp>
        <stp>CURRENCY=USD</stp>
        <stp>XLFILL=b</stp>
        <tr r="P237" s="2"/>
      </tp>
      <tp t="s">
        <v>#N/A Requesting Data...</v>
        <stp/>
        <stp>##V3_BQLV12</stp>
        <stp>[MODL_NOW_US1.xlsx]Single Period!R114C23</stp>
        <stp>SEG0000230986 Segment</stp>
        <stp>CB_IS_GROSS_MARGIN</stp>
        <stp>FPR=2021Y</stp>
        <stp>FPT=A</stp>
        <stp>FA_ACT_EST_DATA=E, EST_SOURCE=ZXS</stp>
        <stp>ACT_EST_MAPPING=PRECISE</stp>
        <stp>FS=MRC</stp>
        <stp>CURRENCY=USD</stp>
        <stp>XLFILL=b</stp>
        <tr r="W114" s="2"/>
      </tp>
      <tp t="s">
        <v>#N/A Requesting Data...</v>
        <stp/>
        <stp>##V3_BQLV12</stp>
        <stp>[MODL_NOW_US1.xlsx]Single Period!R237C30</stp>
        <stp>NOW US Equity</stp>
        <stp>FCF_PER_DIL_SHR</stp>
        <stp>FPR=2021Y</stp>
        <stp>FPT=A</stp>
        <stp>FA_ACT_EST_DATA=E, EST_SOURCE=BAM</stp>
        <stp>ACT_EST_MAPPING=PRECISE</stp>
        <stp>FS=MRC</stp>
        <stp>CURRENCY=USD</stp>
        <stp>XLFILL=b</stp>
        <tr r="AD237" s="2"/>
      </tp>
      <tp t="s">
        <v>#N/A Requesting Data...</v>
        <stp/>
        <stp>##V3_BQLV12</stp>
        <stp>[MODL_NOW_US1.xlsx]Single Period!R150C8</stp>
        <stp>NOW US Equity</stp>
        <stp>CONTRIBUTOR_STATS(IS_INC_TAX_EFFECT_NONGAAP_REC, STD)/1M</stp>
        <stp>FPR=2021Y</stp>
        <stp>FPT=A</stp>
        <stp>FA_ACT_EST_DATA=E</stp>
        <stp>ACT_EST_MAPPING=PRECISE</stp>
        <stp>FS=MRC</stp>
        <stp>CURRENCY=USD</stp>
        <stp>XLFILL=b</stp>
        <tr r="H150" s="2"/>
      </tp>
      <tp t="s">
        <v>#N/A Requesting Data...</v>
        <stp/>
        <stp>##V3_BQLV12</stp>
        <stp>[MODL_NOW_US1.xlsx]Single Period!R7C38</stp>
        <stp>NOW US Equity</stp>
        <stp>IS_COMP_SALES/1M</stp>
        <stp>FPR=2021Y</stp>
        <stp>FPT=A</stp>
        <stp>FA_ACT_EST_DATA=E, EST_SOURCE=RWB</stp>
        <stp>ACT_EST_MAPPING=PRECISE</stp>
        <stp>FS=MRC</stp>
        <stp>CURRENCY=USD</stp>
        <stp>XLFILL=b</stp>
        <tr r="AL7" s="2"/>
      </tp>
      <tp t="s">
        <v>#N/A Requesting Data...</v>
        <stp/>
        <stp>##V3_BQLV12</stp>
        <stp>[MODL_NOW_US1.xlsx]Single Period!R134C8</stp>
        <stp>NOW US Equity</stp>
        <stp>CONTRIBUTOR_STATS(IS_COMP_EPS_GAAP, STD)</stp>
        <stp>FPR=2021Y</stp>
        <stp>FPT=A</stp>
        <stp>FA_ACT_EST_DATA=E</stp>
        <stp>ACT_EST_MAPPING=PRECISE</stp>
        <stp>FS=MRC</stp>
        <stp>CURRENCY=USD</stp>
        <stp>XLFILL=b</stp>
        <tr r="H134" s="2"/>
      </tp>
      <tp t="s">
        <v>#N/A Requesting Data...</v>
        <stp/>
        <stp>##V3_BQLV12</stp>
        <stp>[MODL_NOW_US1.xlsx]Single Period!R6C8</stp>
        <stp>NOW US Equity</stp>
        <stp>CONTRIBUTOR_STATS(IS_COMP_EPS_EXCL_STOCK_COMP, STD)</stp>
        <stp>FPR=2021Y</stp>
        <stp>FPT=A</stp>
        <stp>FA_ACT_EST_DATA=E</stp>
        <stp>ACT_EST_MAPPING=PRECISE</stp>
        <stp>FS=MRC</stp>
        <stp>CURRENCY=USD</stp>
        <stp>XLFILL=b</stp>
        <tr r="H6" s="2"/>
      </tp>
      <tp t="s">
        <v>#N/A Requesting Data...</v>
        <stp/>
        <stp>##V3_BQLV12</stp>
        <stp>[MODL_NOW_US1.xlsx]Single Period!R190C17</stp>
        <stp>NOW US Equity</stp>
        <stp>DEFERRED_REV/1M</stp>
        <stp>FPR=2021Y</stp>
        <stp>FPT=A</stp>
        <stp>FA_ACT_EST_DATA=E, EST_SOURCE=RHR</stp>
        <stp>ACT_EST_MAPPING=PRECISE</stp>
        <stp>FS=MRC</stp>
        <stp>CURRENCY=USD</stp>
        <stp>XLFILL=b</stp>
        <tr r="Q190" s="2"/>
      </tp>
      <tp t="s">
        <v>#N/A Requesting Data...</v>
        <stp/>
        <stp>##V3_BQLV12</stp>
        <stp>[MODL_NOW_US1.xlsx]Single Period!R93C17</stp>
        <stp>NOW US Equity</stp>
        <stp>G_AND_A_COST_PCT_REVENUES</stp>
        <stp>FPR=2021Y</stp>
        <stp>FPT=A</stp>
        <stp>FA_ACT_EST_DATA=E, EST_SOURCE=RHR</stp>
        <stp>ACT_EST_MAPPING=PRECISE</stp>
        <stp>FS=MRC</stp>
        <stp>CURRENCY=USD</stp>
        <stp>XLFILL=b</stp>
        <tr r="Q93" s="2"/>
      </tp>
      <tp t="s">
        <v>#N/A Requesting Data...</v>
        <stp/>
        <stp>##V3_BQLV12</stp>
        <stp>[MODL_NOW_US1.xlsx]Single Period!R39C43</stp>
        <stp>NOW US Equity</stp>
        <stp>IS_BILLINGS/1M</stp>
        <stp>FPR=2021Y</stp>
        <stp>FPT=A</stp>
        <stp>FA_ACT_EST_DATA=E, EST_SOURCE=WFT</stp>
        <stp>ACT_EST_MAPPING=PRECISE</stp>
        <stp>FS=MRC</stp>
        <stp>CURRENCY=USD</stp>
        <stp>XLFILL=b</stp>
        <tr r="AQ39" s="2"/>
      </tp>
      <tp t="s">
        <v>#N/A Requesting Data...</v>
        <stp/>
        <stp>##V3_BQLV12</stp>
        <stp>[MODL_NOW_US1.xlsx]Single Period!R120C37</stp>
        <stp>NOW US Equity</stp>
        <stp>IS_OPEX_R_AND_D_GAAP/1M</stp>
        <stp>FPR=2021Y</stp>
        <stp>FPT=A</stp>
        <stp>FA_ACT_EST_DATA=E, EST_SOURCE=TTC</stp>
        <stp>ACT_EST_MAPPING=PRECISE</stp>
        <stp>FS=MRC</stp>
        <stp>CURRENCY=USD</stp>
        <stp>XLFILL=b</stp>
        <tr r="AK120" s="2"/>
      </tp>
      <tp t="s">
        <v>#N/A Requesting Data...</v>
        <stp/>
        <stp>##V3_BQLV12</stp>
        <stp>[MODL_NOW_US1.xlsx]Single Period!R222C48</stp>
        <stp>NOW US Equity</stp>
        <stp>CF_CASH_FROM_INV_ACT/1M</stp>
        <stp>FPR=2021Y</stp>
        <stp>FPT=A</stp>
        <stp>FA_ACT_EST_DATA=E, EST_SOURCE=CRC</stp>
        <stp>ACT_EST_MAPPING=PRECISE</stp>
        <stp>FS=MRC</stp>
        <stp>CURRENCY=USD</stp>
        <stp>XLFILL=b</stp>
        <tr r="AV222" s="2"/>
      </tp>
      <tp t="s">
        <v>#N/A Requesting Data...</v>
        <stp/>
        <stp>##V3_BQLV12</stp>
        <stp>[MODL_NOW_US1.xlsx]Single Period!R222C44</stp>
        <stp>NOW US Equity</stp>
        <stp>CF_CASH_FROM_INV_ACT/1M</stp>
        <stp>FPR=2021Y</stp>
        <stp>FPT=A</stp>
        <stp>FA_ACT_EST_DATA=E, EST_SOURCE=ARE</stp>
        <stp>ACT_EST_MAPPING=PRECISE</stp>
        <stp>FS=MRC</stp>
        <stp>CURRENCY=USD</stp>
        <stp>XLFILL=b</stp>
        <tr r="AR222" s="2"/>
      </tp>
      <tp t="s">
        <v>#N/A Requesting Data...</v>
        <stp/>
        <stp>##V3_BQLV12</stp>
        <stp>[MODL_NOW_US1.xlsx]Single Period!R147C19</stp>
        <stp>NOW US Equity</stp>
        <stp>IS_AMORT_OF_TOT_INTANG_PRETX/1M</stp>
        <stp>FPR=2021Y</stp>
        <stp>FPT=A</stp>
        <stp>FA_ACT_EST_DATA=E, EST_SOURCE=MSV</stp>
        <stp>ACT_EST_MAPPING=PRECISE</stp>
        <stp>FS=MRC</stp>
        <stp>CURRENCY=USD</stp>
        <stp>XLFILL=b</stp>
        <tr r="S147" s="2"/>
      </tp>
      <tp t="s">
        <v>#N/A Requesting Data...</v>
        <stp/>
        <stp>##V3_BQLV12</stp>
        <stp>[MODL_NOW_US1.xlsx]Single Period!R222C41</stp>
        <stp>NOW US Equity</stp>
        <stp>CF_CASH_FROM_INV_ACT/1M</stp>
        <stp>FPR=2021Y</stp>
        <stp>FPT=A</stp>
        <stp>FA_ACT_EST_DATA=E, EST_SOURCE=ARG</stp>
        <stp>ACT_EST_MAPPING=PRECISE</stp>
        <stp>FS=MRC</stp>
        <stp>CURRENCY=USD</stp>
        <stp>XLFILL=b</stp>
        <tr r="AO222" s="2"/>
      </tp>
      <tp t="s">
        <v>#N/A Requesting Data...</v>
        <stp/>
        <stp>##V3_BQLV12</stp>
        <stp>[MODL_NOW_US1.xlsx]Single Period!R37C12</stp>
        <stp>NOW US Equity</stp>
        <stp>BS_REMAINING_PERFORMANCE_OBLIG/1M</stp>
        <stp>FPR=2021Y</stp>
        <stp>FPT=A</stp>
        <stp>FA_ACT_EST_DATA=E, EST_SOURCE=WBL</stp>
        <stp>ACT_EST_MAPPING=PRECISE</stp>
        <stp>FS=MRC</stp>
        <stp>CURRENCY=USD</stp>
        <stp>XLFILL=b</stp>
        <tr r="L37" s="2"/>
      </tp>
      <tp t="s">
        <v>#N/A Requesting Data...</v>
        <stp/>
        <stp>##V3_BQLV12</stp>
        <stp>[MODL_NOW_US1.xlsx]Single Period!R37C27</stp>
        <stp>NOW US Equity</stp>
        <stp>BS_REMAINING_PERFORMANCE_OBLIG/1M</stp>
        <stp>FPR=2021Y</stp>
        <stp>FPT=A</stp>
        <stp>FA_ACT_EST_DATA=E, EST_SOURCE=RBC</stp>
        <stp>ACT_EST_MAPPING=PRECISE</stp>
        <stp>FS=MRC</stp>
        <stp>CURRENCY=USD</stp>
        <stp>XLFILL=b</stp>
        <tr r="AA37" s="2"/>
      </tp>
      <tp t="s">
        <v>#N/A Requesting Data...</v>
        <stp/>
        <stp>##V3_BQLV12</stp>
        <stp>[MODL_NOW_US1.xlsx]Single Period!R37C32</stp>
        <stp>NOW US Equity</stp>
        <stp>BS_REMAINING_PERFORMANCE_OBLIG/1M</stp>
        <stp>FPR=2021Y</stp>
        <stp>FPT=A</stp>
        <stp>FA_ACT_EST_DATA=E, EST_SOURCE=FBC</stp>
        <stp>ACT_EST_MAPPING=PRECISE</stp>
        <stp>FS=MRC</stp>
        <stp>CURRENCY=USD</stp>
        <stp>XLFILL=b</stp>
        <tr r="AF37" s="2"/>
      </tp>
      <tp t="s">
        <v>#N/A Requesting Data...</v>
        <stp/>
        <stp>##V3_BQLV12</stp>
        <stp>[MODL_NOW_US1.xlsx]Single Period!R236C10</stp>
        <stp>NOW US Equity</stp>
        <stp>FREE_CASH_FLOW_MARGIN</stp>
        <stp>FPR=2021Y</stp>
        <stp>FPT=A</stp>
        <stp>FA_ACT_EST_DATA=E, EST_SOURCE=CMPY</stp>
        <stp>ACT_EST_MAPPING=PRECISE</stp>
        <stp>FS=MRC</stp>
        <stp>CURRENCY=USD</stp>
        <stp>XLFILL=b</stp>
        <tr r="J236" s="2"/>
      </tp>
      <tp t="s">
        <v>#N/A Requesting Data...</v>
        <stp/>
        <stp>##V3_BQLV12</stp>
        <stp>[MODL_NOW_US1.xlsx]Single Period!R37C25</stp>
        <stp>NOW US Equity</stp>
        <stp>BS_REMAINING_PERFORMANCE_OBLIG/1M</stp>
        <stp>FPR=2021Y</stp>
        <stp>FPT=A</stp>
        <stp>FA_ACT_EST_DATA=E, EST_SOURCE=DBG</stp>
        <stp>ACT_EST_MAPPING=PRECISE</stp>
        <stp>FS=MRC</stp>
        <stp>CURRENCY=USD</stp>
        <stp>XLFILL=b</stp>
        <tr r="Y37" s="2"/>
      </tp>
      <tp t="s">
        <v>#N/A Requesting Data...</v>
        <stp/>
        <stp>##V3_BQLV12</stp>
        <stp>[MODL_NOW_US1.xlsx]Single Period!R4C23</stp>
        <stp>NOW US Equity</stp>
        <stp>LAST(IS_COMP_SALES(FA_ACT_EST_DATA=E, EST_SOURCE=ZXS).analyst_name)</stp>
        <stp>FPR=2021Y</stp>
        <stp>FPT=A</stp>
        <stp>ACT_EST_MAPPING=PRECISE</stp>
        <stp>FS=MRC</stp>
        <stp>CURRENCY=USD</stp>
        <stp>XLFILL=b</stp>
        <tr r="W4" s="2"/>
      </tp>
      <tp t="s">
        <v>#N/A Requesting Data...</v>
        <stp/>
        <stp>##V3_BQLV12</stp>
        <stp>[MODL_NOW_US1.xlsx]Single Period!R51C23</stp>
        <stp>NOW US Equity</stp>
        <stp>ACCOUNTS_PAYABLE_TURNOVER_DAYS</stp>
        <stp>FPR=2021Y</stp>
        <stp>FPT=A</stp>
        <stp>FA_ACT_EST_DATA=E, EST_SOURCE=ZXS</stp>
        <stp>ACT_EST_MAPPING=PRECISE</stp>
        <stp>FS=MRC</stp>
        <stp>CURRENCY=USD</stp>
        <stp>XLFILL=b</stp>
        <tr r="W51" s="2"/>
      </tp>
      <tp t="s">
        <v>#N/A Requesting Data...</v>
        <stp/>
        <stp>##V3_BQLV12</stp>
        <stp>[MODL_NOW_US1.xlsx]Single Period!R237C32</stp>
        <stp>NOW US Equity</stp>
        <stp>FCF_PER_DIL_SHR</stp>
        <stp>FPR=2021Y</stp>
        <stp>FPT=A</stp>
        <stp>FA_ACT_EST_DATA=E, EST_SOURCE=FBC</stp>
        <stp>ACT_EST_MAPPING=PRECISE</stp>
        <stp>FS=MRC</stp>
        <stp>CURRENCY=USD</stp>
        <stp>XLFILL=b</stp>
        <tr r="AF237" s="2"/>
      </tp>
      <tp t="s">
        <v>#N/A Requesting Data...</v>
        <stp/>
        <stp>##V3_BQLV12</stp>
        <stp>[MODL_NOW_US1.xlsx]Single Period!R37C26</stp>
        <stp>NOW US Equity</stp>
        <stp>BS_REMAINING_PERFORMANCE_OBLIG/1M</stp>
        <stp>FPR=2021Y</stp>
        <stp>FPT=A</stp>
        <stp>FA_ACT_EST_DATA=E, EST_SOURCE=UBS</stp>
        <stp>ACT_EST_MAPPING=PRECISE</stp>
        <stp>FS=MRC</stp>
        <stp>CURRENCY=USD</stp>
        <stp>XLFILL=b</stp>
        <tr r="Z37" s="2"/>
      </tp>
      <tp t="s">
        <v>#N/A Requesting Data...</v>
        <stp/>
        <stp>##V3_BQLV12</stp>
        <stp>[MODL_NOW_US1.xlsx]Single Period!R169C8</stp>
        <stp>NOW US Equity</stp>
        <stp>CONTRIBUTOR_STATS(CB_BS_OTHER_NONCURRENT_ASSETS, STD)/1M</stp>
        <stp>FPR=2021Y</stp>
        <stp>FPT=A</stp>
        <stp>FA_ACT_EST_DATA=E</stp>
        <stp>ACT_EST_MAPPING=PRECISE</stp>
        <stp>FS=MRC</stp>
        <stp>CURRENCY=USD</stp>
        <stp>XLFILL=b</stp>
        <tr r="H169" s="2"/>
      </tp>
      <tp t="s">
        <v>#N/A Requesting Data...</v>
        <stp/>
        <stp>##V3_BQLV12</stp>
        <stp>[MODL_NOW_US1.xlsx]Single Period!R209C8</stp>
        <stp>NOW US Equity</stp>
        <stp>CONTRIBUTOR_STATS(CF_CHANGE_IN_ACCOUNTS_PAYABLE, STD)/1M</stp>
        <stp>FPR=2021Y</stp>
        <stp>FPT=A</stp>
        <stp>FA_ACT_EST_DATA=E</stp>
        <stp>ACT_EST_MAPPING=PRECISE</stp>
        <stp>FS=MRC</stp>
        <stp>CURRENCY=USD</stp>
        <stp>XLFILL=b</stp>
        <tr r="H209" s="2"/>
      </tp>
      <tp t="s">
        <v>#N/A Requesting Data...</v>
        <stp/>
        <stp>##V3_BQLV12</stp>
        <stp>[MODL_NOW_US1.xlsx]Single Period!R174C5</stp>
        <stp>NOW US Equity</stp>
        <stp>BS_ACCT_PAYABLE/1M</stp>
        <stp>FPR=2021Y</stp>
        <stp>FPT=A</stp>
        <stp>FA_ACT_EST_DATA=E</stp>
        <stp>ACT_EST_MAPPING=PRECISE</stp>
        <stp>FS=MRC</stp>
        <stp>CURRENCY=USD</stp>
        <stp>XLFILL=b</stp>
        <tr r="E174" s="2"/>
      </tp>
      <tp t="s">
        <v>#N/A Requesting Data...</v>
        <stp/>
        <stp>##V3_BQLV12</stp>
        <stp>[MODL_NOW_US1.xlsx]Single Period!R205C5</stp>
        <stp>NOW US Equity</stp>
        <stp>CB_CF_OTHR_NONCSH_ITEMS/1M</stp>
        <stp>FPR=2021Y</stp>
        <stp>FPT=A</stp>
        <stp>FA_ACT_EST_DATA=E</stp>
        <stp>ACT_EST_MAPPING=PRECISE</stp>
        <stp>FS=MRC</stp>
        <stp>CURRENCY=USD</stp>
        <stp>XLFILL=b</stp>
        <tr r="E205" s="2"/>
      </tp>
      <tp t="s">
        <v>#N/A Requesting Data...</v>
        <stp/>
        <stp>##V3_BQLV12</stp>
        <stp>[MODL_NOW_US1.xlsx]Single Period!R46C5</stp>
        <stp>SEG0000230986 Segment</stp>
        <stp>IS_BILLINGS/1M</stp>
        <stp>FPR=2021Y</stp>
        <stp>FPT=A</stp>
        <stp>FA_ACT_EST_DATA=E</stp>
        <stp>ACT_EST_MAPPING=PRECISE</stp>
        <stp>FS=MRC</stp>
        <stp>CURRENCY=USD</stp>
        <stp>XLFILL=b</stp>
        <tr r="E46" s="2"/>
      </tp>
      <tp t="s">
        <v>#N/A Requesting Data...</v>
        <stp/>
        <stp>##V3_BQLV12</stp>
        <stp>[MODL_NOW_US1.xlsx]Single Period!R101C9</stp>
        <stp>NOW US Equity</stp>
        <stp>CONTRIBUTOR_STATS(CB_IS_OTHER_NON_OPER_INC_EXPN, MEDIAN)/1M</stp>
        <stp>FPR=2021Y</stp>
        <stp>FPT=A</stp>
        <stp>FA_ACT_EST_DATA=E</stp>
        <stp>ACT_EST_MAPPING=PRECISE</stp>
        <stp>FS=MRC</stp>
        <stp>CURRENCY=USD</stp>
        <stp>XLFILL=b</stp>
        <tr r="I101" s="2"/>
      </tp>
      <tp t="s">
        <v>#N/A Requesting Data...</v>
        <stp/>
        <stp>##V3_BQLV12</stp>
        <stp>[MODL_NOW_US1.xlsx]Single Period!R200C9</stp>
        <stp>NOW US Equity</stp>
        <stp>CONTRIBUTOR_STATS(CF_DEPR_AMORT, MEDIAN)/1M</stp>
        <stp>FPR=2021Y</stp>
        <stp>FPT=A</stp>
        <stp>FA_ACT_EST_DATA=E</stp>
        <stp>ACT_EST_MAPPING=PRECISE</stp>
        <stp>FS=MRC</stp>
        <stp>CURRENCY=USD</stp>
        <stp>XLFILL=b</stp>
        <tr r="I200" s="2"/>
      </tp>
      <tp t="s">
        <v>#N/A Requesting Data...</v>
        <stp/>
        <stp>##V3_BQLV12</stp>
        <stp>[MODL_NOW_US1.xlsx]Single Period!R125C7</stp>
        <stp>NOW US Equity</stp>
        <stp>CONTRIBUTOR_STATS(OPER_INC_TO_NET_SALES, MAX)</stp>
        <stp>FPR=2021Y</stp>
        <stp>FPT=A</stp>
        <stp>FA_ACT_EST_DATA=E</stp>
        <stp>ACT_EST_MAPPING=PRECISE</stp>
        <stp>FS=MRC</stp>
        <stp>CURRENCY=USD</stp>
        <stp>XLFILL=b</stp>
        <tr r="G125" s="2"/>
      </tp>
      <tp t="s">
        <v>#N/A Requesting Data...</v>
        <stp/>
        <stp>##V3_BQLV12</stp>
        <stp>[MODL_NOW_US1.xlsx]Single Period!R7C46</stp>
        <stp>NOW US Equity</stp>
        <stp>IS_COMP_SALES/1M</stp>
        <stp>FPR=2021Y</stp>
        <stp>FPT=A</stp>
        <stp>FA_ACT_EST_DATA=E, EST_SOURCE=MZS</stp>
        <stp>ACT_EST_MAPPING=PRECISE</stp>
        <stp>FS=MRC</stp>
        <stp>CURRENCY=USD</stp>
        <stp>XLFILL=b</stp>
        <tr r="AT7" s="2"/>
      </tp>
      <tp t="s">
        <v>#N/A Requesting Data...</v>
        <stp/>
        <stp>##V3_BQLV12</stp>
        <stp>[MODL_NOW_US1.xlsx]Single Period!R125C6</stp>
        <stp>NOW US Equity</stp>
        <stp>CONTRIBUTOR_STATS(OPER_INC_TO_NET_SALES, MIN)</stp>
        <stp>FPR=2021Y</stp>
        <stp>FPT=A</stp>
        <stp>FA_ACT_EST_DATA=E</stp>
        <stp>ACT_EST_MAPPING=PRECISE</stp>
        <stp>FS=MRC</stp>
        <stp>CURRENCY=USD</stp>
        <stp>XLFILL=b</stp>
        <tr r="F125" s="2"/>
      </tp>
      <tp t="s">
        <v>#N/A Requesting Data...</v>
        <stp/>
        <stp>##V3_BQLV12</stp>
        <stp>[MODL_NOW_US1.xlsx]Single Period!R39C36</stp>
        <stp>NOW US Equity</stp>
        <stp>IS_BILLINGS/1M</stp>
        <stp>FPR=2021Y</stp>
        <stp>FPT=A</stp>
        <stp>FA_ACT_EST_DATA=E, EST_SOURCE=JEF</stp>
        <stp>ACT_EST_MAPPING=PRECISE</stp>
        <stp>FS=MRC</stp>
        <stp>CURRENCY=USD</stp>
        <stp>XLFILL=b</stp>
        <tr r="AJ39" s="2"/>
      </tp>
      <tp t="s">
        <v>#N/A Requesting Data...</v>
        <stp/>
        <stp>##V3_BQLV12</stp>
        <stp>[MODL_NOW_US1.xlsx]Single Period!R147C47</stp>
        <stp>NOW US Equity</stp>
        <stp>IS_AMORT_OF_TOT_INTANG_PRETX/1M</stp>
        <stp>FPR=2021Y</stp>
        <stp>FPT=A</stp>
        <stp>FA_ACT_EST_DATA=E, EST_SOURCE=SUM</stp>
        <stp>ACT_EST_MAPPING=PRECISE</stp>
        <stp>FS=MRC</stp>
        <stp>CURRENCY=USD</stp>
        <stp>XLFILL=b</stp>
        <tr r="AU147" s="2"/>
      </tp>
      <tp t="s">
        <v>#N/A Requesting Data...</v>
        <stp/>
        <stp>##V3_BQLV12</stp>
        <stp>[MODL_NOW_US1.xlsx]Single Period!R147C11</stp>
        <stp>NOW US Equity</stp>
        <stp>IS_AMORT_OF_TOT_INTANG_PRETX/1M</stp>
        <stp>FPR=2021Y</stp>
        <stp>FPT=A</stp>
        <stp>FA_ACT_EST_DATA=E, EST_SOURCE=JPM</stp>
        <stp>ACT_EST_MAPPING=PRECISE</stp>
        <stp>FS=MRC</stp>
        <stp>CURRENCY=USD</stp>
        <stp>XLFILL=b</stp>
        <tr r="K147" s="2"/>
      </tp>
      <tp t="s">
        <v>#N/A Requesting Data...</v>
        <stp/>
        <stp>##V3_BQLV12</stp>
        <stp>[MODL_NOW_US1.xlsx]Single Period!R120C28</stp>
        <stp>NOW US Equity</stp>
        <stp>IS_OPEX_R_AND_D_GAAP/1M</stp>
        <stp>FPR=2021Y</stp>
        <stp>FPT=A</stp>
        <stp>FA_ACT_EST_DATA=E, EST_SOURCE=EVR</stp>
        <stp>ACT_EST_MAPPING=PRECISE</stp>
        <stp>FS=MRC</stp>
        <stp>CURRENCY=USD</stp>
        <stp>XLFILL=b</stp>
        <tr r="AB120" s="2"/>
      </tp>
      <tp t="s">
        <v>#N/A Requesting Data...</v>
        <stp/>
        <stp>##V3_BQLV12</stp>
        <stp>[MODL_NOW_US1.xlsx]Single Period!R165C46</stp>
        <stp>NOW US Equity</stp>
        <stp>BS_OPER_LEA_RT_OF_USE_ASSETS/1M</stp>
        <stp>FPR=2021Y</stp>
        <stp>FPT=A</stp>
        <stp>FA_ACT_EST_DATA=E, EST_SOURCE=MZS</stp>
        <stp>ACT_EST_MAPPING=PRECISE</stp>
        <stp>FS=MRC</stp>
        <stp>CURRENCY=USD</stp>
        <stp>XLFILL=b</stp>
        <tr r="AT165" s="2"/>
      </tp>
      <tp t="s">
        <v>#N/A Requesting Data...</v>
        <stp/>
        <stp>##V3_BQLV12</stp>
        <stp>[MODL_NOW_US1.xlsx]Single Period!R24C9</stp>
        <stp>NOW US Equity</stp>
        <stp>CONTRIBUTOR_STATS(IS_ADJ_GROSS_PROFIT_AS_REPORTED, MEDIAN)/1M</stp>
        <stp>FPR=2021Y</stp>
        <stp>FPT=A</stp>
        <stp>FA_ACT_EST_DATA=E</stp>
        <stp>ACT_EST_MAPPING=PRECISE</stp>
        <stp>FS=MRC</stp>
        <stp>CURRENCY=USD</stp>
        <stp>XLFILL=b</stp>
        <tr r="I24" s="2"/>
      </tp>
      <tp t="s">
        <v>#N/A Requesting Data...</v>
        <stp/>
        <stp>##V3_BQLV12</stp>
        <stp>[MODL_NOW_US1.xlsx]Single Period!R183C36</stp>
        <stp>NOW US Equity</stp>
        <stp>BS_TOTAL_LIABILITIES/1M</stp>
        <stp>FPR=2021Y</stp>
        <stp>FPT=A</stp>
        <stp>FA_ACT_EST_DATA=E, EST_SOURCE=JEF</stp>
        <stp>ACT_EST_MAPPING=PRECISE</stp>
        <stp>FS=MRC</stp>
        <stp>CURRENCY=USD</stp>
        <stp>XLFILL=b</stp>
        <tr r="AJ183" s="2"/>
      </tp>
      <tp t="s">
        <v>#N/A Requesting Data...</v>
        <stp/>
        <stp>##V3_BQLV12</stp>
        <stp>[MODL_NOW_US1.xlsx]Single Period!R222C24</stp>
        <stp>NOW US Equity</stp>
        <stp>CF_CASH_FROM_INV_ACT/1M</stp>
        <stp>FPR=2021Y</stp>
        <stp>FPT=A</stp>
        <stp>FA_ACT_EST_DATA=E, EST_SOURCE=CWN</stp>
        <stp>ACT_EST_MAPPING=PRECISE</stp>
        <stp>FS=MRC</stp>
        <stp>CURRENCY=USD</stp>
        <stp>XLFILL=b</stp>
        <tr r="X222" s="2"/>
      </tp>
      <tp t="s">
        <v>#N/A Requesting Data...</v>
        <stp/>
        <stp>##V3_BQLV12</stp>
        <stp>[MODL_NOW_US1.xlsx]Single Period!R39C13</stp>
        <stp>NOW US Equity</stp>
        <stp>IS_BILLINGS/1M</stp>
        <stp>FPR=2021Y</stp>
        <stp>FPT=A</stp>
        <stp>FA_ACT_EST_DATA=E, EST_SOURCE=KEY</stp>
        <stp>ACT_EST_MAPPING=PRECISE</stp>
        <stp>FS=MRC</stp>
        <stp>CURRENCY=USD</stp>
        <stp>XLFILL=b</stp>
        <tr r="M39" s="2"/>
      </tp>
      <tp t="s">
        <v>#N/A Requesting Data...</v>
        <stp/>
        <stp>##V3_BQLV12</stp>
        <stp>[MODL_NOW_US1.xlsx]Single Period!R183C22</stp>
        <stp>NOW US Equity</stp>
        <stp>BS_TOTAL_LIABILITIES/1M</stp>
        <stp>FPR=2021Y</stp>
        <stp>FPT=A</stp>
        <stp>FA_ACT_EST_DATA=E, EST_SOURCE=NDH</stp>
        <stp>ACT_EST_MAPPING=PRECISE</stp>
        <stp>FS=MRC</stp>
        <stp>CURRENCY=USD</stp>
        <stp>XLFILL=b</stp>
        <tr r="V183" s="2"/>
      </tp>
      <tp t="s">
        <v>#N/A Requesting Data...</v>
        <stp/>
        <stp>##V3_BQLV12</stp>
        <stp>[MODL_NOW_US1.xlsx]Single Period!R147C15</stp>
        <stp>NOW US Equity</stp>
        <stp>IS_AMORT_OF_TOT_INTANG_PRETX/1M</stp>
        <stp>FPR=2021Y</stp>
        <stp>FPT=A</stp>
        <stp>FA_ACT_EST_DATA=E, EST_SOURCE=OPY</stp>
        <stp>ACT_EST_MAPPING=PRECISE</stp>
        <stp>FS=MRC</stp>
        <stp>CURRENCY=USD</stp>
        <stp>XLFILL=b</stp>
        <tr r="O147" s="2"/>
      </tp>
      <tp t="s">
        <v>#N/A Requesting Data...</v>
        <stp/>
        <stp>##V3_BQLV12</stp>
        <stp>[MODL_NOW_US1.xlsx]Single Period!R120C38</stp>
        <stp>NOW US Equity</stp>
        <stp>IS_OPEX_R_AND_D_GAAP/1M</stp>
        <stp>FPR=2021Y</stp>
        <stp>FPT=A</stp>
        <stp>FA_ACT_EST_DATA=E, EST_SOURCE=RWB</stp>
        <stp>ACT_EST_MAPPING=PRECISE</stp>
        <stp>FS=MRC</stp>
        <stp>CURRENCY=USD</stp>
        <stp>XLFILL=b</stp>
        <tr r="AL120" s="2"/>
      </tp>
      <tp t="s">
        <v>#N/A Requesting Data...</v>
        <stp/>
        <stp>##V3_BQLV12</stp>
        <stp>[MODL_NOW_US1.xlsx]Single Period!R132C39</stp>
        <stp>NOW US Equity</stp>
        <stp>CONT_INC_PER_SH</stp>
        <stp>FPR=2021Y</stp>
        <stp>FPT=A</stp>
        <stp>FA_ACT_EST_DATA=E, EST_SOURCE=DZB</stp>
        <stp>ACT_EST_MAPPING=PRECISE</stp>
        <stp>FS=MRC</stp>
        <stp>CURRENCY=USD</stp>
        <stp>XLFILL=b</stp>
        <tr r="AM132" s="2"/>
      </tp>
      <tp t="s">
        <v>#N/A Requesting Data...</v>
        <stp/>
        <stp>##V3_BQLV12</stp>
        <stp>[MODL_NOW_US1.xlsx]Single Period!R114C39</stp>
        <stp>SEG0000230986 Segment</stp>
        <stp>CB_IS_GROSS_MARGIN</stp>
        <stp>FPR=2021Y</stp>
        <stp>FPT=A</stp>
        <stp>FA_ACT_EST_DATA=E, EST_SOURCE=DZB</stp>
        <stp>ACT_EST_MAPPING=PRECISE</stp>
        <stp>FS=MRC</stp>
        <stp>CURRENCY=USD</stp>
        <stp>XLFILL=b</stp>
        <tr r="AM114" s="2"/>
      </tp>
      <tp t="s">
        <v>#N/A Requesting Data...</v>
        <stp/>
        <stp>##V3_BQLV12</stp>
        <stp>[MODL_NOW_US1.xlsx]Single Period!R237C26</stp>
        <stp>NOW US Equity</stp>
        <stp>FCF_PER_DIL_SHR</stp>
        <stp>FPR=2021Y</stp>
        <stp>FPT=A</stp>
        <stp>FA_ACT_EST_DATA=E, EST_SOURCE=UBS</stp>
        <stp>ACT_EST_MAPPING=PRECISE</stp>
        <stp>FS=MRC</stp>
        <stp>CURRENCY=USD</stp>
        <stp>XLFILL=b</stp>
        <tr r="Z237" s="2"/>
      </tp>
      <tp t="s">
        <v>#N/A Requesting Data...</v>
        <stp/>
        <stp>##V3_BQLV12</stp>
        <stp>[MODL_NOW_US1.xlsx]Single Period!R37C49</stp>
        <stp>NOW US Equity</stp>
        <stp>BS_REMAINING_PERFORMANCE_OBLIG/1M</stp>
        <stp>FPR=2021Y</stp>
        <stp>FPT=A</stp>
        <stp>FA_ACT_EST_DATA=E, EST_SOURCE=SCB</stp>
        <stp>ACT_EST_MAPPING=PRECISE</stp>
        <stp>FS=MRC</stp>
        <stp>CURRENCY=USD</stp>
        <stp>XLFILL=b</stp>
        <tr r="AW37" s="2"/>
      </tp>
      <tp t="s">
        <v>#N/A Requesting Data...</v>
        <stp/>
        <stp>##V3_BQLV12</stp>
        <stp>[MODL_NOW_US1.xlsx]Single Period!R37C16</stp>
        <stp>NOW US Equity</stp>
        <stp>BS_REMAINING_PERFORMANCE_OBLIG/1M</stp>
        <stp>FPR=2021Y</stp>
        <stp>FPT=A</stp>
        <stp>FA_ACT_EST_DATA=E, EST_SOURCE=BCA</stp>
        <stp>ACT_EST_MAPPING=PRECISE</stp>
        <stp>FS=MRC</stp>
        <stp>CURRENCY=USD</stp>
        <stp>XLFILL=b</stp>
        <tr r="P37" s="2"/>
      </tp>
      <tp t="s">
        <v>#N/A Requesting Data...</v>
        <stp/>
        <stp>##V3_BQLV12</stp>
        <stp>[MODL_NOW_US1.xlsx]Single Period!R90C6</stp>
        <stp>NOW US Equity</stp>
        <stp>CONTRIBUTOR_STATS(IS_ADJ_R_AND_D_AS_REPORTED, MIN)/1M</stp>
        <stp>FPR=2021Y</stp>
        <stp>FPT=A</stp>
        <stp>FA_ACT_EST_DATA=E</stp>
        <stp>ACT_EST_MAPPING=PRECISE</stp>
        <stp>FS=MRC</stp>
        <stp>CURRENCY=USD</stp>
        <stp>XLFILL=b</stp>
        <tr r="F90" s="2"/>
      </tp>
      <tp t="s">
        <v>#N/A Requesting Data...</v>
        <stp/>
        <stp>##V3_BQLV12</stp>
        <stp>[MODL_NOW_US1.xlsx]Single Period!R90C7</stp>
        <stp>NOW US Equity</stp>
        <stp>CONTRIBUTOR_STATS(IS_ADJ_R_AND_D_AS_REPORTED, MAX)/1M</stp>
        <stp>FPR=2021Y</stp>
        <stp>FPT=A</stp>
        <stp>FA_ACT_EST_DATA=E</stp>
        <stp>ACT_EST_MAPPING=PRECISE</stp>
        <stp>FS=MRC</stp>
        <stp>CURRENCY=USD</stp>
        <stp>XLFILL=b</stp>
        <tr r="G90" s="2"/>
      </tp>
      <tp t="s">
        <v>#N/A Requesting Data...</v>
        <stp/>
        <stp>##V3_BQLV12</stp>
        <stp>[MODL_NOW_US1.xlsx]Single Period!R237C25</stp>
        <stp>NOW US Equity</stp>
        <stp>FCF_PER_DIL_SHR</stp>
        <stp>FPR=2021Y</stp>
        <stp>FPT=A</stp>
        <stp>FA_ACT_EST_DATA=E, EST_SOURCE=DBG</stp>
        <stp>ACT_EST_MAPPING=PRECISE</stp>
        <stp>FS=MRC</stp>
        <stp>CURRENCY=USD</stp>
        <stp>XLFILL=b</stp>
        <tr r="Y237" s="2"/>
      </tp>
      <tp t="s">
        <v>#N/A Requesting Data...</v>
        <stp/>
        <stp>##V3_BQLV12</stp>
        <stp>[MODL_NOW_US1.xlsx]Single Period!R90C8</stp>
        <stp>NOW US Equity</stp>
        <stp>CONTRIBUTOR_STATS(IS_ADJ_R_AND_D_AS_REPORTED, STD)/1M</stp>
        <stp>FPR=2021Y</stp>
        <stp>FPT=A</stp>
        <stp>FA_ACT_EST_DATA=E</stp>
        <stp>ACT_EST_MAPPING=PRECISE</stp>
        <stp>FS=MRC</stp>
        <stp>CURRENCY=USD</stp>
        <stp>XLFILL=b</stp>
        <tr r="H90" s="2"/>
      </tp>
      <tp t="s">
        <v>#N/A Requesting Data...</v>
        <stp/>
        <stp>##V3_BQLV12</stp>
        <stp>[MODL_NOW_US1.xlsx]Single Period!R114C46</stp>
        <stp>SEG0000230986 Segment</stp>
        <stp>CB_IS_GROSS_MARGIN</stp>
        <stp>FPR=2021Y</stp>
        <stp>FPT=A</stp>
        <stp>FA_ACT_EST_DATA=E, EST_SOURCE=MZS</stp>
        <stp>ACT_EST_MAPPING=PRECISE</stp>
        <stp>FS=MRC</stp>
        <stp>CURRENCY=USD</stp>
        <stp>XLFILL=b</stp>
        <tr r="AT114" s="2"/>
      </tp>
      <tp t="s">
        <v>#N/A Requesting Data...</v>
        <stp/>
        <stp>##V3_BQLV12</stp>
        <stp>[MODL_NOW_US1.xlsx]Single Period!R237C27</stp>
        <stp>NOW US Equity</stp>
        <stp>FCF_PER_DIL_SHR</stp>
        <stp>FPR=2021Y</stp>
        <stp>FPT=A</stp>
        <stp>FA_ACT_EST_DATA=E, EST_SOURCE=RBC</stp>
        <stp>ACT_EST_MAPPING=PRECISE</stp>
        <stp>FS=MRC</stp>
        <stp>CURRENCY=USD</stp>
        <stp>XLFILL=b</stp>
        <tr r="AA237" s="2"/>
      </tp>
      <tp t="s">
        <v>#N/A Requesting Data...</v>
        <stp/>
        <stp>##V3_BQLV12</stp>
        <stp>[MODL_NOW_US1.xlsx]Single Period!R32C43</stp>
        <stp>NOW US Equity</stp>
        <stp>BS_REMAINING_PERFORMANCE_OBLIG/1M</stp>
        <stp>FPR=2021Y</stp>
        <stp>FPT=A</stp>
        <stp>FA_ACT_EST_DATA=E, EST_SOURCE=WFT</stp>
        <stp>ACT_EST_MAPPING=PRECISE</stp>
        <stp>FS=MRC</stp>
        <stp>CURRENCY=USD</stp>
        <stp>XLFILL=b</stp>
        <tr r="AQ32" s="2"/>
      </tp>
      <tp t="s">
        <v>#N/A Requesting Data...</v>
        <stp/>
        <stp>##V3_BQLV12</stp>
        <stp>[MODL_NOW_US1.xlsx]Single Period!R227C5</stp>
        <stp>NOW US Equity</stp>
        <stp>CF_NET_CSH_PROV_BY_FINANCING_ACT/1M</stp>
        <stp>FPR=2021Y</stp>
        <stp>FPT=A</stp>
        <stp>FA_ACT_EST_DATA=E</stp>
        <stp>ACT_EST_MAPPING=PRECISE</stp>
        <stp>FS=MRC</stp>
        <stp>CURRENCY=USD</stp>
        <stp>XLFILL=b</stp>
        <tr r="E227" s="2"/>
      </tp>
      <tp t="s">
        <v>#N/A Requesting Data...</v>
        <stp/>
        <stp>##V3_BQLV12</stp>
        <stp>[MODL_NOW_US1.xlsx]Single Period!R134C5</stp>
        <stp>NOW US Equity</stp>
        <stp>IS_COMP_EPS_GAAP</stp>
        <stp>FPR=2021Y</stp>
        <stp>FPT=A</stp>
        <stp>FA_ACT_EST_DATA=E</stp>
        <stp>ACT_EST_MAPPING=PRECISE</stp>
        <stp>FS=MRC</stp>
        <stp>CURRENCY=USD</stp>
        <stp>XLFILL=b</stp>
        <tr r="E134" s="2"/>
      </tp>
      <tp t="s">
        <v>#N/A Requesting Data...</v>
        <stp/>
        <stp>##V3_BQLV12</stp>
        <stp>[MODL_NOW_US1.xlsx]Single Period!R111C9</stp>
        <stp>NOW US Equity</stp>
        <stp>CONTRIBUTOR_STATS(IS_COGS_TO_FE_AND_PP_AND_G, MEDIAN)/1M</stp>
        <stp>FPR=2021Y</stp>
        <stp>FPT=A</stp>
        <stp>FA_ACT_EST_DATA=E</stp>
        <stp>ACT_EST_MAPPING=PRECISE</stp>
        <stp>FS=MRC</stp>
        <stp>CURRENCY=USD</stp>
        <stp>XLFILL=b</stp>
        <tr r="I111" s="2"/>
      </tp>
      <tp t="s">
        <v>#N/A Requesting Data...</v>
        <stp/>
        <stp>##V3_BQLV12</stp>
        <stp>[MODL_NOW_US1.xlsx]Single Period!R138C8</stp>
        <stp>NOW US Equity</stp>
        <stp>CONTRIBUTOR_STATS(SBC_NON_GAAP_TO_SALES, STD)</stp>
        <stp>FPR=2021Y</stp>
        <stp>FPT=A</stp>
        <stp>FA_ACT_EST_DATA=E</stp>
        <stp>ACT_EST_MAPPING=PRECISE</stp>
        <stp>FS=MRC</stp>
        <stp>CURRENCY=USD</stp>
        <stp>XLFILL=b</stp>
        <tr r="H138" s="2"/>
      </tp>
      <tp t="s">
        <v>#N/A Requesting Data...</v>
        <stp/>
        <stp>##V3_BQLV12</stp>
        <stp>[MODL_NOW_US1.xlsx]Single Period!R212C9</stp>
        <stp>NOW US Equity</stp>
        <stp>CONTRIBUTOR_STATS(CF_CHANGE_IN_ACCRUD_EXPNSS, MEDIAN)/1M</stp>
        <stp>FPR=2021Y</stp>
        <stp>FPT=A</stp>
        <stp>FA_ACT_EST_DATA=E</stp>
        <stp>ACT_EST_MAPPING=PRECISE</stp>
        <stp>FS=MRC</stp>
        <stp>CURRENCY=USD</stp>
        <stp>XLFILL=b</stp>
        <tr r="I212" s="2"/>
      </tp>
      <tp t="s">
        <v>#N/A Requesting Data...</v>
        <stp/>
        <stp>##V3_BQLV12</stp>
        <stp>[MODL_NOW_US1.xlsx]Single Period!R147C34</stp>
        <stp>NOW US Equity</stp>
        <stp>IS_AMORT_OF_TOT_INTANG_PRETX/1M</stp>
        <stp>FPR=2021Y</stp>
        <stp>FPT=A</stp>
        <stp>FA_ACT_EST_DATA=E, EST_SOURCE=PSG</stp>
        <stp>ACT_EST_MAPPING=PRECISE</stp>
        <stp>FS=MRC</stp>
        <stp>CURRENCY=USD</stp>
        <stp>XLFILL=b</stp>
        <tr r="AH147" s="2"/>
      </tp>
      <tp t="s">
        <v>#N/A Requesting Data...</v>
        <stp/>
        <stp>##V3_BQLV12</stp>
        <stp>[MODL_NOW_US1.xlsx]Single Period!R222C28</stp>
        <stp>NOW US Equity</stp>
        <stp>CF_CASH_FROM_INV_ACT/1M</stp>
        <stp>FPR=2021Y</stp>
        <stp>FPT=A</stp>
        <stp>FA_ACT_EST_DATA=E, EST_SOURCE=EVR</stp>
        <stp>ACT_EST_MAPPING=PRECISE</stp>
        <stp>FS=MRC</stp>
        <stp>CURRENCY=USD</stp>
        <stp>XLFILL=b</stp>
        <tr r="AB222" s="2"/>
      </tp>
      <tp t="s">
        <v>#N/A Requesting Data...</v>
        <stp/>
        <stp>##V3_BQLV12</stp>
        <stp>[MODL_NOW_US1.xlsx]Single Period!R93C45</stp>
        <stp>NOW US Equity</stp>
        <stp>G_AND_A_COST_PCT_REVENUES</stp>
        <stp>FPR=2021Y</stp>
        <stp>FPT=A</stp>
        <stp>FA_ACT_EST_DATA=E, EST_SOURCE=PJE</stp>
        <stp>ACT_EST_MAPPING=PRECISE</stp>
        <stp>FS=MRC</stp>
        <stp>CURRENCY=USD</stp>
        <stp>XLFILL=b</stp>
        <tr r="AS93" s="2"/>
      </tp>
      <tp t="s">
        <v>#N/A Requesting Data...</v>
        <stp/>
        <stp>##V3_BQLV12</stp>
        <stp>[MODL_NOW_US1.xlsx]Single Period!R199C7</stp>
        <stp>NOW US Equity</stp>
        <stp>CONTRIBUTOR_STATS(IS_COMP_NET_INCOME_GAAP, MAX)/1M</stp>
        <stp>FPR=2021Y</stp>
        <stp>FPT=A</stp>
        <stp>FA_ACT_EST_DATA=E</stp>
        <stp>ACT_EST_MAPPING=PRECISE</stp>
        <stp>FS=MRC</stp>
        <stp>CURRENCY=USD</stp>
        <stp>XLFILL=b</stp>
        <tr r="G199" s="2"/>
      </tp>
      <tp t="s">
        <v>#N/A Requesting Data...</v>
        <stp/>
        <stp>##V3_BQLV12</stp>
        <stp>[MODL_NOW_US1.xlsx]Single Period!R199C6</stp>
        <stp>NOW US Equity</stp>
        <stp>CONTRIBUTOR_STATS(IS_COMP_NET_INCOME_GAAP, MIN)/1M</stp>
        <stp>FPR=2021Y</stp>
        <stp>FPT=A</stp>
        <stp>FA_ACT_EST_DATA=E</stp>
        <stp>ACT_EST_MAPPING=PRECISE</stp>
        <stp>FS=MRC</stp>
        <stp>CURRENCY=USD</stp>
        <stp>XLFILL=b</stp>
        <tr r="F199" s="2"/>
      </tp>
      <tp t="s">
        <v>#N/A Requesting Data...</v>
        <stp/>
        <stp>##V3_BQLV12</stp>
        <stp>[MODL_NOW_US1.xlsx]Single Period!R147C42</stp>
        <stp>NOW US Equity</stp>
        <stp>IS_AMORT_OF_TOT_INTANG_PRETX/1M</stp>
        <stp>FPR=2021Y</stp>
        <stp>FPT=A</stp>
        <stp>FA_ACT_EST_DATA=E, EST_SOURCE=CTI</stp>
        <stp>ACT_EST_MAPPING=PRECISE</stp>
        <stp>FS=MRC</stp>
        <stp>CURRENCY=USD</stp>
        <stp>XLFILL=b</stp>
        <tr r="AP147" s="2"/>
      </tp>
      <tp t="s">
        <v>#N/A Requesting Data...</v>
        <stp/>
        <stp>##V3_BQLV12</stp>
        <stp>[MODL_NOW_US1.xlsx]Single Period!R39C22</stp>
        <stp>NOW US Equity</stp>
        <stp>IS_BILLINGS/1M</stp>
        <stp>FPR=2021Y</stp>
        <stp>FPT=A</stp>
        <stp>FA_ACT_EST_DATA=E, EST_SOURCE=NDH</stp>
        <stp>ACT_EST_MAPPING=PRECISE</stp>
        <stp>FS=MRC</stp>
        <stp>CURRENCY=USD</stp>
        <stp>XLFILL=b</stp>
        <tr r="V39" s="2"/>
      </tp>
      <tp t="s">
        <v>#N/A Requesting Data...</v>
        <stp/>
        <stp>##V3_BQLV12</stp>
        <stp>[MODL_NOW_US1.xlsx]Single Period!R115C17</stp>
        <stp>NOW US Equity</stp>
        <stp>GROSS_PROFIT/1M</stp>
        <stp>FPR=2021Y</stp>
        <stp>FPT=A</stp>
        <stp>FA_ACT_EST_DATA=E, EST_SOURCE=RHR</stp>
        <stp>ACT_EST_MAPPING=PRECISE</stp>
        <stp>FS=MRC</stp>
        <stp>CURRENCY=USD</stp>
        <stp>XLFILL=b</stp>
        <tr r="Q115" s="2"/>
      </tp>
      <tp t="s">
        <v>#N/A Requesting Data...</v>
        <stp/>
        <stp>##V3_BQLV12</stp>
        <stp>[MODL_NOW_US1.xlsx]Single Period!R147C31</stp>
        <stp>NOW US Equity</stp>
        <stp>IS_AMORT_OF_TOT_INTANG_PRETX/1M</stp>
        <stp>FPR=2021Y</stp>
        <stp>FPT=A</stp>
        <stp>FA_ACT_EST_DATA=E, EST_SOURCE=GSR</stp>
        <stp>ACT_EST_MAPPING=PRECISE</stp>
        <stp>FS=MRC</stp>
        <stp>CURRENCY=USD</stp>
        <stp>XLFILL=b</stp>
        <tr r="AE147" s="2"/>
      </tp>
      <tp t="s">
        <v>#N/A Requesting Data...</v>
        <stp/>
        <stp>##V3_BQLV12</stp>
        <stp>[MODL_NOW_US1.xlsx]Single Period!R222C38</stp>
        <stp>NOW US Equity</stp>
        <stp>CF_CASH_FROM_INV_ACT/1M</stp>
        <stp>FPR=2021Y</stp>
        <stp>FPT=A</stp>
        <stp>FA_ACT_EST_DATA=E, EST_SOURCE=RWB</stp>
        <stp>ACT_EST_MAPPING=PRECISE</stp>
        <stp>FS=MRC</stp>
        <stp>CURRENCY=USD</stp>
        <stp>XLFILL=b</stp>
        <tr r="AL222" s="2"/>
      </tp>
      <tp t="s">
        <v>#N/A Requesting Data...</v>
        <stp/>
        <stp>##V3_BQLV12</stp>
        <stp>[MODL_NOW_US1.xlsx]Single Period!R199C8</stp>
        <stp>NOW US Equity</stp>
        <stp>CONTRIBUTOR_STATS(IS_COMP_NET_INCOME_GAAP, STD)/1M</stp>
        <stp>FPR=2021Y</stp>
        <stp>FPT=A</stp>
        <stp>FA_ACT_EST_DATA=E</stp>
        <stp>ACT_EST_MAPPING=PRECISE</stp>
        <stp>FS=MRC</stp>
        <stp>CURRENCY=USD</stp>
        <stp>XLFILL=b</stp>
        <tr r="H199" s="2"/>
      </tp>
      <tp t="s">
        <v>#N/A Requesting Data...</v>
        <stp/>
        <stp>##V3_BQLV12</stp>
        <stp>[MODL_NOW_US1.xlsx]Single Period!R87C29</stp>
        <stp>NOW US Equity</stp>
        <stp>CB_IS_ADJUSTED_OPEX/1M</stp>
        <stp>FPR=2021Y</stp>
        <stp>FPT=A</stp>
        <stp>FA_ACT_EST_DATA=E, EST_SOURCE=BNS</stp>
        <stp>ACT_EST_MAPPING=PRECISE</stp>
        <stp>FS=MRC</stp>
        <stp>CURRENCY=USD</stp>
        <stp>XLFILL=b</stp>
        <tr r="AC87" s="2"/>
      </tp>
      <tp t="s">
        <v>#N/A Requesting Data...</v>
        <stp/>
        <stp>##V3_BQLV12</stp>
        <stp>[MODL_NOW_US1.xlsx]Single Period!R147C35</stp>
        <stp>NOW US Equity</stp>
        <stp>IS_AMORT_OF_TOT_INTANG_PRETX/1M</stp>
        <stp>FPR=2021Y</stp>
        <stp>FPT=A</stp>
        <stp>FA_ACT_EST_DATA=E, EST_SOURCE=MSR</stp>
        <stp>ACT_EST_MAPPING=PRECISE</stp>
        <stp>FS=MRC</stp>
        <stp>CURRENCY=USD</stp>
        <stp>XLFILL=b</stp>
        <tr r="AI147" s="2"/>
      </tp>
      <tp t="s">
        <v>#N/A Requesting Data...</v>
        <stp/>
        <stp>##V3_BQLV12</stp>
        <stp>[MODL_NOW_US1.xlsx]Single Period!R87C18</stp>
        <stp>NOW US Equity</stp>
        <stp>CB_IS_ADJUSTED_OPEX/1M</stp>
        <stp>FPR=2021Y</stp>
        <stp>FPT=A</stp>
        <stp>FA_ACT_EST_DATA=E, EST_SOURCE=SNR</stp>
        <stp>ACT_EST_MAPPING=PRECISE</stp>
        <stp>FS=MRC</stp>
        <stp>CURRENCY=USD</stp>
        <stp>XLFILL=b</stp>
        <tr r="R87" s="2"/>
      </tp>
      <tp t="s">
        <v>#N/A Requesting Data...</v>
        <stp/>
        <stp>##V3_BQLV12</stp>
        <stp>[MODL_NOW_US1.xlsx]Single Period!R122C23</stp>
        <stp>NOW US Equity</stp>
        <stp>IS_MERGER_AND_ACQUIS_EXPN_OP/1M</stp>
        <stp>FPR=2021Y</stp>
        <stp>FPT=A</stp>
        <stp>FA_ACT_EST_DATA=E, EST_SOURCE=ZXS</stp>
        <stp>ACT_EST_MAPPING=PRECISE</stp>
        <stp>FS=MRC</stp>
        <stp>CURRENCY=USD</stp>
        <stp>XLFILL=b</stp>
        <tr r="W122" s="2"/>
      </tp>
      <tp t="s">
        <v>#N/A Requesting Data...</v>
        <stp/>
        <stp>##V3_BQLV12</stp>
        <stp>[MODL_NOW_US1.xlsx]Single Period!R183C49</stp>
        <stp>NOW US Equity</stp>
        <stp>BS_TOTAL_LIABILITIES/1M</stp>
        <stp>FPR=2021Y</stp>
        <stp>FPT=A</stp>
        <stp>FA_ACT_EST_DATA=E, EST_SOURCE=SCB</stp>
        <stp>ACT_EST_MAPPING=PRECISE</stp>
        <stp>FS=MRC</stp>
        <stp>CURRENCY=USD</stp>
        <stp>XLFILL=b</stp>
        <tr r="AW183" s="2"/>
      </tp>
      <tp t="s">
        <v>#N/A Requesting Data...</v>
        <stp/>
        <stp>##V3_BQLV12</stp>
        <stp>[MODL_NOW_US1.xlsx]Single Period!R120C24</stp>
        <stp>NOW US Equity</stp>
        <stp>IS_OPEX_R_AND_D_GAAP/1M</stp>
        <stp>FPR=2021Y</stp>
        <stp>FPT=A</stp>
        <stp>FA_ACT_EST_DATA=E, EST_SOURCE=CWN</stp>
        <stp>ACT_EST_MAPPING=PRECISE</stp>
        <stp>FS=MRC</stp>
        <stp>CURRENCY=USD</stp>
        <stp>XLFILL=b</stp>
        <tr r="X120" s="2"/>
      </tp>
      <tp t="s">
        <v>#N/A Requesting Data...</v>
        <stp/>
        <stp>##V3_BQLV12</stp>
        <stp>[MODL_NOW_US1.xlsx]Single Period!R118C13</stp>
        <stp>NOW US Equity</stp>
        <stp>OPERATING_EXPENSES_TO_NET_SALES</stp>
        <stp>FPR=2021Y</stp>
        <stp>FPT=A</stp>
        <stp>FA_ACT_EST_DATA=E, EST_SOURCE=KEY</stp>
        <stp>ACT_EST_MAPPING=PRECISE</stp>
        <stp>FS=MRC</stp>
        <stp>CURRENCY=USD</stp>
        <stp>XLFILL=b</stp>
        <tr r="M118" s="2"/>
      </tp>
      <tp t="s">
        <v>#N/A Requesting Data...</v>
        <stp/>
        <stp>##V3_BQLV12</stp>
        <stp>[MODL_NOW_US1.xlsx]Single Period!R4C37</stp>
        <stp>NOW US Equity</stp>
        <stp>LAST(IS_COMP_SALES(FA_ACT_EST_DATA=E, EST_SOURCE=TTC).analyst_name)</stp>
        <stp>FPR=2021Y</stp>
        <stp>FPT=A</stp>
        <stp>ACT_EST_MAPPING=PRECISE</stp>
        <stp>FS=MRC</stp>
        <stp>CURRENCY=USD</stp>
        <stp>XLFILL=b</stp>
        <tr r="AK4" s="2"/>
      </tp>
      <tp t="s">
        <v>#N/A Requesting Data...</v>
        <stp/>
        <stp>##V3_BQLV12</stp>
        <stp>[MODL_NOW_US1.xlsx]Single Period!R237C21</stp>
        <stp>NOW US Equity</stp>
        <stp>FCF_PER_DIL_SHR</stp>
        <stp>FPR=2021Y</stp>
        <stp>FPT=A</stp>
        <stp>FA_ACT_EST_DATA=E, EST_SOURCE=JMP</stp>
        <stp>ACT_EST_MAPPING=PRECISE</stp>
        <stp>FS=MRC</stp>
        <stp>CURRENCY=USD</stp>
        <stp>XLFILL=b</stp>
        <tr r="U237" s="2"/>
      </tp>
      <tp t="s">
        <v>#N/A Requesting Data...</v>
        <stp/>
        <stp>##V3_BQLV12</stp>
        <stp>[MODL_NOW_US1.xlsx]Single Period!R132C48</stp>
        <stp>NOW US Equity</stp>
        <stp>CONT_INC_PER_SH</stp>
        <stp>FPR=2021Y</stp>
        <stp>FPT=A</stp>
        <stp>FA_ACT_EST_DATA=E, EST_SOURCE=CRC</stp>
        <stp>ACT_EST_MAPPING=PRECISE</stp>
        <stp>FS=MRC</stp>
        <stp>CURRENCY=USD</stp>
        <stp>XLFILL=b</stp>
        <tr r="AV132" s="2"/>
      </tp>
      <tp t="s">
        <v>#N/A Requesting Data...</v>
        <stp/>
        <stp>##V3_BQLV12</stp>
        <stp>[MODL_NOW_US1.xlsx]Single Period!R237C18</stp>
        <stp>NOW US Equity</stp>
        <stp>FCF_PER_DIL_SHR</stp>
        <stp>FPR=2021Y</stp>
        <stp>FPT=A</stp>
        <stp>FA_ACT_EST_DATA=E, EST_SOURCE=SNR</stp>
        <stp>ACT_EST_MAPPING=PRECISE</stp>
        <stp>FS=MRC</stp>
        <stp>CURRENCY=USD</stp>
        <stp>XLFILL=b</stp>
        <tr r="R237" s="2"/>
      </tp>
      <tp t="s">
        <v>#N/A Requesting Data...</v>
        <stp/>
        <stp>##V3_BQLV12</stp>
        <stp>[MODL_NOW_US1.xlsx]Single Period!R132C41</stp>
        <stp>NOW US Equity</stp>
        <stp>CONT_INC_PER_SH</stp>
        <stp>FPR=2021Y</stp>
        <stp>FPT=A</stp>
        <stp>FA_ACT_EST_DATA=E, EST_SOURCE=ARG</stp>
        <stp>ACT_EST_MAPPING=PRECISE</stp>
        <stp>FS=MRC</stp>
        <stp>CURRENCY=USD</stp>
        <stp>XLFILL=b</stp>
        <tr r="AO132" s="2"/>
      </tp>
      <tp t="s">
        <v>#N/A Requesting Data...</v>
        <stp/>
        <stp>##V3_BQLV12</stp>
        <stp>[MODL_NOW_US1.xlsx]Single Period!R114C47</stp>
        <stp>SEG0000230986 Segment</stp>
        <stp>CB_IS_GROSS_MARGIN</stp>
        <stp>FPR=2021Y</stp>
        <stp>FPT=A</stp>
        <stp>FA_ACT_EST_DATA=E, EST_SOURCE=SUM</stp>
        <stp>ACT_EST_MAPPING=PRECISE</stp>
        <stp>FS=MRC</stp>
        <stp>CURRENCY=USD</stp>
        <stp>XLFILL=b</stp>
        <tr r="AU114" s="2"/>
      </tp>
      <tp t="s">
        <v>#N/A Requesting Data...</v>
        <stp/>
        <stp>##V3_BQLV12</stp>
        <stp>[MODL_NOW_US1.xlsx]Single Period!R132C44</stp>
        <stp>NOW US Equity</stp>
        <stp>CONT_INC_PER_SH</stp>
        <stp>FPR=2021Y</stp>
        <stp>FPT=A</stp>
        <stp>FA_ACT_EST_DATA=E, EST_SOURCE=ARE</stp>
        <stp>ACT_EST_MAPPING=PRECISE</stp>
        <stp>FS=MRC</stp>
        <stp>CURRENCY=USD</stp>
        <stp>XLFILL=b</stp>
        <tr r="AR132" s="2"/>
      </tp>
      <tp t="s">
        <v>#N/A Requesting Data...</v>
        <stp/>
        <stp>##V3_BQLV12</stp>
        <stp>[MODL_NOW_US1.xlsx]Single Period!R51C28</stp>
        <stp>NOW US Equity</stp>
        <stp>ACCOUNTS_PAYABLE_TURNOVER_DAYS</stp>
        <stp>FPR=2021Y</stp>
        <stp>FPT=A</stp>
        <stp>FA_ACT_EST_DATA=E, EST_SOURCE=EVR</stp>
        <stp>ACT_EST_MAPPING=PRECISE</stp>
        <stp>FS=MRC</stp>
        <stp>CURRENCY=USD</stp>
        <stp>XLFILL=b</stp>
        <tr r="AB51" s="2"/>
      </tp>
      <tp t="s">
        <v>#N/A Requesting Data...</v>
        <stp/>
        <stp>##V3_BQLV12</stp>
        <stp>[MODL_NOW_US1.xlsx]Single Period!R28C9</stp>
        <stp>NOW US Equity</stp>
        <stp>CONTRIBUTOR_STATS(ADJ_OPERATING_MARGIN, MEDIAN)</stp>
        <stp>FPR=2021Y</stp>
        <stp>FPT=A</stp>
        <stp>FA_ACT_EST_DATA=E</stp>
        <stp>ACT_EST_MAPPING=PRECISE</stp>
        <stp>FS=MRC</stp>
        <stp>CURRENCY=USD</stp>
        <stp>XLFILL=b</stp>
        <tr r="I28" s="2"/>
      </tp>
      <tp t="s">
        <v>#N/A Requesting Data...</v>
        <stp/>
        <stp>##V3_BQLV12</stp>
        <stp>[MODL_NOW_US1.xlsx]Single Period!R96C9</stp>
        <stp>NOW US Equity</stp>
        <stp>CONTRIBUTOR_STATS(ADJ_OPERATING_MARGIN, MEDIAN)</stp>
        <stp>FPR=2021Y</stp>
        <stp>FPT=A</stp>
        <stp>FA_ACT_EST_DATA=E</stp>
        <stp>ACT_EST_MAPPING=PRECISE</stp>
        <stp>FS=MRC</stp>
        <stp>CURRENCY=USD</stp>
        <stp>XLFILL=b</stp>
        <tr r="I96" s="2"/>
      </tp>
      <tp t="s">
        <v>#N/A Requesting Data...</v>
        <stp/>
        <stp>##V3_BQLV12</stp>
        <stp>[MODL_NOW_US1.xlsx]Single Period!R231C6</stp>
        <stp>NOW US Equity</stp>
        <stp>CONTRIBUTOR_STATS(CF_NET_CHNG_CASH, MIN)/1M</stp>
        <stp>FPR=2021Y</stp>
        <stp>FPT=A</stp>
        <stp>FA_ACT_EST_DATA=E</stp>
        <stp>ACT_EST_MAPPING=PRECISE</stp>
        <stp>FS=MRC</stp>
        <stp>CURRENCY=USD</stp>
        <stp>XLFILL=b</stp>
        <tr r="F231" s="2"/>
      </tp>
      <tp t="s">
        <v>#N/A Requesting Data...</v>
        <stp/>
        <stp>##V3_BQLV12</stp>
        <stp>[MODL_NOW_US1.xlsx]Single Period!R166C7</stp>
        <stp>NOW US Equity</stp>
        <stp>CONTRIBUTOR_STATS(BS_OTHER_INTANGIBLE_ASSETS, MAX)/1M</stp>
        <stp>FPR=2021Y</stp>
        <stp>FPT=A</stp>
        <stp>FA_ACT_EST_DATA=E</stp>
        <stp>ACT_EST_MAPPING=PRECISE</stp>
        <stp>FS=MRC</stp>
        <stp>CURRENCY=USD</stp>
        <stp>XLFILL=b</stp>
        <tr r="G166" s="2"/>
      </tp>
      <tp t="s">
        <v>#N/A Requesting Data...</v>
        <stp/>
        <stp>##V3_BQLV12</stp>
        <stp>[MODL_NOW_US1.xlsx]Single Period!R166C6</stp>
        <stp>NOW US Equity</stp>
        <stp>CONTRIBUTOR_STATS(BS_OTHER_INTANGIBLE_ASSETS, MIN)/1M</stp>
        <stp>FPR=2021Y</stp>
        <stp>FPT=A</stp>
        <stp>FA_ACT_EST_DATA=E</stp>
        <stp>ACT_EST_MAPPING=PRECISE</stp>
        <stp>FS=MRC</stp>
        <stp>CURRENCY=USD</stp>
        <stp>XLFILL=b</stp>
        <tr r="F166" s="2"/>
      </tp>
      <tp t="s">
        <v>#N/A Requesting Data...</v>
        <stp/>
        <stp>##V3_BQLV12</stp>
        <stp>[MODL_NOW_US1.xlsx]Single Period!R231C7</stp>
        <stp>NOW US Equity</stp>
        <stp>CONTRIBUTOR_STATS(CF_NET_CHNG_CASH, MAX)/1M</stp>
        <stp>FPR=2021Y</stp>
        <stp>FPT=A</stp>
        <stp>FA_ACT_EST_DATA=E</stp>
        <stp>ACT_EST_MAPPING=PRECISE</stp>
        <stp>FS=MRC</stp>
        <stp>CURRENCY=USD</stp>
        <stp>XLFILL=b</stp>
        <tr r="G231" s="2"/>
      </tp>
      <tp t="s">
        <v>#N/A Requesting Data...</v>
        <stp/>
        <stp>##V3_BQLV12</stp>
        <stp>[MODL_NOW_US1.xlsx]Single Period!R157C7</stp>
        <stp>NOW US Equity</stp>
        <stp>CONTRIBUTOR_STATS(BS_MKT_SEC_OTHER_ST_INVEST, MAX)/1M</stp>
        <stp>FPR=2021Y</stp>
        <stp>FPT=A</stp>
        <stp>FA_ACT_EST_DATA=E</stp>
        <stp>ACT_EST_MAPPING=PRECISE</stp>
        <stp>FS=MRC</stp>
        <stp>CURRENCY=USD</stp>
        <stp>XLFILL=b</stp>
        <tr r="G157" s="2"/>
      </tp>
      <tp t="s">
        <v>#N/A Requesting Data...</v>
        <stp/>
        <stp>##V3_BQLV12</stp>
        <stp>[MODL_NOW_US1.xlsx]Single Period!R157C6</stp>
        <stp>NOW US Equity</stp>
        <stp>CONTRIBUTOR_STATS(BS_MKT_SEC_OTHER_ST_INVEST, MIN)/1M</stp>
        <stp>FPR=2021Y</stp>
        <stp>FPT=A</stp>
        <stp>FA_ACT_EST_DATA=E</stp>
        <stp>ACT_EST_MAPPING=PRECISE</stp>
        <stp>FS=MRC</stp>
        <stp>CURRENCY=USD</stp>
        <stp>XLFILL=b</stp>
        <tr r="F157" s="2"/>
      </tp>
      <tp t="s">
        <v>#N/A Requesting Data...</v>
        <stp/>
        <stp>##V3_BQLV12</stp>
        <stp>[MODL_NOW_US1.xlsx]Single Period!R157C8</stp>
        <stp>NOW US Equity</stp>
        <stp>CONTRIBUTOR_STATS(BS_MKT_SEC_OTHER_ST_INVEST, STD)/1M</stp>
        <stp>FPR=2021Y</stp>
        <stp>FPT=A</stp>
        <stp>FA_ACT_EST_DATA=E</stp>
        <stp>ACT_EST_MAPPING=PRECISE</stp>
        <stp>FS=MRC</stp>
        <stp>CURRENCY=USD</stp>
        <stp>XLFILL=b</stp>
        <tr r="H157" s="2"/>
      </tp>
      <tp t="s">
        <v>#N/A Requesting Data...</v>
        <stp/>
        <stp>##V3_BQLV12</stp>
        <stp>[MODL_NOW_US1.xlsx]Single Period!R58C5</stp>
        <stp>SEG0000230975 Segment</stp>
        <stp>SALES_REV_TURN/1M</stp>
        <stp>FPR=2021Y</stp>
        <stp>FPT=A</stp>
        <stp>FA_ACT_EST_DATA=E</stp>
        <stp>ACT_EST_MAPPING=PRECISE</stp>
        <stp>FS=MRC</stp>
        <stp>CURRENCY=USD</stp>
        <stp>XLFILL=b</stp>
        <tr r="E58" s="2"/>
      </tp>
      <tp t="s">
        <v>#N/A Requesting Data...</v>
        <stp/>
        <stp>##V3_BQLV12</stp>
        <stp>[MODL_NOW_US1.xlsx]Single Period!R166C8</stp>
        <stp>NOW US Equity</stp>
        <stp>CONTRIBUTOR_STATS(BS_OTHER_INTANGIBLE_ASSETS, STD)/1M</stp>
        <stp>FPR=2021Y</stp>
        <stp>FPT=A</stp>
        <stp>FA_ACT_EST_DATA=E</stp>
        <stp>ACT_EST_MAPPING=PRECISE</stp>
        <stp>FS=MRC</stp>
        <stp>CURRENCY=USD</stp>
        <stp>XLFILL=b</stp>
        <tr r="H166" s="2"/>
      </tp>
      <tp t="s">
        <v>#N/A Requesting Data...</v>
        <stp/>
        <stp>##V3_BQLV12</stp>
        <stp>[MODL_NOW_US1.xlsx]Single Period!R209C6</stp>
        <stp>NOW US Equity</stp>
        <stp>CONTRIBUTOR_STATS(CF_CHANGE_IN_ACCOUNTS_PAYABLE, MIN)/1M</stp>
        <stp>FPR=2021Y</stp>
        <stp>FPT=A</stp>
        <stp>FA_ACT_EST_DATA=E</stp>
        <stp>ACT_EST_MAPPING=PRECISE</stp>
        <stp>FS=MRC</stp>
        <stp>CURRENCY=USD</stp>
        <stp>XLFILL=b</stp>
        <tr r="F209" s="2"/>
      </tp>
      <tp t="s">
        <v>#N/A Requesting Data...</v>
        <stp/>
        <stp>##V3_BQLV12</stp>
        <stp>[MODL_NOW_US1.xlsx]Single Period!R231C8</stp>
        <stp>NOW US Equity</stp>
        <stp>CONTRIBUTOR_STATS(CF_NET_CHNG_CASH, STD)/1M</stp>
        <stp>FPR=2021Y</stp>
        <stp>FPT=A</stp>
        <stp>FA_ACT_EST_DATA=E</stp>
        <stp>ACT_EST_MAPPING=PRECISE</stp>
        <stp>FS=MRC</stp>
        <stp>CURRENCY=USD</stp>
        <stp>XLFILL=b</stp>
        <tr r="H231" s="2"/>
      </tp>
      <tp t="s">
        <v>#N/A Requesting Data...</v>
        <stp/>
        <stp>##V3_BQLV12</stp>
        <stp>[MODL_NOW_US1.xlsx]Single Period!R169C6</stp>
        <stp>NOW US Equity</stp>
        <stp>CONTRIBUTOR_STATS(CB_BS_OTHER_NONCURRENT_ASSETS, MIN)/1M</stp>
        <stp>FPR=2021Y</stp>
        <stp>FPT=A</stp>
        <stp>FA_ACT_EST_DATA=E</stp>
        <stp>ACT_EST_MAPPING=PRECISE</stp>
        <stp>FS=MRC</stp>
        <stp>CURRENCY=USD</stp>
        <stp>XLFILL=b</stp>
        <tr r="F169" s="2"/>
      </tp>
      <tp t="s">
        <v>#N/A Requesting Data...</v>
        <stp/>
        <stp>##V3_BQLV12</stp>
        <stp>[MODL_NOW_US1.xlsx]Single Period!R7C47</stp>
        <stp>NOW US Equity</stp>
        <stp>IS_COMP_SALES/1M</stp>
        <stp>FPR=2021Y</stp>
        <stp>FPT=A</stp>
        <stp>FA_ACT_EST_DATA=E, EST_SOURCE=SUM</stp>
        <stp>ACT_EST_MAPPING=PRECISE</stp>
        <stp>FS=MRC</stp>
        <stp>CURRENCY=USD</stp>
        <stp>XLFILL=b</stp>
        <tr r="AU7" s="2"/>
      </tp>
      <tp t="s">
        <v>#N/A Requesting Data...</v>
        <stp/>
        <stp>##V3_BQLV12</stp>
        <stp>[MODL_NOW_US1.xlsx]Single Period!R144C9</stp>
        <stp>NOW US Equity</stp>
        <stp>CONTRIBUTOR_STATS(IS_SBC_ATT_TO_GENL_AND_ADMIN_PRETX, MEDIAN)/1M</stp>
        <stp>FPR=2021Y</stp>
        <stp>FPT=A</stp>
        <stp>FA_ACT_EST_DATA=E</stp>
        <stp>ACT_EST_MAPPING=PRECISE</stp>
        <stp>FS=MRC</stp>
        <stp>CURRENCY=USD</stp>
        <stp>XLFILL=b</stp>
        <tr r="I144" s="2"/>
      </tp>
      <tp t="s">
        <v>#N/A Requesting Data...</v>
        <stp/>
        <stp>##V3_BQLV12</stp>
        <stp>[MODL_NOW_US1.xlsx]Single Period!R7C31</stp>
        <stp>NOW US Equity</stp>
        <stp>IS_COMP_SALES/1M</stp>
        <stp>FPR=2021Y</stp>
        <stp>FPT=A</stp>
        <stp>FA_ACT_EST_DATA=E, EST_SOURCE=GSR</stp>
        <stp>ACT_EST_MAPPING=PRECISE</stp>
        <stp>FS=MRC</stp>
        <stp>CURRENCY=USD</stp>
        <stp>XLFILL=b</stp>
        <tr r="AE7" s="2"/>
      </tp>
      <tp t="s">
        <v>#N/A Requesting Data...</v>
        <stp/>
        <stp>##V3_BQLV12</stp>
        <stp>[MODL_NOW_US1.xlsx]Single Period!R217C8</stp>
        <stp>NOW US Equity</stp>
        <stp>CONTRIBUTOR_STATS(CAP_EXPEND_TO_SALES, STD)</stp>
        <stp>FPR=2021Y</stp>
        <stp>FPT=A</stp>
        <stp>FA_ACT_EST_DATA=E</stp>
        <stp>ACT_EST_MAPPING=PRECISE</stp>
        <stp>FS=MRC</stp>
        <stp>CURRENCY=USD</stp>
        <stp>XLFILL=b</stp>
        <tr r="H217" s="2"/>
      </tp>
      <tp t="s">
        <v>#N/A Requesting Data...</v>
        <stp/>
        <stp>##V3_BQLV12</stp>
        <stp>[MODL_NOW_US1.xlsx]Single Period!R87C33</stp>
        <stp>NOW US Equity</stp>
        <stp>CB_IS_ADJUSTED_OPEX/1M</stp>
        <stp>FPR=2021Y</stp>
        <stp>FPT=A</stp>
        <stp>FA_ACT_EST_DATA=E, EST_SOURCE=MAC</stp>
        <stp>ACT_EST_MAPPING=PRECISE</stp>
        <stp>FS=MRC</stp>
        <stp>CURRENCY=USD</stp>
        <stp>XLFILL=b</stp>
        <tr r="AG87" s="2"/>
      </tp>
      <tp t="s">
        <v>#N/A Requesting Data...</v>
        <stp/>
        <stp>##V3_BQLV12</stp>
        <stp>[MODL_NOW_US1.xlsx]Single Period!R93C36</stp>
        <stp>NOW US Equity</stp>
        <stp>G_AND_A_COST_PCT_REVENUES</stp>
        <stp>FPR=2021Y</stp>
        <stp>FPT=A</stp>
        <stp>FA_ACT_EST_DATA=E, EST_SOURCE=JEF</stp>
        <stp>ACT_EST_MAPPING=PRECISE</stp>
        <stp>FS=MRC</stp>
        <stp>CURRENCY=USD</stp>
        <stp>XLFILL=b</stp>
        <tr r="AJ93" s="2"/>
      </tp>
      <tp t="s">
        <v>#N/A Requesting Data...</v>
        <stp/>
        <stp>##V3_BQLV12</stp>
        <stp>[MODL_NOW_US1.xlsx]Single Period!R120C23</stp>
        <stp>NOW US Equity</stp>
        <stp>IS_OPEX_R_AND_D_GAAP/1M</stp>
        <stp>FPR=2021Y</stp>
        <stp>FPT=A</stp>
        <stp>FA_ACT_EST_DATA=E, EST_SOURCE=ZXS</stp>
        <stp>ACT_EST_MAPPING=PRECISE</stp>
        <stp>FS=MRC</stp>
        <stp>CURRENCY=USD</stp>
        <stp>XLFILL=b</stp>
        <tr r="W120" s="2"/>
      </tp>
      <tp t="s">
        <v>#N/A Requesting Data...</v>
        <stp/>
        <stp>##V3_BQLV12</stp>
        <stp>[MODL_NOW_US1.xlsx]Single Period!R115C36</stp>
        <stp>NOW US Equity</stp>
        <stp>GROSS_PROFIT/1M</stp>
        <stp>FPR=2021Y</stp>
        <stp>FPT=A</stp>
        <stp>FA_ACT_EST_DATA=E, EST_SOURCE=JEF</stp>
        <stp>ACT_EST_MAPPING=PRECISE</stp>
        <stp>FS=MRC</stp>
        <stp>CURRENCY=USD</stp>
        <stp>XLFILL=b</stp>
        <tr r="AJ115" s="2"/>
      </tp>
      <tp t="s">
        <v>#N/A Requesting Data...</v>
        <stp/>
        <stp>##V3_BQLV12</stp>
        <stp>[MODL_NOW_US1.xlsx]Single Period!R190C13</stp>
        <stp>NOW US Equity</stp>
        <stp>DEFERRED_REV/1M</stp>
        <stp>FPR=2021Y</stp>
        <stp>FPT=A</stp>
        <stp>FA_ACT_EST_DATA=E, EST_SOURCE=KEY</stp>
        <stp>ACT_EST_MAPPING=PRECISE</stp>
        <stp>FS=MRC</stp>
        <stp>CURRENCY=USD</stp>
        <stp>XLFILL=b</stp>
        <tr r="M190" s="2"/>
      </tp>
      <tp t="s">
        <v>#N/A Requesting Data...</v>
        <stp/>
        <stp>##V3_BQLV12</stp>
        <stp>[MODL_NOW_US1.xlsx]Single Period!R165C34</stp>
        <stp>NOW US Equity</stp>
        <stp>BS_OPER_LEA_RT_OF_USE_ASSETS/1M</stp>
        <stp>FPR=2021Y</stp>
        <stp>FPT=A</stp>
        <stp>FA_ACT_EST_DATA=E, EST_SOURCE=PSG</stp>
        <stp>ACT_EST_MAPPING=PRECISE</stp>
        <stp>FS=MRC</stp>
        <stp>CURRENCY=USD</stp>
        <stp>XLFILL=b</stp>
        <tr r="AH165" s="2"/>
      </tp>
      <tp t="s">
        <v>#N/A Requesting Data...</v>
        <stp/>
        <stp>##V3_BQLV12</stp>
        <stp>[MODL_NOW_US1.xlsx]Single Period!R87C20</stp>
        <stp>NOW US Equity</stp>
        <stp>CB_IS_ADJUSTED_OPEX/1M</stp>
        <stp>FPR=2021Y</stp>
        <stp>FPT=A</stp>
        <stp>FA_ACT_EST_DATA=E, EST_SOURCE=CAN</stp>
        <stp>ACT_EST_MAPPING=PRECISE</stp>
        <stp>FS=MRC</stp>
        <stp>CURRENCY=USD</stp>
        <stp>XLFILL=b</stp>
        <tr r="T87" s="2"/>
      </tp>
      <tp t="s">
        <v>#N/A Requesting Data...</v>
        <stp/>
        <stp>##V3_BQLV12</stp>
        <stp>[MODL_NOW_US1.xlsx]Single Period!R87C30</stp>
        <stp>NOW US Equity</stp>
        <stp>CB_IS_ADJUSTED_OPEX/1M</stp>
        <stp>FPR=2021Y</stp>
        <stp>FPT=A</stp>
        <stp>FA_ACT_EST_DATA=E, EST_SOURCE=BAM</stp>
        <stp>ACT_EST_MAPPING=PRECISE</stp>
        <stp>FS=MRC</stp>
        <stp>CURRENCY=USD</stp>
        <stp>XLFILL=b</stp>
        <tr r="AD87" s="2"/>
      </tp>
      <tp t="s">
        <v>#N/A Requesting Data...</v>
        <stp/>
        <stp>##V3_BQLV12</stp>
        <stp>[MODL_NOW_US1.xlsx]Single Period!R122C24</stp>
        <stp>NOW US Equity</stp>
        <stp>IS_MERGER_AND_ACQUIS_EXPN_OP/1M</stp>
        <stp>FPR=2021Y</stp>
        <stp>FPT=A</stp>
        <stp>FA_ACT_EST_DATA=E, EST_SOURCE=CWN</stp>
        <stp>ACT_EST_MAPPING=PRECISE</stp>
        <stp>FS=MRC</stp>
        <stp>CURRENCY=USD</stp>
        <stp>XLFILL=b</stp>
        <tr r="X122" s="2"/>
      </tp>
      <tp t="s">
        <v>#N/A Requesting Data...</v>
        <stp/>
        <stp>##V3_BQLV12</stp>
        <stp>[MODL_NOW_US1.xlsx]Single Period!R165C42</stp>
        <stp>NOW US Equity</stp>
        <stp>BS_OPER_LEA_RT_OF_USE_ASSETS/1M</stp>
        <stp>FPR=2021Y</stp>
        <stp>FPT=A</stp>
        <stp>FA_ACT_EST_DATA=E, EST_SOURCE=CTI</stp>
        <stp>ACT_EST_MAPPING=PRECISE</stp>
        <stp>FS=MRC</stp>
        <stp>CURRENCY=USD</stp>
        <stp>XLFILL=b</stp>
        <tr r="AP165" s="2"/>
      </tp>
      <tp t="s">
        <v>#N/A Requesting Data...</v>
        <stp/>
        <stp>##V3_BQLV12</stp>
        <stp>[MODL_NOW_US1.xlsx]Single Period!R115C22</stp>
        <stp>NOW US Equity</stp>
        <stp>GROSS_PROFIT/1M</stp>
        <stp>FPR=2021Y</stp>
        <stp>FPT=A</stp>
        <stp>FA_ACT_EST_DATA=E, EST_SOURCE=NDH</stp>
        <stp>ACT_EST_MAPPING=PRECISE</stp>
        <stp>FS=MRC</stp>
        <stp>CURRENCY=USD</stp>
        <stp>XLFILL=b</stp>
        <tr r="V115" s="2"/>
      </tp>
      <tp t="s">
        <v>#N/A Requesting Data...</v>
        <stp/>
        <stp>##V3_BQLV12</stp>
        <stp>[MODL_NOW_US1.xlsx]Single Period!R53C7</stp>
        <stp>NOW US Equity</stp>
        <stp>CONTRIBUTOR_STATS(ANNUALIZED_DAYS_SALES_OUTSTDG, MAX)</stp>
        <stp>FPR=2021Y</stp>
        <stp>FPT=A</stp>
        <stp>FA_ACT_EST_DATA=E</stp>
        <stp>ACT_EST_MAPPING=PRECISE</stp>
        <stp>FS=MRC</stp>
        <stp>CURRENCY=USD</stp>
        <stp>XLFILL=b</stp>
        <tr r="G53" s="2"/>
      </tp>
      <tp t="s">
        <v>#N/A Requesting Data...</v>
        <stp/>
        <stp>##V3_BQLV12</stp>
        <stp>[MODL_NOW_US1.xlsx]Single Period!R165C35</stp>
        <stp>NOW US Equity</stp>
        <stp>BS_OPER_LEA_RT_OF_USE_ASSETS/1M</stp>
        <stp>FPR=2021Y</stp>
        <stp>FPT=A</stp>
        <stp>FA_ACT_EST_DATA=E, EST_SOURCE=MSR</stp>
        <stp>ACT_EST_MAPPING=PRECISE</stp>
        <stp>FS=MRC</stp>
        <stp>CURRENCY=USD</stp>
        <stp>XLFILL=b</stp>
        <tr r="AI165" s="2"/>
      </tp>
      <tp t="s">
        <v>#N/A Requesting Data...</v>
        <stp/>
        <stp>##V3_BQLV12</stp>
        <stp>[MODL_NOW_US1.xlsx]Single Period!R50C8</stp>
        <stp>NOW US Equity</stp>
        <stp>CONTRIBUTOR_STATS(NUM_CSTMR_CNTRCT_OVER_1_MILLN, STD)</stp>
        <stp>FPR=2021Y</stp>
        <stp>FPT=A</stp>
        <stp>FA_ACT_EST_DATA=E</stp>
        <stp>ACT_EST_MAPPING=PRECISE</stp>
        <stp>FS=MRC</stp>
        <stp>CURRENCY=USD</stp>
        <stp>XLFILL=b</stp>
        <tr r="H50" s="2"/>
      </tp>
      <tp t="s">
        <v>#N/A Requesting Data...</v>
        <stp/>
        <stp>##V3_BQLV12</stp>
        <stp>[MODL_NOW_US1.xlsx]Single Period!R185C19</stp>
        <stp>NOW US Equity</stp>
        <stp>BS_TOT_ASSET/1M</stp>
        <stp>FPR=2021Y</stp>
        <stp>FPT=A</stp>
        <stp>FA_ACT_EST_DATA=E, EST_SOURCE=MSV</stp>
        <stp>ACT_EST_MAPPING=PRECISE</stp>
        <stp>FS=MRC</stp>
        <stp>CURRENCY=USD</stp>
        <stp>XLFILL=b</stp>
        <tr r="S185" s="2"/>
      </tp>
      <tp t="s">
        <v>#N/A Requesting Data...</v>
        <stp/>
        <stp>##V3_BQLV12</stp>
        <stp>[MODL_NOW_US1.xlsx]Single Period!R165C31</stp>
        <stp>NOW US Equity</stp>
        <stp>BS_OPER_LEA_RT_OF_USE_ASSETS/1M</stp>
        <stp>FPR=2021Y</stp>
        <stp>FPT=A</stp>
        <stp>FA_ACT_EST_DATA=E, EST_SOURCE=GSR</stp>
        <stp>ACT_EST_MAPPING=PRECISE</stp>
        <stp>FS=MRC</stp>
        <stp>CURRENCY=USD</stp>
        <stp>XLFILL=b</stp>
        <tr r="AE165" s="2"/>
      </tp>
      <tp t="s">
        <v>#N/A Requesting Data...</v>
        <stp/>
        <stp>##V3_BQLV12</stp>
        <stp>[MODL_NOW_US1.xlsx]Single Period!R53C6</stp>
        <stp>NOW US Equity</stp>
        <stp>CONTRIBUTOR_STATS(ANNUALIZED_DAYS_SALES_OUTSTDG, MIN)</stp>
        <stp>FPR=2021Y</stp>
        <stp>FPT=A</stp>
        <stp>FA_ACT_EST_DATA=E</stp>
        <stp>ACT_EST_MAPPING=PRECISE</stp>
        <stp>FS=MRC</stp>
        <stp>CURRENCY=USD</stp>
        <stp>XLFILL=b</stp>
        <tr r="F53" s="2"/>
      </tp>
      <tp t="s">
        <v>#N/A Requesting Data...</v>
        <stp/>
        <stp>##V3_BQLV12</stp>
        <stp>[MODL_NOW_US1.xlsx]Single Period!R170C19</stp>
        <stp>NOW US Equity</stp>
        <stp>BS_TOT_ASSET/1M</stp>
        <stp>FPR=2021Y</stp>
        <stp>FPT=A</stp>
        <stp>FA_ACT_EST_DATA=E, EST_SOURCE=MSV</stp>
        <stp>ACT_EST_MAPPING=PRECISE</stp>
        <stp>FS=MRC</stp>
        <stp>CURRENCY=USD</stp>
        <stp>XLFILL=b</stp>
        <tr r="S170" s="2"/>
      </tp>
      <tp t="s">
        <v>#N/A Requesting Data...</v>
        <stp/>
        <stp>##V3_BQLV12</stp>
        <stp>[MODL_NOW_US1.xlsx]Single Period!R93C13</stp>
        <stp>NOW US Equity</stp>
        <stp>G_AND_A_COST_PCT_REVENUES</stp>
        <stp>FPR=2021Y</stp>
        <stp>FPT=A</stp>
        <stp>FA_ACT_EST_DATA=E, EST_SOURCE=KEY</stp>
        <stp>ACT_EST_MAPPING=PRECISE</stp>
        <stp>FS=MRC</stp>
        <stp>CURRENCY=USD</stp>
        <stp>XLFILL=b</stp>
        <tr r="M93" s="2"/>
      </tp>
      <tp t="s">
        <v>#N/A Requesting Data...</v>
        <stp/>
        <stp>##V3_BQLV12</stp>
        <stp>[MODL_NOW_US1.xlsx]Single Period!R51C38</stp>
        <stp>NOW US Equity</stp>
        <stp>ACCOUNTS_PAYABLE_TURNOVER_DAYS</stp>
        <stp>FPR=2021Y</stp>
        <stp>FPT=A</stp>
        <stp>FA_ACT_EST_DATA=E, EST_SOURCE=RWB</stp>
        <stp>ACT_EST_MAPPING=PRECISE</stp>
        <stp>FS=MRC</stp>
        <stp>CURRENCY=USD</stp>
        <stp>XLFILL=b</stp>
        <tr r="AL51" s="2"/>
      </tp>
      <tp t="s">
        <v>#N/A Requesting Data...</v>
        <stp/>
        <stp>##V3_BQLV12</stp>
        <stp>[MODL_NOW_US1.xlsx]Single Period!R174C10</stp>
        <stp>NOW US Equity</stp>
        <stp>BS_ACCT_PAYABLE/1M</stp>
        <stp>FPR=2021Y</stp>
        <stp>FPT=A</stp>
        <stp>FA_ACT_EST_DATA=E, EST_SOURCE=CMPY</stp>
        <stp>ACT_EST_MAPPING=PRECISE</stp>
        <stp>FS=MRC</stp>
        <stp>CURRENCY=USD</stp>
        <stp>XLFILL=b</stp>
        <tr r="J174" s="2"/>
      </tp>
      <tp t="s">
        <v>#N/A Requesting Data...</v>
        <stp/>
        <stp>##V3_BQLV12</stp>
        <stp>[MODL_NOW_US1.xlsx]Single Period!R114C37</stp>
        <stp>SEG0000230986 Segment</stp>
        <stp>CB_IS_GROSS_MARGIN</stp>
        <stp>FPR=2021Y</stp>
        <stp>FPT=A</stp>
        <stp>FA_ACT_EST_DATA=E, EST_SOURCE=TTC</stp>
        <stp>ACT_EST_MAPPING=PRECISE</stp>
        <stp>FS=MRC</stp>
        <stp>CURRENCY=USD</stp>
        <stp>XLFILL=b</stp>
        <tr r="AK114" s="2"/>
      </tp>
      <tp t="s">
        <v>#N/A Requesting Data...</v>
        <stp/>
        <stp>##V3_BQLV12</stp>
        <stp>[MODL_NOW_US1.xlsx]Single Period!R37C14</stp>
        <stp>NOW US Equity</stp>
        <stp>BS_REMAINING_PERFORMANCE_OBLIG/1M</stp>
        <stp>FPR=2021Y</stp>
        <stp>FPT=A</stp>
        <stp>FA_ACT_EST_DATA=E, EST_SOURCE=BMO</stp>
        <stp>ACT_EST_MAPPING=PRECISE</stp>
        <stp>FS=MRC</stp>
        <stp>CURRENCY=USD</stp>
        <stp>XLFILL=b</stp>
        <tr r="N37" s="2"/>
      </tp>
      <tp t="s">
        <v>#N/A Requesting Data...</v>
        <stp/>
        <stp>##V3_BQLV12</stp>
        <stp>[MODL_NOW_US1.xlsx]Single Period!R114C42</stp>
        <stp>SEG0000230986 Segment</stp>
        <stp>CB_IS_GROSS_MARGIN</stp>
        <stp>FPR=2021Y</stp>
        <stp>FPT=A</stp>
        <stp>FA_ACT_EST_DATA=E, EST_SOURCE=CTI</stp>
        <stp>ACT_EST_MAPPING=PRECISE</stp>
        <stp>FS=MRC</stp>
        <stp>CURRENCY=USD</stp>
        <stp>XLFILL=b</stp>
        <tr r="AP114" s="2"/>
      </tp>
      <tp t="s">
        <v>#N/A Requesting Data...</v>
        <stp/>
        <stp>##V3_BQLV12</stp>
        <stp>[MODL_NOW_US1.xlsx]Single Period!R132C37</stp>
        <stp>NOW US Equity</stp>
        <stp>CONT_INC_PER_SH</stp>
        <stp>FPR=2021Y</stp>
        <stp>FPT=A</stp>
        <stp>FA_ACT_EST_DATA=E, EST_SOURCE=TTC</stp>
        <stp>ACT_EST_MAPPING=PRECISE</stp>
        <stp>FS=MRC</stp>
        <stp>CURRENCY=USD</stp>
        <stp>XLFILL=b</stp>
        <tr r="AK132" s="2"/>
      </tp>
      <tp t="s">
        <v>#N/A Requesting Data...</v>
        <stp/>
        <stp>##V3_BQLV12</stp>
        <stp>[MODL_NOW_US1.xlsx]Single Period!R219C10</stp>
        <stp>NOW US Equity</stp>
        <stp>CF_PURCHSS_OF_INVSTMNTS/1M</stp>
        <stp>FPR=2021Y</stp>
        <stp>FPT=A</stp>
        <stp>FA_ACT_EST_DATA=E, EST_SOURCE=CMPY</stp>
        <stp>ACT_EST_MAPPING=PRECISE</stp>
        <stp>FS=MRC</stp>
        <stp>CURRENCY=USD</stp>
        <stp>XLFILL=b</stp>
        <tr r="J219" s="2"/>
      </tp>
      <tp t="s">
        <v>#N/A Requesting Data...</v>
        <stp/>
        <stp>##V3_BQLV12</stp>
        <stp>[MODL_NOW_US1.xlsx]Single Period!R51C40</stp>
        <stp>NOW US Equity</stp>
        <stp>ACCOUNTS_PAYABLE_TURNOVER_DAYS</stp>
        <stp>FPR=2021Y</stp>
        <stp>FPT=A</stp>
        <stp>FA_ACT_EST_DATA=E, EST_SOURCE=DWI</stp>
        <stp>ACT_EST_MAPPING=PRECISE</stp>
        <stp>FS=MRC</stp>
        <stp>CURRENCY=USD</stp>
        <stp>XLFILL=b</stp>
        <tr r="AN51" s="2"/>
      </tp>
      <tp t="s">
        <v>#N/A Requesting Data...</v>
        <stp/>
        <stp>##V3_BQLV12</stp>
        <stp>[MODL_NOW_US1.xlsx]Single Period!R51C24</stp>
        <stp>NOW US Equity</stp>
        <stp>ACCOUNTS_PAYABLE_TURNOVER_DAYS</stp>
        <stp>FPR=2021Y</stp>
        <stp>FPT=A</stp>
        <stp>FA_ACT_EST_DATA=E, EST_SOURCE=CWN</stp>
        <stp>ACT_EST_MAPPING=PRECISE</stp>
        <stp>FS=MRC</stp>
        <stp>CURRENCY=USD</stp>
        <stp>XLFILL=b</stp>
        <tr r="X51" s="2"/>
      </tp>
      <tp t="s">
        <v>#N/A Requesting Data...</v>
        <stp/>
        <stp>##V3_BQLV12</stp>
        <stp>[MODL_NOW_US1.xlsx]Single Period!R237C45</stp>
        <stp>NOW US Equity</stp>
        <stp>FCF_PER_DIL_SHR</stp>
        <stp>FPR=2021Y</stp>
        <stp>FPT=A</stp>
        <stp>FA_ACT_EST_DATA=E, EST_SOURCE=PJE</stp>
        <stp>ACT_EST_MAPPING=PRECISE</stp>
        <stp>FS=MRC</stp>
        <stp>CURRENCY=USD</stp>
        <stp>XLFILL=b</stp>
        <tr r="AS237" s="2"/>
      </tp>
      <tp t="s">
        <v>#N/A Requesting Data...</v>
        <stp/>
        <stp>##V3_BQLV12</stp>
        <stp>[MODL_NOW_US1.xlsx]Single Period!R4C26</stp>
        <stp>NOW US Equity</stp>
        <stp>LAST(IS_COMP_SALES(FA_ACT_EST_DATA=E, EST_SOURCE=UBS).analyst_name)</stp>
        <stp>FPR=2021Y</stp>
        <stp>FPT=A</stp>
        <stp>ACT_EST_MAPPING=PRECISE</stp>
        <stp>FS=MRC</stp>
        <stp>CURRENCY=USD</stp>
        <stp>XLFILL=b</stp>
        <tr r="Z4" s="2"/>
      </tp>
      <tp t="s">
        <v>#N/A Requesting Data...</v>
        <stp/>
        <stp>##V3_BQLV12</stp>
        <stp>[MODL_NOW_US1.xlsx]Single Period!R32C17</stp>
        <stp>NOW US Equity</stp>
        <stp>BS_REMAINING_PERFORMANCE_OBLIG/1M</stp>
        <stp>FPR=2021Y</stp>
        <stp>FPT=A</stp>
        <stp>FA_ACT_EST_DATA=E, EST_SOURCE=RHR</stp>
        <stp>ACT_EST_MAPPING=PRECISE</stp>
        <stp>FS=MRC</stp>
        <stp>CURRENCY=USD</stp>
        <stp>XLFILL=b</stp>
        <tr r="Q32" s="2"/>
      </tp>
      <tp t="s">
        <v>#N/A Requesting Data...</v>
        <stp/>
        <stp>##V3_BQLV12</stp>
        <stp>[MODL_NOW_US1.xlsx]Single Period!R85C10</stp>
        <stp>NOW US Equity</stp>
        <stp>IS_COMP_GROSS_MARGIN_PERCENTAGE</stp>
        <stp>FPR=2021Y</stp>
        <stp>FPT=A</stp>
        <stp>FA_ACT_EST_DATA=E, EST_SOURCE=CMPY</stp>
        <stp>ACT_EST_MAPPING=PRECISE</stp>
        <stp>FS=MRC</stp>
        <stp>CURRENCY=USD</stp>
        <stp>XLFILL=b</stp>
        <tr r="J85" s="2"/>
      </tp>
      <tp t="s">
        <v>#N/A Requesting Data...</v>
        <stp/>
        <stp>##V3_BQLV12</stp>
        <stp>[MODL_NOW_US1.xlsx]Single Period!R37C21</stp>
        <stp>NOW US Equity</stp>
        <stp>BS_REMAINING_PERFORMANCE_OBLIG/1M</stp>
        <stp>FPR=2021Y</stp>
        <stp>FPT=A</stp>
        <stp>FA_ACT_EST_DATA=E, EST_SOURCE=JMP</stp>
        <stp>ACT_EST_MAPPING=PRECISE</stp>
        <stp>FS=MRC</stp>
        <stp>CURRENCY=USD</stp>
        <stp>XLFILL=b</stp>
        <tr r="U37" s="2"/>
      </tp>
      <tp t="s">
        <v>#N/A Requesting Data...</v>
        <stp/>
        <stp>##V3_BQLV12</stp>
        <stp>[MODL_NOW_US1.xlsx]Single Period!R209C7</stp>
        <stp>NOW US Equity</stp>
        <stp>CONTRIBUTOR_STATS(CF_CHANGE_IN_ACCOUNTS_PAYABLE, MAX)/1M</stp>
        <stp>FPR=2021Y</stp>
        <stp>FPT=A</stp>
        <stp>FA_ACT_EST_DATA=E</stp>
        <stp>ACT_EST_MAPPING=PRECISE</stp>
        <stp>FS=MRC</stp>
        <stp>CURRENCY=USD</stp>
        <stp>XLFILL=b</stp>
        <tr r="G209" s="2"/>
      </tp>
      <tp t="s">
        <v>#N/A Requesting Data...</v>
        <stp/>
        <stp>##V3_BQLV12</stp>
        <stp>[MODL_NOW_US1.xlsx]Single Period!R169C7</stp>
        <stp>NOW US Equity</stp>
        <stp>CONTRIBUTOR_STATS(CB_BS_OTHER_NONCURRENT_ASSETS, MAX)/1M</stp>
        <stp>FPR=2021Y</stp>
        <stp>FPT=A</stp>
        <stp>FA_ACT_EST_DATA=E</stp>
        <stp>ACT_EST_MAPPING=PRECISE</stp>
        <stp>FS=MRC</stp>
        <stp>CURRENCY=USD</stp>
        <stp>XLFILL=b</stp>
        <tr r="G169" s="2"/>
      </tp>
      <tp t="s">
        <v>#N/A Requesting Data...</v>
        <stp/>
        <stp>##V3_BQLV12</stp>
        <stp>[MODL_NOW_US1.xlsx]Single Period!R7C41</stp>
        <stp>NOW US Equity</stp>
        <stp>IS_COMP_SALES/1M</stp>
        <stp>FPR=2021Y</stp>
        <stp>FPT=A</stp>
        <stp>FA_ACT_EST_DATA=E, EST_SOURCE=ARG</stp>
        <stp>ACT_EST_MAPPING=PRECISE</stp>
        <stp>FS=MRC</stp>
        <stp>CURRENCY=USD</stp>
        <stp>XLFILL=b</stp>
        <tr r="AO7" s="2"/>
      </tp>
      <tp t="s">
        <v>#N/A Requesting Data...</v>
        <stp/>
        <stp>##V3_BQLV12</stp>
        <stp>[MODL_NOW_US1.xlsx]Single Period!R219C9</stp>
        <stp>NOW US Equity</stp>
        <stp>CONTRIBUTOR_STATS(CF_PURCHSS_OF_INVSTMNTS, MEDIAN)/1M</stp>
        <stp>FPR=2021Y</stp>
        <stp>FPT=A</stp>
        <stp>FA_ACT_EST_DATA=E</stp>
        <stp>ACT_EST_MAPPING=PRECISE</stp>
        <stp>FS=MRC</stp>
        <stp>CURRENCY=USD</stp>
        <stp>XLFILL=b</stp>
        <tr r="I219" s="2"/>
      </tp>
      <tp t="s">
        <v>#N/A Requesting Data...</v>
        <stp/>
        <stp>##V3_BQLV12</stp>
        <stp>[MODL_NOW_US1.xlsx]Single Period!R7C37</stp>
        <stp>NOW US Equity</stp>
        <stp>IS_COMP_SALES/1M</stp>
        <stp>FPR=2021Y</stp>
        <stp>FPT=A</stp>
        <stp>FA_ACT_EST_DATA=E, EST_SOURCE=TTC</stp>
        <stp>ACT_EST_MAPPING=PRECISE</stp>
        <stp>FS=MRC</stp>
        <stp>CURRENCY=USD</stp>
        <stp>XLFILL=b</stp>
        <tr r="AK7" s="2"/>
      </tp>
      <tp t="s">
        <v>#N/A Requesting Data...</v>
        <stp/>
        <stp>##V3_BQLV12</stp>
        <stp>[MODL_NOW_US1.xlsx]Single Period!R7C39</stp>
        <stp>NOW US Equity</stp>
        <stp>IS_COMP_SALES/1M</stp>
        <stp>FPR=2021Y</stp>
        <stp>FPT=A</stp>
        <stp>FA_ACT_EST_DATA=E, EST_SOURCE=DZB</stp>
        <stp>ACT_EST_MAPPING=PRECISE</stp>
        <stp>FS=MRC</stp>
        <stp>CURRENCY=USD</stp>
        <stp>XLFILL=b</stp>
        <tr r="AM7" s="2"/>
      </tp>
      <tp t="s">
        <v>#N/A Requesting Data...</v>
        <stp/>
        <stp>##V3_BQLV12</stp>
        <stp>[MODL_NOW_US1.xlsx]Single Period!R7C24</stp>
        <stp>NOW US Equity</stp>
        <stp>IS_COMP_SALES/1M</stp>
        <stp>FPR=2021Y</stp>
        <stp>FPT=A</stp>
        <stp>FA_ACT_EST_DATA=E, EST_SOURCE=CWN</stp>
        <stp>ACT_EST_MAPPING=PRECISE</stp>
        <stp>FS=MRC</stp>
        <stp>CURRENCY=USD</stp>
        <stp>XLFILL=b</stp>
        <tr r="X7" s="2"/>
      </tp>
      <tp t="s">
        <v>#N/A Requesting Data...</v>
        <stp/>
        <stp>##V3_BQLV12</stp>
        <stp>[MODL_NOW_US1.xlsx]Single Period!R218C9</stp>
        <stp>NOW US Equity</stp>
        <stp>CONTRIBUTOR_STATS(CF_ACQUISITION_OF_INTANG_ASSETS, MEDIAN)/1M</stp>
        <stp>FPR=2021Y</stp>
        <stp>FPT=A</stp>
        <stp>FA_ACT_EST_DATA=E</stp>
        <stp>ACT_EST_MAPPING=PRECISE</stp>
        <stp>FS=MRC</stp>
        <stp>CURRENCY=USD</stp>
        <stp>XLFILL=b</stp>
        <tr r="I218" s="2"/>
      </tp>
      <tp t="s">
        <v>#N/A Requesting Data...</v>
        <stp/>
        <stp>##V3_BQLV12</stp>
        <stp>[MODL_NOW_US1.xlsx]Single Period!R185C40</stp>
        <stp>NOW US Equity</stp>
        <stp>BS_TOT_ASSET/1M</stp>
        <stp>FPR=2021Y</stp>
        <stp>FPT=A</stp>
        <stp>FA_ACT_EST_DATA=E, EST_SOURCE=DWI</stp>
        <stp>ACT_EST_MAPPING=PRECISE</stp>
        <stp>FS=MRC</stp>
        <stp>CURRENCY=USD</stp>
        <stp>XLFILL=b</stp>
        <tr r="AN185" s="2"/>
      </tp>
      <tp t="s">
        <v>#N/A Requesting Data...</v>
        <stp/>
        <stp>##V3_BQLV12</stp>
        <stp>[MODL_NOW_US1.xlsx]Single Period!R39C45</stp>
        <stp>NOW US Equity</stp>
        <stp>IS_BILLINGS/1M</stp>
        <stp>FPR=2021Y</stp>
        <stp>FPT=A</stp>
        <stp>FA_ACT_EST_DATA=E, EST_SOURCE=PJE</stp>
        <stp>ACT_EST_MAPPING=PRECISE</stp>
        <stp>FS=MRC</stp>
        <stp>CURRENCY=USD</stp>
        <stp>XLFILL=b</stp>
        <tr r="AS39" s="2"/>
      </tp>
      <tp t="s">
        <v>#N/A Requesting Data...</v>
        <stp/>
        <stp>##V3_BQLV12</stp>
        <stp>[MODL_NOW_US1.xlsx]Single Period!R183C17</stp>
        <stp>NOW US Equity</stp>
        <stp>BS_TOTAL_LIABILITIES/1M</stp>
        <stp>FPR=2021Y</stp>
        <stp>FPT=A</stp>
        <stp>FA_ACT_EST_DATA=E, EST_SOURCE=RHR</stp>
        <stp>ACT_EST_MAPPING=PRECISE</stp>
        <stp>FS=MRC</stp>
        <stp>CURRENCY=USD</stp>
        <stp>XLFILL=b</stp>
        <tr r="Q183" s="2"/>
      </tp>
      <tp t="s">
        <v>#N/A Requesting Data...</v>
        <stp/>
        <stp>##V3_BQLV12</stp>
        <stp>[MODL_NOW_US1.xlsx]Single Period!R205C7</stp>
        <stp>NOW US Equity</stp>
        <stp>CONTRIBUTOR_STATS(CB_CF_OTHR_NONCSH_ITEMS, MAX)/1M</stp>
        <stp>FPR=2021Y</stp>
        <stp>FPT=A</stp>
        <stp>FA_ACT_EST_DATA=E</stp>
        <stp>ACT_EST_MAPPING=PRECISE</stp>
        <stp>FS=MRC</stp>
        <stp>CURRENCY=USD</stp>
        <stp>XLFILL=b</stp>
        <tr r="G205" s="2"/>
      </tp>
      <tp t="s">
        <v>#N/A Requesting Data...</v>
        <stp/>
        <stp>##V3_BQLV12</stp>
        <stp>[MODL_NOW_US1.xlsx]Single Period!R205C6</stp>
        <stp>NOW US Equity</stp>
        <stp>CONTRIBUTOR_STATS(CB_CF_OTHR_NONCSH_ITEMS, MIN)/1M</stp>
        <stp>FPR=2021Y</stp>
        <stp>FPT=A</stp>
        <stp>FA_ACT_EST_DATA=E</stp>
        <stp>ACT_EST_MAPPING=PRECISE</stp>
        <stp>FS=MRC</stp>
        <stp>CURRENCY=USD</stp>
        <stp>XLFILL=b</stp>
        <tr r="F205" s="2"/>
      </tp>
      <tp t="s">
        <v>#N/A Requesting Data...</v>
        <stp/>
        <stp>##V3_BQLV12</stp>
        <stp>[MODL_NOW_US1.xlsx]Single Period!R222C23</stp>
        <stp>NOW US Equity</stp>
        <stp>CF_CASH_FROM_INV_ACT/1M</stp>
        <stp>FPR=2021Y</stp>
        <stp>FPT=A</stp>
        <stp>FA_ACT_EST_DATA=E, EST_SOURCE=ZXS</stp>
        <stp>ACT_EST_MAPPING=PRECISE</stp>
        <stp>FS=MRC</stp>
        <stp>CURRENCY=USD</stp>
        <stp>XLFILL=b</stp>
        <tr r="W222" s="2"/>
      </tp>
      <tp t="s">
        <v>#N/A Requesting Data...</v>
        <stp/>
        <stp>##V3_BQLV12</stp>
        <stp>[MODL_NOW_US1.xlsx]Single Period!R165C11</stp>
        <stp>NOW US Equity</stp>
        <stp>BS_OPER_LEA_RT_OF_USE_ASSETS/1M</stp>
        <stp>FPR=2021Y</stp>
        <stp>FPT=A</stp>
        <stp>FA_ACT_EST_DATA=E, EST_SOURCE=JPM</stp>
        <stp>ACT_EST_MAPPING=PRECISE</stp>
        <stp>FS=MRC</stp>
        <stp>CURRENCY=USD</stp>
        <stp>XLFILL=b</stp>
        <tr r="K165" s="2"/>
      </tp>
      <tp t="s">
        <v>#N/A Requesting Data...</v>
        <stp/>
        <stp>##V3_BQLV12</stp>
        <stp>[MODL_NOW_US1.xlsx]Single Period!R93C22</stp>
        <stp>NOW US Equity</stp>
        <stp>G_AND_A_COST_PCT_REVENUES</stp>
        <stp>FPR=2021Y</stp>
        <stp>FPT=A</stp>
        <stp>FA_ACT_EST_DATA=E, EST_SOURCE=NDH</stp>
        <stp>ACT_EST_MAPPING=PRECISE</stp>
        <stp>FS=MRC</stp>
        <stp>CURRENCY=USD</stp>
        <stp>XLFILL=b</stp>
        <tr r="V93" s="2"/>
      </tp>
      <tp t="s">
        <v>#N/A Requesting Data...</v>
        <stp/>
        <stp>##V3_BQLV12</stp>
        <stp>[MODL_NOW_US1.xlsx]Single Period!R122C38</stp>
        <stp>NOW US Equity</stp>
        <stp>IS_MERGER_AND_ACQUIS_EXPN_OP/1M</stp>
        <stp>FPR=2021Y</stp>
        <stp>FPT=A</stp>
        <stp>FA_ACT_EST_DATA=E, EST_SOURCE=RWB</stp>
        <stp>ACT_EST_MAPPING=PRECISE</stp>
        <stp>FS=MRC</stp>
        <stp>CURRENCY=USD</stp>
        <stp>XLFILL=b</stp>
        <tr r="AL122" s="2"/>
      </tp>
      <tp t="s">
        <v>#N/A Requesting Data...</v>
        <stp/>
        <stp>##V3_BQLV12</stp>
        <stp>[MODL_NOW_US1.xlsx]Single Period!R115C49</stp>
        <stp>NOW US Equity</stp>
        <stp>GROSS_PROFIT/1M</stp>
        <stp>FPR=2021Y</stp>
        <stp>FPT=A</stp>
        <stp>FA_ACT_EST_DATA=E, EST_SOURCE=SCB</stp>
        <stp>ACT_EST_MAPPING=PRECISE</stp>
        <stp>FS=MRC</stp>
        <stp>CURRENCY=USD</stp>
        <stp>XLFILL=b</stp>
        <tr r="AW115" s="2"/>
      </tp>
      <tp t="s">
        <v>#N/A Requesting Data...</v>
        <stp/>
        <stp>##V3_BQLV12</stp>
        <stp>[MODL_NOW_US1.xlsx]Single Period!R170C40</stp>
        <stp>NOW US Equity</stp>
        <stp>BS_TOT_ASSET/1M</stp>
        <stp>FPR=2021Y</stp>
        <stp>FPT=A</stp>
        <stp>FA_ACT_EST_DATA=E, EST_SOURCE=DWI</stp>
        <stp>ACT_EST_MAPPING=PRECISE</stp>
        <stp>FS=MRC</stp>
        <stp>CURRENCY=USD</stp>
        <stp>XLFILL=b</stp>
        <tr r="AN170" s="2"/>
      </tp>
      <tp t="s">
        <v>#N/A Requesting Data...</v>
        <stp/>
        <stp>##V3_BQLV12</stp>
        <stp>[MODL_NOW_US1.xlsx]Single Period!R165C47</stp>
        <stp>NOW US Equity</stp>
        <stp>BS_OPER_LEA_RT_OF_USE_ASSETS/1M</stp>
        <stp>FPR=2021Y</stp>
        <stp>FPT=A</stp>
        <stp>FA_ACT_EST_DATA=E, EST_SOURCE=SUM</stp>
        <stp>ACT_EST_MAPPING=PRECISE</stp>
        <stp>FS=MRC</stp>
        <stp>CURRENCY=USD</stp>
        <stp>XLFILL=b</stp>
        <tr r="AU165" s="2"/>
      </tp>
      <tp t="s">
        <v>#N/A Requesting Data...</v>
        <stp/>
        <stp>##V3_BQLV12</stp>
        <stp>[MODL_NOW_US1.xlsx]Single Period!R147C46</stp>
        <stp>NOW US Equity</stp>
        <stp>IS_AMORT_OF_TOT_INTANG_PRETX/1M</stp>
        <stp>FPR=2021Y</stp>
        <stp>FPT=A</stp>
        <stp>FA_ACT_EST_DATA=E, EST_SOURCE=MZS</stp>
        <stp>ACT_EST_MAPPING=PRECISE</stp>
        <stp>FS=MRC</stp>
        <stp>CURRENCY=USD</stp>
        <stp>XLFILL=b</stp>
        <tr r="AT147" s="2"/>
      </tp>
      <tp t="s">
        <v>#N/A Requesting Data...</v>
        <stp/>
        <stp>##V3_BQLV12</stp>
        <stp>[MODL_NOW_US1.xlsx]Single Period!R205C8</stp>
        <stp>NOW US Equity</stp>
        <stp>CONTRIBUTOR_STATS(CB_CF_OTHR_NONCSH_ITEMS, STD)/1M</stp>
        <stp>FPR=2021Y</stp>
        <stp>FPT=A</stp>
        <stp>FA_ACT_EST_DATA=E</stp>
        <stp>ACT_EST_MAPPING=PRECISE</stp>
        <stp>FS=MRC</stp>
        <stp>CURRENCY=USD</stp>
        <stp>XLFILL=b</stp>
        <tr r="H205" s="2"/>
      </tp>
      <tp t="s">
        <v>#N/A Requesting Data...</v>
        <stp/>
        <stp>##V3_BQLV12</stp>
        <stp>[MODL_NOW_US1.xlsx]Single Period!R165C15</stp>
        <stp>NOW US Equity</stp>
        <stp>BS_OPER_LEA_RT_OF_USE_ASSETS/1M</stp>
        <stp>FPR=2021Y</stp>
        <stp>FPT=A</stp>
        <stp>FA_ACT_EST_DATA=E, EST_SOURCE=OPY</stp>
        <stp>ACT_EST_MAPPING=PRECISE</stp>
        <stp>FS=MRC</stp>
        <stp>CURRENCY=USD</stp>
        <stp>XLFILL=b</stp>
        <tr r="O165" s="2"/>
      </tp>
      <tp t="s">
        <v>#N/A Requesting Data...</v>
        <stp/>
        <stp>##V3_BQLV12</stp>
        <stp>[MODL_NOW_US1.xlsx]Single Period!R122C28</stp>
        <stp>NOW US Equity</stp>
        <stp>IS_MERGER_AND_ACQUIS_EXPN_OP/1M</stp>
        <stp>FPR=2021Y</stp>
        <stp>FPT=A</stp>
        <stp>FA_ACT_EST_DATA=E, EST_SOURCE=EVR</stp>
        <stp>ACT_EST_MAPPING=PRECISE</stp>
        <stp>FS=MRC</stp>
        <stp>CURRENCY=USD</stp>
        <stp>XLFILL=b</stp>
        <tr r="AB122" s="2"/>
      </tp>
      <tp t="s">
        <v>#N/A Requesting Data...</v>
        <stp/>
        <stp>##V3_BQLV12</stp>
        <stp>[MODL_NOW_US1.xlsx]Single Period!R51C37</stp>
        <stp>NOW US Equity</stp>
        <stp>ACCOUNTS_PAYABLE_TURNOVER_DAYS</stp>
        <stp>FPR=2021Y</stp>
        <stp>FPT=A</stp>
        <stp>FA_ACT_EST_DATA=E, EST_SOURCE=TTC</stp>
        <stp>ACT_EST_MAPPING=PRECISE</stp>
        <stp>FS=MRC</stp>
        <stp>CURRENCY=USD</stp>
        <stp>XLFILL=b</stp>
        <tr r="AK51" s="2"/>
      </tp>
      <tp t="s">
        <v>#N/A Requesting Data...</v>
        <stp/>
        <stp>##V3_BQLV12</stp>
        <stp>[MODL_NOW_US1.xlsx]Single Period!R132C38</stp>
        <stp>NOW US Equity</stp>
        <stp>CONT_INC_PER_SH</stp>
        <stp>FPR=2021Y</stp>
        <stp>FPT=A</stp>
        <stp>FA_ACT_EST_DATA=E, EST_SOURCE=RWB</stp>
        <stp>ACT_EST_MAPPING=PRECISE</stp>
        <stp>FS=MRC</stp>
        <stp>CURRENCY=USD</stp>
        <stp>XLFILL=b</stp>
        <tr r="AL132" s="2"/>
      </tp>
      <tp t="s">
        <v>#N/A Requesting Data...</v>
        <stp/>
        <stp>##V3_BQLV12</stp>
        <stp>[MODL_NOW_US1.xlsx]Single Period!R114C38</stp>
        <stp>SEG0000230986 Segment</stp>
        <stp>CB_IS_GROSS_MARGIN</stp>
        <stp>FPR=2021Y</stp>
        <stp>FPT=A</stp>
        <stp>FA_ACT_EST_DATA=E, EST_SOURCE=RWB</stp>
        <stp>ACT_EST_MAPPING=PRECISE</stp>
        <stp>FS=MRC</stp>
        <stp>CURRENCY=USD</stp>
        <stp>XLFILL=b</stp>
        <tr r="AL114" s="2"/>
      </tp>
      <tp t="s">
        <v>#N/A Requesting Data...</v>
        <stp/>
        <stp>##V3_BQLV12</stp>
        <stp>[MODL_NOW_US1.xlsx]Single Period!R114C24</stp>
        <stp>SEG0000230986 Segment</stp>
        <stp>CB_IS_GROSS_MARGIN</stp>
        <stp>FPR=2021Y</stp>
        <stp>FPT=A</stp>
        <stp>FA_ACT_EST_DATA=E, EST_SOURCE=CWN</stp>
        <stp>ACT_EST_MAPPING=PRECISE</stp>
        <stp>FS=MRC</stp>
        <stp>CURRENCY=USD</stp>
        <stp>XLFILL=b</stp>
        <tr r="X114" s="2"/>
      </tp>
      <tp t="s">
        <v>#N/A Requesting Data...</v>
        <stp/>
        <stp>##V3_BQLV12</stp>
        <stp>[MODL_NOW_US1.xlsx]Single Period!R114C40</stp>
        <stp>SEG0000230986 Segment</stp>
        <stp>CB_IS_GROSS_MARGIN</stp>
        <stp>FPR=2021Y</stp>
        <stp>FPT=A</stp>
        <stp>FA_ACT_EST_DATA=E, EST_SOURCE=DWI</stp>
        <stp>ACT_EST_MAPPING=PRECISE</stp>
        <stp>FS=MRC</stp>
        <stp>CURRENCY=USD</stp>
        <stp>XLFILL=b</stp>
        <tr r="AN114" s="2"/>
      </tp>
      <tp t="s">
        <v>#N/A Requesting Data...</v>
        <stp/>
        <stp>##V3_BQLV12</stp>
        <stp>[MODL_NOW_US1.xlsx]Single Period!R51C42</stp>
        <stp>NOW US Equity</stp>
        <stp>ACCOUNTS_PAYABLE_TURNOVER_DAYS</stp>
        <stp>FPR=2021Y</stp>
        <stp>FPT=A</stp>
        <stp>FA_ACT_EST_DATA=E, EST_SOURCE=CTI</stp>
        <stp>ACT_EST_MAPPING=PRECISE</stp>
        <stp>FS=MRC</stp>
        <stp>CURRENCY=USD</stp>
        <stp>XLFILL=b</stp>
        <tr r="AP51" s="2"/>
      </tp>
      <tp t="s">
        <v>#N/A Requesting Data...</v>
        <stp/>
        <stp>##V3_BQLV12</stp>
        <stp>[MODL_NOW_US1.xlsx]Single Period!R118C22</stp>
        <stp>NOW US Equity</stp>
        <stp>OPERATING_EXPENSES_TO_NET_SALES</stp>
        <stp>FPR=2021Y</stp>
        <stp>FPT=A</stp>
        <stp>FA_ACT_EST_DATA=E, EST_SOURCE=NDH</stp>
        <stp>ACT_EST_MAPPING=PRECISE</stp>
        <stp>FS=MRC</stp>
        <stp>CURRENCY=USD</stp>
        <stp>XLFILL=b</stp>
        <tr r="V118" s="2"/>
      </tp>
      <tp t="s">
        <v>#N/A Requesting Data...</v>
        <stp/>
        <stp>##V3_BQLV12</stp>
        <stp>[MODL_NOW_US1.xlsx]Single Period!R132C28</stp>
        <stp>NOW US Equity</stp>
        <stp>CONT_INC_PER_SH</stp>
        <stp>FPR=2021Y</stp>
        <stp>FPT=A</stp>
        <stp>FA_ACT_EST_DATA=E, EST_SOURCE=EVR</stp>
        <stp>ACT_EST_MAPPING=PRECISE</stp>
        <stp>FS=MRC</stp>
        <stp>CURRENCY=USD</stp>
        <stp>XLFILL=b</stp>
        <tr r="AB132" s="2"/>
      </tp>
      <tp t="s">
        <v>#N/A Requesting Data...</v>
        <stp/>
        <stp>##V3_BQLV12</stp>
        <stp>[MODL_NOW_US1.xlsx]Single Period!R37C18</stp>
        <stp>NOW US Equity</stp>
        <stp>BS_REMAINING_PERFORMANCE_OBLIG/1M</stp>
        <stp>FPR=2021Y</stp>
        <stp>FPT=A</stp>
        <stp>FA_ACT_EST_DATA=E, EST_SOURCE=SNR</stp>
        <stp>ACT_EST_MAPPING=PRECISE</stp>
        <stp>FS=MRC</stp>
        <stp>CURRENCY=USD</stp>
        <stp>XLFILL=b</stp>
        <tr r="R37" s="2"/>
      </tp>
      <tp t="s">
        <v>#N/A Requesting Data...</v>
        <stp/>
        <stp>##V3_BQLV12</stp>
        <stp>[MODL_NOW_US1.xlsx]Single Period!R37C29</stp>
        <stp>NOW US Equity</stp>
        <stp>BS_REMAINING_PERFORMANCE_OBLIG/1M</stp>
        <stp>FPR=2021Y</stp>
        <stp>FPT=A</stp>
        <stp>FA_ACT_EST_DATA=E, EST_SOURCE=BNS</stp>
        <stp>ACT_EST_MAPPING=PRECISE</stp>
        <stp>FS=MRC</stp>
        <stp>CURRENCY=USD</stp>
        <stp>XLFILL=b</stp>
        <tr r="AC37" s="2"/>
      </tp>
      <tp t="s">
        <v>#N/A Requesting Data...</v>
        <stp/>
        <stp>##V3_BQLV12</stp>
        <stp>[MODL_NOW_US1.xlsx]Single Period!R118C36</stp>
        <stp>NOW US Equity</stp>
        <stp>OPERATING_EXPENSES_TO_NET_SALES</stp>
        <stp>FPR=2021Y</stp>
        <stp>FPT=A</stp>
        <stp>FA_ACT_EST_DATA=E, EST_SOURCE=JEF</stp>
        <stp>ACT_EST_MAPPING=PRECISE</stp>
        <stp>FS=MRC</stp>
        <stp>CURRENCY=USD</stp>
        <stp>XLFILL=b</stp>
        <tr r="AJ118" s="2"/>
      </tp>
      <tp t="s">
        <v>#N/A Requesting Data...</v>
        <stp/>
        <stp>##V3_BQLV12</stp>
        <stp>[MODL_NOW_US1.xlsx]Single Period!R163C7</stp>
        <stp>NOW US Equity</stp>
        <stp>CONTRIBUTOR_STATS(CB_BS_PP_AND_E_NET, MAX)/1M</stp>
        <stp>FPR=2021Y</stp>
        <stp>FPT=A</stp>
        <stp>FA_ACT_EST_DATA=E</stp>
        <stp>ACT_EST_MAPPING=PRECISE</stp>
        <stp>FS=MRC</stp>
        <stp>CURRENCY=USD</stp>
        <stp>XLFILL=b</stp>
        <tr r="G163" s="2"/>
      </tp>
      <tp t="s">
        <v>#N/A Requesting Data...</v>
        <stp/>
        <stp>##V3_BQLV12</stp>
        <stp>[MODL_NOW_US1.xlsx]Single Period!R163C6</stp>
        <stp>NOW US Equity</stp>
        <stp>CONTRIBUTOR_STATS(CB_BS_PP_AND_E_NET, MIN)/1M</stp>
        <stp>FPR=2021Y</stp>
        <stp>FPT=A</stp>
        <stp>FA_ACT_EST_DATA=E</stp>
        <stp>ACT_EST_MAPPING=PRECISE</stp>
        <stp>FS=MRC</stp>
        <stp>CURRENCY=USD</stp>
        <stp>XLFILL=b</stp>
        <tr r="F163" s="2"/>
      </tp>
      <tp t="s">
        <v>#N/A Requesting Data...</v>
        <stp/>
        <stp>##V3_BQLV12</stp>
        <stp>[MODL_NOW_US1.xlsx]Single Period!R164C7</stp>
        <stp>NOW US Equity</stp>
        <stp>CONTRIBUTOR_STATS(CB_BS_PP_AND_E_NET, MAX)/1M</stp>
        <stp>FPR=2021Y</stp>
        <stp>FPT=A</stp>
        <stp>FA_ACT_EST_DATA=E</stp>
        <stp>ACT_EST_MAPPING=PRECISE</stp>
        <stp>FS=MRC</stp>
        <stp>CURRENCY=USD</stp>
        <stp>XLFILL=b</stp>
        <tr r="G164" s="2"/>
      </tp>
      <tp t="s">
        <v>#N/A Requesting Data...</v>
        <stp/>
        <stp>##V3_BQLV12</stp>
        <stp>[MODL_NOW_US1.xlsx]Single Period!R164C6</stp>
        <stp>NOW US Equity</stp>
        <stp>CONTRIBUTOR_STATS(CB_BS_PP_AND_E_NET, MIN)/1M</stp>
        <stp>FPR=2021Y</stp>
        <stp>FPT=A</stp>
        <stp>FA_ACT_EST_DATA=E</stp>
        <stp>ACT_EST_MAPPING=PRECISE</stp>
        <stp>FS=MRC</stp>
        <stp>CURRENCY=USD</stp>
        <stp>XLFILL=b</stp>
        <tr r="F164" s="2"/>
      </tp>
      <tp t="s">
        <v>#N/A Requesting Data...</v>
        <stp/>
        <stp>##V3_BQLV12</stp>
        <stp>[MODL_NOW_US1.xlsx]Single Period!R68C7</stp>
        <stp>SEG0000230986 Segment</stp>
        <stp>CONTRIBUTOR_STATS(IS_ADJUSTED_COGS_AS_REPORTED, MAX)/1M</stp>
        <stp>FPR=2021Y</stp>
        <stp>FPT=A</stp>
        <stp>FA_ACT_EST_DATA=E</stp>
        <stp>ACT_EST_MAPPING=PRECISE</stp>
        <stp>FS=MRC</stp>
        <stp>CURRENCY=USD</stp>
        <stp>XLFILL=b</stp>
        <tr r="G68" s="2"/>
      </tp>
      <tp t="s">
        <v>#N/A Requesting Data...</v>
        <stp/>
        <stp>##V3_BQLV12</stp>
        <stp>[MODL_NOW_US1.xlsx]Single Period!R60C7</stp>
        <stp>SEG0000230975 Segment</stp>
        <stp>CONTRIBUTOR_STATS(IS_ADJUSTED_COGS_AS_REPORTED, MAX)/1M</stp>
        <stp>FPR=2021Y</stp>
        <stp>FPT=A</stp>
        <stp>FA_ACT_EST_DATA=E</stp>
        <stp>ACT_EST_MAPPING=PRECISE</stp>
        <stp>FS=MRC</stp>
        <stp>CURRENCY=USD</stp>
        <stp>XLFILL=b</stp>
        <tr r="G60" s="2"/>
      </tp>
      <tp t="s">
        <v>#N/A Requesting Data...</v>
        <stp/>
        <stp>##V3_BQLV12</stp>
        <stp>[MODL_NOW_US1.xlsx]Single Period!R60C6</stp>
        <stp>SEG0000230975 Segment</stp>
        <stp>CONTRIBUTOR_STATS(IS_ADJUSTED_COGS_AS_REPORTED, MIN)/1M</stp>
        <stp>FPR=2021Y</stp>
        <stp>FPT=A</stp>
        <stp>FA_ACT_EST_DATA=E</stp>
        <stp>ACT_EST_MAPPING=PRECISE</stp>
        <stp>FS=MRC</stp>
        <stp>CURRENCY=USD</stp>
        <stp>XLFILL=b</stp>
        <tr r="F60" s="2"/>
      </tp>
      <tp t="s">
        <v>#N/A Requesting Data...</v>
        <stp/>
        <stp>##V3_BQLV12</stp>
        <stp>[MODL_NOW_US1.xlsx]Single Period!R68C6</stp>
        <stp>SEG0000230986 Segment</stp>
        <stp>CONTRIBUTOR_STATS(IS_ADJUSTED_COGS_AS_REPORTED, MIN)/1M</stp>
        <stp>FPR=2021Y</stp>
        <stp>FPT=A</stp>
        <stp>FA_ACT_EST_DATA=E</stp>
        <stp>ACT_EST_MAPPING=PRECISE</stp>
        <stp>FS=MRC</stp>
        <stp>CURRENCY=USD</stp>
        <stp>XLFILL=b</stp>
        <tr r="F68" s="2"/>
      </tp>
      <tp t="s">
        <v>#N/A Requesting Data...</v>
        <stp/>
        <stp>##V3_BQLV12</stp>
        <stp>[MODL_NOW_US1.xlsx]Single Period!R150C7</stp>
        <stp>NOW US Equity</stp>
        <stp>CONTRIBUTOR_STATS(IS_INC_TAX_EFFECT_NONGAAP_REC, MAX)/1M</stp>
        <stp>FPR=2021Y</stp>
        <stp>FPT=A</stp>
        <stp>FA_ACT_EST_DATA=E</stp>
        <stp>ACT_EST_MAPPING=PRECISE</stp>
        <stp>FS=MRC</stp>
        <stp>CURRENCY=USD</stp>
        <stp>XLFILL=b</stp>
        <tr r="G150" s="2"/>
      </tp>
      <tp t="s">
        <v>#N/A Requesting Data...</v>
        <stp/>
        <stp>##V3_BQLV12</stp>
        <stp>[MODL_NOW_US1.xlsx]Single Period!R164C8</stp>
        <stp>NOW US Equity</stp>
        <stp>CONTRIBUTOR_STATS(CB_BS_PP_AND_E_NET, STD)/1M</stp>
        <stp>FPR=2021Y</stp>
        <stp>FPT=A</stp>
        <stp>FA_ACT_EST_DATA=E</stp>
        <stp>ACT_EST_MAPPING=PRECISE</stp>
        <stp>FS=MRC</stp>
        <stp>CURRENCY=USD</stp>
        <stp>XLFILL=b</stp>
        <tr r="H164" s="2"/>
      </tp>
      <tp t="s">
        <v>#N/A Requesting Data...</v>
        <stp/>
        <stp>##V3_BQLV12</stp>
        <stp>[MODL_NOW_US1.xlsx]Single Period!R163C8</stp>
        <stp>NOW US Equity</stp>
        <stp>CONTRIBUTOR_STATS(CB_BS_PP_AND_E_NET, STD)/1M</stp>
        <stp>FPR=2021Y</stp>
        <stp>FPT=A</stp>
        <stp>FA_ACT_EST_DATA=E</stp>
        <stp>ACT_EST_MAPPING=PRECISE</stp>
        <stp>FS=MRC</stp>
        <stp>CURRENCY=USD</stp>
        <stp>XLFILL=b</stp>
        <tr r="H163" s="2"/>
      </tp>
      <tp t="s">
        <v>#N/A Requesting Data...</v>
        <stp/>
        <stp>##V3_BQLV12</stp>
        <stp>[MODL_NOW_US1.xlsx]Single Period!R68C8</stp>
        <stp>SEG0000230986 Segment</stp>
        <stp>CONTRIBUTOR_STATS(IS_ADJUSTED_COGS_AS_REPORTED, STD)/1M</stp>
        <stp>FPR=2021Y</stp>
        <stp>FPT=A</stp>
        <stp>FA_ACT_EST_DATA=E</stp>
        <stp>ACT_EST_MAPPING=PRECISE</stp>
        <stp>FS=MRC</stp>
        <stp>CURRENCY=USD</stp>
        <stp>XLFILL=b</stp>
        <tr r="H68" s="2"/>
      </tp>
      <tp t="s">
        <v>#N/A Requesting Data...</v>
        <stp/>
        <stp>##V3_BQLV12</stp>
        <stp>[MODL_NOW_US1.xlsx]Single Period!R60C8</stp>
        <stp>SEG0000230975 Segment</stp>
        <stp>CONTRIBUTOR_STATS(IS_ADJUSTED_COGS_AS_REPORTED, STD)/1M</stp>
        <stp>FPR=2021Y</stp>
        <stp>FPT=A</stp>
        <stp>FA_ACT_EST_DATA=E</stp>
        <stp>ACT_EST_MAPPING=PRECISE</stp>
        <stp>FS=MRC</stp>
        <stp>CURRENCY=USD</stp>
        <stp>XLFILL=b</stp>
        <tr r="H60" s="2"/>
      </tp>
      <tp t="s">
        <v>#N/A Requesting Data...</v>
        <stp/>
        <stp>##V3_BQLV12</stp>
        <stp>[MODL_NOW_US1.xlsx]Single Period!R102C5</stp>
        <stp>NOW US Equity</stp>
        <stp>IS_COMP_PTP_EX_STK_BASED_COMP/1M</stp>
        <stp>FPR=2021Y</stp>
        <stp>FPT=A</stp>
        <stp>FA_ACT_EST_DATA=E</stp>
        <stp>ACT_EST_MAPPING=PRECISE</stp>
        <stp>FS=MRC</stp>
        <stp>CURRENCY=USD</stp>
        <stp>XLFILL=b</stp>
        <tr r="E102" s="2"/>
      </tp>
      <tp t="s">
        <v>#N/A Requesting Data...</v>
        <stp/>
        <stp>##V3_BQLV12</stp>
        <stp>[MODL_NOW_US1.xlsx]Single Period!R119C5</stp>
        <stp>NOW US Equity</stp>
        <stp>CB_IS_S_AND_M_EXPENSE/1M</stp>
        <stp>FPR=2021Y</stp>
        <stp>FPT=A</stp>
        <stp>FA_ACT_EST_DATA=E</stp>
        <stp>ACT_EST_MAPPING=PRECISE</stp>
        <stp>FS=MRC</stp>
        <stp>CURRENCY=USD</stp>
        <stp>XLFILL=b</stp>
        <tr r="E119" s="2"/>
      </tp>
      <tp t="s">
        <v>#N/A Requesting Data...</v>
        <stp/>
        <stp>##V3_BQLV12</stp>
        <stp>[MODL_NOW_US1.xlsx]Single Period!R108C6</stp>
        <stp>NOW US Equity</stp>
        <stp>CONTRIBUTOR_STATS(IS_COMP_EPS_EXCL_STOCK_COMP, MIN)</stp>
        <stp>FPR=2021Y</stp>
        <stp>FPT=A</stp>
        <stp>FA_ACT_EST_DATA=E</stp>
        <stp>ACT_EST_MAPPING=PRECISE</stp>
        <stp>FS=MRC</stp>
        <stp>CURRENCY=USD</stp>
        <stp>XLFILL=b</stp>
        <tr r="F108" s="2"/>
      </tp>
      <tp t="s">
        <v>#N/A Requesting Data...</v>
        <stp/>
        <stp>##V3_BQLV12</stp>
        <stp>[MODL_NOW_US1.xlsx]Single Period!R150C5</stp>
        <stp>NOW US Equity</stp>
        <stp>IS_INC_TAX_EFFECT_NONGAAP_REC/1M</stp>
        <stp>FPR=2021Y</stp>
        <stp>FPT=A</stp>
        <stp>FA_ACT_EST_DATA=E</stp>
        <stp>ACT_EST_MAPPING=PRECISE</stp>
        <stp>FS=MRC</stp>
        <stp>CURRENCY=USD</stp>
        <stp>XLFILL=b</stp>
        <tr r="E150" s="2"/>
      </tp>
      <tp t="s">
        <v>#N/A Requesting Data...</v>
        <stp/>
        <stp>##V3_BQLV12</stp>
        <stp>[MODL_NOW_US1.xlsx]Single Period!R108C7</stp>
        <stp>NOW US Equity</stp>
        <stp>CONTRIBUTOR_STATS(IS_COMP_EPS_EXCL_STOCK_COMP, MAX)</stp>
        <stp>FPR=2021Y</stp>
        <stp>FPT=A</stp>
        <stp>FA_ACT_EST_DATA=E</stp>
        <stp>ACT_EST_MAPPING=PRECISE</stp>
        <stp>FS=MRC</stp>
        <stp>CURRENCY=USD</stp>
        <stp>XLFILL=b</stp>
        <tr r="G108" s="2"/>
      </tp>
      <tp t="s">
        <v>#N/A Requesting Data...</v>
        <stp/>
        <stp>##V3_BQLV12</stp>
        <stp>[MODL_NOW_US1.xlsx]Single Period!R185C42</stp>
        <stp>NOW US Equity</stp>
        <stp>BS_TOT_ASSET/1M</stp>
        <stp>FPR=2021Y</stp>
        <stp>FPT=A</stp>
        <stp>FA_ACT_EST_DATA=E, EST_SOURCE=CTI</stp>
        <stp>ACT_EST_MAPPING=PRECISE</stp>
        <stp>FS=MRC</stp>
        <stp>CURRENCY=USD</stp>
        <stp>XLFILL=b</stp>
        <tr r="AP185" s="2"/>
      </tp>
      <tp t="s">
        <v>#N/A Requesting Data...</v>
        <stp/>
        <stp>##V3_BQLV12</stp>
        <stp>[MODL_NOW_US1.xlsx]Single Period!R87C49</stp>
        <stp>NOW US Equity</stp>
        <stp>CB_IS_ADJUSTED_OPEX/1M</stp>
        <stp>FPR=2021Y</stp>
        <stp>FPT=A</stp>
        <stp>FA_ACT_EST_DATA=E, EST_SOURCE=SCB</stp>
        <stp>ACT_EST_MAPPING=PRECISE</stp>
        <stp>FS=MRC</stp>
        <stp>CURRENCY=USD</stp>
        <stp>XLFILL=b</stp>
        <tr r="AW87" s="2"/>
      </tp>
      <tp t="s">
        <v>#N/A Requesting Data...</v>
        <stp/>
        <stp>##V3_BQLV12</stp>
        <stp>[MODL_NOW_US1.xlsx]Single Period!R122C37</stp>
        <stp>NOW US Equity</stp>
        <stp>IS_MERGER_AND_ACQUIS_EXPN_OP/1M</stp>
        <stp>FPR=2021Y</stp>
        <stp>FPT=A</stp>
        <stp>FA_ACT_EST_DATA=E, EST_SOURCE=TTC</stp>
        <stp>ACT_EST_MAPPING=PRECISE</stp>
        <stp>FS=MRC</stp>
        <stp>CURRENCY=USD</stp>
        <stp>XLFILL=b</stp>
        <tr r="AK122" s="2"/>
      </tp>
      <tp t="s">
        <v>#N/A Requesting Data...</v>
        <stp/>
        <stp>##V3_BQLV12</stp>
        <stp>[MODL_NOW_US1.xlsx]Single Period!R87C16</stp>
        <stp>NOW US Equity</stp>
        <stp>CB_IS_ADJUSTED_OPEX/1M</stp>
        <stp>FPR=2021Y</stp>
        <stp>FPT=A</stp>
        <stp>FA_ACT_EST_DATA=E, EST_SOURCE=BCA</stp>
        <stp>ACT_EST_MAPPING=PRECISE</stp>
        <stp>FS=MRC</stp>
        <stp>CURRENCY=USD</stp>
        <stp>XLFILL=b</stp>
        <tr r="P87" s="2"/>
      </tp>
      <tp t="s">
        <v>#N/A Requesting Data...</v>
        <stp/>
        <stp>##V3_BQLV12</stp>
        <stp>[MODL_NOW_US1.xlsx]Single Period!R170C34</stp>
        <stp>NOW US Equity</stp>
        <stp>BS_TOT_ASSET/1M</stp>
        <stp>FPR=2021Y</stp>
        <stp>FPT=A</stp>
        <stp>FA_ACT_EST_DATA=E, EST_SOURCE=PSG</stp>
        <stp>ACT_EST_MAPPING=PRECISE</stp>
        <stp>FS=MRC</stp>
        <stp>CURRENCY=USD</stp>
        <stp>XLFILL=b</stp>
        <tr r="AH170" s="2"/>
      </tp>
      <tp t="s">
        <v>#N/A Requesting Data...</v>
        <stp/>
        <stp>##V3_BQLV12</stp>
        <stp>[MODL_NOW_US1.xlsx]Single Period!R134C10</stp>
        <stp>NOW US Equity</stp>
        <stp>IS_COMP_EPS_GAAP</stp>
        <stp>FPR=2021Y</stp>
        <stp>FPT=A</stp>
        <stp>FA_ACT_EST_DATA=E, EST_SOURCE=CMPY</stp>
        <stp>ACT_EST_MAPPING=PRECISE</stp>
        <stp>FS=MRC</stp>
        <stp>CURRENCY=USD</stp>
        <stp>XLFILL=b</stp>
        <tr r="J134" s="2"/>
      </tp>
      <tp t="s">
        <v>#N/A Requesting Data...</v>
        <stp/>
        <stp>##V3_BQLV12</stp>
        <stp>[MODL_NOW_US1.xlsx]Single Period!R185C34</stp>
        <stp>NOW US Equity</stp>
        <stp>BS_TOT_ASSET/1M</stp>
        <stp>FPR=2021Y</stp>
        <stp>FPT=A</stp>
        <stp>FA_ACT_EST_DATA=E, EST_SOURCE=PSG</stp>
        <stp>ACT_EST_MAPPING=PRECISE</stp>
        <stp>FS=MRC</stp>
        <stp>CURRENCY=USD</stp>
        <stp>XLFILL=b</stp>
        <tr r="AH185" s="2"/>
      </tp>
      <tp t="s">
        <v>#N/A Requesting Data...</v>
        <stp/>
        <stp>##V3_BQLV12</stp>
        <stp>[MODL_NOW_US1.xlsx]Single Period!R170C42</stp>
        <stp>NOW US Equity</stp>
        <stp>BS_TOT_ASSET/1M</stp>
        <stp>FPR=2021Y</stp>
        <stp>FPT=A</stp>
        <stp>FA_ACT_EST_DATA=E, EST_SOURCE=CTI</stp>
        <stp>ACT_EST_MAPPING=PRECISE</stp>
        <stp>FS=MRC</stp>
        <stp>CURRENCY=USD</stp>
        <stp>XLFILL=b</stp>
        <tr r="AP170" s="2"/>
      </tp>
      <tp t="s">
        <v>#N/A Requesting Data...</v>
        <stp/>
        <stp>##V3_BQLV12</stp>
        <stp>[MODL_NOW_US1.xlsx]Single Period!R170C35</stp>
        <stp>NOW US Equity</stp>
        <stp>BS_TOT_ASSET/1M</stp>
        <stp>FPR=2021Y</stp>
        <stp>FPT=A</stp>
        <stp>FA_ACT_EST_DATA=E, EST_SOURCE=MSR</stp>
        <stp>ACT_EST_MAPPING=PRECISE</stp>
        <stp>FS=MRC</stp>
        <stp>CURRENCY=USD</stp>
        <stp>XLFILL=b</stp>
        <tr r="AI170" s="2"/>
      </tp>
      <tp t="s">
        <v>#N/A Requesting Data...</v>
        <stp/>
        <stp>##V3_BQLV12</stp>
        <stp>[MODL_NOW_US1.xlsx]Single Period!R222C39</stp>
        <stp>NOW US Equity</stp>
        <stp>CF_CASH_FROM_INV_ACT/1M</stp>
        <stp>FPR=2021Y</stp>
        <stp>FPT=A</stp>
        <stp>FA_ACT_EST_DATA=E, EST_SOURCE=DZB</stp>
        <stp>ACT_EST_MAPPING=PRECISE</stp>
        <stp>FS=MRC</stp>
        <stp>CURRENCY=USD</stp>
        <stp>XLFILL=b</stp>
        <tr r="AM222" s="2"/>
      </tp>
      <tp t="s">
        <v>#N/A Requesting Data...</v>
        <stp/>
        <stp>##V3_BQLV12</stp>
        <stp>[MODL_NOW_US1.xlsx]Single Period!R170C31</stp>
        <stp>NOW US Equity</stp>
        <stp>BS_TOT_ASSET/1M</stp>
        <stp>FPR=2021Y</stp>
        <stp>FPT=A</stp>
        <stp>FA_ACT_EST_DATA=E, EST_SOURCE=GSR</stp>
        <stp>ACT_EST_MAPPING=PRECISE</stp>
        <stp>FS=MRC</stp>
        <stp>CURRENCY=USD</stp>
        <stp>XLFILL=b</stp>
        <tr r="AE170" s="2"/>
      </tp>
      <tp t="s">
        <v>#N/A Requesting Data...</v>
        <stp/>
        <stp>##V3_BQLV12</stp>
        <stp>[MODL_NOW_US1.xlsx]Single Period!R190C22</stp>
        <stp>NOW US Equity</stp>
        <stp>DEFERRED_REV/1M</stp>
        <stp>FPR=2021Y</stp>
        <stp>FPT=A</stp>
        <stp>FA_ACT_EST_DATA=E, EST_SOURCE=NDH</stp>
        <stp>ACT_EST_MAPPING=PRECISE</stp>
        <stp>FS=MRC</stp>
        <stp>CURRENCY=USD</stp>
        <stp>XLFILL=b</stp>
        <tr r="V190" s="2"/>
      </tp>
      <tp t="s">
        <v>#N/A Requesting Data...</v>
        <stp/>
        <stp>##V3_BQLV12</stp>
        <stp>[MODL_NOW_US1.xlsx]Single Period!R185C31</stp>
        <stp>NOW US Equity</stp>
        <stp>BS_TOT_ASSET/1M</stp>
        <stp>FPR=2021Y</stp>
        <stp>FPT=A</stp>
        <stp>FA_ACT_EST_DATA=E, EST_SOURCE=GSR</stp>
        <stp>ACT_EST_MAPPING=PRECISE</stp>
        <stp>FS=MRC</stp>
        <stp>CURRENCY=USD</stp>
        <stp>XLFILL=b</stp>
        <tr r="AE185" s="2"/>
      </tp>
      <tp t="s">
        <v>#N/A Requesting Data...</v>
        <stp/>
        <stp>##V3_BQLV12</stp>
        <stp>[MODL_NOW_US1.xlsx]Single Period!R165C19</stp>
        <stp>NOW US Equity</stp>
        <stp>BS_OPER_LEA_RT_OF_USE_ASSETS/1M</stp>
        <stp>FPR=2021Y</stp>
        <stp>FPT=A</stp>
        <stp>FA_ACT_EST_DATA=E, EST_SOURCE=MSV</stp>
        <stp>ACT_EST_MAPPING=PRECISE</stp>
        <stp>FS=MRC</stp>
        <stp>CURRENCY=USD</stp>
        <stp>XLFILL=b</stp>
        <tr r="S165" s="2"/>
      </tp>
      <tp t="s">
        <v>#N/A Requesting Data...</v>
        <stp/>
        <stp>##V3_BQLV12</stp>
        <stp>[MODL_NOW_US1.xlsx]Single Period!R185C35</stp>
        <stp>NOW US Equity</stp>
        <stp>BS_TOT_ASSET/1M</stp>
        <stp>FPR=2021Y</stp>
        <stp>FPT=A</stp>
        <stp>FA_ACT_EST_DATA=E, EST_SOURCE=MSR</stp>
        <stp>ACT_EST_MAPPING=PRECISE</stp>
        <stp>FS=MRC</stp>
        <stp>CURRENCY=USD</stp>
        <stp>XLFILL=b</stp>
        <tr r="AI185" s="2"/>
      </tp>
      <tp t="s">
        <v>#N/A Requesting Data...</v>
        <stp/>
        <stp>##V3_BQLV12</stp>
        <stp>[MODL_NOW_US1.xlsx]Single Period!R115C13</stp>
        <stp>NOW US Equity</stp>
        <stp>GROSS_PROFIT/1M</stp>
        <stp>FPR=2021Y</stp>
        <stp>FPT=A</stp>
        <stp>FA_ACT_EST_DATA=E, EST_SOURCE=KEY</stp>
        <stp>ACT_EST_MAPPING=PRECISE</stp>
        <stp>FS=MRC</stp>
        <stp>CURRENCY=USD</stp>
        <stp>XLFILL=b</stp>
        <tr r="M115" s="2"/>
      </tp>
      <tp t="s">
        <v>#N/A Requesting Data...</v>
        <stp/>
        <stp>##V3_BQLV12</stp>
        <stp>[MODL_NOW_US1.xlsx]Single Period!R190C36</stp>
        <stp>NOW US Equity</stp>
        <stp>DEFERRED_REV/1M</stp>
        <stp>FPR=2021Y</stp>
        <stp>FPT=A</stp>
        <stp>FA_ACT_EST_DATA=E, EST_SOURCE=JEF</stp>
        <stp>ACT_EST_MAPPING=PRECISE</stp>
        <stp>FS=MRC</stp>
        <stp>CURRENCY=USD</stp>
        <stp>XLFILL=b</stp>
        <tr r="AJ190" s="2"/>
      </tp>
      <tp t="s">
        <v>#N/A Requesting Data...</v>
        <stp/>
        <stp>##V3_BQLV12</stp>
        <stp>[MODL_NOW_US1.xlsx]Single Period!R132C24</stp>
        <stp>NOW US Equity</stp>
        <stp>CONT_INC_PER_SH</stp>
        <stp>FPR=2021Y</stp>
        <stp>FPT=A</stp>
        <stp>FA_ACT_EST_DATA=E, EST_SOURCE=CWN</stp>
        <stp>ACT_EST_MAPPING=PRECISE</stp>
        <stp>FS=MRC</stp>
        <stp>CURRENCY=USD</stp>
        <stp>XLFILL=b</stp>
        <tr r="X132" s="2"/>
      </tp>
      <tp t="s">
        <v>#N/A Requesting Data...</v>
        <stp/>
        <stp>##V3_BQLV12</stp>
        <stp>[MODL_NOW_US1.xlsx]Single Period!R237C29</stp>
        <stp>NOW US Equity</stp>
        <stp>FCF_PER_DIL_SHR</stp>
        <stp>FPR=2021Y</stp>
        <stp>FPT=A</stp>
        <stp>FA_ACT_EST_DATA=E, EST_SOURCE=BNS</stp>
        <stp>ACT_EST_MAPPING=PRECISE</stp>
        <stp>FS=MRC</stp>
        <stp>CURRENCY=USD</stp>
        <stp>XLFILL=b</stp>
        <tr r="AC237" s="2"/>
      </tp>
      <tp t="s">
        <v>#N/A Requesting Data...</v>
        <stp/>
        <stp>##V3_BQLV12</stp>
        <stp>[MODL_NOW_US1.xlsx]Single Period!R51C47</stp>
        <stp>NOW US Equity</stp>
        <stp>ACCOUNTS_PAYABLE_TURNOVER_DAYS</stp>
        <stp>FPR=2021Y</stp>
        <stp>FPT=A</stp>
        <stp>FA_ACT_EST_DATA=E, EST_SOURCE=SUM</stp>
        <stp>ACT_EST_MAPPING=PRECISE</stp>
        <stp>FS=MRC</stp>
        <stp>CURRENCY=USD</stp>
        <stp>XLFILL=b</stp>
        <tr r="AU51" s="2"/>
      </tp>
      <tp t="s">
        <v>#N/A Requesting Data...</v>
        <stp/>
        <stp>##V3_BQLV12</stp>
        <stp>[MODL_NOW_US1.xlsx]Single Period!R32C45</stp>
        <stp>NOW US Equity</stp>
        <stp>BS_REMAINING_PERFORMANCE_OBLIG/1M</stp>
        <stp>FPR=2021Y</stp>
        <stp>FPT=A</stp>
        <stp>FA_ACT_EST_DATA=E, EST_SOURCE=PJE</stp>
        <stp>ACT_EST_MAPPING=PRECISE</stp>
        <stp>FS=MRC</stp>
        <stp>CURRENCY=USD</stp>
        <stp>XLFILL=b</stp>
        <tr r="AS32" s="2"/>
      </tp>
      <tp t="s">
        <v>#N/A Requesting Data...</v>
        <stp/>
        <stp>##V3_BQLV12</stp>
        <stp>[MODL_NOW_US1.xlsx]Single Period!R4C43</stp>
        <stp>NOW US Equity</stp>
        <stp>LAST(IS_COMP_SALES(FA_ACT_EST_DATA=E, EST_SOURCE=WFT).analyst_name)</stp>
        <stp>FPR=2021Y</stp>
        <stp>FPT=A</stp>
        <stp>ACT_EST_MAPPING=PRECISE</stp>
        <stp>FS=MRC</stp>
        <stp>CURRENCY=USD</stp>
        <stp>XLFILL=b</stp>
        <tr r="AQ4" s="2"/>
      </tp>
      <tp t="s">
        <v>#N/A Requesting Data...</v>
        <stp/>
        <stp>##V3_BQLV12</stp>
        <stp>[MODL_NOW_US1.xlsx]Single Period!R118C49</stp>
        <stp>NOW US Equity</stp>
        <stp>OPERATING_EXPENSES_TO_NET_SALES</stp>
        <stp>FPR=2021Y</stp>
        <stp>FPT=A</stp>
        <stp>FA_ACT_EST_DATA=E, EST_SOURCE=SCB</stp>
        <stp>ACT_EST_MAPPING=PRECISE</stp>
        <stp>FS=MRC</stp>
        <stp>CURRENCY=USD</stp>
        <stp>XLFILL=b</stp>
        <tr r="AW118" s="2"/>
      </tp>
      <tp t="s">
        <v>#N/A Requesting Data...</v>
        <stp/>
        <stp>##V3_BQLV12</stp>
        <stp>[MODL_NOW_US1.xlsx]Single Period!R4C12</stp>
        <stp>NOW US Equity</stp>
        <stp>LAST(IS_COMP_SALES(FA_ACT_EST_DATA=E, EST_SOURCE=WBL).analyst_name)</stp>
        <stp>FPR=2021Y</stp>
        <stp>FPT=A</stp>
        <stp>ACT_EST_MAPPING=PRECISE</stp>
        <stp>FS=MRC</stp>
        <stp>CURRENCY=USD</stp>
        <stp>XLFILL=b</stp>
        <tr r="L4" s="2"/>
      </tp>
      <tp t="s">
        <v>#N/A Requesting Data...</v>
        <stp/>
        <stp>##V3_BQLV12</stp>
        <stp>[MODL_NOW_US1.xlsx]Single Period!R114C28</stp>
        <stp>SEG0000230986 Segment</stp>
        <stp>CB_IS_GROSS_MARGIN</stp>
        <stp>FPR=2021Y</stp>
        <stp>FPT=A</stp>
        <stp>FA_ACT_EST_DATA=E, EST_SOURCE=EVR</stp>
        <stp>ACT_EST_MAPPING=PRECISE</stp>
        <stp>FS=MRC</stp>
        <stp>CURRENCY=USD</stp>
        <stp>XLFILL=b</stp>
        <tr r="AB114" s="2"/>
      </tp>
      <tp t="s">
        <v>#N/A Requesting Data...</v>
        <stp/>
        <stp>##V3_BQLV12</stp>
        <stp>[MODL_NOW_US1.xlsx]Single Period!R237C14</stp>
        <stp>NOW US Equity</stp>
        <stp>FCF_PER_DIL_SHR</stp>
        <stp>FPR=2021Y</stp>
        <stp>FPT=A</stp>
        <stp>FA_ACT_EST_DATA=E, EST_SOURCE=BMO</stp>
        <stp>ACT_EST_MAPPING=PRECISE</stp>
        <stp>FS=MRC</stp>
        <stp>CURRENCY=USD</stp>
        <stp>XLFILL=b</stp>
        <tr r="N237" s="2"/>
      </tp>
      <tp t="s">
        <v>#N/A Requesting Data...</v>
        <stp/>
        <stp>##V3_BQLV12</stp>
        <stp>[MODL_NOW_US1.xlsx]Single Period!R155C7</stp>
        <stp>NOW US Equity</stp>
        <stp>CONTRIBUTOR_STATS(BS_CASH_CASH_EQUIVALENTS_AND_STI, MAX)/1M</stp>
        <stp>FPR=2021Y</stp>
        <stp>FPT=A</stp>
        <stp>FA_ACT_EST_DATA=E</stp>
        <stp>ACT_EST_MAPPING=PRECISE</stp>
        <stp>FS=MRC</stp>
        <stp>CURRENCY=USD</stp>
        <stp>XLFILL=b</stp>
        <tr r="G155" s="2"/>
      </tp>
      <tp t="s">
        <v>#N/A Requesting Data...</v>
        <stp/>
        <stp>##V3_BQLV12</stp>
        <stp>[MODL_NOW_US1.xlsx]Single Period!R155C6</stp>
        <stp>NOW US Equity</stp>
        <stp>CONTRIBUTOR_STATS(BS_CASH_CASH_EQUIVALENTS_AND_STI, MIN)/1M</stp>
        <stp>FPR=2021Y</stp>
        <stp>FPT=A</stp>
        <stp>FA_ACT_EST_DATA=E</stp>
        <stp>ACT_EST_MAPPING=PRECISE</stp>
        <stp>FS=MRC</stp>
        <stp>CURRENCY=USD</stp>
        <stp>XLFILL=b</stp>
        <tr r="F155" s="2"/>
      </tp>
      <tp t="s">
        <v>#N/A Requesting Data...</v>
        <stp/>
        <stp>##V3_BQLV12</stp>
        <stp>[MODL_NOW_US1.xlsx]Single Period!R127C6</stp>
        <stp>NOW US Equity</stp>
        <stp>CONTRIBUTOR_STATS(PRETAX_INC, MIN)/1M</stp>
        <stp>FPR=2021Y</stp>
        <stp>FPT=A</stp>
        <stp>FA_ACT_EST_DATA=E</stp>
        <stp>ACT_EST_MAPPING=PRECISE</stp>
        <stp>FS=MRC</stp>
        <stp>CURRENCY=USD</stp>
        <stp>XLFILL=b</stp>
        <tr r="F127" s="2"/>
      </tp>
      <tp t="s">
        <v>#N/A Requesting Data...</v>
        <stp/>
        <stp>##V3_BQLV12</stp>
        <stp>[MODL_NOW_US1.xlsx]Single Period!R127C7</stp>
        <stp>NOW US Equity</stp>
        <stp>CONTRIBUTOR_STATS(PRETAX_INC, MAX)/1M</stp>
        <stp>FPR=2021Y</stp>
        <stp>FPT=A</stp>
        <stp>FA_ACT_EST_DATA=E</stp>
        <stp>ACT_EST_MAPPING=PRECISE</stp>
        <stp>FS=MRC</stp>
        <stp>CURRENCY=USD</stp>
        <stp>XLFILL=b</stp>
        <tr r="G127" s="2"/>
      </tp>
      <tp t="s">
        <v>#N/A Requesting Data...</v>
        <stp/>
        <stp>##V3_BQLV12</stp>
        <stp>[MODL_NOW_US1.xlsx]Single Period!R77C5</stp>
        <stp>SEG0000230969 Segment</stp>
        <stp>SALES_REV_TURN/1M</stp>
        <stp>FPR=2021Y</stp>
        <stp>FPT=A</stp>
        <stp>FA_ACT_EST_DATA=E</stp>
        <stp>ACT_EST_MAPPING=PRECISE</stp>
        <stp>FS=MRC</stp>
        <stp>CURRENCY=USD</stp>
        <stp>XLFILL=b</stp>
        <tr r="E77" s="2"/>
      </tp>
      <tp t="s">
        <v>#N/A Requesting Data...</v>
        <stp/>
        <stp>##V3_BQLV12</stp>
        <stp>[MODL_NOW_US1.xlsx]Single Period!R155C8</stp>
        <stp>NOW US Equity</stp>
        <stp>CONTRIBUTOR_STATS(BS_CASH_CASH_EQUIVALENTS_AND_STI, STD)/1M</stp>
        <stp>FPR=2021Y</stp>
        <stp>FPT=A</stp>
        <stp>FA_ACT_EST_DATA=E</stp>
        <stp>ACT_EST_MAPPING=PRECISE</stp>
        <stp>FS=MRC</stp>
        <stp>CURRENCY=USD</stp>
        <stp>XLFILL=b</stp>
        <tr r="H155" s="2"/>
      </tp>
      <tp t="s">
        <v>#N/A Requesting Data...</v>
        <stp/>
        <stp>##V3_BQLV12</stp>
        <stp>[MODL_NOW_US1.xlsx]Single Period!R127C8</stp>
        <stp>NOW US Equity</stp>
        <stp>CONTRIBUTOR_STATS(PRETAX_INC, STD)/1M</stp>
        <stp>FPR=2021Y</stp>
        <stp>FPT=A</stp>
        <stp>FA_ACT_EST_DATA=E</stp>
        <stp>ACT_EST_MAPPING=PRECISE</stp>
        <stp>FS=MRC</stp>
        <stp>CURRENCY=USD</stp>
        <stp>XLFILL=b</stp>
        <tr r="H127" s="2"/>
      </tp>
      <tp t="s">
        <v>#N/A Requesting Data...</v>
        <stp/>
        <stp>##V3_BQLV12</stp>
        <stp>[MODL_NOW_US1.xlsx]Single Period!R150C6</stp>
        <stp>NOW US Equity</stp>
        <stp>CONTRIBUTOR_STATS(IS_INC_TAX_EFFECT_NONGAAP_REC, MIN)/1M</stp>
        <stp>FPR=2021Y</stp>
        <stp>FPT=A</stp>
        <stp>FA_ACT_EST_DATA=E</stp>
        <stp>ACT_EST_MAPPING=PRECISE</stp>
        <stp>FS=MRC</stp>
        <stp>CURRENCY=USD</stp>
        <stp>XLFILL=b</stp>
        <tr r="F150" s="2"/>
      </tp>
      <tp t="s">
        <v>#N/A Requesting Data...</v>
        <stp/>
        <stp>##V3_BQLV12</stp>
        <stp>[MODL_NOW_US1.xlsx]Single Period!R133C5</stp>
        <stp>NOW US Equity</stp>
        <stp>IS_SH_FOR_DILUTED_EPS/1M</stp>
        <stp>FPR=2021Y</stp>
        <stp>FPT=A</stp>
        <stp>FA_ACT_EST_DATA=E</stp>
        <stp>ACT_EST_MAPPING=PRECISE</stp>
        <stp>FS=MRC</stp>
        <stp>CURRENCY=USD</stp>
        <stp>XLFILL=b</stp>
        <tr r="E133" s="2"/>
      </tp>
      <tp t="s">
        <v>#N/A Requesting Data...</v>
        <stp/>
        <stp>##V3_BQLV12</stp>
        <stp>[MODL_NOW_US1.xlsx]Single Period!R7C11</stp>
        <stp>NOW US Equity</stp>
        <stp>IS_COMP_SALES/1M</stp>
        <stp>FPR=2021Y</stp>
        <stp>FPT=A</stp>
        <stp>FA_ACT_EST_DATA=E, EST_SOURCE=JPM</stp>
        <stp>ACT_EST_MAPPING=PRECISE</stp>
        <stp>FS=MRC</stp>
        <stp>CURRENCY=USD</stp>
        <stp>XLFILL=b</stp>
        <tr r="K7" s="2"/>
      </tp>
      <tp t="s">
        <v>#N/A Requesting Data...</v>
        <stp/>
        <stp>##V3_BQLV12</stp>
        <stp>[MODL_NOW_US1.xlsx]Single Period!R43C5</stp>
        <stp>SEG0000230975 Segment</stp>
        <stp>CB_ADJ_BILLINGS_AMT/1M</stp>
        <stp>FPR=2021Y</stp>
        <stp>FPT=A</stp>
        <stp>FA_ACT_EST_DATA=E</stp>
        <stp>ACT_EST_MAPPING=PRECISE</stp>
        <stp>FS=MRC</stp>
        <stp>CURRENCY=USD</stp>
        <stp>XLFILL=b</stp>
        <tr r="E43" s="2"/>
      </tp>
      <tp t="s">
        <v>#N/A Requesting Data...</v>
        <stp/>
        <stp>##V3_BQLV12</stp>
        <stp>[MODL_NOW_US1.xlsx]Single Period!R199C5</stp>
        <stp>NOW US Equity</stp>
        <stp>IS_COMP_NET_INCOME_GAAP/1M</stp>
        <stp>FPR=2021Y</stp>
        <stp>FPT=A</stp>
        <stp>FA_ACT_EST_DATA=E</stp>
        <stp>ACT_EST_MAPPING=PRECISE</stp>
        <stp>FS=MRC</stp>
        <stp>CURRENCY=USD</stp>
        <stp>XLFILL=b</stp>
        <tr r="E199" s="2"/>
      </tp>
      <tp t="s">
        <v>#N/A Requesting Data...</v>
        <stp/>
        <stp>##V3_BQLV12</stp>
        <stp>[MODL_NOW_US1.xlsx]Single Period!R87C25</stp>
        <stp>NOW US Equity</stp>
        <stp>CB_IS_ADJUSTED_OPEX/1M</stp>
        <stp>FPR=2021Y</stp>
        <stp>FPT=A</stp>
        <stp>FA_ACT_EST_DATA=E, EST_SOURCE=DBG</stp>
        <stp>ACT_EST_MAPPING=PRECISE</stp>
        <stp>FS=MRC</stp>
        <stp>CURRENCY=USD</stp>
        <stp>XLFILL=b</stp>
        <tr r="Y87" s="2"/>
      </tp>
      <tp t="s">
        <v>#N/A Requesting Data...</v>
        <stp/>
        <stp>##V3_BQLV12</stp>
        <stp>[MODL_NOW_US1.xlsx]Single Period!R122C41</stp>
        <stp>NOW US Equity</stp>
        <stp>IS_MERGER_AND_ACQUIS_EXPN_OP/1M</stp>
        <stp>FPR=2021Y</stp>
        <stp>FPT=A</stp>
        <stp>FA_ACT_EST_DATA=E, EST_SOURCE=ARG</stp>
        <stp>ACT_EST_MAPPING=PRECISE</stp>
        <stp>FS=MRC</stp>
        <stp>CURRENCY=USD</stp>
        <stp>XLFILL=b</stp>
        <tr r="AO122" s="2"/>
      </tp>
      <tp t="s">
        <v>#N/A Requesting Data...</v>
        <stp/>
        <stp>##V3_BQLV12</stp>
        <stp>[MODL_NOW_US1.xlsx]Single Period!R185C47</stp>
        <stp>NOW US Equity</stp>
        <stp>BS_TOT_ASSET/1M</stp>
        <stp>FPR=2021Y</stp>
        <stp>FPT=A</stp>
        <stp>FA_ACT_EST_DATA=E, EST_SOURCE=SUM</stp>
        <stp>ACT_EST_MAPPING=PRECISE</stp>
        <stp>FS=MRC</stp>
        <stp>CURRENCY=USD</stp>
        <stp>XLFILL=b</stp>
        <tr r="AU185" s="2"/>
      </tp>
      <tp t="s">
        <v>#N/A Requesting Data...</v>
        <stp/>
        <stp>##V3_BQLV12</stp>
        <stp>[MODL_NOW_US1.xlsx]Single Period!R87C32</stp>
        <stp>NOW US Equity</stp>
        <stp>CB_IS_ADJUSTED_OPEX/1M</stp>
        <stp>FPR=2021Y</stp>
        <stp>FPT=A</stp>
        <stp>FA_ACT_EST_DATA=E, EST_SOURCE=FBC</stp>
        <stp>ACT_EST_MAPPING=PRECISE</stp>
        <stp>FS=MRC</stp>
        <stp>CURRENCY=USD</stp>
        <stp>XLFILL=b</stp>
        <tr r="AF87" s="2"/>
      </tp>
      <tp t="s">
        <v>#N/A Requesting Data...</v>
        <stp/>
        <stp>##V3_BQLV12</stp>
        <stp>[MODL_NOW_US1.xlsx]Single Period!R87C27</stp>
        <stp>NOW US Equity</stp>
        <stp>CB_IS_ADJUSTED_OPEX/1M</stp>
        <stp>FPR=2021Y</stp>
        <stp>FPT=A</stp>
        <stp>FA_ACT_EST_DATA=E, EST_SOURCE=RBC</stp>
        <stp>ACT_EST_MAPPING=PRECISE</stp>
        <stp>FS=MRC</stp>
        <stp>CURRENCY=USD</stp>
        <stp>XLFILL=b</stp>
        <tr r="AA87" s="2"/>
      </tp>
      <tp t="s">
        <v>#N/A Requesting Data...</v>
        <stp/>
        <stp>##V3_BQLV12</stp>
        <stp>[MODL_NOW_US1.xlsx]Single Period!R185C11</stp>
        <stp>NOW US Equity</stp>
        <stp>BS_TOT_ASSET/1M</stp>
        <stp>FPR=2021Y</stp>
        <stp>FPT=A</stp>
        <stp>FA_ACT_EST_DATA=E, EST_SOURCE=JPM</stp>
        <stp>ACT_EST_MAPPING=PRECISE</stp>
        <stp>FS=MRC</stp>
        <stp>CURRENCY=USD</stp>
        <stp>XLFILL=b</stp>
        <tr r="K185" s="2"/>
      </tp>
      <tp t="s">
        <v>#N/A Requesting Data...</v>
        <stp/>
        <stp>##V3_BQLV12</stp>
        <stp>[MODL_NOW_US1.xlsx]Single Period!R122C44</stp>
        <stp>NOW US Equity</stp>
        <stp>IS_MERGER_AND_ACQUIS_EXPN_OP/1M</stp>
        <stp>FPR=2021Y</stp>
        <stp>FPT=A</stp>
        <stp>FA_ACT_EST_DATA=E, EST_SOURCE=ARE</stp>
        <stp>ACT_EST_MAPPING=PRECISE</stp>
        <stp>FS=MRC</stp>
        <stp>CURRENCY=USD</stp>
        <stp>XLFILL=b</stp>
        <tr r="AR122" s="2"/>
      </tp>
      <tp t="s">
        <v>#N/A Requesting Data...</v>
        <stp/>
        <stp>##V3_BQLV12</stp>
        <stp>[MODL_NOW_US1.xlsx]Single Period!R87C12</stp>
        <stp>NOW US Equity</stp>
        <stp>CB_IS_ADJUSTED_OPEX/1M</stp>
        <stp>FPR=2021Y</stp>
        <stp>FPT=A</stp>
        <stp>FA_ACT_EST_DATA=E, EST_SOURCE=WBL</stp>
        <stp>ACT_EST_MAPPING=PRECISE</stp>
        <stp>FS=MRC</stp>
        <stp>CURRENCY=USD</stp>
        <stp>XLFILL=b</stp>
        <tr r="L87" s="2"/>
      </tp>
      <tp t="s">
        <v>#N/A Requesting Data...</v>
        <stp/>
        <stp>##V3_BQLV12</stp>
        <stp>[MODL_NOW_US1.xlsx]Single Period!R170C11</stp>
        <stp>NOW US Equity</stp>
        <stp>BS_TOT_ASSET/1M</stp>
        <stp>FPR=2021Y</stp>
        <stp>FPT=A</stp>
        <stp>FA_ACT_EST_DATA=E, EST_SOURCE=JPM</stp>
        <stp>ACT_EST_MAPPING=PRECISE</stp>
        <stp>FS=MRC</stp>
        <stp>CURRENCY=USD</stp>
        <stp>XLFILL=b</stp>
        <tr r="K170" s="2"/>
      </tp>
      <tp t="s">
        <v>#N/A Requesting Data...</v>
        <stp/>
        <stp>##V3_BQLV12</stp>
        <stp>[MODL_NOW_US1.xlsx]Single Period!R170C47</stp>
        <stp>NOW US Equity</stp>
        <stp>BS_TOT_ASSET/1M</stp>
        <stp>FPR=2021Y</stp>
        <stp>FPT=A</stp>
        <stp>FA_ACT_EST_DATA=E, EST_SOURCE=SUM</stp>
        <stp>ACT_EST_MAPPING=PRECISE</stp>
        <stp>FS=MRC</stp>
        <stp>CURRENCY=USD</stp>
        <stp>XLFILL=b</stp>
        <tr r="AU170" s="2"/>
      </tp>
      <tp t="s">
        <v>#N/A Requesting Data...</v>
        <stp/>
        <stp>##V3_BQLV12</stp>
        <stp>[MODL_NOW_US1.xlsx]Single Period!R122C48</stp>
        <stp>NOW US Equity</stp>
        <stp>IS_MERGER_AND_ACQUIS_EXPN_OP/1M</stp>
        <stp>FPR=2021Y</stp>
        <stp>FPT=A</stp>
        <stp>FA_ACT_EST_DATA=E, EST_SOURCE=CRC</stp>
        <stp>ACT_EST_MAPPING=PRECISE</stp>
        <stp>FS=MRC</stp>
        <stp>CURRENCY=USD</stp>
        <stp>XLFILL=b</stp>
        <tr r="AV122" s="2"/>
      </tp>
      <tp t="s">
        <v>#N/A Requesting Data...</v>
        <stp/>
        <stp>##V3_BQLV12</stp>
        <stp>[MODL_NOW_US1.xlsx]Single Period!R165C40</stp>
        <stp>NOW US Equity</stp>
        <stp>BS_OPER_LEA_RT_OF_USE_ASSETS/1M</stp>
        <stp>FPR=2021Y</stp>
        <stp>FPT=A</stp>
        <stp>FA_ACT_EST_DATA=E, EST_SOURCE=DWI</stp>
        <stp>ACT_EST_MAPPING=PRECISE</stp>
        <stp>FS=MRC</stp>
        <stp>CURRENCY=USD</stp>
        <stp>XLFILL=b</stp>
        <tr r="AN165" s="2"/>
      </tp>
      <tp t="s">
        <v>#N/A Requesting Data...</v>
        <stp/>
        <stp>##V3_BQLV12</stp>
        <stp>[MODL_NOW_US1.xlsx]Single Period!R39C17</stp>
        <stp>NOW US Equity</stp>
        <stp>IS_BILLINGS/1M</stp>
        <stp>FPR=2021Y</stp>
        <stp>FPT=A</stp>
        <stp>FA_ACT_EST_DATA=E, EST_SOURCE=RHR</stp>
        <stp>ACT_EST_MAPPING=PRECISE</stp>
        <stp>FS=MRC</stp>
        <stp>CURRENCY=USD</stp>
        <stp>XLFILL=b</stp>
        <tr r="Q39" s="2"/>
      </tp>
      <tp t="s">
        <v>#N/A Requesting Data...</v>
        <stp/>
        <stp>##V3_BQLV12</stp>
        <stp>[MODL_NOW_US1.xlsx]Single Period!R190C49</stp>
        <stp>NOW US Equity</stp>
        <stp>DEFERRED_REV/1M</stp>
        <stp>FPR=2021Y</stp>
        <stp>FPT=A</stp>
        <stp>FA_ACT_EST_DATA=E, EST_SOURCE=SCB</stp>
        <stp>ACT_EST_MAPPING=PRECISE</stp>
        <stp>FS=MRC</stp>
        <stp>CURRENCY=USD</stp>
        <stp>XLFILL=b</stp>
        <tr r="AW190" s="2"/>
      </tp>
      <tp t="s">
        <v>#N/A Requesting Data...</v>
        <stp/>
        <stp>##V3_BQLV12</stp>
        <stp>[MODL_NOW_US1.xlsx]Single Period!R87C26</stp>
        <stp>NOW US Equity</stp>
        <stp>CB_IS_ADJUSTED_OPEX/1M</stp>
        <stp>FPR=2021Y</stp>
        <stp>FPT=A</stp>
        <stp>FA_ACT_EST_DATA=E, EST_SOURCE=UBS</stp>
        <stp>ACT_EST_MAPPING=PRECISE</stp>
        <stp>FS=MRC</stp>
        <stp>CURRENCY=USD</stp>
        <stp>XLFILL=b</stp>
        <tr r="Z87" s="2"/>
      </tp>
      <tp t="s">
        <v>#N/A Requesting Data...</v>
        <stp/>
        <stp>##V3_BQLV12</stp>
        <stp>[MODL_NOW_US1.xlsx]Single Period!R185C15</stp>
        <stp>NOW US Equity</stp>
        <stp>BS_TOT_ASSET/1M</stp>
        <stp>FPR=2021Y</stp>
        <stp>FPT=A</stp>
        <stp>FA_ACT_EST_DATA=E, EST_SOURCE=OPY</stp>
        <stp>ACT_EST_MAPPING=PRECISE</stp>
        <stp>FS=MRC</stp>
        <stp>CURRENCY=USD</stp>
        <stp>XLFILL=b</stp>
        <tr r="O185" s="2"/>
      </tp>
      <tp t="s">
        <v>#N/A Requesting Data...</v>
        <stp/>
        <stp>##V3_BQLV12</stp>
        <stp>[MODL_NOW_US1.xlsx]Single Period!R93C43</stp>
        <stp>NOW US Equity</stp>
        <stp>G_AND_A_COST_PCT_REVENUES</stp>
        <stp>FPR=2021Y</stp>
        <stp>FPT=A</stp>
        <stp>FA_ACT_EST_DATA=E, EST_SOURCE=WFT</stp>
        <stp>ACT_EST_MAPPING=PRECISE</stp>
        <stp>FS=MRC</stp>
        <stp>CURRENCY=USD</stp>
        <stp>XLFILL=b</stp>
        <tr r="AQ93" s="2"/>
      </tp>
      <tp t="s">
        <v>#N/A Requesting Data...</v>
        <stp/>
        <stp>##V3_BQLV12</stp>
        <stp>[MODL_NOW_US1.xlsx]Single Period!R170C15</stp>
        <stp>NOW US Equity</stp>
        <stp>BS_TOT_ASSET/1M</stp>
        <stp>FPR=2021Y</stp>
        <stp>FPT=A</stp>
        <stp>FA_ACT_EST_DATA=E, EST_SOURCE=OPY</stp>
        <stp>ACT_EST_MAPPING=PRECISE</stp>
        <stp>FS=MRC</stp>
        <stp>CURRENCY=USD</stp>
        <stp>XLFILL=b</stp>
        <tr r="O170" s="2"/>
      </tp>
      <tp t="s">
        <v>#N/A Requesting Data...</v>
        <stp/>
        <stp>##V3_BQLV12</stp>
        <stp>[MODL_NOW_US1.xlsx]Single Period!R120C39</stp>
        <stp>NOW US Equity</stp>
        <stp>IS_OPEX_R_AND_D_GAAP/1M</stp>
        <stp>FPR=2021Y</stp>
        <stp>FPT=A</stp>
        <stp>FA_ACT_EST_DATA=E, EST_SOURCE=DZB</stp>
        <stp>ACT_EST_MAPPING=PRECISE</stp>
        <stp>FS=MRC</stp>
        <stp>CURRENCY=USD</stp>
        <stp>XLFILL=b</stp>
        <tr r="AM120" s="2"/>
      </tp>
      <tp t="s">
        <v>#N/A Requesting Data...</v>
        <stp/>
        <stp>##V3_BQLV12</stp>
        <stp>[MODL_NOW_US1.xlsx]Single Period!R51C41</stp>
        <stp>NOW US Equity</stp>
        <stp>ACCOUNTS_PAYABLE_TURNOVER_DAYS</stp>
        <stp>FPR=2021Y</stp>
        <stp>FPT=A</stp>
        <stp>FA_ACT_EST_DATA=E, EST_SOURCE=ARG</stp>
        <stp>ACT_EST_MAPPING=PRECISE</stp>
        <stp>FS=MRC</stp>
        <stp>CURRENCY=USD</stp>
        <stp>XLFILL=b</stp>
        <tr r="AO51" s="2"/>
      </tp>
      <tp t="s">
        <v>#N/A Requesting Data...</v>
        <stp/>
        <stp>##V3_BQLV12</stp>
        <stp>[MODL_NOW_US1.xlsx]Single Period!R51C44</stp>
        <stp>NOW US Equity</stp>
        <stp>ACCOUNTS_PAYABLE_TURNOVER_DAYS</stp>
        <stp>FPR=2021Y</stp>
        <stp>FPT=A</stp>
        <stp>FA_ACT_EST_DATA=E, EST_SOURCE=ARE</stp>
        <stp>ACT_EST_MAPPING=PRECISE</stp>
        <stp>FS=MRC</stp>
        <stp>CURRENCY=USD</stp>
        <stp>XLFILL=b</stp>
        <tr r="AR51" s="2"/>
      </tp>
      <tp t="s">
        <v>#N/A Requesting Data...</v>
        <stp/>
        <stp>##V3_BQLV12</stp>
        <stp>[MODL_NOW_US1.xlsx]Single Period!R51C48</stp>
        <stp>NOW US Equity</stp>
        <stp>ACCOUNTS_PAYABLE_TURNOVER_DAYS</stp>
        <stp>FPR=2021Y</stp>
        <stp>FPT=A</stp>
        <stp>FA_ACT_EST_DATA=E, EST_SOURCE=CRC</stp>
        <stp>ACT_EST_MAPPING=PRECISE</stp>
        <stp>FS=MRC</stp>
        <stp>CURRENCY=USD</stp>
        <stp>XLFILL=b</stp>
        <tr r="AV51" s="2"/>
      </tp>
      <tp t="s">
        <v>#N/A Requesting Data...</v>
        <stp/>
        <stp>##V3_BQLV12</stp>
        <stp>[MODL_NOW_US1.xlsx]Single Period!R95C8</stp>
        <stp>NOW US Equity</stp>
        <stp>CONTRIBUTOR_STATS(IS_COMPARABLE_EBIT, STD)/1M</stp>
        <stp>FPR=2021Y</stp>
        <stp>FPT=A</stp>
        <stp>FA_ACT_EST_DATA=E</stp>
        <stp>ACT_EST_MAPPING=PRECISE</stp>
        <stp>FS=MRC</stp>
        <stp>CURRENCY=USD</stp>
        <stp>XLFILL=b</stp>
        <tr r="H95" s="2"/>
      </tp>
      <tp t="s">
        <v>#N/A Requesting Data...</v>
        <stp/>
        <stp>##V3_BQLV12</stp>
        <stp>[MODL_NOW_US1.xlsx]Single Period!R32C14</stp>
        <stp>NOW US Equity</stp>
        <stp>BS_REMAINING_PERFORMANCE_OBLIG/1M</stp>
        <stp>FPR=2021Y</stp>
        <stp>FPT=A</stp>
        <stp>FA_ACT_EST_DATA=E, EST_SOURCE=BMO</stp>
        <stp>ACT_EST_MAPPING=PRECISE</stp>
        <stp>FS=MRC</stp>
        <stp>CURRENCY=USD</stp>
        <stp>XLFILL=b</stp>
        <tr r="N32" s="2"/>
      </tp>
      <tp t="s">
        <v>#N/A Requesting Data...</v>
        <stp/>
        <stp>##V3_BQLV12</stp>
        <stp>[MODL_NOW_US1.xlsx]Single Period!R4C34</stp>
        <stp>NOW US Equity</stp>
        <stp>LAST(IS_COMP_SALES(FA_ACT_EST_DATA=E, EST_SOURCE=PSG).analyst_name)</stp>
        <stp>FPR=2021Y</stp>
        <stp>FPT=A</stp>
        <stp>ACT_EST_MAPPING=PRECISE</stp>
        <stp>FS=MRC</stp>
        <stp>CURRENCY=USD</stp>
        <stp>XLFILL=b</stp>
        <tr r="AH4" s="2"/>
      </tp>
      <tp t="s">
        <v>#N/A Requesting Data...</v>
        <stp/>
        <stp>##V3_BQLV12</stp>
        <stp>[MODL_NOW_US1.xlsx]Single Period!R208C10</stp>
        <stp>NOW US Equity</stp>
        <stp>CF_CHANGE_IN_OTHR_ASSTS/1M</stp>
        <stp>FPR=2021Y</stp>
        <stp>FPT=A</stp>
        <stp>FA_ACT_EST_DATA=E, EST_SOURCE=CMPY</stp>
        <stp>ACT_EST_MAPPING=PRECISE</stp>
        <stp>FS=MRC</stp>
        <stp>CURRENCY=USD</stp>
        <stp>XLFILL=b</stp>
        <tr r="J208" s="2"/>
      </tp>
      <tp t="s">
        <v>#N/A Requesting Data...</v>
        <stp/>
        <stp>##V3_BQLV12</stp>
        <stp>[MODL_NOW_US1.xlsx]Single Period!R118C26</stp>
        <stp>NOW US Equity</stp>
        <stp>OPERATING_EXPENSES_TO_NET_SALES</stp>
        <stp>FPR=2021Y</stp>
        <stp>FPT=A</stp>
        <stp>FA_ACT_EST_DATA=E, EST_SOURCE=UBS</stp>
        <stp>ACT_EST_MAPPING=PRECISE</stp>
        <stp>FS=MRC</stp>
        <stp>CURRENCY=USD</stp>
        <stp>XLFILL=b</stp>
        <tr r="Z118" s="2"/>
      </tp>
      <tp t="s">
        <v>#N/A Requesting Data...</v>
        <stp/>
        <stp>##V3_BQLV12</stp>
        <stp>[MODL_NOW_US1.xlsx]Single Period!R132C19</stp>
        <stp>NOW US Equity</stp>
        <stp>CONT_INC_PER_SH</stp>
        <stp>FPR=2021Y</stp>
        <stp>FPT=A</stp>
        <stp>FA_ACT_EST_DATA=E, EST_SOURCE=MSV</stp>
        <stp>ACT_EST_MAPPING=PRECISE</stp>
        <stp>FS=MRC</stp>
        <stp>CURRENCY=USD</stp>
        <stp>XLFILL=b</stp>
        <tr r="S132" s="2"/>
      </tp>
      <tp t="s">
        <v>#N/A Requesting Data...</v>
        <stp/>
        <stp>##V3_BQLV12</stp>
        <stp>[MODL_NOW_US1.xlsx]Single Period!R183C9</stp>
        <stp>NOW US Equity</stp>
        <stp>CONTRIBUTOR_STATS(BS_TOTAL_LIABILITIES, MEDIAN)/1M</stp>
        <stp>FPR=2021Y</stp>
        <stp>FPT=A</stp>
        <stp>FA_ACT_EST_DATA=E</stp>
        <stp>ACT_EST_MAPPING=PRECISE</stp>
        <stp>FS=MRC</stp>
        <stp>CURRENCY=USD</stp>
        <stp>XLFILL=b</stp>
        <tr r="I183" s="2"/>
      </tp>
      <tp t="s">
        <v>#N/A Requesting Data...</v>
        <stp/>
        <stp>##V3_BQLV12</stp>
        <stp>[MODL_NOW_US1.xlsx]Single Period!R37C17</stp>
        <stp>NOW US Equity</stp>
        <stp>BS_REMAINING_PERFORMANCE_OBLIG/1M</stp>
        <stp>FPR=2021Y</stp>
        <stp>FPT=A</stp>
        <stp>FA_ACT_EST_DATA=E, EST_SOURCE=RHR</stp>
        <stp>ACT_EST_MAPPING=PRECISE</stp>
        <stp>FS=MRC</stp>
        <stp>CURRENCY=USD</stp>
        <stp>XLFILL=b</stp>
        <tr r="Q37" s="2"/>
      </tp>
      <tp t="s">
        <v>#N/A Requesting Data...</v>
        <stp/>
        <stp>##V3_BQLV12</stp>
        <stp>[MODL_NOW_US1.xlsx]Single Period!R118C25</stp>
        <stp>NOW US Equity</stp>
        <stp>OPERATING_EXPENSES_TO_NET_SALES</stp>
        <stp>FPR=2021Y</stp>
        <stp>FPT=A</stp>
        <stp>FA_ACT_EST_DATA=E, EST_SOURCE=DBG</stp>
        <stp>ACT_EST_MAPPING=PRECISE</stp>
        <stp>FS=MRC</stp>
        <stp>CURRENCY=USD</stp>
        <stp>XLFILL=b</stp>
        <tr r="Y118" s="2"/>
      </tp>
      <tp t="s">
        <v>#N/A Requesting Data...</v>
        <stp/>
        <stp>##V3_BQLV12</stp>
        <stp>[MODL_NOW_US1.xlsx]Single Period!R32C21</stp>
        <stp>NOW US Equity</stp>
        <stp>BS_REMAINING_PERFORMANCE_OBLIG/1M</stp>
        <stp>FPR=2021Y</stp>
        <stp>FPT=A</stp>
        <stp>FA_ACT_EST_DATA=E, EST_SOURCE=JMP</stp>
        <stp>ACT_EST_MAPPING=PRECISE</stp>
        <stp>FS=MRC</stp>
        <stp>CURRENCY=USD</stp>
        <stp>XLFILL=b</stp>
        <tr r="U32" s="2"/>
      </tp>
      <tp t="s">
        <v>#N/A Requesting Data...</v>
        <stp/>
        <stp>##V3_BQLV12</stp>
        <stp>[MODL_NOW_US1.xlsx]Single Period!R95C6</stp>
        <stp>NOW US Equity</stp>
        <stp>CONTRIBUTOR_STATS(IS_COMPARABLE_EBIT, MIN)/1M</stp>
        <stp>FPR=2021Y</stp>
        <stp>FPT=A</stp>
        <stp>FA_ACT_EST_DATA=E</stp>
        <stp>ACT_EST_MAPPING=PRECISE</stp>
        <stp>FS=MRC</stp>
        <stp>CURRENCY=USD</stp>
        <stp>XLFILL=b</stp>
        <tr r="F95" s="2"/>
      </tp>
      <tp t="s">
        <v>#N/A Requesting Data...</v>
        <stp/>
        <stp>##V3_BQLV12</stp>
        <stp>[MODL_NOW_US1.xlsx]Single Period!R95C7</stp>
        <stp>NOW US Equity</stp>
        <stp>CONTRIBUTOR_STATS(IS_COMPARABLE_EBIT, MAX)/1M</stp>
        <stp>FPR=2021Y</stp>
        <stp>FPT=A</stp>
        <stp>FA_ACT_EST_DATA=E</stp>
        <stp>ACT_EST_MAPPING=PRECISE</stp>
        <stp>FS=MRC</stp>
        <stp>CURRENCY=USD</stp>
        <stp>XLFILL=b</stp>
        <tr r="G95" s="2"/>
      </tp>
      <tp t="s">
        <v>#N/A Requesting Data...</v>
        <stp/>
        <stp>##V3_BQLV12</stp>
        <stp>[MODL_NOW_US1.xlsx]Single Period!R4C45</stp>
        <stp>NOW US Equity</stp>
        <stp>LAST(IS_COMP_SALES(FA_ACT_EST_DATA=E, EST_SOURCE=PJE).analyst_name)</stp>
        <stp>FPR=2021Y</stp>
        <stp>FPT=A</stp>
        <stp>ACT_EST_MAPPING=PRECISE</stp>
        <stp>FS=MRC</stp>
        <stp>CURRENCY=USD</stp>
        <stp>XLFILL=b</stp>
        <tr r="AS4" s="2"/>
      </tp>
      <tp t="s">
        <v>#N/A Requesting Data...</v>
        <stp/>
        <stp>##V3_BQLV12</stp>
        <stp>[MODL_NOW_US1.xlsx]Single Period!R118C27</stp>
        <stp>NOW US Equity</stp>
        <stp>OPERATING_EXPENSES_TO_NET_SALES</stp>
        <stp>FPR=2021Y</stp>
        <stp>FPT=A</stp>
        <stp>FA_ACT_EST_DATA=E, EST_SOURCE=RBC</stp>
        <stp>ACT_EST_MAPPING=PRECISE</stp>
        <stp>FS=MRC</stp>
        <stp>CURRENCY=USD</stp>
        <stp>XLFILL=b</stp>
        <tr r="AA118" s="2"/>
      </tp>
      <tp t="s">
        <v>#N/A Requesting Data...</v>
        <stp/>
        <stp>##V3_BQLV12</stp>
        <stp>[MODL_NOW_US1.xlsx]Single Period!R237C10</stp>
        <stp>NOW US Equity</stp>
        <stp>FCF_PER_DIL_SHR</stp>
        <stp>FPR=2021Y</stp>
        <stp>FPT=A</stp>
        <stp>FA_ACT_EST_DATA=E, EST_SOURCE=CMPY</stp>
        <stp>ACT_EST_MAPPING=PRECISE</stp>
        <stp>FS=MRC</stp>
        <stp>CURRENCY=USD</stp>
        <stp>XLFILL=b</stp>
        <tr r="J237" s="2"/>
      </tp>
      <tp t="s">
        <v>#N/A Requesting Data...</v>
        <stp/>
        <stp>##V3_BQLV12</stp>
        <stp>[MODL_NOW_US1.xlsx]Single Period!R200C7</stp>
        <stp>NOW US Equity</stp>
        <stp>CONTRIBUTOR_STATS(CF_DEPR_AMORT, MAX)/1M</stp>
        <stp>FPR=2021Y</stp>
        <stp>FPT=A</stp>
        <stp>FA_ACT_EST_DATA=E</stp>
        <stp>ACT_EST_MAPPING=PRECISE</stp>
        <stp>FS=MRC</stp>
        <stp>CURRENCY=USD</stp>
        <stp>XLFILL=b</stp>
        <tr r="G200" s="2"/>
      </tp>
      <tp t="s">
        <v>#N/A Requesting Data...</v>
        <stp/>
        <stp>##V3_BQLV12</stp>
        <stp>[MODL_NOW_US1.xlsx]Single Period!R14C5</stp>
        <stp>SEG0000230975 Segment</stp>
        <stp>SALES_REV_TURN/1M</stp>
        <stp>FPR=2021Y</stp>
        <stp>FPT=A</stp>
        <stp>FA_ACT_EST_DATA=E</stp>
        <stp>ACT_EST_MAPPING=PRECISE</stp>
        <stp>FS=MRC</stp>
        <stp>CURRENCY=USD</stp>
        <stp>XLFILL=b</stp>
        <tr r="E14" s="2"/>
      </tp>
      <tp t="s">
        <v>#N/A Requesting Data...</v>
        <stp/>
        <stp>##V3_BQLV12</stp>
        <stp>[MODL_NOW_US1.xlsx]Single Period!R7C44</stp>
        <stp>NOW US Equity</stp>
        <stp>IS_COMP_SALES/1M</stp>
        <stp>FPR=2021Y</stp>
        <stp>FPT=A</stp>
        <stp>FA_ACT_EST_DATA=E, EST_SOURCE=ARE</stp>
        <stp>ACT_EST_MAPPING=PRECISE</stp>
        <stp>FS=MRC</stp>
        <stp>CURRENCY=USD</stp>
        <stp>XLFILL=b</stp>
        <tr r="AR7" s="2"/>
      </tp>
      <tp t="s">
        <v>#N/A Requesting Data...</v>
        <stp/>
        <stp>##V3_BQLV12</stp>
        <stp>[MODL_NOW_US1.xlsx]Single Period!R47C5</stp>
        <stp>SEG0000230986 Segment</stp>
        <stp>CB_ADJ_BILLINGS_AMT/1M</stp>
        <stp>FPR=2021Y</stp>
        <stp>FPT=A</stp>
        <stp>FA_ACT_EST_DATA=E</stp>
        <stp>ACT_EST_MAPPING=PRECISE</stp>
        <stp>FS=MRC</stp>
        <stp>CURRENCY=USD</stp>
        <stp>XLFILL=b</stp>
        <tr r="E47" s="2"/>
      </tp>
      <tp t="s">
        <v>#N/A Requesting Data...</v>
        <stp/>
        <stp>##V3_BQLV12</stp>
        <stp>[MODL_NOW_US1.xlsx]Single Period!R7C42</stp>
        <stp>NOW US Equity</stp>
        <stp>IS_COMP_SALES/1M</stp>
        <stp>FPR=2021Y</stp>
        <stp>FPT=A</stp>
        <stp>FA_ACT_EST_DATA=E, EST_SOURCE=CTI</stp>
        <stp>ACT_EST_MAPPING=PRECISE</stp>
        <stp>FS=MRC</stp>
        <stp>CURRENCY=USD</stp>
        <stp>XLFILL=b</stp>
        <tr r="AP7" s="2"/>
      </tp>
      <tp t="s">
        <v>#N/A Requesting Data...</v>
        <stp/>
        <stp>##V3_BQLV12</stp>
        <stp>[MODL_NOW_US1.xlsx]Single Period!R119C9</stp>
        <stp>NOW US Equity</stp>
        <stp>CONTRIBUTOR_STATS(CB_IS_S_AND_M_EXPENSE, MEDIAN)/1M</stp>
        <stp>FPR=2021Y</stp>
        <stp>FPT=A</stp>
        <stp>FA_ACT_EST_DATA=E</stp>
        <stp>ACT_EST_MAPPING=PRECISE</stp>
        <stp>FS=MRC</stp>
        <stp>CURRENCY=USD</stp>
        <stp>XLFILL=b</stp>
        <tr r="I119" s="2"/>
      </tp>
      <tp t="s">
        <v>#N/A Requesting Data...</v>
        <stp/>
        <stp>##V3_BQLV12</stp>
        <stp>[MODL_NOW_US1.xlsx]Single Period!R7C35</stp>
        <stp>NOW US Equity</stp>
        <stp>IS_COMP_SALES/1M</stp>
        <stp>FPR=2021Y</stp>
        <stp>FPT=A</stp>
        <stp>FA_ACT_EST_DATA=E, EST_SOURCE=MSR</stp>
        <stp>ACT_EST_MAPPING=PRECISE</stp>
        <stp>FS=MRC</stp>
        <stp>CURRENCY=USD</stp>
        <stp>XLFILL=b</stp>
        <tr r="AI7" s="2"/>
      </tp>
      <tp t="s">
        <v>#N/A Requesting Data...</v>
        <stp/>
        <stp>##V3_BQLV12</stp>
        <stp>[MODL_NOW_US1.xlsx]Single Period!R93C33</stp>
        <stp>NOW US Equity</stp>
        <stp>G_AND_A_COST_PCT_REVENUES</stp>
        <stp>FPR=2021Y</stp>
        <stp>FPT=A</stp>
        <stp>FA_ACT_EST_DATA=E, EST_SOURCE=MAC</stp>
        <stp>ACT_EST_MAPPING=PRECISE</stp>
        <stp>FS=MRC</stp>
        <stp>CURRENCY=USD</stp>
        <stp>XLFILL=b</stp>
        <tr r="AG93" s="2"/>
      </tp>
      <tp t="s">
        <v>#N/A Requesting Data...</v>
        <stp/>
        <stp>##V3_BQLV12</stp>
        <stp>[MODL_NOW_US1.xlsx]Single Period!R170C41</stp>
        <stp>NOW US Equity</stp>
        <stp>BS_TOT_ASSET/1M</stp>
        <stp>FPR=2021Y</stp>
        <stp>FPT=A</stp>
        <stp>FA_ACT_EST_DATA=E, EST_SOURCE=ARG</stp>
        <stp>ACT_EST_MAPPING=PRECISE</stp>
        <stp>FS=MRC</stp>
        <stp>CURRENCY=USD</stp>
        <stp>XLFILL=b</stp>
        <tr r="AO170" s="2"/>
      </tp>
      <tp t="s">
        <v>#N/A Requesting Data...</v>
        <stp/>
        <stp>##V3_BQLV12</stp>
        <stp>[MODL_NOW_US1.xlsx]Single Period!R120C46</stp>
        <stp>NOW US Equity</stp>
        <stp>IS_OPEX_R_AND_D_GAAP/1M</stp>
        <stp>FPR=2021Y</stp>
        <stp>FPT=A</stp>
        <stp>FA_ACT_EST_DATA=E, EST_SOURCE=MZS</stp>
        <stp>ACT_EST_MAPPING=PRECISE</stp>
        <stp>FS=MRC</stp>
        <stp>CURRENCY=USD</stp>
        <stp>XLFILL=b</stp>
        <tr r="AT120" s="2"/>
      </tp>
      <tp t="s">
        <v>#N/A Requesting Data...</v>
        <stp/>
        <stp>##V3_BQLV12</stp>
        <stp>[MODL_NOW_US1.xlsx]Single Period!R87C36</stp>
        <stp>NOW US Equity</stp>
        <stp>CB_IS_ADJUSTED_OPEX/1M</stp>
        <stp>FPR=2021Y</stp>
        <stp>FPT=A</stp>
        <stp>FA_ACT_EST_DATA=E, EST_SOURCE=JEF</stp>
        <stp>ACT_EST_MAPPING=PRECISE</stp>
        <stp>FS=MRC</stp>
        <stp>CURRENCY=USD</stp>
        <stp>XLFILL=b</stp>
        <tr r="AJ87" s="2"/>
      </tp>
      <tp t="s">
        <v>#N/A Requesting Data...</v>
        <stp/>
        <stp>##V3_BQLV12</stp>
        <stp>[MODL_NOW_US1.xlsx]Single Period!R185C48</stp>
        <stp>NOW US Equity</stp>
        <stp>BS_TOT_ASSET/1M</stp>
        <stp>FPR=2021Y</stp>
        <stp>FPT=A</stp>
        <stp>FA_ACT_EST_DATA=E, EST_SOURCE=CRC</stp>
        <stp>ACT_EST_MAPPING=PRECISE</stp>
        <stp>FS=MRC</stp>
        <stp>CURRENCY=USD</stp>
        <stp>XLFILL=b</stp>
        <tr r="AV185" s="2"/>
      </tp>
      <tp t="s">
        <v>#N/A Requesting Data...</v>
        <stp/>
        <stp>##V3_BQLV12</stp>
        <stp>[MODL_NOW_US1.xlsx]Single Period!R115C16</stp>
        <stp>NOW US Equity</stp>
        <stp>GROSS_PROFIT/1M</stp>
        <stp>FPR=2021Y</stp>
        <stp>FPT=A</stp>
        <stp>FA_ACT_EST_DATA=E, EST_SOURCE=BCA</stp>
        <stp>ACT_EST_MAPPING=PRECISE</stp>
        <stp>FS=MRC</stp>
        <stp>CURRENCY=USD</stp>
        <stp>XLFILL=b</stp>
        <tr r="P115" s="2"/>
      </tp>
      <tp t="s">
        <v>#N/A Requesting Data...</v>
        <stp/>
        <stp>##V3_BQLV12</stp>
        <stp>[MODL_NOW_US1.xlsx]Single Period!R115C33</stp>
        <stp>NOW US Equity</stp>
        <stp>GROSS_PROFIT/1M</stp>
        <stp>FPR=2021Y</stp>
        <stp>FPT=A</stp>
        <stp>FA_ACT_EST_DATA=E, EST_SOURCE=MAC</stp>
        <stp>ACT_EST_MAPPING=PRECISE</stp>
        <stp>FS=MRC</stp>
        <stp>CURRENCY=USD</stp>
        <stp>XLFILL=b</stp>
        <tr r="AG115" s="2"/>
      </tp>
      <tp t="s">
        <v>#N/A Requesting Data...</v>
        <stp/>
        <stp>##V3_BQLV12</stp>
        <stp>[MODL_NOW_US1.xlsx]Single Period!R170C44</stp>
        <stp>NOW US Equity</stp>
        <stp>BS_TOT_ASSET/1M</stp>
        <stp>FPR=2021Y</stp>
        <stp>FPT=A</stp>
        <stp>FA_ACT_EST_DATA=E, EST_SOURCE=ARE</stp>
        <stp>ACT_EST_MAPPING=PRECISE</stp>
        <stp>FS=MRC</stp>
        <stp>CURRENCY=USD</stp>
        <stp>XLFILL=b</stp>
        <tr r="AR170" s="2"/>
      </tp>
      <tp t="s">
        <v>#N/A Requesting Data...</v>
        <stp/>
        <stp>##V3_BQLV12</stp>
        <stp>[MODL_NOW_US1.xlsx]Single Period!R185C44</stp>
        <stp>NOW US Equity</stp>
        <stp>BS_TOT_ASSET/1M</stp>
        <stp>FPR=2021Y</stp>
        <stp>FPT=A</stp>
        <stp>FA_ACT_EST_DATA=E, EST_SOURCE=ARE</stp>
        <stp>ACT_EST_MAPPING=PRECISE</stp>
        <stp>FS=MRC</stp>
        <stp>CURRENCY=USD</stp>
        <stp>XLFILL=b</stp>
        <tr r="AR185" s="2"/>
      </tp>
      <tp t="s">
        <v>#N/A Requesting Data...</v>
        <stp/>
        <stp>##V3_BQLV12</stp>
        <stp>[MODL_NOW_US1.xlsx]Single Period!R115C30</stp>
        <stp>NOW US Equity</stp>
        <stp>GROSS_PROFIT/1M</stp>
        <stp>FPR=2021Y</stp>
        <stp>FPT=A</stp>
        <stp>FA_ACT_EST_DATA=E, EST_SOURCE=BAM</stp>
        <stp>ACT_EST_MAPPING=PRECISE</stp>
        <stp>FS=MRC</stp>
        <stp>CURRENCY=USD</stp>
        <stp>XLFILL=b</stp>
        <tr r="AD115" s="2"/>
      </tp>
      <tp t="s">
        <v>#N/A Requesting Data...</v>
        <stp/>
        <stp>##V3_BQLV12</stp>
        <stp>[MODL_NOW_US1.xlsx]Single Period!R183C29</stp>
        <stp>NOW US Equity</stp>
        <stp>BS_TOTAL_LIABILITIES/1M</stp>
        <stp>FPR=2021Y</stp>
        <stp>FPT=A</stp>
        <stp>FA_ACT_EST_DATA=E, EST_SOURCE=BNS</stp>
        <stp>ACT_EST_MAPPING=PRECISE</stp>
        <stp>FS=MRC</stp>
        <stp>CURRENCY=USD</stp>
        <stp>XLFILL=b</stp>
        <tr r="AC183" s="2"/>
      </tp>
      <tp t="s">
        <v>#N/A Requesting Data...</v>
        <stp/>
        <stp>##V3_BQLV12</stp>
        <stp>[MODL_NOW_US1.xlsx]Single Period!R190C26</stp>
        <stp>NOW US Equity</stp>
        <stp>DEFERRED_REV/1M</stp>
        <stp>FPR=2021Y</stp>
        <stp>FPT=A</stp>
        <stp>FA_ACT_EST_DATA=E, EST_SOURCE=UBS</stp>
        <stp>ACT_EST_MAPPING=PRECISE</stp>
        <stp>FS=MRC</stp>
        <stp>CURRENCY=USD</stp>
        <stp>XLFILL=b</stp>
        <tr r="Z190" s="2"/>
      </tp>
      <tp t="s">
        <v>#N/A Requesting Data...</v>
        <stp/>
        <stp>##V3_BQLV12</stp>
        <stp>[MODL_NOW_US1.xlsx]Single Period!R122C11</stp>
        <stp>NOW US Equity</stp>
        <stp>IS_MERGER_AND_ACQUIS_EXPN_OP/1M</stp>
        <stp>FPR=2021Y</stp>
        <stp>FPT=A</stp>
        <stp>FA_ACT_EST_DATA=E, EST_SOURCE=JPM</stp>
        <stp>ACT_EST_MAPPING=PRECISE</stp>
        <stp>FS=MRC</stp>
        <stp>CURRENCY=USD</stp>
        <stp>XLFILL=b</stp>
        <tr r="K122" s="2"/>
      </tp>
      <tp t="s">
        <v>#N/A Requesting Data...</v>
        <stp/>
        <stp>##V3_BQLV12</stp>
        <stp>[MODL_NOW_US1.xlsx]Single Period!R81C5</stp>
        <stp>NOW US Equity</stp>
        <stp>IS_ADJ_SALES_YOY_CHG_PCT_CC</stp>
        <stp>FPR=2021Y</stp>
        <stp>FPT=A</stp>
        <stp>FA_ACT_EST_DATA=E</stp>
        <stp>ACT_EST_MAPPING=PRECISE</stp>
        <stp>FS=MRC</stp>
        <stp>CURRENCY=USD</stp>
        <stp>XLFILL=b</stp>
        <tr r="E81" s="2"/>
      </tp>
      <tp t="s">
        <v>#N/A Requesting Data...</v>
        <stp/>
        <stp>##V3_BQLV12</stp>
        <stp>[MODL_NOW_US1.xlsx]Single Period!R93C20</stp>
        <stp>NOW US Equity</stp>
        <stp>G_AND_A_COST_PCT_REVENUES</stp>
        <stp>FPR=2021Y</stp>
        <stp>FPT=A</stp>
        <stp>FA_ACT_EST_DATA=E, EST_SOURCE=CAN</stp>
        <stp>ACT_EST_MAPPING=PRECISE</stp>
        <stp>FS=MRC</stp>
        <stp>CURRENCY=USD</stp>
        <stp>XLFILL=b</stp>
        <tr r="T93" s="2"/>
      </tp>
      <tp t="s">
        <v>#N/A Requesting Data...</v>
        <stp/>
        <stp>##V3_BQLV12</stp>
        <stp>[MODL_NOW_US1.xlsx]Single Period!R170C48</stp>
        <stp>NOW US Equity</stp>
        <stp>BS_TOT_ASSET/1M</stp>
        <stp>FPR=2021Y</stp>
        <stp>FPT=A</stp>
        <stp>FA_ACT_EST_DATA=E, EST_SOURCE=CRC</stp>
        <stp>ACT_EST_MAPPING=PRECISE</stp>
        <stp>FS=MRC</stp>
        <stp>CURRENCY=USD</stp>
        <stp>XLFILL=b</stp>
        <tr r="AV170" s="2"/>
      </tp>
      <tp t="s">
        <v>#N/A Requesting Data...</v>
        <stp/>
        <stp>##V3_BQLV12</stp>
        <stp>[MODL_NOW_US1.xlsx]Single Period!R122C47</stp>
        <stp>NOW US Equity</stp>
        <stp>IS_MERGER_AND_ACQUIS_EXPN_OP/1M</stp>
        <stp>FPR=2021Y</stp>
        <stp>FPT=A</stp>
        <stp>FA_ACT_EST_DATA=E, EST_SOURCE=SUM</stp>
        <stp>ACT_EST_MAPPING=PRECISE</stp>
        <stp>FS=MRC</stp>
        <stp>CURRENCY=USD</stp>
        <stp>XLFILL=b</stp>
        <tr r="AU122" s="2"/>
      </tp>
      <tp t="s">
        <v>#N/A Requesting Data...</v>
        <stp/>
        <stp>##V3_BQLV12</stp>
        <stp>[MODL_NOW_US1.xlsx]Single Period!R93C30</stp>
        <stp>NOW US Equity</stp>
        <stp>G_AND_A_COST_PCT_REVENUES</stp>
        <stp>FPR=2021Y</stp>
        <stp>FPT=A</stp>
        <stp>FA_ACT_EST_DATA=E, EST_SOURCE=BAM</stp>
        <stp>ACT_EST_MAPPING=PRECISE</stp>
        <stp>FS=MRC</stp>
        <stp>CURRENCY=USD</stp>
        <stp>XLFILL=b</stp>
        <tr r="AD93" s="2"/>
      </tp>
      <tp t="s">
        <v>#N/A Requesting Data...</v>
        <stp/>
        <stp>##V3_BQLV12</stp>
        <stp>[MODL_NOW_US1.xlsx]Single Period!R185C41</stp>
        <stp>NOW US Equity</stp>
        <stp>BS_TOT_ASSET/1M</stp>
        <stp>FPR=2021Y</stp>
        <stp>FPT=A</stp>
        <stp>FA_ACT_EST_DATA=E, EST_SOURCE=ARG</stp>
        <stp>ACT_EST_MAPPING=PRECISE</stp>
        <stp>FS=MRC</stp>
        <stp>CURRENCY=USD</stp>
        <stp>XLFILL=b</stp>
        <tr r="AO185" s="2"/>
      </tp>
      <tp t="s">
        <v>#N/A Requesting Data...</v>
        <stp/>
        <stp>##V3_BQLV12</stp>
        <stp>[MODL_NOW_US1.xlsx]Single Period!R165C38</stp>
        <stp>NOW US Equity</stp>
        <stp>BS_OPER_LEA_RT_OF_USE_ASSETS/1M</stp>
        <stp>FPR=2021Y</stp>
        <stp>FPT=A</stp>
        <stp>FA_ACT_EST_DATA=E, EST_SOURCE=RWB</stp>
        <stp>ACT_EST_MAPPING=PRECISE</stp>
        <stp>FS=MRC</stp>
        <stp>CURRENCY=USD</stp>
        <stp>XLFILL=b</stp>
        <tr r="AL165" s="2"/>
      </tp>
      <tp t="s">
        <v>#N/A Requesting Data...</v>
        <stp/>
        <stp>##V3_BQLV12</stp>
        <stp>[MODL_NOW_US1.xlsx]Single Period!R84C9</stp>
        <stp>NOW US Equity</stp>
        <stp>CONTRIBUTOR_STATS(IS_ADJ_GROSS_PROFIT_AS_REPORTED, MEDIAN)/1M</stp>
        <stp>FPR=2021Y</stp>
        <stp>FPT=A</stp>
        <stp>FA_ACT_EST_DATA=E</stp>
        <stp>ACT_EST_MAPPING=PRECISE</stp>
        <stp>FS=MRC</stp>
        <stp>CURRENCY=USD</stp>
        <stp>XLFILL=b</stp>
        <tr r="I84" s="2"/>
      </tp>
      <tp t="s">
        <v>#N/A Requesting Data...</v>
        <stp/>
        <stp>##V3_BQLV12</stp>
        <stp>[MODL_NOW_US1.xlsx]Single Period!R115C43</stp>
        <stp>NOW US Equity</stp>
        <stp>GROSS_PROFIT/1M</stp>
        <stp>FPR=2021Y</stp>
        <stp>FPT=A</stp>
        <stp>FA_ACT_EST_DATA=E, EST_SOURCE=WFT</stp>
        <stp>ACT_EST_MAPPING=PRECISE</stp>
        <stp>FS=MRC</stp>
        <stp>CURRENCY=USD</stp>
        <stp>XLFILL=b</stp>
        <tr r="AQ115" s="2"/>
      </tp>
      <tp t="s">
        <v>#N/A Requesting Data...</v>
        <stp/>
        <stp>##V3_BQLV12</stp>
        <stp>[MODL_NOW_US1.xlsx]Single Period!R11C8</stp>
        <stp>NOW US Equity</stp>
        <stp>CONTRIBUTOR_STATS(NUM_CSTMR_CNTRCT_OVER_1_MILLN, STD)</stp>
        <stp>FPR=2021Y</stp>
        <stp>FPT=A</stp>
        <stp>FA_ACT_EST_DATA=E</stp>
        <stp>ACT_EST_MAPPING=PRECISE</stp>
        <stp>FS=MRC</stp>
        <stp>CURRENCY=USD</stp>
        <stp>XLFILL=b</stp>
        <tr r="H11" s="2"/>
      </tp>
      <tp t="s">
        <v>#N/A Requesting Data...</v>
        <stp/>
        <stp>##V3_BQLV12</stp>
        <stp>[MODL_NOW_US1.xlsx]Single Period!R183C14</stp>
        <stp>NOW US Equity</stp>
        <stp>BS_TOTAL_LIABILITIES/1M</stp>
        <stp>FPR=2021Y</stp>
        <stp>FPT=A</stp>
        <stp>FA_ACT_EST_DATA=E, EST_SOURCE=BMO</stp>
        <stp>ACT_EST_MAPPING=PRECISE</stp>
        <stp>FS=MRC</stp>
        <stp>CURRENCY=USD</stp>
        <stp>XLFILL=b</stp>
        <tr r="N183" s="2"/>
      </tp>
      <tp t="s">
        <v>#N/A Requesting Data...</v>
        <stp/>
        <stp>##V3_BQLV12</stp>
        <stp>[MODL_NOW_US1.xlsx]Single Period!R122C15</stp>
        <stp>NOW US Equity</stp>
        <stp>IS_MERGER_AND_ACQUIS_EXPN_OP/1M</stp>
        <stp>FPR=2021Y</stp>
        <stp>FPT=A</stp>
        <stp>FA_ACT_EST_DATA=E, EST_SOURCE=OPY</stp>
        <stp>ACT_EST_MAPPING=PRECISE</stp>
        <stp>FS=MRC</stp>
        <stp>CURRENCY=USD</stp>
        <stp>XLFILL=b</stp>
        <tr r="O122" s="2"/>
      </tp>
      <tp t="s">
        <v>#N/A Requesting Data...</v>
        <stp/>
        <stp>##V3_BQLV12</stp>
        <stp>[MODL_NOW_US1.xlsx]Single Period!R190C27</stp>
        <stp>NOW US Equity</stp>
        <stp>DEFERRED_REV/1M</stp>
        <stp>FPR=2021Y</stp>
        <stp>FPT=A</stp>
        <stp>FA_ACT_EST_DATA=E, EST_SOURCE=RBC</stp>
        <stp>ACT_EST_MAPPING=PRECISE</stp>
        <stp>FS=MRC</stp>
        <stp>CURRENCY=USD</stp>
        <stp>XLFILL=b</stp>
        <tr r="AA190" s="2"/>
      </tp>
      <tp t="s">
        <v>#N/A Requesting Data...</v>
        <stp/>
        <stp>##V3_BQLV12</stp>
        <stp>[MODL_NOW_US1.xlsx]Single Period!R87C13</stp>
        <stp>NOW US Equity</stp>
        <stp>CB_IS_ADJUSTED_OPEX/1M</stp>
        <stp>FPR=2021Y</stp>
        <stp>FPT=A</stp>
        <stp>FA_ACT_EST_DATA=E, EST_SOURCE=KEY</stp>
        <stp>ACT_EST_MAPPING=PRECISE</stp>
        <stp>FS=MRC</stp>
        <stp>CURRENCY=USD</stp>
        <stp>XLFILL=b</stp>
        <tr r="M87" s="2"/>
      </tp>
      <tp t="s">
        <v>#N/A Requesting Data...</v>
        <stp/>
        <stp>##V3_BQLV12</stp>
        <stp>[MODL_NOW_US1.xlsx]Single Period!R190C25</stp>
        <stp>NOW US Equity</stp>
        <stp>DEFERRED_REV/1M</stp>
        <stp>FPR=2021Y</stp>
        <stp>FPT=A</stp>
        <stp>FA_ACT_EST_DATA=E, EST_SOURCE=DBG</stp>
        <stp>ACT_EST_MAPPING=PRECISE</stp>
        <stp>FS=MRC</stp>
        <stp>CURRENCY=USD</stp>
        <stp>XLFILL=b</stp>
        <tr r="Y190" s="2"/>
      </tp>
      <tp t="s">
        <v>#N/A Requesting Data...</v>
        <stp/>
        <stp>##V3_BQLV12</stp>
        <stp>[MODL_NOW_US1.xlsx]Single Period!R165C28</stp>
        <stp>NOW US Equity</stp>
        <stp>BS_OPER_LEA_RT_OF_USE_ASSETS/1M</stp>
        <stp>FPR=2021Y</stp>
        <stp>FPT=A</stp>
        <stp>FA_ACT_EST_DATA=E, EST_SOURCE=EVR</stp>
        <stp>ACT_EST_MAPPING=PRECISE</stp>
        <stp>FS=MRC</stp>
        <stp>CURRENCY=USD</stp>
        <stp>XLFILL=b</stp>
        <tr r="AB165" s="2"/>
      </tp>
      <tp t="s">
        <v>#N/A Requesting Data...</v>
        <stp/>
        <stp>##V3_BQLV12</stp>
        <stp>[MODL_NOW_US1.xlsx]Single Period!R132C40</stp>
        <stp>NOW US Equity</stp>
        <stp>CONT_INC_PER_SH</stp>
        <stp>FPR=2021Y</stp>
        <stp>FPT=A</stp>
        <stp>FA_ACT_EST_DATA=E, EST_SOURCE=DWI</stp>
        <stp>ACT_EST_MAPPING=PRECISE</stp>
        <stp>FS=MRC</stp>
        <stp>CURRENCY=USD</stp>
        <stp>XLFILL=b</stp>
        <tr r="AN132" s="2"/>
      </tp>
      <tp t="s">
        <v>#N/A Requesting Data...</v>
        <stp/>
        <stp>##V3_BQLV12</stp>
        <stp>[MODL_NOW_US1.xlsx]Single Period!R51C34</stp>
        <stp>NOW US Equity</stp>
        <stp>ACCOUNTS_PAYABLE_TURNOVER_DAYS</stp>
        <stp>FPR=2021Y</stp>
        <stp>FPT=A</stp>
        <stp>FA_ACT_EST_DATA=E, EST_SOURCE=PSG</stp>
        <stp>ACT_EST_MAPPING=PRECISE</stp>
        <stp>FS=MRC</stp>
        <stp>CURRENCY=USD</stp>
        <stp>XLFILL=b</stp>
        <tr r="AH51" s="2"/>
      </tp>
      <tp t="s">
        <v>#N/A Requesting Data...</v>
        <stp/>
        <stp>##V3_BQLV12</stp>
        <stp>[MODL_NOW_US1.xlsx]Single Period!R114C11</stp>
        <stp>SEG0000230986 Segment</stp>
        <stp>CB_IS_GROSS_MARGIN</stp>
        <stp>FPR=2021Y</stp>
        <stp>FPT=A</stp>
        <stp>FA_ACT_EST_DATA=E, EST_SOURCE=JPM</stp>
        <stp>ACT_EST_MAPPING=PRECISE</stp>
        <stp>FS=MRC</stp>
        <stp>CURRENCY=USD</stp>
        <stp>XLFILL=b</stp>
        <tr r="K114" s="2"/>
      </tp>
      <tp t="s">
        <v>#N/A Requesting Data...</v>
        <stp/>
        <stp>##V3_BQLV12</stp>
        <stp>[MODL_NOW_US1.xlsx]Single Period!R222C9</stp>
        <stp>NOW US Equity</stp>
        <stp>CONTRIBUTOR_STATS(CF_CASH_FROM_INV_ACT, MEDIAN)/1M</stp>
        <stp>FPR=2021Y</stp>
        <stp>FPT=A</stp>
        <stp>FA_ACT_EST_DATA=E</stp>
        <stp>ACT_EST_MAPPING=PRECISE</stp>
        <stp>FS=MRC</stp>
        <stp>CURRENCY=USD</stp>
        <stp>XLFILL=b</stp>
        <tr r="I222" s="2"/>
      </tp>
      <tp t="s">
        <v>#N/A Requesting Data...</v>
        <stp/>
        <stp>##V3_BQLV12</stp>
        <stp>[MODL_NOW_US1.xlsx]Single Period!R51C31</stp>
        <stp>NOW US Equity</stp>
        <stp>ACCOUNTS_PAYABLE_TURNOVER_DAYS</stp>
        <stp>FPR=2021Y</stp>
        <stp>FPT=A</stp>
        <stp>FA_ACT_EST_DATA=E, EST_SOURCE=GSR</stp>
        <stp>ACT_EST_MAPPING=PRECISE</stp>
        <stp>FS=MRC</stp>
        <stp>CURRENCY=USD</stp>
        <stp>XLFILL=b</stp>
        <tr r="AE51" s="2"/>
      </tp>
      <tp t="s">
        <v>#N/A Requesting Data...</v>
        <stp/>
        <stp>##V3_BQLV12</stp>
        <stp>[MODL_NOW_US1.xlsx]Single Period!R51C35</stp>
        <stp>NOW US Equity</stp>
        <stp>ACCOUNTS_PAYABLE_TURNOVER_DAYS</stp>
        <stp>FPR=2021Y</stp>
        <stp>FPT=A</stp>
        <stp>FA_ACT_EST_DATA=E, EST_SOURCE=MSR</stp>
        <stp>ACT_EST_MAPPING=PRECISE</stp>
        <stp>FS=MRC</stp>
        <stp>CURRENCY=USD</stp>
        <stp>XLFILL=b</stp>
        <tr r="AI51" s="2"/>
      </tp>
      <tp t="s">
        <v>#N/A Requesting Data...</v>
        <stp/>
        <stp>##V3_BQLV12</stp>
        <stp>[MODL_NOW_US1.xlsx]Single Period!R51C19</stp>
        <stp>NOW US Equity</stp>
        <stp>ACCOUNTS_PAYABLE_TURNOVER_DAYS</stp>
        <stp>FPR=2021Y</stp>
        <stp>FPT=A</stp>
        <stp>FA_ACT_EST_DATA=E, EST_SOURCE=MSV</stp>
        <stp>ACT_EST_MAPPING=PRECISE</stp>
        <stp>FS=MRC</stp>
        <stp>CURRENCY=USD</stp>
        <stp>XLFILL=b</stp>
        <tr r="S51" s="2"/>
      </tp>
      <tp t="s">
        <v>#N/A Requesting Data...</v>
        <stp/>
        <stp>##V3_BQLV12</stp>
        <stp>[MODL_NOW_US1.xlsx]Single Period!R118C32</stp>
        <stp>NOW US Equity</stp>
        <stp>OPERATING_EXPENSES_TO_NET_SALES</stp>
        <stp>FPR=2021Y</stp>
        <stp>FPT=A</stp>
        <stp>FA_ACT_EST_DATA=E, EST_SOURCE=FBC</stp>
        <stp>ACT_EST_MAPPING=PRECISE</stp>
        <stp>FS=MRC</stp>
        <stp>CURRENCY=USD</stp>
        <stp>XLFILL=b</stp>
        <tr r="AF118" s="2"/>
      </tp>
      <tp t="s">
        <v>#N/A Requesting Data...</v>
        <stp/>
        <stp>##V3_BQLV12</stp>
        <stp>[MODL_NOW_US1.xlsx]Single Period!R114C15</stp>
        <stp>SEG0000230986 Segment</stp>
        <stp>CB_IS_GROSS_MARGIN</stp>
        <stp>FPR=2021Y</stp>
        <stp>FPT=A</stp>
        <stp>FA_ACT_EST_DATA=E, EST_SOURCE=OPY</stp>
        <stp>ACT_EST_MAPPING=PRECISE</stp>
        <stp>FS=MRC</stp>
        <stp>CURRENCY=USD</stp>
        <stp>XLFILL=b</stp>
        <tr r="O114" s="2"/>
      </tp>
      <tp t="s">
        <v>#N/A Requesting Data...</v>
        <stp/>
        <stp>##V3_BQLV12</stp>
        <stp>[MODL_NOW_US1.xlsx]Single Period!R155C5</stp>
        <stp>NOW US Equity</stp>
        <stp>BS_CASH_CASH_EQUIVALENTS_AND_STI/1M</stp>
        <stp>FPR=2021Y</stp>
        <stp>FPT=A</stp>
        <stp>FA_ACT_EST_DATA=E</stp>
        <stp>ACT_EST_MAPPING=PRECISE</stp>
        <stp>FS=MRC</stp>
        <stp>CURRENCY=USD</stp>
        <stp>XLFILL=b</stp>
        <tr r="E155" s="2"/>
      </tp>
      <tp t="s">
        <v>#N/A Requesting Data...</v>
        <stp/>
        <stp>##V3_BQLV12</stp>
        <stp>[MODL_NOW_US1.xlsx]Single Period!R212C7</stp>
        <stp>NOW US Equity</stp>
        <stp>CONTRIBUTOR_STATS(CF_CHANGE_IN_ACCRUD_EXPNSS, MAX)/1M</stp>
        <stp>FPR=2021Y</stp>
        <stp>FPT=A</stp>
        <stp>FA_ACT_EST_DATA=E</stp>
        <stp>ACT_EST_MAPPING=PRECISE</stp>
        <stp>FS=MRC</stp>
        <stp>CURRENCY=USD</stp>
        <stp>XLFILL=b</stp>
        <tr r="G212" s="2"/>
      </tp>
      <tp t="s">
        <v>#N/A Requesting Data...</v>
        <stp/>
        <stp>##V3_BQLV12</stp>
        <stp>[MODL_NOW_US1.xlsx]Single Period!R212C6</stp>
        <stp>NOW US Equity</stp>
        <stp>CONTRIBUTOR_STATS(CF_CHANGE_IN_ACCRUD_EXPNSS, MIN)/1M</stp>
        <stp>FPR=2021Y</stp>
        <stp>FPT=A</stp>
        <stp>FA_ACT_EST_DATA=E</stp>
        <stp>ACT_EST_MAPPING=PRECISE</stp>
        <stp>FS=MRC</stp>
        <stp>CURRENCY=USD</stp>
        <stp>XLFILL=b</stp>
        <tr r="F212" s="2"/>
      </tp>
      <tp t="s">
        <v>#N/A Requesting Data...</v>
        <stp/>
        <stp>##V3_BQLV12</stp>
        <stp>[MODL_NOW_US1.xlsx]Single Period!R200C6</stp>
        <stp>NOW US Equity</stp>
        <stp>CONTRIBUTOR_STATS(CF_DEPR_AMORT, MIN)/1M</stp>
        <stp>FPR=2021Y</stp>
        <stp>FPT=A</stp>
        <stp>FA_ACT_EST_DATA=E</stp>
        <stp>ACT_EST_MAPPING=PRECISE</stp>
        <stp>FS=MRC</stp>
        <stp>CURRENCY=USD</stp>
        <stp>XLFILL=b</stp>
        <tr r="F200" s="2"/>
      </tp>
      <tp t="s">
        <v>#N/A Requesting Data...</v>
        <stp/>
        <stp>##V3_BQLV12</stp>
        <stp>[MODL_NOW_US1.xlsx]Single Period!R16C5</stp>
        <stp>SEG0000230969 Segment</stp>
        <stp>SALES_REV_TURN/1M</stp>
        <stp>FPR=2021Y</stp>
        <stp>FPT=A</stp>
        <stp>FA_ACT_EST_DATA=E</stp>
        <stp>ACT_EST_MAPPING=PRECISE</stp>
        <stp>FS=MRC</stp>
        <stp>CURRENCY=USD</stp>
        <stp>XLFILL=b</stp>
        <tr r="E16" s="2"/>
      </tp>
      <tp t="s">
        <v>#N/A Requesting Data...</v>
        <stp/>
        <stp>##V3_BQLV12</stp>
        <stp>[MODL_NOW_US1.xlsx]Single Period!R212C8</stp>
        <stp>NOW US Equity</stp>
        <stp>CONTRIBUTOR_STATS(CF_CHANGE_IN_ACCRUD_EXPNSS, STD)/1M</stp>
        <stp>FPR=2021Y</stp>
        <stp>FPT=A</stp>
        <stp>FA_ACT_EST_DATA=E</stp>
        <stp>ACT_EST_MAPPING=PRECISE</stp>
        <stp>FS=MRC</stp>
        <stp>CURRENCY=USD</stp>
        <stp>XLFILL=b</stp>
        <tr r="H212" s="2"/>
      </tp>
      <tp t="s">
        <v>#N/A Requesting Data...</v>
        <stp/>
        <stp>##V3_BQLV12</stp>
        <stp>[MODL_NOW_US1.xlsx]Single Period!R236C7</stp>
        <stp>NOW US Equity</stp>
        <stp>CONTRIBUTOR_STATS(FREE_CASH_FLOW_MARGIN, MAX)</stp>
        <stp>FPR=2021Y</stp>
        <stp>FPT=A</stp>
        <stp>FA_ACT_EST_DATA=E</stp>
        <stp>ACT_EST_MAPPING=PRECISE</stp>
        <stp>FS=MRC</stp>
        <stp>CURRENCY=USD</stp>
        <stp>XLFILL=b</stp>
        <tr r="G236" s="2"/>
      </tp>
      <tp t="s">
        <v>#N/A Requesting Data...</v>
        <stp/>
        <stp>##V3_BQLV12</stp>
        <stp>[MODL_NOW_US1.xlsx]Single Period!R7C34</stp>
        <stp>NOW US Equity</stp>
        <stp>IS_COMP_SALES/1M</stp>
        <stp>FPR=2021Y</stp>
        <stp>FPT=A</stp>
        <stp>FA_ACT_EST_DATA=E, EST_SOURCE=PSG</stp>
        <stp>ACT_EST_MAPPING=PRECISE</stp>
        <stp>FS=MRC</stp>
        <stp>CURRENCY=USD</stp>
        <stp>XLFILL=b</stp>
        <tr r="AH7" s="2"/>
      </tp>
      <tp t="s">
        <v>#N/A Requesting Data...</v>
        <stp/>
        <stp>##V3_BQLV12</stp>
        <stp>[MODL_NOW_US1.xlsx]Single Period!R208C9</stp>
        <stp>NOW US Equity</stp>
        <stp>CONTRIBUTOR_STATS(CF_CHANGE_IN_OTHR_ASSTS, MEDIAN)/1M</stp>
        <stp>FPR=2021Y</stp>
        <stp>FPT=A</stp>
        <stp>FA_ACT_EST_DATA=E</stp>
        <stp>ACT_EST_MAPPING=PRECISE</stp>
        <stp>FS=MRC</stp>
        <stp>CURRENCY=USD</stp>
        <stp>XLFILL=b</stp>
        <tr r="I208" s="2"/>
      </tp>
      <tp t="s">
        <v>#N/A Requesting Data...</v>
        <stp/>
        <stp>##V3_BQLV12</stp>
        <stp>[MODL_NOW_US1.xlsx]Single Period!R236C6</stp>
        <stp>NOW US Equity</stp>
        <stp>CONTRIBUTOR_STATS(FREE_CASH_FLOW_MARGIN, MIN)</stp>
        <stp>FPR=2021Y</stp>
        <stp>FPT=A</stp>
        <stp>FA_ACT_EST_DATA=E</stp>
        <stp>ACT_EST_MAPPING=PRECISE</stp>
        <stp>FS=MRC</stp>
        <stp>CURRENCY=USD</stp>
        <stp>XLFILL=b</stp>
        <tr r="F236" s="2"/>
      </tp>
      <tp t="s">
        <v>#N/A Requesting Data...</v>
        <stp/>
        <stp>##V3_BQLV12</stp>
        <stp>[MODL_NOW_US1.xlsx]Single Period!R149C9</stp>
        <stp>NOW US Equity</stp>
        <stp>CONTRIBUTOR_STATS(IS_AMORT_ACQD_INTANG_GEN_AND_ADMIN, MEDIAN)/1M</stp>
        <stp>FPR=2021Y</stp>
        <stp>FPT=A</stp>
        <stp>FA_ACT_EST_DATA=E</stp>
        <stp>ACT_EST_MAPPING=PRECISE</stp>
        <stp>FS=MRC</stp>
        <stp>CURRENCY=USD</stp>
        <stp>XLFILL=b</stp>
        <tr r="I149" s="2"/>
      </tp>
      <tp t="s">
        <v>#N/A Requesting Data...</v>
        <stp/>
        <stp>##V3_BQLV12</stp>
        <stp>[MODL_NOW_US1.xlsx]Single Period!R7C40</stp>
        <stp>NOW US Equity</stp>
        <stp>IS_COMP_SALES/1M</stp>
        <stp>FPR=2021Y</stp>
        <stp>FPT=A</stp>
        <stp>FA_ACT_EST_DATA=E, EST_SOURCE=DWI</stp>
        <stp>ACT_EST_MAPPING=PRECISE</stp>
        <stp>FS=MRC</stp>
        <stp>CURRENCY=USD</stp>
        <stp>XLFILL=b</stp>
        <tr r="AN7" s="2"/>
      </tp>
      <tp t="s">
        <v>#N/A Requesting Data...</v>
        <stp/>
        <stp>##V3_BQLV12</stp>
        <stp>[MODL_NOW_US1.xlsx]Single Period!R52C8</stp>
        <stp>NOW US Equity</stp>
        <stp>CONTRIBUTOR_STATS(ACCT_RCV_DAYS, STD)</stp>
        <stp>FPR=2021Y</stp>
        <stp>FPT=A</stp>
        <stp>FA_ACT_EST_DATA=E</stp>
        <stp>ACT_EST_MAPPING=PRECISE</stp>
        <stp>FS=MRC</stp>
        <stp>CURRENCY=USD</stp>
        <stp>XLFILL=b</stp>
        <tr r="H52" s="2"/>
      </tp>
      <tp t="s">
        <v>#N/A Requesting Data...</v>
        <stp/>
        <stp>##V3_BQLV12</stp>
        <stp>[MODL_NOW_US1.xlsx]Single Period!R170C37</stp>
        <stp>NOW US Equity</stp>
        <stp>BS_TOT_ASSET/1M</stp>
        <stp>FPR=2021Y</stp>
        <stp>FPT=A</stp>
        <stp>FA_ACT_EST_DATA=E, EST_SOURCE=TTC</stp>
        <stp>ACT_EST_MAPPING=PRECISE</stp>
        <stp>FS=MRC</stp>
        <stp>CURRENCY=USD</stp>
        <stp>XLFILL=b</stp>
        <tr r="AK170" s="2"/>
      </tp>
      <tp t="s">
        <v>#N/A Requesting Data...</v>
        <stp/>
        <stp>##V3_BQLV12</stp>
        <stp>[MODL_NOW_US1.xlsx]Single Period!R122C34</stp>
        <stp>NOW US Equity</stp>
        <stp>IS_MERGER_AND_ACQUIS_EXPN_OP/1M</stp>
        <stp>FPR=2021Y</stp>
        <stp>FPT=A</stp>
        <stp>FA_ACT_EST_DATA=E, EST_SOURCE=PSG</stp>
        <stp>ACT_EST_MAPPING=PRECISE</stp>
        <stp>FS=MRC</stp>
        <stp>CURRENCY=USD</stp>
        <stp>XLFILL=b</stp>
        <tr r="AH122" s="2"/>
      </tp>
      <tp t="s">
        <v>#N/A Requesting Data...</v>
        <stp/>
        <stp>##V3_BQLV12</stp>
        <stp>[MODL_NOW_US1.xlsx]Single Period!R115C12</stp>
        <stp>NOW US Equity</stp>
        <stp>GROSS_PROFIT/1M</stp>
        <stp>FPR=2021Y</stp>
        <stp>FPT=A</stp>
        <stp>FA_ACT_EST_DATA=E, EST_SOURCE=WBL</stp>
        <stp>ACT_EST_MAPPING=PRECISE</stp>
        <stp>FS=MRC</stp>
        <stp>CURRENCY=USD</stp>
        <stp>XLFILL=b</stp>
        <tr r="L115" s="2"/>
      </tp>
      <tp t="s">
        <v>#N/A Requesting Data...</v>
        <stp/>
        <stp>##V3_BQLV12</stp>
        <stp>[MODL_NOW_US1.xlsx]Single Period!R115C20</stp>
        <stp>NOW US Equity</stp>
        <stp>GROSS_PROFIT/1M</stp>
        <stp>FPR=2021Y</stp>
        <stp>FPT=A</stp>
        <stp>FA_ACT_EST_DATA=E, EST_SOURCE=CAN</stp>
        <stp>ACT_EST_MAPPING=PRECISE</stp>
        <stp>FS=MRC</stp>
        <stp>CURRENCY=USD</stp>
        <stp>XLFILL=b</stp>
        <tr r="T115" s="2"/>
      </tp>
      <tp t="s">
        <v>#N/A Requesting Data...</v>
        <stp/>
        <stp>##V3_BQLV12</stp>
        <stp>[MODL_NOW_US1.xlsx]Single Period!R222C46</stp>
        <stp>NOW US Equity</stp>
        <stp>CF_CASH_FROM_INV_ACT/1M</stp>
        <stp>FPR=2021Y</stp>
        <stp>FPT=A</stp>
        <stp>FA_ACT_EST_DATA=E, EST_SOURCE=MZS</stp>
        <stp>ACT_EST_MAPPING=PRECISE</stp>
        <stp>FS=MRC</stp>
        <stp>CURRENCY=USD</stp>
        <stp>XLFILL=b</stp>
        <tr r="AT222" s="2"/>
      </tp>
      <tp t="s">
        <v>#N/A Requesting Data...</v>
        <stp/>
        <stp>##V3_BQLV12</stp>
        <stp>[MODL_NOW_US1.xlsx]Single Period!R122C42</stp>
        <stp>NOW US Equity</stp>
        <stp>IS_MERGER_AND_ACQUIS_EXPN_OP/1M</stp>
        <stp>FPR=2021Y</stp>
        <stp>FPT=A</stp>
        <stp>FA_ACT_EST_DATA=E, EST_SOURCE=CTI</stp>
        <stp>ACT_EST_MAPPING=PRECISE</stp>
        <stp>FS=MRC</stp>
        <stp>CURRENCY=USD</stp>
        <stp>XLFILL=b</stp>
        <tr r="AP122" s="2"/>
      </tp>
      <tp t="s">
        <v>#N/A Requesting Data...</v>
        <stp/>
        <stp>##V3_BQLV12</stp>
        <stp>[MODL_NOW_US1.xlsx]Single Period!R185C37</stp>
        <stp>NOW US Equity</stp>
        <stp>BS_TOT_ASSET/1M</stp>
        <stp>FPR=2021Y</stp>
        <stp>FPT=A</stp>
        <stp>FA_ACT_EST_DATA=E, EST_SOURCE=TTC</stp>
        <stp>ACT_EST_MAPPING=PRECISE</stp>
        <stp>FS=MRC</stp>
        <stp>CURRENCY=USD</stp>
        <stp>XLFILL=b</stp>
        <tr r="AK185" s="2"/>
      </tp>
      <tp t="s">
        <v>#N/A Requesting Data...</v>
        <stp/>
        <stp>##V3_BQLV12</stp>
        <stp>[MODL_NOW_US1.xlsx]Single Period!R87C22</stp>
        <stp>NOW US Equity</stp>
        <stp>CB_IS_ADJUSTED_OPEX/1M</stp>
        <stp>FPR=2021Y</stp>
        <stp>FPT=A</stp>
        <stp>FA_ACT_EST_DATA=E, EST_SOURCE=NDH</stp>
        <stp>ACT_EST_MAPPING=PRECISE</stp>
        <stp>FS=MRC</stp>
        <stp>CURRENCY=USD</stp>
        <stp>XLFILL=b</stp>
        <tr r="V87" s="2"/>
      </tp>
      <tp t="s">
        <v>#N/A Requesting Data...</v>
        <stp/>
        <stp>##V3_BQLV12</stp>
        <stp>[MODL_NOW_US1.xlsx]Single Period!R165C24</stp>
        <stp>NOW US Equity</stp>
        <stp>BS_OPER_LEA_RT_OF_USE_ASSETS/1M</stp>
        <stp>FPR=2021Y</stp>
        <stp>FPT=A</stp>
        <stp>FA_ACT_EST_DATA=E, EST_SOURCE=CWN</stp>
        <stp>ACT_EST_MAPPING=PRECISE</stp>
        <stp>FS=MRC</stp>
        <stp>CURRENCY=USD</stp>
        <stp>XLFILL=b</stp>
        <tr r="X165" s="2"/>
      </tp>
      <tp t="s">
        <v>#N/A Requesting Data...</v>
        <stp/>
        <stp>##V3_BQLV12</stp>
        <stp>[MODL_NOW_US1.xlsx]Single Period!R39C29</stp>
        <stp>NOW US Equity</stp>
        <stp>IS_BILLINGS/1M</stp>
        <stp>FPR=2021Y</stp>
        <stp>FPT=A</stp>
        <stp>FA_ACT_EST_DATA=E, EST_SOURCE=BNS</stp>
        <stp>ACT_EST_MAPPING=PRECISE</stp>
        <stp>FS=MRC</stp>
        <stp>CURRENCY=USD</stp>
        <stp>XLFILL=b</stp>
        <tr r="AC39" s="2"/>
      </tp>
      <tp t="s">
        <v>#N/A Requesting Data...</v>
        <stp/>
        <stp>##V3_BQLV12</stp>
        <stp>[MODL_NOW_US1.xlsx]Single Period!R122C35</stp>
        <stp>NOW US Equity</stp>
        <stp>IS_MERGER_AND_ACQUIS_EXPN_OP/1M</stp>
        <stp>FPR=2021Y</stp>
        <stp>FPT=A</stp>
        <stp>FA_ACT_EST_DATA=E, EST_SOURCE=MSR</stp>
        <stp>ACT_EST_MAPPING=PRECISE</stp>
        <stp>FS=MRC</stp>
        <stp>CURRENCY=USD</stp>
        <stp>XLFILL=b</stp>
        <tr r="AI122" s="2"/>
      </tp>
      <tp t="s">
        <v>#N/A Requesting Data...</v>
        <stp/>
        <stp>##V3_BQLV12</stp>
        <stp>[MODL_NOW_US1.xlsx]Single Period!R147C23</stp>
        <stp>NOW US Equity</stp>
        <stp>IS_AMORT_OF_TOT_INTANG_PRETX/1M</stp>
        <stp>FPR=2021Y</stp>
        <stp>FPT=A</stp>
        <stp>FA_ACT_EST_DATA=E, EST_SOURCE=ZXS</stp>
        <stp>ACT_EST_MAPPING=PRECISE</stp>
        <stp>FS=MRC</stp>
        <stp>CURRENCY=USD</stp>
        <stp>XLFILL=b</stp>
        <tr r="W147" s="2"/>
      </tp>
      <tp t="s">
        <v>#N/A Requesting Data...</v>
        <stp/>
        <stp>##V3_BQLV12</stp>
        <stp>[MODL_NOW_US1.xlsx]Single Period!R39C18</stp>
        <stp>NOW US Equity</stp>
        <stp>IS_BILLINGS/1M</stp>
        <stp>FPR=2021Y</stp>
        <stp>FPT=A</stp>
        <stp>FA_ACT_EST_DATA=E, EST_SOURCE=SNR</stp>
        <stp>ACT_EST_MAPPING=PRECISE</stp>
        <stp>FS=MRC</stp>
        <stp>CURRENCY=USD</stp>
        <stp>XLFILL=b</stp>
        <tr r="R39" s="2"/>
      </tp>
      <tp t="s">
        <v>#N/A Requesting Data...</v>
        <stp/>
        <stp>##V3_BQLV12</stp>
        <stp>[MODL_NOW_US1.xlsx]Single Period!R122C31</stp>
        <stp>NOW US Equity</stp>
        <stp>IS_MERGER_AND_ACQUIS_EXPN_OP/1M</stp>
        <stp>FPR=2021Y</stp>
        <stp>FPT=A</stp>
        <stp>FA_ACT_EST_DATA=E, EST_SOURCE=GSR</stp>
        <stp>ACT_EST_MAPPING=PRECISE</stp>
        <stp>FS=MRC</stp>
        <stp>CURRENCY=USD</stp>
        <stp>XLFILL=b</stp>
        <tr r="AE122" s="2"/>
      </tp>
      <tp t="s">
        <v>#N/A Requesting Data...</v>
        <stp/>
        <stp>##V3_BQLV12</stp>
        <stp>[MODL_NOW_US1.xlsx]Single Period!R190C32</stp>
        <stp>NOW US Equity</stp>
        <stp>DEFERRED_REV/1M</stp>
        <stp>FPR=2021Y</stp>
        <stp>FPT=A</stp>
        <stp>FA_ACT_EST_DATA=E, EST_SOURCE=FBC</stp>
        <stp>ACT_EST_MAPPING=PRECISE</stp>
        <stp>FS=MRC</stp>
        <stp>CURRENCY=USD</stp>
        <stp>XLFILL=b</stp>
        <tr r="AF190" s="2"/>
      </tp>
      <tp t="s">
        <v>#N/A Requesting Data...</v>
        <stp/>
        <stp>##V3_BQLV12</stp>
        <stp>[MODL_NOW_US1.xlsx]Single Period!R114C34</stp>
        <stp>SEG0000230986 Segment</stp>
        <stp>CB_IS_GROSS_MARGIN</stp>
        <stp>FPR=2021Y</stp>
        <stp>FPT=A</stp>
        <stp>FA_ACT_EST_DATA=E, EST_SOURCE=PSG</stp>
        <stp>ACT_EST_MAPPING=PRECISE</stp>
        <stp>FS=MRC</stp>
        <stp>CURRENCY=USD</stp>
        <stp>XLFILL=b</stp>
        <tr r="AH114" s="2"/>
      </tp>
      <tp t="s">
        <v>#N/A Requesting Data...</v>
        <stp/>
        <stp>##V3_BQLV12</stp>
        <stp>[MODL_NOW_US1.xlsx]Single Period!R4C38</stp>
        <stp>NOW US Equity</stp>
        <stp>LAST(IS_COMP_SALES(FA_ACT_EST_DATA=E, EST_SOURCE=RWB).analyst_name)</stp>
        <stp>FPR=2021Y</stp>
        <stp>FPT=A</stp>
        <stp>ACT_EST_MAPPING=PRECISE</stp>
        <stp>FS=MRC</stp>
        <stp>CURRENCY=USD</stp>
        <stp>XLFILL=b</stp>
        <tr r="AL4" s="2"/>
      </tp>
      <tp t="s">
        <v>#N/A Requesting Data...</v>
        <stp/>
        <stp>##V3_BQLV12</stp>
        <stp>[MODL_NOW_US1.xlsx]Single Period!R132C42</stp>
        <stp>NOW US Equity</stp>
        <stp>CONT_INC_PER_SH</stp>
        <stp>FPR=2021Y</stp>
        <stp>FPT=A</stp>
        <stp>FA_ACT_EST_DATA=E, EST_SOURCE=CTI</stp>
        <stp>ACT_EST_MAPPING=PRECISE</stp>
        <stp>FS=MRC</stp>
        <stp>CURRENCY=USD</stp>
        <stp>XLFILL=b</stp>
        <tr r="AP132" s="2"/>
      </tp>
      <tp t="s">
        <v>#N/A Requesting Data...</v>
        <stp/>
        <stp>##V3_BQLV12</stp>
        <stp>[MODL_NOW_US1.xlsx]Single Period!R237C17</stp>
        <stp>NOW US Equity</stp>
        <stp>FCF_PER_DIL_SHR</stp>
        <stp>FPR=2021Y</stp>
        <stp>FPT=A</stp>
        <stp>FA_ACT_EST_DATA=E, EST_SOURCE=RHR</stp>
        <stp>ACT_EST_MAPPING=PRECISE</stp>
        <stp>FS=MRC</stp>
        <stp>CURRENCY=USD</stp>
        <stp>XLFILL=b</stp>
        <tr r="Q237" s="2"/>
      </tp>
      <tp t="s">
        <v>#N/A Requesting Data...</v>
        <stp/>
        <stp>##V3_BQLV12</stp>
        <stp>[MODL_NOW_US1.xlsx]Single Period!R132C34</stp>
        <stp>NOW US Equity</stp>
        <stp>CONT_INC_PER_SH</stp>
        <stp>FPR=2021Y</stp>
        <stp>FPT=A</stp>
        <stp>FA_ACT_EST_DATA=E, EST_SOURCE=PSG</stp>
        <stp>ACT_EST_MAPPING=PRECISE</stp>
        <stp>FS=MRC</stp>
        <stp>CURRENCY=USD</stp>
        <stp>XLFILL=b</stp>
        <tr r="AH132" s="2"/>
      </tp>
      <tp t="s">
        <v>#N/A Requesting Data...</v>
        <stp/>
        <stp>##V3_BQLV12</stp>
        <stp>[MODL_NOW_US1.xlsx]Single Period!R118C43</stp>
        <stp>NOW US Equity</stp>
        <stp>OPERATING_EXPENSES_TO_NET_SALES</stp>
        <stp>FPR=2021Y</stp>
        <stp>FPT=A</stp>
        <stp>FA_ACT_EST_DATA=E, EST_SOURCE=WFT</stp>
        <stp>ACT_EST_MAPPING=PRECISE</stp>
        <stp>FS=MRC</stp>
        <stp>CURRENCY=USD</stp>
        <stp>XLFILL=b</stp>
        <tr r="AQ118" s="2"/>
      </tp>
      <tp t="s">
        <v>#N/A Requesting Data...</v>
        <stp/>
        <stp>##V3_BQLV12</stp>
        <stp>[MODL_NOW_US1.xlsx]Single Period!R51C11</stp>
        <stp>NOW US Equity</stp>
        <stp>ACCOUNTS_PAYABLE_TURNOVER_DAYS</stp>
        <stp>FPR=2021Y</stp>
        <stp>FPT=A</stp>
        <stp>FA_ACT_EST_DATA=E, EST_SOURCE=JPM</stp>
        <stp>ACT_EST_MAPPING=PRECISE</stp>
        <stp>FS=MRC</stp>
        <stp>CURRENCY=USD</stp>
        <stp>XLFILL=b</stp>
        <tr r="K51" s="2"/>
      </tp>
      <tp t="s">
        <v>#N/A Requesting Data...</v>
        <stp/>
        <stp>##V3_BQLV12</stp>
        <stp>[MODL_NOW_US1.xlsx]Single Period!R37C45</stp>
        <stp>NOW US Equity</stp>
        <stp>BS_REMAINING_PERFORMANCE_OBLIG/1M</stp>
        <stp>FPR=2021Y</stp>
        <stp>FPT=A</stp>
        <stp>FA_ACT_EST_DATA=E, EST_SOURCE=PJE</stp>
        <stp>ACT_EST_MAPPING=PRECISE</stp>
        <stp>FS=MRC</stp>
        <stp>CURRENCY=USD</stp>
        <stp>XLFILL=b</stp>
        <tr r="AS37" s="2"/>
      </tp>
      <tp t="s">
        <v>#N/A Requesting Data...</v>
        <stp/>
        <stp>##V3_BQLV12</stp>
        <stp>[MODL_NOW_US1.xlsx]Single Period!R114C19</stp>
        <stp>SEG0000230986 Segment</stp>
        <stp>CB_IS_GROSS_MARGIN</stp>
        <stp>FPR=2021Y</stp>
        <stp>FPT=A</stp>
        <stp>FA_ACT_EST_DATA=E, EST_SOURCE=MSV</stp>
        <stp>ACT_EST_MAPPING=PRECISE</stp>
        <stp>FS=MRC</stp>
        <stp>CURRENCY=USD</stp>
        <stp>XLFILL=b</stp>
        <tr r="S114" s="2"/>
      </tp>
      <tp t="s">
        <v>#N/A Requesting Data...</v>
        <stp/>
        <stp>##V3_BQLV12</stp>
        <stp>[MODL_NOW_US1.xlsx]Single Period!R4C27</stp>
        <stp>NOW US Equity</stp>
        <stp>LAST(IS_COMP_SALES(FA_ACT_EST_DATA=E, EST_SOURCE=RBC).analyst_name)</stp>
        <stp>FPR=2021Y</stp>
        <stp>FPT=A</stp>
        <stp>ACT_EST_MAPPING=PRECISE</stp>
        <stp>FS=MRC</stp>
        <stp>CURRENCY=USD</stp>
        <stp>XLFILL=b</stp>
        <tr r="AA4" s="2"/>
      </tp>
      <tp t="s">
        <v>#N/A Requesting Data...</v>
        <stp/>
        <stp>##V3_BQLV12</stp>
        <stp>[MODL_NOW_US1.xlsx]Single Period!R114C31</stp>
        <stp>SEG0000230986 Segment</stp>
        <stp>CB_IS_GROSS_MARGIN</stp>
        <stp>FPR=2021Y</stp>
        <stp>FPT=A</stp>
        <stp>FA_ACT_EST_DATA=E, EST_SOURCE=GSR</stp>
        <stp>ACT_EST_MAPPING=PRECISE</stp>
        <stp>FS=MRC</stp>
        <stp>CURRENCY=USD</stp>
        <stp>XLFILL=b</stp>
        <tr r="AE114" s="2"/>
      </tp>
      <tp t="s">
        <v>#N/A Requesting Data...</v>
        <stp/>
        <stp>##V3_BQLV12</stp>
        <stp>[MODL_NOW_US1.xlsx]Single Period!R114C35</stp>
        <stp>SEG0000230986 Segment</stp>
        <stp>CB_IS_GROSS_MARGIN</stp>
        <stp>FPR=2021Y</stp>
        <stp>FPT=A</stp>
        <stp>FA_ACT_EST_DATA=E, EST_SOURCE=MSR</stp>
        <stp>ACT_EST_MAPPING=PRECISE</stp>
        <stp>FS=MRC</stp>
        <stp>CURRENCY=USD</stp>
        <stp>XLFILL=b</stp>
        <tr r="AI114" s="2"/>
      </tp>
      <tp t="s">
        <v>#N/A Requesting Data...</v>
        <stp/>
        <stp>##V3_BQLV12</stp>
        <stp>[MODL_NOW_US1.xlsx]Single Period!R118C30</stp>
        <stp>NOW US Equity</stp>
        <stp>OPERATING_EXPENSES_TO_NET_SALES</stp>
        <stp>FPR=2021Y</stp>
        <stp>FPT=A</stp>
        <stp>FA_ACT_EST_DATA=E, EST_SOURCE=BAM</stp>
        <stp>ACT_EST_MAPPING=PRECISE</stp>
        <stp>FS=MRC</stp>
        <stp>CURRENCY=USD</stp>
        <stp>XLFILL=b</stp>
        <tr r="AD118" s="2"/>
      </tp>
      <tp t="s">
        <v>#N/A Requesting Data...</v>
        <stp/>
        <stp>##V3_BQLV12</stp>
        <stp>[MODL_NOW_US1.xlsx]Single Period!R132C35</stp>
        <stp>NOW US Equity</stp>
        <stp>CONT_INC_PER_SH</stp>
        <stp>FPR=2021Y</stp>
        <stp>FPT=A</stp>
        <stp>FA_ACT_EST_DATA=E, EST_SOURCE=MSR</stp>
        <stp>ACT_EST_MAPPING=PRECISE</stp>
        <stp>FS=MRC</stp>
        <stp>CURRENCY=USD</stp>
        <stp>XLFILL=b</stp>
        <tr r="AI132" s="2"/>
      </tp>
      <tp t="s">
        <v>#N/A Requesting Data...</v>
        <stp/>
        <stp>##V3_BQLV12</stp>
        <stp>[MODL_NOW_US1.xlsx]Single Period!R118C33</stp>
        <stp>NOW US Equity</stp>
        <stp>OPERATING_EXPENSES_TO_NET_SALES</stp>
        <stp>FPR=2021Y</stp>
        <stp>FPT=A</stp>
        <stp>FA_ACT_EST_DATA=E, EST_SOURCE=MAC</stp>
        <stp>ACT_EST_MAPPING=PRECISE</stp>
        <stp>FS=MRC</stp>
        <stp>CURRENCY=USD</stp>
        <stp>XLFILL=b</stp>
        <tr r="AG118" s="2"/>
      </tp>
      <tp t="s">
        <v>#N/A Requesting Data...</v>
        <stp/>
        <stp>##V3_BQLV12</stp>
        <stp>[MODL_NOW_US1.xlsx]Single Period!R51C15</stp>
        <stp>NOW US Equity</stp>
        <stp>ACCOUNTS_PAYABLE_TURNOVER_DAYS</stp>
        <stp>FPR=2021Y</stp>
        <stp>FPT=A</stp>
        <stp>FA_ACT_EST_DATA=E, EST_SOURCE=OPY</stp>
        <stp>ACT_EST_MAPPING=PRECISE</stp>
        <stp>FS=MRC</stp>
        <stp>CURRENCY=USD</stp>
        <stp>XLFILL=b</stp>
        <tr r="O51" s="2"/>
      </tp>
      <tp t="s">
        <v>#N/A Requesting Data...</v>
        <stp/>
        <stp>##V3_BQLV12</stp>
        <stp>[MODL_NOW_US1.xlsx]Single Period!R132C31</stp>
        <stp>NOW US Equity</stp>
        <stp>CONT_INC_PER_SH</stp>
        <stp>FPR=2021Y</stp>
        <stp>FPT=A</stp>
        <stp>FA_ACT_EST_DATA=E, EST_SOURCE=GSR</stp>
        <stp>ACT_EST_MAPPING=PRECISE</stp>
        <stp>FS=MRC</stp>
        <stp>CURRENCY=USD</stp>
        <stp>XLFILL=b</stp>
        <tr r="AE132" s="2"/>
      </tp>
      <tp t="s">
        <v>#N/A Requesting Data...</v>
        <stp/>
        <stp>##V3_BQLV12</stp>
        <stp>[MODL_NOW_US1.xlsx]Single Period!R118C16</stp>
        <stp>NOW US Equity</stp>
        <stp>OPERATING_EXPENSES_TO_NET_SALES</stp>
        <stp>FPR=2021Y</stp>
        <stp>FPT=A</stp>
        <stp>FA_ACT_EST_DATA=E, EST_SOURCE=BCA</stp>
        <stp>ACT_EST_MAPPING=PRECISE</stp>
        <stp>FS=MRC</stp>
        <stp>CURRENCY=USD</stp>
        <stp>XLFILL=b</stp>
        <tr r="P118" s="2"/>
      </tp>
      <tp t="s">
        <v>#N/A Requesting Data...</v>
        <stp/>
        <stp>##V3_BQLV12</stp>
        <stp>[MODL_NOW_US1.xlsx]Single Period!R4C17</stp>
        <stp>NOW US Equity</stp>
        <stp>LAST(IS_COMP_SALES(FA_ACT_EST_DATA=E, EST_SOURCE=RHR).analyst_name)</stp>
        <stp>FPR=2021Y</stp>
        <stp>FPT=A</stp>
        <stp>ACT_EST_MAPPING=PRECISE</stp>
        <stp>FS=MRC</stp>
        <stp>CURRENCY=USD</stp>
        <stp>XLFILL=b</stp>
        <tr r="Q4" s="2"/>
      </tp>
      <tp t="s">
        <v>#N/A Requesting Data...</v>
        <stp/>
        <stp>##V3_BQLV12</stp>
        <stp>[MODL_NOW_US1.xlsx]Single Period!R119C7</stp>
        <stp>NOW US Equity</stp>
        <stp>CONTRIBUTOR_STATS(CB_IS_S_AND_M_EXPENSE, MAX)/1M</stp>
        <stp>FPR=2021Y</stp>
        <stp>FPT=A</stp>
        <stp>FA_ACT_EST_DATA=E</stp>
        <stp>ACT_EST_MAPPING=PRECISE</stp>
        <stp>FS=MRC</stp>
        <stp>CURRENCY=USD</stp>
        <stp>XLFILL=b</stp>
        <tr r="G119" s="2"/>
      </tp>
      <tp t="s">
        <v>#N/A Requesting Data...</v>
        <stp/>
        <stp>##V3_BQLV12</stp>
        <stp>[MODL_NOW_US1.xlsx]Single Period!R220C8</stp>
        <stp>NOW US Equity</stp>
        <stp>CONTRIBUTOR_STATS(CF_PROCDS_FROM_INVSTMNTS, STD)/1M</stp>
        <stp>FPR=2021Y</stp>
        <stp>FPT=A</stp>
        <stp>FA_ACT_EST_DATA=E</stp>
        <stp>ACT_EST_MAPPING=PRECISE</stp>
        <stp>FS=MRC</stp>
        <stp>CURRENCY=USD</stp>
        <stp>XLFILL=b</stp>
        <tr r="H220" s="2"/>
      </tp>
      <tp t="s">
        <v>#N/A Requesting Data...</v>
        <stp/>
        <stp>##V3_BQLV12</stp>
        <stp>[MODL_NOW_US1.xlsx]Single Period!R220C6</stp>
        <stp>NOW US Equity</stp>
        <stp>CONTRIBUTOR_STATS(CF_PROCDS_FROM_INVSTMNTS, MIN)/1M</stp>
        <stp>FPR=2021Y</stp>
        <stp>FPT=A</stp>
        <stp>FA_ACT_EST_DATA=E</stp>
        <stp>ACT_EST_MAPPING=PRECISE</stp>
        <stp>FS=MRC</stp>
        <stp>CURRENCY=USD</stp>
        <stp>XLFILL=b</stp>
        <tr r="F220" s="2"/>
      </tp>
      <tp t="s">
        <v>#N/A Requesting Data...</v>
        <stp/>
        <stp>##V3_BQLV12</stp>
        <stp>[MODL_NOW_US1.xlsx]Single Period!R220C7</stp>
        <stp>NOW US Equity</stp>
        <stp>CONTRIBUTOR_STATS(CF_PROCDS_FROM_INVSTMNTS, MAX)/1M</stp>
        <stp>FPR=2021Y</stp>
        <stp>FPT=A</stp>
        <stp>FA_ACT_EST_DATA=E</stp>
        <stp>ACT_EST_MAPPING=PRECISE</stp>
        <stp>FS=MRC</stp>
        <stp>CURRENCY=USD</stp>
        <stp>XLFILL=b</stp>
        <tr r="G220" s="2"/>
      </tp>
      <tp t="s">
        <v>#N/A Requesting Data...</v>
        <stp/>
        <stp>##V3_BQLV12</stp>
        <stp>[MODL_NOW_US1.xlsx]Single Period!R133C8</stp>
        <stp>NOW US Equity</stp>
        <stp>CONTRIBUTOR_STATS(IS_SH_FOR_DILUTED_EPS, STD)/1M</stp>
        <stp>FPR=2021Y</stp>
        <stp>FPT=A</stp>
        <stp>FA_ACT_EST_DATA=E</stp>
        <stp>ACT_EST_MAPPING=PRECISE</stp>
        <stp>FS=MRC</stp>
        <stp>CURRENCY=USD</stp>
        <stp>XLFILL=b</stp>
        <tr r="H133" s="2"/>
      </tp>
      <tp t="s">
        <v>#N/A Requesting Data...</v>
        <stp/>
        <stp>##V3_BQLV12</stp>
        <stp>[MODL_NOW_US1.xlsx]Single Period!R235C5</stp>
        <stp>NOW US Equity</stp>
        <stp>CF_FREE_CASH_FLOW_AS_REPORTED/1M</stp>
        <stp>FPR=2021Y</stp>
        <stp>FPT=A</stp>
        <stp>FA_ACT_EST_DATA=E</stp>
        <stp>ACT_EST_MAPPING=PRECISE</stp>
        <stp>FS=MRC</stp>
        <stp>CURRENCY=USD</stp>
        <stp>XLFILL=b</stp>
        <tr r="E235" s="2"/>
      </tp>
      <tp t="s">
        <v>#N/A Requesting Data...</v>
        <stp/>
        <stp>##V3_BQLV12</stp>
        <stp>[MODL_NOW_US1.xlsx]Single Period!R166C9</stp>
        <stp>NOW US Equity</stp>
        <stp>CONTRIBUTOR_STATS(BS_OTHER_INTANGIBLE_ASSETS, MEDIAN)/1M</stp>
        <stp>FPR=2021Y</stp>
        <stp>FPT=A</stp>
        <stp>FA_ACT_EST_DATA=E</stp>
        <stp>ACT_EST_MAPPING=PRECISE</stp>
        <stp>FS=MRC</stp>
        <stp>CURRENCY=USD</stp>
        <stp>XLFILL=b</stp>
        <tr r="I166" s="2"/>
      </tp>
      <tp t="s">
        <v>#N/A Requesting Data...</v>
        <stp/>
        <stp>##V3_BQLV12</stp>
        <stp>[MODL_NOW_US1.xlsx]Single Period!R169C5</stp>
        <stp>NOW US Equity</stp>
        <stp>CB_BS_OTHER_NONCURRENT_ASSETS/1M</stp>
        <stp>FPR=2021Y</stp>
        <stp>FPT=A</stp>
        <stp>FA_ACT_EST_DATA=E</stp>
        <stp>ACT_EST_MAPPING=PRECISE</stp>
        <stp>FS=MRC</stp>
        <stp>CURRENCY=USD</stp>
        <stp>XLFILL=b</stp>
        <tr r="E169" s="2"/>
      </tp>
      <tp t="s">
        <v>#N/A Requesting Data...</v>
        <stp/>
        <stp>##V3_BQLV12</stp>
        <stp>[MODL_NOW_US1.xlsx]Single Period!R93C49</stp>
        <stp>NOW US Equity</stp>
        <stp>G_AND_A_COST_PCT_REVENUES</stp>
        <stp>FPR=2021Y</stp>
        <stp>FPT=A</stp>
        <stp>FA_ACT_EST_DATA=E, EST_SOURCE=SCB</stp>
        <stp>ACT_EST_MAPPING=PRECISE</stp>
        <stp>FS=MRC</stp>
        <stp>CURRENCY=USD</stp>
        <stp>XLFILL=b</stp>
        <tr r="AW93" s="2"/>
      </tp>
      <tp t="s">
        <v>#N/A Requesting Data...</v>
        <stp/>
        <stp>##V3_BQLV12</stp>
        <stp>[MODL_NOW_US1.xlsx]Single Period!R115C27</stp>
        <stp>NOW US Equity</stp>
        <stp>GROSS_PROFIT/1M</stp>
        <stp>FPR=2021Y</stp>
        <stp>FPT=A</stp>
        <stp>FA_ACT_EST_DATA=E, EST_SOURCE=RBC</stp>
        <stp>ACT_EST_MAPPING=PRECISE</stp>
        <stp>FS=MRC</stp>
        <stp>CURRENCY=USD</stp>
        <stp>XLFILL=b</stp>
        <tr r="AA115" s="2"/>
      </tp>
      <tp t="s">
        <v>#N/A Requesting Data...</v>
        <stp/>
        <stp>##V3_BQLV12</stp>
        <stp>[MODL_NOW_US1.xlsx]Single Period!R93C16</stp>
        <stp>NOW US Equity</stp>
        <stp>G_AND_A_COST_PCT_REVENUES</stp>
        <stp>FPR=2021Y</stp>
        <stp>FPT=A</stp>
        <stp>FA_ACT_EST_DATA=E, EST_SOURCE=BCA</stp>
        <stp>ACT_EST_MAPPING=PRECISE</stp>
        <stp>FS=MRC</stp>
        <stp>CURRENCY=USD</stp>
        <stp>XLFILL=b</stp>
        <tr r="P93" s="2"/>
      </tp>
      <tp t="s">
        <v>#N/A Requesting Data...</v>
        <stp/>
        <stp>##V3_BQLV12</stp>
        <stp>[MODL_NOW_US1.xlsx]Single Period!R185C38</stp>
        <stp>NOW US Equity</stp>
        <stp>BS_TOT_ASSET/1M</stp>
        <stp>FPR=2021Y</stp>
        <stp>FPT=A</stp>
        <stp>FA_ACT_EST_DATA=E, EST_SOURCE=RWB</stp>
        <stp>ACT_EST_MAPPING=PRECISE</stp>
        <stp>FS=MRC</stp>
        <stp>CURRENCY=USD</stp>
        <stp>XLFILL=b</stp>
        <tr r="AL185" s="2"/>
      </tp>
      <tp t="s">
        <v>#N/A Requesting Data...</v>
        <stp/>
        <stp>##V3_BQLV12</stp>
        <stp>[MODL_NOW_US1.xlsx]Single Period!R165C41</stp>
        <stp>NOW US Equity</stp>
        <stp>BS_OPER_LEA_RT_OF_USE_ASSETS/1M</stp>
        <stp>FPR=2021Y</stp>
        <stp>FPT=A</stp>
        <stp>FA_ACT_EST_DATA=E, EST_SOURCE=ARG</stp>
        <stp>ACT_EST_MAPPING=PRECISE</stp>
        <stp>FS=MRC</stp>
        <stp>CURRENCY=USD</stp>
        <stp>XLFILL=b</stp>
        <tr r="AO165" s="2"/>
      </tp>
      <tp t="s">
        <v>#N/A Requesting Data...</v>
        <stp/>
        <stp>##V3_BQLV12</stp>
        <stp>[MODL_NOW_US1.xlsx]Single Period!R165C44</stp>
        <stp>NOW US Equity</stp>
        <stp>BS_OPER_LEA_RT_OF_USE_ASSETS/1M</stp>
        <stp>FPR=2021Y</stp>
        <stp>FPT=A</stp>
        <stp>FA_ACT_EST_DATA=E, EST_SOURCE=ARE</stp>
        <stp>ACT_EST_MAPPING=PRECISE</stp>
        <stp>FS=MRC</stp>
        <stp>CURRENCY=USD</stp>
        <stp>XLFILL=b</stp>
        <tr r="AR165" s="2"/>
      </tp>
      <tp t="s">
        <v>#N/A Requesting Data...</v>
        <stp/>
        <stp>##V3_BQLV12</stp>
        <stp>[MODL_NOW_US1.xlsx]Single Period!R115C25</stp>
        <stp>NOW US Equity</stp>
        <stp>GROSS_PROFIT/1M</stp>
        <stp>FPR=2021Y</stp>
        <stp>FPT=A</stp>
        <stp>FA_ACT_EST_DATA=E, EST_SOURCE=DBG</stp>
        <stp>ACT_EST_MAPPING=PRECISE</stp>
        <stp>FS=MRC</stp>
        <stp>CURRENCY=USD</stp>
        <stp>XLFILL=b</stp>
        <tr r="Y115" s="2"/>
      </tp>
      <tp t="s">
        <v>#N/A Requesting Data...</v>
        <stp/>
        <stp>##V3_BQLV12</stp>
        <stp>[MODL_NOW_US1.xlsx]Single Period!R190C43</stp>
        <stp>NOW US Equity</stp>
        <stp>DEFERRED_REV/1M</stp>
        <stp>FPR=2021Y</stp>
        <stp>FPT=A</stp>
        <stp>FA_ACT_EST_DATA=E, EST_SOURCE=WFT</stp>
        <stp>ACT_EST_MAPPING=PRECISE</stp>
        <stp>FS=MRC</stp>
        <stp>CURRENCY=USD</stp>
        <stp>XLFILL=b</stp>
        <tr r="AQ190" s="2"/>
      </tp>
      <tp t="s">
        <v>#N/A Requesting Data...</v>
        <stp/>
        <stp>##V3_BQLV12</stp>
        <stp>[MODL_NOW_US1.xlsx]Single Period!R130C7</stp>
        <stp>NOW US Equity</stp>
        <stp>CONTRIBUTOR_STATS(IS_COMP_NET_INCOME_GAAP, MAX)/1M</stp>
        <stp>FPR=2021Y</stp>
        <stp>FPT=A</stp>
        <stp>FA_ACT_EST_DATA=E</stp>
        <stp>ACT_EST_MAPPING=PRECISE</stp>
        <stp>FS=MRC</stp>
        <stp>CURRENCY=USD</stp>
        <stp>XLFILL=b</stp>
        <tr r="G130" s="2"/>
      </tp>
      <tp t="s">
        <v>#N/A Requesting Data...</v>
        <stp/>
        <stp>##V3_BQLV12</stp>
        <stp>[MODL_NOW_US1.xlsx]Single Period!R130C6</stp>
        <stp>NOW US Equity</stp>
        <stp>CONTRIBUTOR_STATS(IS_COMP_NET_INCOME_GAAP, MIN)/1M</stp>
        <stp>FPR=2021Y</stp>
        <stp>FPT=A</stp>
        <stp>FA_ACT_EST_DATA=E</stp>
        <stp>ACT_EST_MAPPING=PRECISE</stp>
        <stp>FS=MRC</stp>
        <stp>CURRENCY=USD</stp>
        <stp>XLFILL=b</stp>
        <tr r="F130" s="2"/>
      </tp>
      <tp t="s">
        <v>#N/A Requesting Data...</v>
        <stp/>
        <stp>##V3_BQLV12</stp>
        <stp>[MODL_NOW_US1.xlsx]Single Period!R147C39</stp>
        <stp>NOW US Equity</stp>
        <stp>IS_AMORT_OF_TOT_INTANG_PRETX/1M</stp>
        <stp>FPR=2021Y</stp>
        <stp>FPT=A</stp>
        <stp>FA_ACT_EST_DATA=E, EST_SOURCE=DZB</stp>
        <stp>ACT_EST_MAPPING=PRECISE</stp>
        <stp>FS=MRC</stp>
        <stp>CURRENCY=USD</stp>
        <stp>XLFILL=b</stp>
        <tr r="AM147" s="2"/>
      </tp>
      <tp t="s">
        <v>#N/A Requesting Data...</v>
        <stp/>
        <stp>##V3_BQLV12</stp>
        <stp>[MODL_NOW_US1.xlsx]Single Period!R170C38</stp>
        <stp>NOW US Equity</stp>
        <stp>BS_TOT_ASSET/1M</stp>
        <stp>FPR=2021Y</stp>
        <stp>FPT=A</stp>
        <stp>FA_ACT_EST_DATA=E, EST_SOURCE=RWB</stp>
        <stp>ACT_EST_MAPPING=PRECISE</stp>
        <stp>FS=MRC</stp>
        <stp>CURRENCY=USD</stp>
        <stp>XLFILL=b</stp>
        <tr r="AL170" s="2"/>
      </tp>
      <tp t="s">
        <v>#N/A Requesting Data...</v>
        <stp/>
        <stp>##V3_BQLV12</stp>
        <stp>[MODL_NOW_US1.xlsx]Single Period!R122C40</stp>
        <stp>NOW US Equity</stp>
        <stp>IS_MERGER_AND_ACQUIS_EXPN_OP/1M</stp>
        <stp>FPR=2021Y</stp>
        <stp>FPT=A</stp>
        <stp>FA_ACT_EST_DATA=E, EST_SOURCE=DWI</stp>
        <stp>ACT_EST_MAPPING=PRECISE</stp>
        <stp>FS=MRC</stp>
        <stp>CURRENCY=USD</stp>
        <stp>XLFILL=b</stp>
        <tr r="AN122" s="2"/>
      </tp>
      <tp t="s">
        <v>#N/A Requesting Data...</v>
        <stp/>
        <stp>##V3_BQLV12</stp>
        <stp>[MODL_NOW_US1.xlsx]Single Period!R165C48</stp>
        <stp>NOW US Equity</stp>
        <stp>BS_OPER_LEA_RT_OF_USE_ASSETS/1M</stp>
        <stp>FPR=2021Y</stp>
        <stp>FPT=A</stp>
        <stp>FA_ACT_EST_DATA=E, EST_SOURCE=CRC</stp>
        <stp>ACT_EST_MAPPING=PRECISE</stp>
        <stp>FS=MRC</stp>
        <stp>CURRENCY=USD</stp>
        <stp>XLFILL=b</stp>
        <tr r="AV165" s="2"/>
      </tp>
      <tp t="s">
        <v>#N/A Requesting Data...</v>
        <stp/>
        <stp>##V3_BQLV12</stp>
        <stp>[MODL_NOW_US1.xlsx]Single Period!R39C14</stp>
        <stp>NOW US Equity</stp>
        <stp>IS_BILLINGS/1M</stp>
        <stp>FPR=2021Y</stp>
        <stp>FPT=A</stp>
        <stp>FA_ACT_EST_DATA=E, EST_SOURCE=BMO</stp>
        <stp>ACT_EST_MAPPING=PRECISE</stp>
        <stp>FS=MRC</stp>
        <stp>CURRENCY=USD</stp>
        <stp>XLFILL=b</stp>
        <tr r="N39" s="2"/>
      </tp>
      <tp t="s">
        <v>#N/A Requesting Data...</v>
        <stp/>
        <stp>##V3_BQLV12</stp>
        <stp>[MODL_NOW_US1.xlsx]Single Period!R115C26</stp>
        <stp>NOW US Equity</stp>
        <stp>GROSS_PROFIT/1M</stp>
        <stp>FPR=2021Y</stp>
        <stp>FPT=A</stp>
        <stp>FA_ACT_EST_DATA=E, EST_SOURCE=UBS</stp>
        <stp>ACT_EST_MAPPING=PRECISE</stp>
        <stp>FS=MRC</stp>
        <stp>CURRENCY=USD</stp>
        <stp>XLFILL=b</stp>
        <tr r="Z115" s="2"/>
      </tp>
      <tp t="s">
        <v>#N/A Requesting Data...</v>
        <stp/>
        <stp>##V3_BQLV12</stp>
        <stp>[MODL_NOW_US1.xlsx]Single Period!R190C30</stp>
        <stp>NOW US Equity</stp>
        <stp>DEFERRED_REV/1M</stp>
        <stp>FPR=2021Y</stp>
        <stp>FPT=A</stp>
        <stp>FA_ACT_EST_DATA=E, EST_SOURCE=BAM</stp>
        <stp>ACT_EST_MAPPING=PRECISE</stp>
        <stp>FS=MRC</stp>
        <stp>CURRENCY=USD</stp>
        <stp>XLFILL=b</stp>
        <tr r="AD190" s="2"/>
      </tp>
      <tp t="s">
        <v>#N/A Requesting Data...</v>
        <stp/>
        <stp>##V3_BQLV12</stp>
        <stp>[MODL_NOW_US1.xlsx]Single Period!R185C28</stp>
        <stp>NOW US Equity</stp>
        <stp>BS_TOT_ASSET/1M</stp>
        <stp>FPR=2021Y</stp>
        <stp>FPT=A</stp>
        <stp>FA_ACT_EST_DATA=E, EST_SOURCE=EVR</stp>
        <stp>ACT_EST_MAPPING=PRECISE</stp>
        <stp>FS=MRC</stp>
        <stp>CURRENCY=USD</stp>
        <stp>XLFILL=b</stp>
        <tr r="AB185" s="2"/>
      </tp>
      <tp t="s">
        <v>#N/A Requesting Data...</v>
        <stp/>
        <stp>##V3_BQLV12</stp>
        <stp>[MODL_NOW_US1.xlsx]Single Period!R39C21</stp>
        <stp>NOW US Equity</stp>
        <stp>IS_BILLINGS/1M</stp>
        <stp>FPR=2021Y</stp>
        <stp>FPT=A</stp>
        <stp>FA_ACT_EST_DATA=E, EST_SOURCE=JMP</stp>
        <stp>ACT_EST_MAPPING=PRECISE</stp>
        <stp>FS=MRC</stp>
        <stp>CURRENCY=USD</stp>
        <stp>XLFILL=b</stp>
        <tr r="U39" s="2"/>
      </tp>
      <tp t="s">
        <v>#N/A Requesting Data...</v>
        <stp/>
        <stp>##V3_BQLV12</stp>
        <stp>[MODL_NOW_US1.xlsx]Single Period!R183C45</stp>
        <stp>NOW US Equity</stp>
        <stp>BS_TOTAL_LIABILITIES/1M</stp>
        <stp>FPR=2021Y</stp>
        <stp>FPT=A</stp>
        <stp>FA_ACT_EST_DATA=E, EST_SOURCE=PJE</stp>
        <stp>ACT_EST_MAPPING=PRECISE</stp>
        <stp>FS=MRC</stp>
        <stp>CURRENCY=USD</stp>
        <stp>XLFILL=b</stp>
        <tr r="AS183" s="2"/>
      </tp>
      <tp t="s">
        <v>#N/A Requesting Data...</v>
        <stp/>
        <stp>##V3_BQLV12</stp>
        <stp>[MODL_NOW_US1.xlsx]Single Period!R130C8</stp>
        <stp>NOW US Equity</stp>
        <stp>CONTRIBUTOR_STATS(IS_COMP_NET_INCOME_GAAP, STD)/1M</stp>
        <stp>FPR=2021Y</stp>
        <stp>FPT=A</stp>
        <stp>FA_ACT_EST_DATA=E</stp>
        <stp>ACT_EST_MAPPING=PRECISE</stp>
        <stp>FS=MRC</stp>
        <stp>CURRENCY=USD</stp>
        <stp>XLFILL=b</stp>
        <tr r="H130" s="2"/>
      </tp>
      <tp t="s">
        <v>#N/A Requesting Data...</v>
        <stp/>
        <stp>##V3_BQLV12</stp>
        <stp>[MODL_NOW_US1.xlsx]Single Period!R190C16</stp>
        <stp>NOW US Equity</stp>
        <stp>DEFERRED_REV/1M</stp>
        <stp>FPR=2021Y</stp>
        <stp>FPT=A</stp>
        <stp>FA_ACT_EST_DATA=E, EST_SOURCE=BCA</stp>
        <stp>ACT_EST_MAPPING=PRECISE</stp>
        <stp>FS=MRC</stp>
        <stp>CURRENCY=USD</stp>
        <stp>XLFILL=b</stp>
        <tr r="P190" s="2"/>
      </tp>
      <tp t="s">
        <v>#N/A Requesting Data...</v>
        <stp/>
        <stp>##V3_BQLV12</stp>
        <stp>[MODL_NOW_US1.xlsx]Single Period!R170C28</stp>
        <stp>NOW US Equity</stp>
        <stp>BS_TOT_ASSET/1M</stp>
        <stp>FPR=2021Y</stp>
        <stp>FPT=A</stp>
        <stp>FA_ACT_EST_DATA=E, EST_SOURCE=EVR</stp>
        <stp>ACT_EST_MAPPING=PRECISE</stp>
        <stp>FS=MRC</stp>
        <stp>CURRENCY=USD</stp>
        <stp>XLFILL=b</stp>
        <tr r="AB170" s="2"/>
      </tp>
      <tp t="s">
        <v>#N/A Requesting Data...</v>
        <stp/>
        <stp>##V3_BQLV12</stp>
        <stp>[MODL_NOW_US1.xlsx]Single Period!R190C33</stp>
        <stp>NOW US Equity</stp>
        <stp>DEFERRED_REV/1M</stp>
        <stp>FPR=2021Y</stp>
        <stp>FPT=A</stp>
        <stp>FA_ACT_EST_DATA=E, EST_SOURCE=MAC</stp>
        <stp>ACT_EST_MAPPING=PRECISE</stp>
        <stp>FS=MRC</stp>
        <stp>CURRENCY=USD</stp>
        <stp>XLFILL=b</stp>
        <tr r="AG190" s="2"/>
      </tp>
      <tp t="s">
        <v>#N/A Requesting Data...</v>
        <stp/>
        <stp>##V3_BQLV12</stp>
        <stp>[MODL_NOW_US1.xlsx]Single Period!R132C11</stp>
        <stp>NOW US Equity</stp>
        <stp>CONT_INC_PER_SH</stp>
        <stp>FPR=2021Y</stp>
        <stp>FPT=A</stp>
        <stp>FA_ACT_EST_DATA=E, EST_SOURCE=JPM</stp>
        <stp>ACT_EST_MAPPING=PRECISE</stp>
        <stp>FS=MRC</stp>
        <stp>CURRENCY=USD</stp>
        <stp>XLFILL=b</stp>
        <tr r="K132" s="2"/>
      </tp>
      <tp t="s">
        <v>#N/A Requesting Data...</v>
        <stp/>
        <stp>##V3_BQLV12</stp>
        <stp>[MODL_NOW_US1.xlsx]Single Period!R4C47</stp>
        <stp>NOW US Equity</stp>
        <stp>LAST(IS_COMP_SALES(FA_ACT_EST_DATA=E, EST_SOURCE=SUM).analyst_name)</stp>
        <stp>FPR=2021Y</stp>
        <stp>FPT=A</stp>
        <stp>ACT_EST_MAPPING=PRECISE</stp>
        <stp>FS=MRC</stp>
        <stp>CURRENCY=USD</stp>
        <stp>XLFILL=b</stp>
        <tr r="AU4" s="2"/>
      </tp>
      <tp t="s">
        <v>#N/A Requesting Data...</v>
        <stp/>
        <stp>##V3_BQLV12</stp>
        <stp>[MODL_NOW_US1.xlsx]Single Period!R114C48</stp>
        <stp>SEG0000230986 Segment</stp>
        <stp>CB_IS_GROSS_MARGIN</stp>
        <stp>FPR=2021Y</stp>
        <stp>FPT=A</stp>
        <stp>FA_ACT_EST_DATA=E, EST_SOURCE=CRC</stp>
        <stp>ACT_EST_MAPPING=PRECISE</stp>
        <stp>FS=MRC</stp>
        <stp>CURRENCY=USD</stp>
        <stp>XLFILL=b</stp>
        <tr r="AV114" s="2"/>
      </tp>
      <tp t="s">
        <v>#N/A Requesting Data...</v>
        <stp/>
        <stp>##V3_BQLV12</stp>
        <stp>[MODL_NOW_US1.xlsx]Single Period!R132C47</stp>
        <stp>NOW US Equity</stp>
        <stp>CONT_INC_PER_SH</stp>
        <stp>FPR=2021Y</stp>
        <stp>FPT=A</stp>
        <stp>FA_ACT_EST_DATA=E, EST_SOURCE=SUM</stp>
        <stp>ACT_EST_MAPPING=PRECISE</stp>
        <stp>FS=MRC</stp>
        <stp>CURRENCY=USD</stp>
        <stp>XLFILL=b</stp>
        <tr r="AU132" s="2"/>
      </tp>
      <tp t="s">
        <v>#N/A Requesting Data...</v>
        <stp/>
        <stp>##V3_BQLV12</stp>
        <stp>[MODL_NOW_US1.xlsx]Single Period!R114C44</stp>
        <stp>SEG0000230986 Segment</stp>
        <stp>CB_IS_GROSS_MARGIN</stp>
        <stp>FPR=2021Y</stp>
        <stp>FPT=A</stp>
        <stp>FA_ACT_EST_DATA=E, EST_SOURCE=ARE</stp>
        <stp>ACT_EST_MAPPING=PRECISE</stp>
        <stp>FS=MRC</stp>
        <stp>CURRENCY=USD</stp>
        <stp>XLFILL=b</stp>
        <tr r="AR114" s="2"/>
      </tp>
      <tp t="s">
        <v>#N/A Requesting Data...</v>
        <stp/>
        <stp>##V3_BQLV12</stp>
        <stp>[MODL_NOW_US1.xlsx]Single Period!R114C41</stp>
        <stp>SEG0000230986 Segment</stp>
        <stp>CB_IS_GROSS_MARGIN</stp>
        <stp>FPR=2021Y</stp>
        <stp>FPT=A</stp>
        <stp>FA_ACT_EST_DATA=E, EST_SOURCE=ARG</stp>
        <stp>ACT_EST_MAPPING=PRECISE</stp>
        <stp>FS=MRC</stp>
        <stp>CURRENCY=USD</stp>
        <stp>XLFILL=b</stp>
        <tr r="AO114" s="2"/>
      </tp>
      <tp t="s">
        <v>#N/A Requesting Data...</v>
        <stp/>
        <stp>##V3_BQLV12</stp>
        <stp>[MODL_NOW_US1.xlsx]Single Period!R132C15</stp>
        <stp>NOW US Equity</stp>
        <stp>CONT_INC_PER_SH</stp>
        <stp>FPR=2021Y</stp>
        <stp>FPT=A</stp>
        <stp>FA_ACT_EST_DATA=E, EST_SOURCE=OPY</stp>
        <stp>ACT_EST_MAPPING=PRECISE</stp>
        <stp>FS=MRC</stp>
        <stp>CURRENCY=USD</stp>
        <stp>XLFILL=b</stp>
        <tr r="O132" s="2"/>
      </tp>
      <tp t="s">
        <v>#N/A Requesting Data...</v>
        <stp/>
        <stp>##V3_BQLV12</stp>
        <stp>[MODL_NOW_US1.xlsx]Single Period!R118C12</stp>
        <stp>NOW US Equity</stp>
        <stp>OPERATING_EXPENSES_TO_NET_SALES</stp>
        <stp>FPR=2021Y</stp>
        <stp>FPT=A</stp>
        <stp>FA_ACT_EST_DATA=E, EST_SOURCE=WBL</stp>
        <stp>ACT_EST_MAPPING=PRECISE</stp>
        <stp>FS=MRC</stp>
        <stp>CURRENCY=USD</stp>
        <stp>XLFILL=b</stp>
        <tr r="L118" s="2"/>
      </tp>
      <tp t="s">
        <v>#N/A Requesting Data...</v>
        <stp/>
        <stp>##V3_BQLV12</stp>
        <stp>[MODL_NOW_US1.xlsx]Single Period!R118C20</stp>
        <stp>NOW US Equity</stp>
        <stp>OPERATING_EXPENSES_TO_NET_SALES</stp>
        <stp>FPR=2021Y</stp>
        <stp>FPT=A</stp>
        <stp>FA_ACT_EST_DATA=E, EST_SOURCE=CAN</stp>
        <stp>ACT_EST_MAPPING=PRECISE</stp>
        <stp>FS=MRC</stp>
        <stp>CURRENCY=USD</stp>
        <stp>XLFILL=b</stp>
        <tr r="T118" s="2"/>
      </tp>
      <tp t="s">
        <v>#N/A Requesting Data...</v>
        <stp/>
        <stp>##V3_BQLV12</stp>
        <stp>[MODL_NOW_US1.xlsx]Single Period!R4C49</stp>
        <stp>NOW US Equity</stp>
        <stp>LAST(IS_COMP_SALES(FA_ACT_EST_DATA=E, EST_SOURCE=SCB).analyst_name)</stp>
        <stp>FPR=2021Y</stp>
        <stp>FPT=A</stp>
        <stp>ACT_EST_MAPPING=PRECISE</stp>
        <stp>FS=MRC</stp>
        <stp>CURRENCY=USD</stp>
        <stp>XLFILL=b</stp>
        <tr r="AW4" s="2"/>
      </tp>
      <tp t="s">
        <v>#N/A Requesting Data...</v>
        <stp/>
        <stp>##V3_BQLV12</stp>
        <stp>[MODL_NOW_US1.xlsx]Single Period!R4C18</stp>
        <stp>NOW US Equity</stp>
        <stp>LAST(IS_COMP_SALES(FA_ACT_EST_DATA=E, EST_SOURCE=SNR).analyst_name)</stp>
        <stp>FPR=2021Y</stp>
        <stp>FPT=A</stp>
        <stp>ACT_EST_MAPPING=PRECISE</stp>
        <stp>FS=MRC</stp>
        <stp>CURRENCY=USD</stp>
        <stp>XLFILL=b</stp>
        <tr r="R4" s="2"/>
      </tp>
      <tp t="s">
        <v>#N/A Requesting Data...</v>
        <stp/>
        <stp>##V3_BQLV12</stp>
        <stp>[MODL_NOW_US1.xlsx]Single Period!R32C18</stp>
        <stp>NOW US Equity</stp>
        <stp>BS_REMAINING_PERFORMANCE_OBLIG/1M</stp>
        <stp>FPR=2021Y</stp>
        <stp>FPT=A</stp>
        <stp>FA_ACT_EST_DATA=E, EST_SOURCE=SNR</stp>
        <stp>ACT_EST_MAPPING=PRECISE</stp>
        <stp>FS=MRC</stp>
        <stp>CURRENCY=USD</stp>
        <stp>XLFILL=b</stp>
        <tr r="R32" s="2"/>
      </tp>
      <tp t="s">
        <v>#N/A Requesting Data...</v>
        <stp/>
        <stp>##V3_BQLV12</stp>
        <stp>[MODL_NOW_US1.xlsx]Single Period!R32C29</stp>
        <stp>NOW US Equity</stp>
        <stp>BS_REMAINING_PERFORMANCE_OBLIG/1M</stp>
        <stp>FPR=2021Y</stp>
        <stp>FPT=A</stp>
        <stp>FA_ACT_EST_DATA=E, EST_SOURCE=BNS</stp>
        <stp>ACT_EST_MAPPING=PRECISE</stp>
        <stp>FS=MRC</stp>
        <stp>CURRENCY=USD</stp>
        <stp>XLFILL=b</stp>
        <tr r="AC32" s="2"/>
      </tp>
      <tp t="s">
        <v>#N/A Requesting Data...</v>
        <stp/>
        <stp>##V3_BQLV12</stp>
        <stp>[MODL_NOW_US1.xlsx]Single Period!R119C6</stp>
        <stp>NOW US Equity</stp>
        <stp>CONTRIBUTOR_STATS(CB_IS_S_AND_M_EXPENSE, MIN)/1M</stp>
        <stp>FPR=2021Y</stp>
        <stp>FPT=A</stp>
        <stp>FA_ACT_EST_DATA=E</stp>
        <stp>ACT_EST_MAPPING=PRECISE</stp>
        <stp>FS=MRC</stp>
        <stp>CURRENCY=USD</stp>
        <stp>XLFILL=b</stp>
        <tr r="F119" s="2"/>
      </tp>
      <tp t="s">
        <v>#N/A Requesting Data...</v>
        <stp/>
        <stp>##V3_BQLV12</stp>
        <stp>[MODL_NOW_US1.xlsx]Single Period!R227C6</stp>
        <stp>NOW US Equity</stp>
        <stp>CONTRIBUTOR_STATS(CF_NET_CSH_PROV_BY_FINANCING_ACT, MIN)/1M</stp>
        <stp>FPR=2021Y</stp>
        <stp>FPT=A</stp>
        <stp>FA_ACT_EST_DATA=E</stp>
        <stp>ACT_EST_MAPPING=PRECISE</stp>
        <stp>FS=MRC</stp>
        <stp>CURRENCY=USD</stp>
        <stp>XLFILL=b</stp>
        <tr r="F227" s="2"/>
      </tp>
      <tp t="s">
        <v>#N/A Requesting Data...</v>
        <stp/>
        <stp>##V3_BQLV12</stp>
        <stp>[MODL_NOW_US1.xlsx]Single Period!R227C7</stp>
        <stp>NOW US Equity</stp>
        <stp>CONTRIBUTOR_STATS(CF_NET_CSH_PROV_BY_FINANCING_ACT, MAX)/1M</stp>
        <stp>FPR=2021Y</stp>
        <stp>FPT=A</stp>
        <stp>FA_ACT_EST_DATA=E</stp>
        <stp>ACT_EST_MAPPING=PRECISE</stp>
        <stp>FS=MRC</stp>
        <stp>CURRENCY=USD</stp>
        <stp>XLFILL=b</stp>
        <tr r="G227" s="2"/>
      </tp>
      <tp t="s">
        <v>#N/A Requesting Data...</v>
        <stp/>
        <stp>##V3_BQLV12</stp>
        <stp>[MODL_NOW_US1.xlsx]Single Period!R227C8</stp>
        <stp>NOW US Equity</stp>
        <stp>CONTRIBUTOR_STATS(CF_NET_CSH_PROV_BY_FINANCING_ACT, STD)/1M</stp>
        <stp>FPR=2021Y</stp>
        <stp>FPT=A</stp>
        <stp>FA_ACT_EST_DATA=E</stp>
        <stp>ACT_EST_MAPPING=PRECISE</stp>
        <stp>FS=MRC</stp>
        <stp>CURRENCY=USD</stp>
        <stp>XLFILL=b</stp>
        <tr r="H227" s="2"/>
      </tp>
      <tp t="s">
        <v>#N/A Requesting Data...</v>
        <stp/>
        <stp>##V3_BQLV12</stp>
        <stp>[MODL_NOW_US1.xlsx]Single Period!R169C9</stp>
        <stp>NOW US Equity</stp>
        <stp>CONTRIBUTOR_STATS(CB_BS_OTHER_NONCURRENT_ASSETS, MEDIAN)/1M</stp>
        <stp>FPR=2021Y</stp>
        <stp>FPT=A</stp>
        <stp>FA_ACT_EST_DATA=E</stp>
        <stp>ACT_EST_MAPPING=PRECISE</stp>
        <stp>FS=MRC</stp>
        <stp>CURRENCY=USD</stp>
        <stp>XLFILL=b</stp>
        <tr r="I169" s="2"/>
      </tp>
      <tp t="s">
        <v>#N/A Requesting Data...</v>
        <stp/>
        <stp>##V3_BQLV12</stp>
        <stp>[MODL_NOW_US1.xlsx]Single Period!R7C15</stp>
        <stp>NOW US Equity</stp>
        <stp>IS_COMP_SALES/1M</stp>
        <stp>FPR=2021Y</stp>
        <stp>FPT=A</stp>
        <stp>FA_ACT_EST_DATA=E, EST_SOURCE=OPY</stp>
        <stp>ACT_EST_MAPPING=PRECISE</stp>
        <stp>FS=MRC</stp>
        <stp>CURRENCY=USD</stp>
        <stp>XLFILL=b</stp>
        <tr r="O7" s="2"/>
      </tp>
      <tp t="s">
        <v>#N/A Requesting Data...</v>
        <stp/>
        <stp>##V3_BQLV12</stp>
        <stp>[MODL_NOW_US1.xlsx]Single Period!R93C32</stp>
        <stp>NOW US Equity</stp>
        <stp>G_AND_A_COST_PCT_REVENUES</stp>
        <stp>FPR=2021Y</stp>
        <stp>FPT=A</stp>
        <stp>FA_ACT_EST_DATA=E, EST_SOURCE=FBC</stp>
        <stp>ACT_EST_MAPPING=PRECISE</stp>
        <stp>FS=MRC</stp>
        <stp>CURRENCY=USD</stp>
        <stp>XLFILL=b</stp>
        <tr r="AF93" s="2"/>
      </tp>
      <tp t="s">
        <v>#N/A Requesting Data...</v>
        <stp/>
        <stp>##V3_BQLV12</stp>
        <stp>[MODL_NOW_US1.xlsx]Single Period!R93C27</stp>
        <stp>NOW US Equity</stp>
        <stp>G_AND_A_COST_PCT_REVENUES</stp>
        <stp>FPR=2021Y</stp>
        <stp>FPT=A</stp>
        <stp>FA_ACT_EST_DATA=E, EST_SOURCE=RBC</stp>
        <stp>ACT_EST_MAPPING=PRECISE</stp>
        <stp>FS=MRC</stp>
        <stp>CURRENCY=USD</stp>
        <stp>XLFILL=b</stp>
        <tr r="AA93" s="2"/>
      </tp>
      <tp t="s">
        <v>#N/A Requesting Data...</v>
        <stp/>
        <stp>##V3_BQLV12</stp>
        <stp>[MODL_NOW_US1.xlsx]Single Period!R165C37</stp>
        <stp>NOW US Equity</stp>
        <stp>BS_OPER_LEA_RT_OF_USE_ASSETS/1M</stp>
        <stp>FPR=2021Y</stp>
        <stp>FPT=A</stp>
        <stp>FA_ACT_EST_DATA=E, EST_SOURCE=TTC</stp>
        <stp>ACT_EST_MAPPING=PRECISE</stp>
        <stp>FS=MRC</stp>
        <stp>CURRENCY=USD</stp>
        <stp>XLFILL=b</stp>
        <tr r="AK165" s="2"/>
      </tp>
      <tp t="s">
        <v>#N/A Requesting Data...</v>
        <stp/>
        <stp>##V3_BQLV12</stp>
        <stp>[MODL_NOW_US1.xlsx]Single Period!R183C21</stp>
        <stp>NOW US Equity</stp>
        <stp>BS_TOTAL_LIABILITIES/1M</stp>
        <stp>FPR=2021Y</stp>
        <stp>FPT=A</stp>
        <stp>FA_ACT_EST_DATA=E, EST_SOURCE=JMP</stp>
        <stp>ACT_EST_MAPPING=PRECISE</stp>
        <stp>FS=MRC</stp>
        <stp>CURRENCY=USD</stp>
        <stp>XLFILL=b</stp>
        <tr r="U183" s="2"/>
      </tp>
      <tp t="s">
        <v>#N/A Requesting Data...</v>
        <stp/>
        <stp>##V3_BQLV12</stp>
        <stp>[MODL_NOW_US1.xlsx]Single Period!R185C24</stp>
        <stp>NOW US Equity</stp>
        <stp>BS_TOT_ASSET/1M</stp>
        <stp>FPR=2021Y</stp>
        <stp>FPT=A</stp>
        <stp>FA_ACT_EST_DATA=E, EST_SOURCE=CWN</stp>
        <stp>ACT_EST_MAPPING=PRECISE</stp>
        <stp>FS=MRC</stp>
        <stp>CURRENCY=USD</stp>
        <stp>XLFILL=b</stp>
        <tr r="X185" s="2"/>
      </tp>
      <tp t="s">
        <v>#N/A Requesting Data...</v>
        <stp/>
        <stp>##V3_BQLV12</stp>
        <stp>[MODL_NOW_US1.xlsx]Single Period!R93C25</stp>
        <stp>NOW US Equity</stp>
        <stp>G_AND_A_COST_PCT_REVENUES</stp>
        <stp>FPR=2021Y</stp>
        <stp>FPT=A</stp>
        <stp>FA_ACT_EST_DATA=E, EST_SOURCE=DBG</stp>
        <stp>ACT_EST_MAPPING=PRECISE</stp>
        <stp>FS=MRC</stp>
        <stp>CURRENCY=USD</stp>
        <stp>XLFILL=b</stp>
        <tr r="Y93" s="2"/>
      </tp>
      <tp t="s">
        <v>#N/A Requesting Data...</v>
        <stp/>
        <stp>##V3_BQLV12</stp>
        <stp>[MODL_NOW_US1.xlsx]Single Period!R115C32</stp>
        <stp>NOW US Equity</stp>
        <stp>GROSS_PROFIT/1M</stp>
        <stp>FPR=2021Y</stp>
        <stp>FPT=A</stp>
        <stp>FA_ACT_EST_DATA=E, EST_SOURCE=FBC</stp>
        <stp>ACT_EST_MAPPING=PRECISE</stp>
        <stp>FS=MRC</stp>
        <stp>CURRENCY=USD</stp>
        <stp>XLFILL=b</stp>
        <tr r="AF115" s="2"/>
      </tp>
      <tp t="s">
        <v>#N/A Requesting Data...</v>
        <stp/>
        <stp>##V3_BQLV12</stp>
        <stp>[MODL_NOW_US1.xlsx]Single Period!R183C18</stp>
        <stp>NOW US Equity</stp>
        <stp>BS_TOTAL_LIABILITIES/1M</stp>
        <stp>FPR=2021Y</stp>
        <stp>FPT=A</stp>
        <stp>FA_ACT_EST_DATA=E, EST_SOURCE=SNR</stp>
        <stp>ACT_EST_MAPPING=PRECISE</stp>
        <stp>FS=MRC</stp>
        <stp>CURRENCY=USD</stp>
        <stp>XLFILL=b</stp>
        <tr r="R183" s="2"/>
      </tp>
      <tp t="s">
        <v>#N/A Requesting Data...</v>
        <stp/>
        <stp>##V3_BQLV12</stp>
        <stp>[MODL_NOW_US1.xlsx]Single Period!R170C24</stp>
        <stp>NOW US Equity</stp>
        <stp>BS_TOT_ASSET/1M</stp>
        <stp>FPR=2021Y</stp>
        <stp>FPT=A</stp>
        <stp>FA_ACT_EST_DATA=E, EST_SOURCE=CWN</stp>
        <stp>ACT_EST_MAPPING=PRECISE</stp>
        <stp>FS=MRC</stp>
        <stp>CURRENCY=USD</stp>
        <stp>XLFILL=b</stp>
        <tr r="X170" s="2"/>
      </tp>
      <tp t="s">
        <v>#N/A Requesting Data...</v>
        <stp/>
        <stp>##V3_BQLV12</stp>
        <stp>[MODL_NOW_US1.xlsx]Single Period!R93C12</stp>
        <stp>NOW US Equity</stp>
        <stp>G_AND_A_COST_PCT_REVENUES</stp>
        <stp>FPR=2021Y</stp>
        <stp>FPT=A</stp>
        <stp>FA_ACT_EST_DATA=E, EST_SOURCE=WBL</stp>
        <stp>ACT_EST_MAPPING=PRECISE</stp>
        <stp>FS=MRC</stp>
        <stp>CURRENCY=USD</stp>
        <stp>XLFILL=b</stp>
        <tr r="L93" s="2"/>
      </tp>
      <tp t="s">
        <v>#N/A Requesting Data...</v>
        <stp/>
        <stp>##V3_BQLV12</stp>
        <stp>[MODL_NOW_US1.xlsx]Single Period!R93C26</stp>
        <stp>NOW US Equity</stp>
        <stp>G_AND_A_COST_PCT_REVENUES</stp>
        <stp>FPR=2021Y</stp>
        <stp>FPT=A</stp>
        <stp>FA_ACT_EST_DATA=E, EST_SOURCE=UBS</stp>
        <stp>ACT_EST_MAPPING=PRECISE</stp>
        <stp>FS=MRC</stp>
        <stp>CURRENCY=USD</stp>
        <stp>XLFILL=b</stp>
        <tr r="Z93" s="2"/>
      </tp>
      <tp t="s">
        <v>#N/A Requesting Data...</v>
        <stp/>
        <stp>##V3_BQLV12</stp>
        <stp>[MODL_NOW_US1.xlsx]Single Period!R190C20</stp>
        <stp>NOW US Equity</stp>
        <stp>DEFERRED_REV/1M</stp>
        <stp>FPR=2021Y</stp>
        <stp>FPT=A</stp>
        <stp>FA_ACT_EST_DATA=E, EST_SOURCE=CAN</stp>
        <stp>ACT_EST_MAPPING=PRECISE</stp>
        <stp>FS=MRC</stp>
        <stp>CURRENCY=USD</stp>
        <stp>XLFILL=b</stp>
        <tr r="T190" s="2"/>
      </tp>
      <tp t="s">
        <v>#N/A Requesting Data...</v>
        <stp/>
        <stp>##V3_BQLV12</stp>
        <stp>[MODL_NOW_US1.xlsx]Single Period!R190C12</stp>
        <stp>NOW US Equity</stp>
        <stp>DEFERRED_REV/1M</stp>
        <stp>FPR=2021Y</stp>
        <stp>FPT=A</stp>
        <stp>FA_ACT_EST_DATA=E, EST_SOURCE=WBL</stp>
        <stp>ACT_EST_MAPPING=PRECISE</stp>
        <stp>FS=MRC</stp>
        <stp>CURRENCY=USD</stp>
        <stp>XLFILL=b</stp>
        <tr r="L190" s="2"/>
      </tp>
      <tp t="s">
        <v>#N/A Requesting Data...</v>
        <stp/>
        <stp>##V3_BQLV12</stp>
        <stp>[MODL_NOW_US1.xlsx]Single Period!R87C43</stp>
        <stp>NOW US Equity</stp>
        <stp>CB_IS_ADJUSTED_OPEX/1M</stp>
        <stp>FPR=2021Y</stp>
        <stp>FPT=A</stp>
        <stp>FA_ACT_EST_DATA=E, EST_SOURCE=WFT</stp>
        <stp>ACT_EST_MAPPING=PRECISE</stp>
        <stp>FS=MRC</stp>
        <stp>CURRENCY=USD</stp>
        <stp>XLFILL=b</stp>
        <tr r="AQ87" s="2"/>
      </tp>
      <tp t="s">
        <v>#N/A Requesting Data...</v>
        <stp/>
        <stp>##V3_BQLV12</stp>
        <stp>[MODL_NOW_US1.xlsx]Single Period!R122C19</stp>
        <stp>NOW US Equity</stp>
        <stp>IS_MERGER_AND_ACQUIS_EXPN_OP/1M</stp>
        <stp>FPR=2021Y</stp>
        <stp>FPT=A</stp>
        <stp>FA_ACT_EST_DATA=E, EST_SOURCE=MSV</stp>
        <stp>ACT_EST_MAPPING=PRECISE</stp>
        <stp>FS=MRC</stp>
        <stp>CURRENCY=USD</stp>
        <stp>XLFILL=b</stp>
        <tr r="S122" s="2"/>
      </tp>
      <tp t="s">
        <v>#N/A Requesting Data...</v>
        <stp/>
        <stp>##V3_BQLV12</stp>
        <stp>[MODL_NOW_US1.xlsx]Single Period!R3C42</stp>
        <stp>NOW US Equity</stp>
        <stp>LAST(IS_COMP_SALES(FA_ACT_EST_DATA=E, EST_SOURCE=CTI).firm_name)</stp>
        <stp>FPR=2021Y</stp>
        <stp>FPT=A</stp>
        <stp>ACT_EST_MAPPING=PRECISE</stp>
        <stp>FS=MRC</stp>
        <stp>CURRENCY=USD</stp>
        <stp>XLFILL=b</stp>
        <tr r="AP3" s="2"/>
      </tp>
      <tp t="s">
        <v>#N/A Requesting Data...</v>
        <stp/>
        <stp>##V3_BQLV12</stp>
        <stp>[MODL_NOW_US1.xlsx]Single Period!R85C43</stp>
        <stp>NOW US Equity</stp>
        <stp>IS_COMP_GROSS_MARGIN_PERCENTAGE</stp>
        <stp>FPR=2021Y</stp>
        <stp>FPT=A</stp>
        <stp>FA_ACT_EST_DATA=E, EST_SOURCE=WFT</stp>
        <stp>ACT_EST_MAPPING=PRECISE</stp>
        <stp>FS=MRC</stp>
        <stp>CURRENCY=USD</stp>
        <stp>XLFILL=b</stp>
        <tr r="AQ85" s="2"/>
      </tp>
      <tp t="s">
        <v>#N/A Requesting Data...</v>
        <stp/>
        <stp>##V3_BQLV12</stp>
        <stp>[MODL_NOW_US1.xlsx]Single Period!R201C15</stp>
        <stp>NOW US Equity</stp>
        <stp>D_AND_A_TO_SALES</stp>
        <stp>FPR=2021Y</stp>
        <stp>FPT=A</stp>
        <stp>FA_ACT_EST_DATA=E, EST_SOURCE=OPY</stp>
        <stp>ACT_EST_MAPPING=PRECISE</stp>
        <stp>FS=MRC</stp>
        <stp>CURRENCY=USD</stp>
        <stp>XLFILL=b</stp>
        <tr r="O201" s="2"/>
      </tp>
      <tp t="s">
        <v>#N/A Requesting Data...</v>
        <stp/>
        <stp>##V3_BQLV12</stp>
        <stp>[MODL_NOW_US1.xlsx]Single Period!R134C29</stp>
        <stp>NOW US Equity</stp>
        <stp>IS_COMP_EPS_GAAP</stp>
        <stp>FPR=2021Y</stp>
        <stp>FPT=A</stp>
        <stp>FA_ACT_EST_DATA=E, EST_SOURCE=BNS</stp>
        <stp>ACT_EST_MAPPING=PRECISE</stp>
        <stp>FS=MRC</stp>
        <stp>CURRENCY=USD</stp>
        <stp>XLFILL=b</stp>
        <tr r="AC134" s="2"/>
      </tp>
      <tp t="s">
        <v>#N/A Requesting Data...</v>
        <stp/>
        <stp>##V3_BQLV12</stp>
        <stp>[MODL_NOW_US1.xlsx]Single Period!R25C43</stp>
        <stp>NOW US Equity</stp>
        <stp>IS_COMP_GROSS_MARGIN_PERCENTAGE</stp>
        <stp>FPR=2021Y</stp>
        <stp>FPT=A</stp>
        <stp>FA_ACT_EST_DATA=E, EST_SOURCE=WFT</stp>
        <stp>ACT_EST_MAPPING=PRECISE</stp>
        <stp>FS=MRC</stp>
        <stp>CURRENCY=USD</stp>
        <stp>XLFILL=b</stp>
        <tr r="AQ25" s="2"/>
      </tp>
      <tp t="s">
        <v>#N/A Requesting Data...</v>
        <stp/>
        <stp>##V3_BQLV12</stp>
        <stp>[MODL_NOW_US1.xlsx]Single Period!R3C37</stp>
        <stp>NOW US Equity</stp>
        <stp>LAST(IS_COMP_SALES(FA_ACT_EST_DATA=E, EST_SOURCE=TTC).firm_name)</stp>
        <stp>FPR=2021Y</stp>
        <stp>FPT=A</stp>
        <stp>ACT_EST_MAPPING=PRECISE</stp>
        <stp>FS=MRC</stp>
        <stp>CURRENCY=USD</stp>
        <stp>XLFILL=b</stp>
        <tr r="AK3" s="2"/>
      </tp>
      <tp t="s">
        <v>#N/A Requesting Data...</v>
        <stp/>
        <stp>##V3_BQLV12</stp>
        <stp>[MODL_NOW_US1.xlsx]Single Period!R25C30</stp>
        <stp>NOW US Equity</stp>
        <stp>IS_COMP_GROSS_MARGIN_PERCENTAGE</stp>
        <stp>FPR=2021Y</stp>
        <stp>FPT=A</stp>
        <stp>FA_ACT_EST_DATA=E, EST_SOURCE=BAM</stp>
        <stp>ACT_EST_MAPPING=PRECISE</stp>
        <stp>FS=MRC</stp>
        <stp>CURRENCY=USD</stp>
        <stp>XLFILL=b</stp>
        <tr r="AD25" s="2"/>
      </tp>
      <tp t="s">
        <v>#N/A Requesting Data...</v>
        <stp/>
        <stp>##V3_BQLV12</stp>
        <stp>[MODL_NOW_US1.xlsx]Single Period!R85C16</stp>
        <stp>NOW US Equity</stp>
        <stp>IS_COMP_GROSS_MARGIN_PERCENTAGE</stp>
        <stp>FPR=2021Y</stp>
        <stp>FPT=A</stp>
        <stp>FA_ACT_EST_DATA=E, EST_SOURCE=BCA</stp>
        <stp>ACT_EST_MAPPING=PRECISE</stp>
        <stp>FS=MRC</stp>
        <stp>CURRENCY=USD</stp>
        <stp>XLFILL=b</stp>
        <tr r="P85" s="2"/>
      </tp>
      <tp t="s">
        <v>#N/A Requesting Data...</v>
        <stp/>
        <stp>##V3_BQLV12</stp>
        <stp>[MODL_NOW_US1.xlsx]Single Period!R134C25</stp>
        <stp>NOW US Equity</stp>
        <stp>IS_COMP_EPS_GAAP</stp>
        <stp>FPR=2021Y</stp>
        <stp>FPT=A</stp>
        <stp>FA_ACT_EST_DATA=E, EST_SOURCE=DBG</stp>
        <stp>ACT_EST_MAPPING=PRECISE</stp>
        <stp>FS=MRC</stp>
        <stp>CURRENCY=USD</stp>
        <stp>XLFILL=b</stp>
        <tr r="Y134" s="2"/>
      </tp>
      <tp t="s">
        <v>#N/A Requesting Data...</v>
        <stp/>
        <stp>##V3_BQLV12</stp>
        <stp>[MODL_NOW_US1.xlsx]Single Period!R85C33</stp>
        <stp>NOW US Equity</stp>
        <stp>IS_COMP_GROSS_MARGIN_PERCENTAGE</stp>
        <stp>FPR=2021Y</stp>
        <stp>FPT=A</stp>
        <stp>FA_ACT_EST_DATA=E, EST_SOURCE=MAC</stp>
        <stp>ACT_EST_MAPPING=PRECISE</stp>
        <stp>FS=MRC</stp>
        <stp>CURRENCY=USD</stp>
        <stp>XLFILL=b</stp>
        <tr r="AG85" s="2"/>
      </tp>
      <tp t="s">
        <v>#N/A Requesting Data...</v>
        <stp/>
        <stp>##V3_BQLV12</stp>
        <stp>[MODL_NOW_US1.xlsx]Single Period!R25C16</stp>
        <stp>NOW US Equity</stp>
        <stp>IS_COMP_GROSS_MARGIN_PERCENTAGE</stp>
        <stp>FPR=2021Y</stp>
        <stp>FPT=A</stp>
        <stp>FA_ACT_EST_DATA=E, EST_SOURCE=BCA</stp>
        <stp>ACT_EST_MAPPING=PRECISE</stp>
        <stp>FS=MRC</stp>
        <stp>CURRENCY=USD</stp>
        <stp>XLFILL=b</stp>
        <tr r="P25" s="2"/>
      </tp>
      <tp t="s">
        <v>#N/A Requesting Data...</v>
        <stp/>
        <stp>##V3_BQLV12</stp>
        <stp>[MODL_NOW_US1.xlsx]Single Period!R85C30</stp>
        <stp>NOW US Equity</stp>
        <stp>IS_COMP_GROSS_MARGIN_PERCENTAGE</stp>
        <stp>FPR=2021Y</stp>
        <stp>FPT=A</stp>
        <stp>FA_ACT_EST_DATA=E, EST_SOURCE=BAM</stp>
        <stp>ACT_EST_MAPPING=PRECISE</stp>
        <stp>FS=MRC</stp>
        <stp>CURRENCY=USD</stp>
        <stp>XLFILL=b</stp>
        <tr r="AD85" s="2"/>
      </tp>
      <tp t="s">
        <v>#N/A Requesting Data...</v>
        <stp/>
        <stp>##V3_BQLV12</stp>
        <stp>[MODL_NOW_US1.xlsx]Single Period!R25C33</stp>
        <stp>NOW US Equity</stp>
        <stp>IS_COMP_GROSS_MARGIN_PERCENTAGE</stp>
        <stp>FPR=2021Y</stp>
        <stp>FPT=A</stp>
        <stp>FA_ACT_EST_DATA=E, EST_SOURCE=MAC</stp>
        <stp>ACT_EST_MAPPING=PRECISE</stp>
        <stp>FS=MRC</stp>
        <stp>CURRENCY=USD</stp>
        <stp>XLFILL=b</stp>
        <tr r="AG25" s="2"/>
      </tp>
      <tp t="s">
        <v>#N/A Requesting Data...</v>
        <stp/>
        <stp>##V3_BQLV12</stp>
        <stp>[MODL_NOW_US1.xlsx]Single Period!R146C22</stp>
        <stp>NOW US Equity</stp>
        <stp>IS_AMORT_ACQD_INTANGIBLES_COGS/1M</stp>
        <stp>FPR=2021Y</stp>
        <stp>FPT=A</stp>
        <stp>FA_ACT_EST_DATA=E, EST_SOURCE=NDH</stp>
        <stp>ACT_EST_MAPPING=PRECISE</stp>
        <stp>FS=MRC</stp>
        <stp>CURRENCY=USD</stp>
        <stp>XLFILL=b</stp>
        <tr r="V146" s="2"/>
      </tp>
      <tp t="s">
        <v>#N/A Requesting Data...</v>
        <stp/>
        <stp>##V3_BQLV12</stp>
        <stp>[MODL_NOW_US1.xlsx]Single Period!R211C22</stp>
        <stp>NOW US Equity</stp>
        <stp>CF_CHG_IN_DEFER_UNEARND_REV_ST/1M</stp>
        <stp>FPR=2021Y</stp>
        <stp>FPT=A</stp>
        <stp>FA_ACT_EST_DATA=E, EST_SOURCE=NDH</stp>
        <stp>ACT_EST_MAPPING=PRECISE</stp>
        <stp>FS=MRC</stp>
        <stp>CURRENCY=USD</stp>
        <stp>XLFILL=b</stp>
        <tr r="V211" s="2"/>
      </tp>
      <tp t="s">
        <v>#N/A Requesting Data...</v>
        <stp/>
        <stp>##V3_BQLV12</stp>
        <stp>[MODL_NOW_US1.xlsx]Single Period!R88C10</stp>
        <stp>NOW US Equity</stp>
        <stp>IS_ADJ_SELLING_AND_MRKTG_EXPN_AR/1M</stp>
        <stp>FPR=2021Y</stp>
        <stp>FPT=A</stp>
        <stp>FA_ACT_EST_DATA=E, EST_SOURCE=CMPY</stp>
        <stp>ACT_EST_MAPPING=PRECISE</stp>
        <stp>FS=MRC</stp>
        <stp>CURRENCY=USD</stp>
        <stp>XLFILL=b</stp>
        <tr r="J88" s="2"/>
      </tp>
      <tp t="s">
        <v>#N/A Requesting Data...</v>
        <stp/>
        <stp>##V3_BQLV12</stp>
        <stp>[MODL_NOW_US1.xlsx]Single Period!R10C35</stp>
        <stp>NOW US Equity</stp>
        <stp>BILLNG_AMOUNT_GROWTH_PCT</stp>
        <stp>FPR=2021Y</stp>
        <stp>FPT=A</stp>
        <stp>FA_ACT_EST_DATA=E, EST_SOURCE=MSR</stp>
        <stp>ACT_EST_MAPPING=PRECISE</stp>
        <stp>FS=MRC</stp>
        <stp>CURRENCY=USD</stp>
        <stp>XLFILL=b</stp>
        <tr r="AI10" s="2"/>
      </tp>
      <tp t="s">
        <v>#N/A Requesting Data...</v>
        <stp/>
        <stp>##V3_BQLV12</stp>
        <stp>[MODL_NOW_US1.xlsx]Single Period!R204C15</stp>
        <stp>NOW US Equity</stp>
        <stp>CF_DEF_INC_TAX/1M</stp>
        <stp>FPR=2021Y</stp>
        <stp>FPT=A</stp>
        <stp>FA_ACT_EST_DATA=E, EST_SOURCE=OPY</stp>
        <stp>ACT_EST_MAPPING=PRECISE</stp>
        <stp>FS=MRC</stp>
        <stp>CURRENCY=USD</stp>
        <stp>XLFILL=b</stp>
        <tr r="O204" s="2"/>
      </tp>
      <tp t="s">
        <v>#N/A Requesting Data...</v>
        <stp/>
        <stp>##V3_BQLV12</stp>
        <stp>[MODL_NOW_US1.xlsx]Single Period!R233C21</stp>
        <stp>NOW US Equity</stp>
        <stp>CF_CASH_AND_CASH_EQUIV_END_BAL/1M</stp>
        <stp>FPR=2021Y</stp>
        <stp>FPT=A</stp>
        <stp>FA_ACT_EST_DATA=E, EST_SOURCE=JMP</stp>
        <stp>ACT_EST_MAPPING=PRECISE</stp>
        <stp>FS=MRC</stp>
        <stp>CURRENCY=USD</stp>
        <stp>XLFILL=b</stp>
        <tr r="U233" s="2"/>
      </tp>
      <tp t="s">
        <v>#N/A Requesting Data...</v>
        <stp/>
        <stp>##V3_BQLV12</stp>
        <stp>[MODL_NOW_US1.xlsx]Single Period!R80C6</stp>
        <stp>NOW US Equity</stp>
        <stp>CONTRIBUTOR_STATS(IS_COMP_SALES, MIN)/1M</stp>
        <stp>FPR=2021Y</stp>
        <stp>FPT=A</stp>
        <stp>FA_ACT_EST_DATA=E</stp>
        <stp>ACT_EST_MAPPING=PRECISE</stp>
        <stp>FS=MRC</stp>
        <stp>CURRENCY=USD</stp>
        <stp>XLFILL=b</stp>
        <tr r="F80" s="2"/>
      </tp>
      <tp t="s">
        <v>#N/A Requesting Data...</v>
        <stp/>
        <stp>##V3_BQLV12</stp>
        <stp>[MODL_NOW_US1.xlsx]Single Period!R126C41</stp>
        <stp>NOW US Equity</stp>
        <stp>IS_NON_OPERATING_INC_LOSS_GAAP/1M</stp>
        <stp>FPR=2021Y</stp>
        <stp>FPT=A</stp>
        <stp>FA_ACT_EST_DATA=E, EST_SOURCE=ARG</stp>
        <stp>ACT_EST_MAPPING=PRECISE</stp>
        <stp>FS=MRC</stp>
        <stp>CURRENCY=USD</stp>
        <stp>XLFILL=b</stp>
        <tr r="AO126" s="2"/>
      </tp>
      <tp t="s">
        <v>#N/A Requesting Data...</v>
        <stp/>
        <stp>##V3_BQLV12</stp>
        <stp>[MODL_NOW_US1.xlsx]Single Period!R10C44</stp>
        <stp>NOW US Equity</stp>
        <stp>BILLNG_AMOUNT_GROWTH_PCT</stp>
        <stp>FPR=2021Y</stp>
        <stp>FPT=A</stp>
        <stp>FA_ACT_EST_DATA=E, EST_SOURCE=ARE</stp>
        <stp>ACT_EST_MAPPING=PRECISE</stp>
        <stp>FS=MRC</stp>
        <stp>CURRENCY=USD</stp>
        <stp>XLFILL=b</stp>
        <tr r="AR10" s="2"/>
      </tp>
      <tp t="s">
        <v>#N/A Requesting Data...</v>
        <stp/>
        <stp>##V3_BQLV12</stp>
        <stp>[MODL_NOW_US1.xlsx]Single Period!R126C44</stp>
        <stp>NOW US Equity</stp>
        <stp>IS_NON_OPERATING_INC_LOSS_GAAP/1M</stp>
        <stp>FPR=2021Y</stp>
        <stp>FPT=A</stp>
        <stp>FA_ACT_EST_DATA=E, EST_SOURCE=ARE</stp>
        <stp>ACT_EST_MAPPING=PRECISE</stp>
        <stp>FS=MRC</stp>
        <stp>CURRENCY=USD</stp>
        <stp>XLFILL=b</stp>
        <tr r="AR126" s="2"/>
      </tp>
      <tp t="s">
        <v>#N/A Requesting Data...</v>
        <stp/>
        <stp>##V3_BQLV12</stp>
        <stp>[MODL_NOW_US1.xlsx]Single Period!R233C14</stp>
        <stp>NOW US Equity</stp>
        <stp>CF_CASH_AND_CASH_EQUIV_END_BAL/1M</stp>
        <stp>FPR=2021Y</stp>
        <stp>FPT=A</stp>
        <stp>FA_ACT_EST_DATA=E, EST_SOURCE=BMO</stp>
        <stp>ACT_EST_MAPPING=PRECISE</stp>
        <stp>FS=MRC</stp>
        <stp>CURRENCY=USD</stp>
        <stp>XLFILL=b</stp>
        <tr r="N233" s="2"/>
      </tp>
      <tp t="s">
        <v>#N/A Requesting Data...</v>
        <stp/>
        <stp>##V3_BQLV12</stp>
        <stp>[MODL_NOW_US1.xlsx]Single Period!R40C41</stp>
        <stp>NOW US Equity</stp>
        <stp>BILLNG_AMOUNT_GROWTH_PCT</stp>
        <stp>FPR=2021Y</stp>
        <stp>FPT=A</stp>
        <stp>FA_ACT_EST_DATA=E, EST_SOURCE=ARG</stp>
        <stp>ACT_EST_MAPPING=PRECISE</stp>
        <stp>FS=MRC</stp>
        <stp>CURRENCY=USD</stp>
        <stp>XLFILL=b</stp>
        <tr r="AO40" s="2"/>
      </tp>
      <tp t="s">
        <v>#N/A Requesting Data...</v>
        <stp/>
        <stp>##V3_BQLV12</stp>
        <stp>[MODL_NOW_US1.xlsx]Single Period!R126C48</stp>
        <stp>NOW US Equity</stp>
        <stp>IS_NON_OPERATING_INC_LOSS_GAAP/1M</stp>
        <stp>FPR=2021Y</stp>
        <stp>FPT=A</stp>
        <stp>FA_ACT_EST_DATA=E, EST_SOURCE=CRC</stp>
        <stp>ACT_EST_MAPPING=PRECISE</stp>
        <stp>FS=MRC</stp>
        <stp>CURRENCY=USD</stp>
        <stp>XLFILL=b</stp>
        <tr r="AV126" s="2"/>
      </tp>
      <tp t="s">
        <v>#N/A Requesting Data...</v>
        <stp/>
        <stp>##V3_BQLV12</stp>
        <stp>[MODL_NOW_US1.xlsx]Single Period!R89C8</stp>
        <stp>NOW US Equity</stp>
        <stp>CONTRIBUTOR_STATS(IS_REV_INCLUDING_INTERSEG_REV, STD)/1M</stp>
        <stp>FPR=2021Y</stp>
        <stp>FPT=A</stp>
        <stp>FA_ACT_EST_DATA=E</stp>
        <stp>ACT_EST_MAPPING=PRECISE</stp>
        <stp>FS=MRC</stp>
        <stp>CURRENCY=USD</stp>
        <stp>XLFILL=b</stp>
        <tr r="H89" s="2"/>
      </tp>
      <tp t="s">
        <v>#N/A Requesting Data...</v>
        <stp/>
        <stp>##V3_BQLV12</stp>
        <stp>[MODL_NOW_US1.xlsx]Single Period!R162C5</stp>
        <stp>NOW US Equity</stp>
        <stp>BS_LONG_TERM_INVESTMENTS/1M</stp>
        <stp>FPR=2021Y</stp>
        <stp>FPT=A</stp>
        <stp>FA_ACT_EST_DATA=E</stp>
        <stp>ACT_EST_MAPPING=PRECISE</stp>
        <stp>FS=MRC</stp>
        <stp>CURRENCY=USD</stp>
        <stp>XLFILL=b</stp>
        <tr r="E162" s="2"/>
      </tp>
      <tp t="s">
        <v>#N/A Requesting Data...</v>
        <stp/>
        <stp>##V3_BQLV12</stp>
        <stp>[MODL_NOW_US1.xlsx]Single Period!R123C28</stp>
        <stp>NOW US Equity</stp>
        <stp>TOTAL_OPERATING_EXPENSES_RATIO/1M</stp>
        <stp>FPR=2021Y</stp>
        <stp>FPT=A</stp>
        <stp>FA_ACT_EST_DATA=E, EST_SOURCE=EVR</stp>
        <stp>ACT_EST_MAPPING=PRECISE</stp>
        <stp>FS=MRC</stp>
        <stp>CURRENCY=USD</stp>
        <stp>XLFILL=b</stp>
        <tr r="AB123" s="2"/>
      </tp>
      <tp t="s">
        <v>#N/A Requesting Data...</v>
        <stp/>
        <stp>##V3_BQLV12</stp>
        <stp>[MODL_NOW_US1.xlsx]Single Period!R40C39</stp>
        <stp>NOW US Equity</stp>
        <stp>BILLNG_AMOUNT_GROWTH_PCT</stp>
        <stp>FPR=2021Y</stp>
        <stp>FPT=A</stp>
        <stp>FA_ACT_EST_DATA=E, EST_SOURCE=DZB</stp>
        <stp>ACT_EST_MAPPING=PRECISE</stp>
        <stp>FS=MRC</stp>
        <stp>CURRENCY=USD</stp>
        <stp>XLFILL=b</stp>
        <tr r="AM40" s="2"/>
      </tp>
      <tp t="s">
        <v>#N/A Requesting Data...</v>
        <stp/>
        <stp>##V3_BQLV12</stp>
        <stp>[MODL_NOW_US1.xlsx]Single Period!R40C37</stp>
        <stp>NOW US Equity</stp>
        <stp>BILLNG_AMOUNT_GROWTH_PCT</stp>
        <stp>FPR=2021Y</stp>
        <stp>FPT=A</stp>
        <stp>FA_ACT_EST_DATA=E, EST_SOURCE=TTC</stp>
        <stp>ACT_EST_MAPPING=PRECISE</stp>
        <stp>FS=MRC</stp>
        <stp>CURRENCY=USD</stp>
        <stp>XLFILL=b</stp>
        <tr r="AK40" s="2"/>
      </tp>
      <tp t="s">
        <v>#N/A Requesting Data...</v>
        <stp/>
        <stp>##V3_BQLV12</stp>
        <stp>[MODL_NOW_US1.xlsx]Single Period!R40C24</stp>
        <stp>NOW US Equity</stp>
        <stp>BILLNG_AMOUNT_GROWTH_PCT</stp>
        <stp>FPR=2021Y</stp>
        <stp>FPT=A</stp>
        <stp>FA_ACT_EST_DATA=E, EST_SOURCE=CWN</stp>
        <stp>ACT_EST_MAPPING=PRECISE</stp>
        <stp>FS=MRC</stp>
        <stp>CURRENCY=USD</stp>
        <stp>XLFILL=b</stp>
        <tr r="X40" s="2"/>
      </tp>
      <tp t="s">
        <v>#N/A Requesting Data...</v>
        <stp/>
        <stp>##V3_BQLV12</stp>
        <stp>[MODL_NOW_US1.xlsx]Single Period!R71C10</stp>
        <stp>SEG0000230986 Segment</stp>
        <stp>CB_IS_GROSS_PROFIT/1M</stp>
        <stp>FPR=2021Y</stp>
        <stp>FPT=A</stp>
        <stp>FA_ACT_EST_DATA=E, EST_SOURCE=CMPY</stp>
        <stp>ACT_EST_MAPPING=PRECISE</stp>
        <stp>FS=MRC</stp>
        <stp>CURRENCY=USD</stp>
        <stp>XLFILL=b</stp>
        <tr r="J71" s="2"/>
      </tp>
      <tp t="s">
        <v>#N/A Requesting Data...</v>
        <stp/>
        <stp>##V3_BQLV12</stp>
        <stp>[MODL_NOW_US1.xlsx]Single Period!R10C42</stp>
        <stp>NOW US Equity</stp>
        <stp>BILLNG_AMOUNT_GROWTH_PCT</stp>
        <stp>FPR=2021Y</stp>
        <stp>FPT=A</stp>
        <stp>FA_ACT_EST_DATA=E, EST_SOURCE=CTI</stp>
        <stp>ACT_EST_MAPPING=PRECISE</stp>
        <stp>FS=MRC</stp>
        <stp>CURRENCY=USD</stp>
        <stp>XLFILL=b</stp>
        <tr r="AP10" s="2"/>
      </tp>
      <tp t="s">
        <v>#N/A Requesting Data...</v>
        <stp/>
        <stp>##V3_BQLV12</stp>
        <stp>[MODL_NOW_US1.xlsx]Single Period!R98C7</stp>
        <stp>NOW US Equity</stp>
        <stp>CONTRIBUTOR_STATS(CF_DEPR_AMORT, MAX)/1M</stp>
        <stp>FPR=2021Y</stp>
        <stp>FPT=A</stp>
        <stp>FA_ACT_EST_DATA=E</stp>
        <stp>ACT_EST_MAPPING=PRECISE</stp>
        <stp>FS=MRC</stp>
        <stp>CURRENCY=USD</stp>
        <stp>XLFILL=b</stp>
        <tr r="G98" s="2"/>
      </tp>
      <tp t="s">
        <v>#N/A Requesting Data...</v>
        <stp/>
        <stp>##V3_BQLV12</stp>
        <stp>[MODL_NOW_US1.xlsx]Single Period!R204C11</stp>
        <stp>NOW US Equity</stp>
        <stp>CF_DEF_INC_TAX/1M</stp>
        <stp>FPR=2021Y</stp>
        <stp>FPT=A</stp>
        <stp>FA_ACT_EST_DATA=E, EST_SOURCE=JPM</stp>
        <stp>ACT_EST_MAPPING=PRECISE</stp>
        <stp>FS=MRC</stp>
        <stp>CURRENCY=USD</stp>
        <stp>XLFILL=b</stp>
        <tr r="K204" s="2"/>
      </tp>
      <tp t="s">
        <v>#N/A Requesting Data...</v>
        <stp/>
        <stp>##V3_BQLV12</stp>
        <stp>[MODL_NOW_US1.xlsx]Single Period!R27C8</stp>
        <stp>NOW US Equity</stp>
        <stp>CONTRIBUTOR_STATS(IS_REV_INCLUDING_INTERSEG_REV, STD)/1M</stp>
        <stp>FPR=2021Y</stp>
        <stp>FPT=A</stp>
        <stp>FA_ACT_EST_DATA=E</stp>
        <stp>ACT_EST_MAPPING=PRECISE</stp>
        <stp>FS=MRC</stp>
        <stp>CURRENCY=USD</stp>
        <stp>XLFILL=b</stp>
        <tr r="H27" s="2"/>
      </tp>
      <tp t="s">
        <v>#N/A Requesting Data...</v>
        <stp/>
        <stp>##V3_BQLV12</stp>
        <stp>[MODL_NOW_US1.xlsx]Single Period!R139C34</stp>
        <stp>NOW US Equity</stp>
        <stp>IS_SBC_ATTRIB_TO_COGS_PRETX/1M</stp>
        <stp>FPR=2021Y</stp>
        <stp>FPT=A</stp>
        <stp>FA_ACT_EST_DATA=E, EST_SOURCE=PSG</stp>
        <stp>ACT_EST_MAPPING=PRECISE</stp>
        <stp>FS=MRC</stp>
        <stp>CURRENCY=USD</stp>
        <stp>XLFILL=b</stp>
        <tr r="AH139" s="2"/>
      </tp>
      <tp t="s">
        <v>#N/A Requesting Data...</v>
        <stp/>
        <stp>##V3_BQLV12</stp>
        <stp>[MODL_NOW_US1.xlsx]Single Period!R203C21</stp>
        <stp>NOW US Equity</stp>
        <stp>AMORTIZATN_OF_FINNCNG_COSTS/1M</stp>
        <stp>FPR=2021Y</stp>
        <stp>FPT=A</stp>
        <stp>FA_ACT_EST_DATA=E, EST_SOURCE=JMP</stp>
        <stp>ACT_EST_MAPPING=PRECISE</stp>
        <stp>FS=MRC</stp>
        <stp>CURRENCY=USD</stp>
        <stp>XLFILL=b</stp>
        <tr r="U203" s="2"/>
      </tp>
      <tp t="s">
        <v>#N/A Requesting Data...</v>
        <stp/>
        <stp>##V3_BQLV12</stp>
        <stp>[MODL_NOW_US1.xlsx]Single Period!R167C36</stp>
        <stp>NOW US Equity</stp>
        <stp>BS_GOODWILL/1M</stp>
        <stp>FPR=2021Y</stp>
        <stp>FPT=A</stp>
        <stp>FA_ACT_EST_DATA=E, EST_SOURCE=JEF</stp>
        <stp>ACT_EST_MAPPING=PRECISE</stp>
        <stp>FS=MRC</stp>
        <stp>CURRENCY=USD</stp>
        <stp>XLFILL=b</stp>
        <tr r="AJ167" s="2"/>
      </tp>
      <tp t="s">
        <v>#N/A Requesting Data...</v>
        <stp/>
        <stp>##V3_BQLV12</stp>
        <stp>[MODL_NOW_US1.xlsx]Single Period!R189C44</stp>
        <stp>NOW US Equity</stp>
        <stp>CUR_RATIO</stp>
        <stp>FPR=2021Y</stp>
        <stp>FPT=A</stp>
        <stp>FA_ACT_EST_DATA=E, EST_SOURCE=ARE</stp>
        <stp>ACT_EST_MAPPING=PRECISE</stp>
        <stp>FS=MRC</stp>
        <stp>CURRENCY=USD</stp>
        <stp>XLFILL=b</stp>
        <tr r="AR189" s="2"/>
      </tp>
      <tp t="s">
        <v>#N/A Requesting Data...</v>
        <stp/>
        <stp>##V3_BQLV12</stp>
        <stp>[MODL_NOW_US1.xlsx]Single Period!R173C15</stp>
        <stp>NOW US Equity</stp>
        <stp>BS_CUR_LIAB/1M</stp>
        <stp>FPR=2021Y</stp>
        <stp>FPT=A</stp>
        <stp>FA_ACT_EST_DATA=E, EST_SOURCE=OPY</stp>
        <stp>ACT_EST_MAPPING=PRECISE</stp>
        <stp>FS=MRC</stp>
        <stp>CURRENCY=USD</stp>
        <stp>XLFILL=b</stp>
        <tr r="O173" s="2"/>
      </tp>
      <tp t="s">
        <v>#N/A Requesting Data...</v>
        <stp/>
        <stp>##V3_BQLV12</stp>
        <stp>[MODL_NOW_US1.xlsx]Single Period!R189C41</stp>
        <stp>NOW US Equity</stp>
        <stp>CUR_RATIO</stp>
        <stp>FPR=2021Y</stp>
        <stp>FPT=A</stp>
        <stp>FA_ACT_EST_DATA=E, EST_SOURCE=ARG</stp>
        <stp>ACT_EST_MAPPING=PRECISE</stp>
        <stp>FS=MRC</stp>
        <stp>CURRENCY=USD</stp>
        <stp>XLFILL=b</stp>
        <tr r="AO189" s="2"/>
      </tp>
      <tp t="s">
        <v>#N/A Requesting Data...</v>
        <stp/>
        <stp>##V3_BQLV12</stp>
        <stp>[MODL_NOW_US1.xlsx]Single Period!R124C21</stp>
        <stp>NOW US Equity</stp>
        <stp>IS_EBIT_AS_REPORTED/1M</stp>
        <stp>FPR=2021Y</stp>
        <stp>FPT=A</stp>
        <stp>FA_ACT_EST_DATA=E, EST_SOURCE=JMP</stp>
        <stp>ACT_EST_MAPPING=PRECISE</stp>
        <stp>FS=MRC</stp>
        <stp>CURRENCY=USD</stp>
        <stp>XLFILL=b</stp>
        <tr r="U124" s="2"/>
      </tp>
      <tp t="s">
        <v>#N/A Requesting Data...</v>
        <stp/>
        <stp>##V3_BQLV12</stp>
        <stp>[MODL_NOW_US1.xlsx]Single Period!R158C39</stp>
        <stp>NOW US Equity</stp>
        <stp>BS_ACCTS_REC_EXCL_NOTES_REC/1M</stp>
        <stp>FPR=2021Y</stp>
        <stp>FPT=A</stp>
        <stp>FA_ACT_EST_DATA=E, EST_SOURCE=DZB</stp>
        <stp>ACT_EST_MAPPING=PRECISE</stp>
        <stp>FS=MRC</stp>
        <stp>CURRENCY=USD</stp>
        <stp>XLFILL=b</stp>
        <tr r="AM158" s="2"/>
      </tp>
      <tp t="s">
        <v>#N/A Requesting Data...</v>
        <stp/>
        <stp>##V3_BQLV12</stp>
        <stp>[MODL_NOW_US1.xlsx]Single Period!R230C15</stp>
        <stp>NOW US Equity</stp>
        <stp>CF_EFFECT_FOREIGN_EXCHANGES/1M</stp>
        <stp>FPR=2021Y</stp>
        <stp>FPT=A</stp>
        <stp>FA_ACT_EST_DATA=E, EST_SOURCE=OPY</stp>
        <stp>ACT_EST_MAPPING=PRECISE</stp>
        <stp>FS=MRC</stp>
        <stp>CURRENCY=USD</stp>
        <stp>XLFILL=b</stp>
        <tr r="O230" s="2"/>
      </tp>
      <tp t="s">
        <v>#N/A Requesting Data...</v>
        <stp/>
        <stp>##V3_BQLV12</stp>
        <stp>[MODL_NOW_US1.xlsx]Single Period!R89C34</stp>
        <stp>NOW US Equity</stp>
        <stp>IS_REV_INCLUDING_INTERSEG_REV/1M</stp>
        <stp>FPR=2021Y</stp>
        <stp>FPT=A</stp>
        <stp>FA_ACT_EST_DATA=E, EST_SOURCE=PSG</stp>
        <stp>ACT_EST_MAPPING=PRECISE</stp>
        <stp>FS=MRC</stp>
        <stp>CURRENCY=USD</stp>
        <stp>XLFILL=b</stp>
        <tr r="AH89" s="2"/>
      </tp>
      <tp t="s">
        <v>#N/A Requesting Data...</v>
        <stp/>
        <stp>##V3_BQLV12</stp>
        <stp>[MODL_NOW_US1.xlsx]Single Period!R189C48</stp>
        <stp>NOW US Equity</stp>
        <stp>CUR_RATIO</stp>
        <stp>FPR=2021Y</stp>
        <stp>FPT=A</stp>
        <stp>FA_ACT_EST_DATA=E, EST_SOURCE=CRC</stp>
        <stp>ACT_EST_MAPPING=PRECISE</stp>
        <stp>FS=MRC</stp>
        <stp>CURRENCY=USD</stp>
        <stp>XLFILL=b</stp>
        <tr r="AV189" s="2"/>
      </tp>
      <tp t="s">
        <v>#N/A Requesting Data...</v>
        <stp/>
        <stp>##V3_BQLV12</stp>
        <stp>[MODL_NOW_US1.xlsx]Single Period!R89C40</stp>
        <stp>NOW US Equity</stp>
        <stp>IS_REV_INCLUDING_INTERSEG_REV/1M</stp>
        <stp>FPR=2021Y</stp>
        <stp>FPT=A</stp>
        <stp>FA_ACT_EST_DATA=E, EST_SOURCE=DWI</stp>
        <stp>ACT_EST_MAPPING=PRECISE</stp>
        <stp>FS=MRC</stp>
        <stp>CURRENCY=USD</stp>
        <stp>XLFILL=b</stp>
        <tr r="AN89" s="2"/>
      </tp>
      <tp t="s">
        <v>#N/A Requesting Data...</v>
        <stp/>
        <stp>##V3_BQLV12</stp>
        <stp>[MODL_NOW_US1.xlsx]Single Period!R180C39</stp>
        <stp>NOW US Equity</stp>
        <stp>BS_LT_OPERATING_LEASE_LIABS/1M</stp>
        <stp>FPR=2021Y</stp>
        <stp>FPT=A</stp>
        <stp>FA_ACT_EST_DATA=E, EST_SOURCE=DZB</stp>
        <stp>ACT_EST_MAPPING=PRECISE</stp>
        <stp>FS=MRC</stp>
        <stp>CURRENCY=USD</stp>
        <stp>XLFILL=b</stp>
        <tr r="AM180" s="2"/>
      </tp>
      <tp t="s">
        <v>#N/A Requesting Data...</v>
        <stp/>
        <stp>##V3_BQLV12</stp>
        <stp>[MODL_NOW_US1.xlsx]Single Period!R210C46</stp>
        <stp>NOW US Equity</stp>
        <stp>CF_CHANGE_IN_PREPAID_EXPNSS/1M</stp>
        <stp>FPR=2021Y</stp>
        <stp>FPT=A</stp>
        <stp>FA_ACT_EST_DATA=E, EST_SOURCE=MZS</stp>
        <stp>ACT_EST_MAPPING=PRECISE</stp>
        <stp>FS=MRC</stp>
        <stp>CURRENCY=USD</stp>
        <stp>XLFILL=b</stp>
        <tr r="AT210" s="2"/>
      </tp>
      <tp t="s">
        <v>#N/A Requesting Data...</v>
        <stp/>
        <stp>##V3_BQLV12</stp>
        <stp>[MODL_NOW_US1.xlsx]Single Period!R105C46</stp>
        <stp>NOW US Equity</stp>
        <stp>ADJ_PROFIT_MARGIN</stp>
        <stp>FPR=2021Y</stp>
        <stp>FPT=A</stp>
        <stp>FA_ACT_EST_DATA=E, EST_SOURCE=MZS</stp>
        <stp>ACT_EST_MAPPING=PRECISE</stp>
        <stp>FS=MRC</stp>
        <stp>CURRENCY=USD</stp>
        <stp>XLFILL=b</stp>
        <tr r="AT105" s="2"/>
      </tp>
      <tp t="s">
        <v>#N/A Requesting Data...</v>
        <stp/>
        <stp>##V3_BQLV12</stp>
        <stp>[MODL_NOW_US1.xlsx]Single Period!R141C7</stp>
        <stp>SEG0000230986 Segment</stp>
        <stp>CONTRIBUTOR_STATS(IS_SBC_ATTRIB_TO_COGS_PRETX, MAX)/1M</stp>
        <stp>FPR=2021Y</stp>
        <stp>FPT=A</stp>
        <stp>FA_ACT_EST_DATA=E</stp>
        <stp>ACT_EST_MAPPING=PRECISE</stp>
        <stp>FS=MRC</stp>
        <stp>CURRENCY=USD</stp>
        <stp>XLFILL=b</stp>
        <tr r="G141" s="2"/>
      </tp>
      <tp t="s">
        <v>#N/A Requesting Data...</v>
        <stp/>
        <stp>##V3_BQLV12</stp>
        <stp>[MODL_NOW_US1.xlsx]Single Period!R141C6</stp>
        <stp>SEG0000230986 Segment</stp>
        <stp>CONTRIBUTOR_STATS(IS_SBC_ATTRIB_TO_COGS_PRETX, MIN)/1M</stp>
        <stp>FPR=2021Y</stp>
        <stp>FPT=A</stp>
        <stp>FA_ACT_EST_DATA=E</stp>
        <stp>ACT_EST_MAPPING=PRECISE</stp>
        <stp>FS=MRC</stp>
        <stp>CURRENCY=USD</stp>
        <stp>XLFILL=b</stp>
        <tr r="F141" s="2"/>
      </tp>
      <tp t="s">
        <v>#N/A Requesting Data...</v>
        <stp/>
        <stp>##V3_BQLV12</stp>
        <stp>[MODL_NOW_US1.xlsx]Single Period!R80C46</stp>
        <stp>NOW US Equity</stp>
        <stp>IS_COMP_SALES/1M</stp>
        <stp>FPR=2021Y</stp>
        <stp>FPT=A</stp>
        <stp>FA_ACT_EST_DATA=E, EST_SOURCE=MZS</stp>
        <stp>ACT_EST_MAPPING=PRECISE</stp>
        <stp>FS=MRC</stp>
        <stp>CURRENCY=USD</stp>
        <stp>XLFILL=b</stp>
        <tr r="AT80" s="2"/>
      </tp>
      <tp t="s">
        <v>#N/A Requesting Data...</v>
        <stp/>
        <stp>##V3_BQLV12</stp>
        <stp>[MODL_NOW_US1.xlsx]Single Period!R92C38</stp>
        <stp>NOW US Equity</stp>
        <stp>IS_ADJ_GENL_AND_ADMIN_EXPN_AR/1M</stp>
        <stp>FPR=2021Y</stp>
        <stp>FPT=A</stp>
        <stp>FA_ACT_EST_DATA=E, EST_SOURCE=RWB</stp>
        <stp>ACT_EST_MAPPING=PRECISE</stp>
        <stp>FS=MRC</stp>
        <stp>CURRENCY=USD</stp>
        <stp>XLFILL=b</stp>
        <tr r="AL92" s="2"/>
      </tp>
      <tp t="s">
        <v>#N/A Requesting Data...</v>
        <stp/>
        <stp>##V3_BQLV12</stp>
        <stp>[MODL_NOW_US1.xlsx]Single Period!R142C44</stp>
        <stp>NOW US Equity</stp>
        <stp>IS_SBC_ATT_TO_S_AND_M_PRETX/1M</stp>
        <stp>FPR=2021Y</stp>
        <stp>FPT=A</stp>
        <stp>FA_ACT_EST_DATA=E, EST_SOURCE=ARE</stp>
        <stp>ACT_EST_MAPPING=PRECISE</stp>
        <stp>FS=MRC</stp>
        <stp>CURRENCY=USD</stp>
        <stp>XLFILL=b</stp>
        <tr r="AR142" s="2"/>
      </tp>
      <tp t="s">
        <v>#N/A Requesting Data...</v>
        <stp/>
        <stp>##V3_BQLV12</stp>
        <stp>[MODL_NOW_US1.xlsx]Single Period!R158C46</stp>
        <stp>NOW US Equity</stp>
        <stp>BS_ACCTS_REC_EXCL_NOTES_REC/1M</stp>
        <stp>FPR=2021Y</stp>
        <stp>FPT=A</stp>
        <stp>FA_ACT_EST_DATA=E, EST_SOURCE=MZS</stp>
        <stp>ACT_EST_MAPPING=PRECISE</stp>
        <stp>FS=MRC</stp>
        <stp>CURRENCY=USD</stp>
        <stp>XLFILL=b</stp>
        <tr r="AT158" s="2"/>
      </tp>
      <tp t="s">
        <v>#N/A Requesting Data...</v>
        <stp/>
        <stp>##V3_BQLV12</stp>
        <stp>[MODL_NOW_US1.xlsx]Single Period!R142C41</stp>
        <stp>NOW US Equity</stp>
        <stp>IS_SBC_ATT_TO_S_AND_M_PRETX/1M</stp>
        <stp>FPR=2021Y</stp>
        <stp>FPT=A</stp>
        <stp>FA_ACT_EST_DATA=E, EST_SOURCE=ARG</stp>
        <stp>ACT_EST_MAPPING=PRECISE</stp>
        <stp>FS=MRC</stp>
        <stp>CURRENCY=USD</stp>
        <stp>XLFILL=b</stp>
        <tr r="AO142" s="2"/>
      </tp>
      <tp t="s">
        <v>#N/A Requesting Data...</v>
        <stp/>
        <stp>##V3_BQLV12</stp>
        <stp>[MODL_NOW_US1.xlsx]Single Period!R230C11</stp>
        <stp>NOW US Equity</stp>
        <stp>CF_EFFECT_FOREIGN_EXCHANGES/1M</stp>
        <stp>FPR=2021Y</stp>
        <stp>FPT=A</stp>
        <stp>FA_ACT_EST_DATA=E, EST_SOURCE=JPM</stp>
        <stp>ACT_EST_MAPPING=PRECISE</stp>
        <stp>FS=MRC</stp>
        <stp>CURRENCY=USD</stp>
        <stp>XLFILL=b</stp>
        <tr r="K230" s="2"/>
      </tp>
      <tp t="s">
        <v>#N/A Requesting Data...</v>
        <stp/>
        <stp>##V3_BQLV12</stp>
        <stp>[MODL_NOW_US1.xlsx]Single Period!R141C8</stp>
        <stp>SEG0000230986 Segment</stp>
        <stp>CONTRIBUTOR_STATS(IS_SBC_ATTRIB_TO_COGS_PRETX, STD)/1M</stp>
        <stp>FPR=2021Y</stp>
        <stp>FPT=A</stp>
        <stp>FA_ACT_EST_DATA=E</stp>
        <stp>ACT_EST_MAPPING=PRECISE</stp>
        <stp>FS=MRC</stp>
        <stp>CURRENCY=USD</stp>
        <stp>XLFILL=b</stp>
        <tr r="H141" s="2"/>
      </tp>
      <tp t="s">
        <v>#N/A Requesting Data...</v>
        <stp/>
        <stp>##V3_BQLV12</stp>
        <stp>[MODL_NOW_US1.xlsx]Single Period!R139C19</stp>
        <stp>NOW US Equity</stp>
        <stp>IS_SBC_ATTRIB_TO_COGS_PRETX/1M</stp>
        <stp>FPR=2021Y</stp>
        <stp>FPT=A</stp>
        <stp>FA_ACT_EST_DATA=E, EST_SOURCE=MSV</stp>
        <stp>ACT_EST_MAPPING=PRECISE</stp>
        <stp>FS=MRC</stp>
        <stp>CURRENCY=USD</stp>
        <stp>XLFILL=b</stp>
        <tr r="S139" s="2"/>
      </tp>
      <tp t="s">
        <v>#N/A Requesting Data...</v>
        <stp/>
        <stp>##V3_BQLV12</stp>
        <stp>[MODL_NOW_US1.xlsx]Single Period!R139C31</stp>
        <stp>NOW US Equity</stp>
        <stp>IS_SBC_ATTRIB_TO_COGS_PRETX/1M</stp>
        <stp>FPR=2021Y</stp>
        <stp>FPT=A</stp>
        <stp>FA_ACT_EST_DATA=E, EST_SOURCE=GSR</stp>
        <stp>ACT_EST_MAPPING=PRECISE</stp>
        <stp>FS=MRC</stp>
        <stp>CURRENCY=USD</stp>
        <stp>XLFILL=b</stp>
        <tr r="AE139" s="2"/>
      </tp>
      <tp t="s">
        <v>#N/A Requesting Data...</v>
        <stp/>
        <stp>##V3_BQLV12</stp>
        <stp>[MODL_NOW_US1.xlsx]Single Period!R139C35</stp>
        <stp>NOW US Equity</stp>
        <stp>IS_SBC_ATTRIB_TO_COGS_PRETX/1M</stp>
        <stp>FPR=2021Y</stp>
        <stp>FPT=A</stp>
        <stp>FA_ACT_EST_DATA=E, EST_SOURCE=MSR</stp>
        <stp>ACT_EST_MAPPING=PRECISE</stp>
        <stp>FS=MRC</stp>
        <stp>CURRENCY=USD</stp>
        <stp>XLFILL=b</stp>
        <tr r="AI139" s="2"/>
      </tp>
      <tp t="s">
        <v>#N/A Requesting Data...</v>
        <stp/>
        <stp>##V3_BQLV12</stp>
        <stp>[MODL_NOW_US1.xlsx]Single Period!R142C48</stp>
        <stp>NOW US Equity</stp>
        <stp>IS_SBC_ATT_TO_S_AND_M_PRETX/1M</stp>
        <stp>FPR=2021Y</stp>
        <stp>FPT=A</stp>
        <stp>FA_ACT_EST_DATA=E, EST_SOURCE=CRC</stp>
        <stp>ACT_EST_MAPPING=PRECISE</stp>
        <stp>FS=MRC</stp>
        <stp>CURRENCY=USD</stp>
        <stp>XLFILL=b</stp>
        <tr r="AV142" s="2"/>
      </tp>
      <tp t="s">
        <v>#N/A Requesting Data...</v>
        <stp/>
        <stp>##V3_BQLV12</stp>
        <stp>[MODL_NOW_US1.xlsx]Single Period!R173C11</stp>
        <stp>NOW US Equity</stp>
        <stp>BS_CUR_LIAB/1M</stp>
        <stp>FPR=2021Y</stp>
        <stp>FPT=A</stp>
        <stp>FA_ACT_EST_DATA=E, EST_SOURCE=JPM</stp>
        <stp>ACT_EST_MAPPING=PRECISE</stp>
        <stp>FS=MRC</stp>
        <stp>CURRENCY=USD</stp>
        <stp>XLFILL=b</stp>
        <tr r="K173" s="2"/>
      </tp>
      <tp t="s">
        <v>#N/A Requesting Data...</v>
        <stp/>
        <stp>##V3_BQLV12</stp>
        <stp>[MODL_NOW_US1.xlsx]Single Period!R161C23</stp>
        <stp>NOW US Equity</stp>
        <stp>BS_TOTAL_NON_CURRENT_ASSETS/1M</stp>
        <stp>FPR=2021Y</stp>
        <stp>FPT=A</stp>
        <stp>FA_ACT_EST_DATA=E, EST_SOURCE=ZXS</stp>
        <stp>ACT_EST_MAPPING=PRECISE</stp>
        <stp>FS=MRC</stp>
        <stp>CURRENCY=USD</stp>
        <stp>XLFILL=b</stp>
        <tr r="W161" s="2"/>
      </tp>
      <tp t="s">
        <v>#N/A Requesting Data...</v>
        <stp/>
        <stp>##V3_BQLV12</stp>
        <stp>[MODL_NOW_US1.xlsx]Single Period!R124C14</stp>
        <stp>NOW US Equity</stp>
        <stp>IS_EBIT_AS_REPORTED/1M</stp>
        <stp>FPR=2021Y</stp>
        <stp>FPT=A</stp>
        <stp>FA_ACT_EST_DATA=E, EST_SOURCE=BMO</stp>
        <stp>ACT_EST_MAPPING=PRECISE</stp>
        <stp>FS=MRC</stp>
        <stp>CURRENCY=USD</stp>
        <stp>XLFILL=b</stp>
        <tr r="N124" s="2"/>
      </tp>
      <tp t="s">
        <v>#N/A Requesting Data...</v>
        <stp/>
        <stp>##V3_BQLV12</stp>
        <stp>[MODL_NOW_US1.xlsx]Single Period!R30C38</stp>
        <stp>NOW US Equity</stp>
        <stp>CF_FREE_CASH_FLOW_AS_REPORTED/1M</stp>
        <stp>FPR=2021Y</stp>
        <stp>FPT=A</stp>
        <stp>FA_ACT_EST_DATA=E, EST_SOURCE=RWB</stp>
        <stp>ACT_EST_MAPPING=PRECISE</stp>
        <stp>FS=MRC</stp>
        <stp>CURRENCY=USD</stp>
        <stp>XLFILL=b</stp>
        <tr r="AL30" s="2"/>
      </tp>
      <tp t="s">
        <v>#N/A Requesting Data...</v>
        <stp/>
        <stp>##V3_BQLV12</stp>
        <stp>[MODL_NOW_US1.xlsx]Single Period!R154C43</stp>
        <stp>NOW US Equity</stp>
        <stp>BS_CUR_ASSET_REPORT/1M</stp>
        <stp>FPR=2021Y</stp>
        <stp>FPT=A</stp>
        <stp>FA_ACT_EST_DATA=E, EST_SOURCE=WFT</stp>
        <stp>ACT_EST_MAPPING=PRECISE</stp>
        <stp>FS=MRC</stp>
        <stp>CURRENCY=USD</stp>
        <stp>XLFILL=b</stp>
        <tr r="AQ154" s="2"/>
      </tp>
      <tp t="s">
        <v>#N/A Requesting Data...</v>
        <stp/>
        <stp>##V3_BQLV12</stp>
        <stp>[MODL_NOW_US1.xlsx]Single Period!R210C39</stp>
        <stp>NOW US Equity</stp>
        <stp>CF_CHANGE_IN_PREPAID_EXPNSS/1M</stp>
        <stp>FPR=2021Y</stp>
        <stp>FPT=A</stp>
        <stp>FA_ACT_EST_DATA=E, EST_SOURCE=DZB</stp>
        <stp>ACT_EST_MAPPING=PRECISE</stp>
        <stp>FS=MRC</stp>
        <stp>CURRENCY=USD</stp>
        <stp>XLFILL=b</stp>
        <tr r="AM210" s="2"/>
      </tp>
      <tp t="s">
        <v>#N/A Requesting Data...</v>
        <stp/>
        <stp>##V3_BQLV12</stp>
        <stp>[MODL_NOW_US1.xlsx]Single Period!R203C14</stp>
        <stp>NOW US Equity</stp>
        <stp>AMORTIZATN_OF_FINNCNG_COSTS/1M</stp>
        <stp>FPR=2021Y</stp>
        <stp>FPT=A</stp>
        <stp>FA_ACT_EST_DATA=E, EST_SOURCE=BMO</stp>
        <stp>ACT_EST_MAPPING=PRECISE</stp>
        <stp>FS=MRC</stp>
        <stp>CURRENCY=USD</stp>
        <stp>XLFILL=b</stp>
        <tr r="N203" s="2"/>
      </tp>
      <tp t="s">
        <v>#N/A Requesting Data...</v>
        <stp/>
        <stp>##V3_BQLV12</stp>
        <stp>[MODL_NOW_US1.xlsx]Single Period!R105C39</stp>
        <stp>NOW US Equity</stp>
        <stp>ADJ_PROFIT_MARGIN</stp>
        <stp>FPR=2021Y</stp>
        <stp>FPT=A</stp>
        <stp>FA_ACT_EST_DATA=E, EST_SOURCE=DZB</stp>
        <stp>ACT_EST_MAPPING=PRECISE</stp>
        <stp>FS=MRC</stp>
        <stp>CURRENCY=USD</stp>
        <stp>XLFILL=b</stp>
        <tr r="AM105" s="2"/>
      </tp>
      <tp t="s">
        <v>#N/A Requesting Data...</v>
        <stp/>
        <stp>##V3_BQLV12</stp>
        <stp>[MODL_NOW_US1.xlsx]Single Period!R167C13</stp>
        <stp>NOW US Equity</stp>
        <stp>BS_GOODWILL/1M</stp>
        <stp>FPR=2021Y</stp>
        <stp>FPT=A</stp>
        <stp>FA_ACT_EST_DATA=E, EST_SOURCE=KEY</stp>
        <stp>ACT_EST_MAPPING=PRECISE</stp>
        <stp>FS=MRC</stp>
        <stp>CURRENCY=USD</stp>
        <stp>XLFILL=b</stp>
        <tr r="M167" s="2"/>
      </tp>
      <tp t="s">
        <v>#N/A Requesting Data...</v>
        <stp/>
        <stp>##V3_BQLV12</stp>
        <stp>[MODL_NOW_US1.xlsx]Single Period!R180C46</stp>
        <stp>NOW US Equity</stp>
        <stp>BS_LT_OPERATING_LEASE_LIABS/1M</stp>
        <stp>FPR=2021Y</stp>
        <stp>FPT=A</stp>
        <stp>FA_ACT_EST_DATA=E, EST_SOURCE=MZS</stp>
        <stp>ACT_EST_MAPPING=PRECISE</stp>
        <stp>FS=MRC</stp>
        <stp>CURRENCY=USD</stp>
        <stp>XLFILL=b</stp>
        <tr r="AT180" s="2"/>
      </tp>
      <tp t="s">
        <v>#N/A Requesting Data...</v>
        <stp/>
        <stp>##V3_BQLV12</stp>
        <stp>[MODL_NOW_US1.xlsx]Single Period!R83C45</stp>
        <stp>NOW US Equity</stp>
        <stp>IS_ADJUSTED_COGS_AS_REPORTED/1M</stp>
        <stp>FPR=2021Y</stp>
        <stp>FPT=A</stp>
        <stp>FA_ACT_EST_DATA=E, EST_SOURCE=PJE</stp>
        <stp>ACT_EST_MAPPING=PRECISE</stp>
        <stp>FS=MRC</stp>
        <stp>CURRENCY=USD</stp>
        <stp>XLFILL=b</stp>
        <tr r="AS83" s="2"/>
      </tp>
      <tp t="s">
        <v>#N/A Requesting Data...</v>
        <stp/>
        <stp>##V3_BQLV12</stp>
        <stp>[MODL_NOW_US1.xlsx]Single Period!R14C33</stp>
        <stp>SEG0000230975 Segment</stp>
        <stp>SALES_REV_TURN/1M</stp>
        <stp>FPR=2021Y</stp>
        <stp>FPT=A</stp>
        <stp>FA_ACT_EST_DATA=E, EST_SOURCE=MAC</stp>
        <stp>ACT_EST_MAPPING=PRECISE</stp>
        <stp>FS=MRC</stp>
        <stp>CURRENCY=USD</stp>
        <stp>XLFILL=b</stp>
        <tr r="AG14" s="2"/>
      </tp>
      <tp t="s">
        <v>#N/A Requesting Data...</v>
        <stp/>
        <stp>##V3_BQLV12</stp>
        <stp>[MODL_NOW_US1.xlsx]Single Period!R207C43</stp>
        <stp>NOW US Equity</stp>
        <stp>CB_CF_CHANGE_IN_ACCOUNTS_RECEIVABLE/1M</stp>
        <stp>FPR=2021Y</stp>
        <stp>FPT=A</stp>
        <stp>FA_ACT_EST_DATA=E, EST_SOURCE=WFT</stp>
        <stp>ACT_EST_MAPPING=PRECISE</stp>
        <stp>FS=MRC</stp>
        <stp>CURRENCY=USD</stp>
        <stp>XLFILL=b</stp>
        <tr r="AQ207" s="2"/>
      </tp>
      <tp t="s">
        <v>#N/A Requesting Data...</v>
        <stp/>
        <stp>##V3_BQLV12</stp>
        <stp>[MODL_NOW_US1.xlsx]Single Period!R69C37</stp>
        <stp>SEG0000230986 Segment</stp>
        <stp>IS_ADJ_GROSS_PROFIT_AS_REPORTED/1M</stp>
        <stp>FPR=2021Y</stp>
        <stp>FPT=A</stp>
        <stp>FA_ACT_EST_DATA=E, EST_SOURCE=TTC</stp>
        <stp>ACT_EST_MAPPING=PRECISE</stp>
        <stp>FS=MRC</stp>
        <stp>CURRENCY=USD</stp>
        <stp>XLFILL=b</stp>
        <tr r="AK69" s="2"/>
      </tp>
      <tp t="s">
        <v>#N/A Requesting Data...</v>
        <stp/>
        <stp>##V3_BQLV12</stp>
        <stp>[MODL_NOW_US1.xlsx]Single Period!R16C12</stp>
        <stp>SEG0000230969 Segment</stp>
        <stp>SALES_REV_TURN/1M</stp>
        <stp>FPR=2021Y</stp>
        <stp>FPT=A</stp>
        <stp>FA_ACT_EST_DATA=E, EST_SOURCE=WBL</stp>
        <stp>ACT_EST_MAPPING=PRECISE</stp>
        <stp>FS=MRC</stp>
        <stp>CURRENCY=USD</stp>
        <stp>XLFILL=b</stp>
        <tr r="L16" s="2"/>
      </tp>
      <tp t="s">
        <v>#N/A Requesting Data...</v>
        <stp/>
        <stp>##V3_BQLV12</stp>
        <stp>[MODL_NOW_US1.xlsx]Single Period!R61C38</stp>
        <stp>SEG0000230975 Segment</stp>
        <stp>IS_ADJ_GROSS_PROFIT_AS_REPORTED/1M</stp>
        <stp>FPR=2021Y</stp>
        <stp>FPT=A</stp>
        <stp>FA_ACT_EST_DATA=E, EST_SOURCE=RWB</stp>
        <stp>ACT_EST_MAPPING=PRECISE</stp>
        <stp>FS=MRC</stp>
        <stp>CURRENCY=USD</stp>
        <stp>XLFILL=b</stp>
        <tr r="AL61" s="2"/>
      </tp>
      <tp t="s">
        <v>#N/A Requesting Data...</v>
        <stp/>
        <stp>##V3_BQLV12</stp>
        <stp>[MODL_NOW_US1.xlsx]Single Period!R131C12</stp>
        <stp>NOW US Equity</stp>
        <stp>IS_AVG_NUM_SH_FOR_EPS/1M</stp>
        <stp>FPR=2021Y</stp>
        <stp>FPT=A</stp>
        <stp>FA_ACT_EST_DATA=E, EST_SOURCE=WBL</stp>
        <stp>ACT_EST_MAPPING=PRECISE</stp>
        <stp>FS=MRC</stp>
        <stp>CURRENCY=USD</stp>
        <stp>XLFILL=b</stp>
        <tr r="L131" s="2"/>
      </tp>
      <tp t="s">
        <v>#N/A Requesting Data...</v>
        <stp/>
        <stp>##V3_BQLV12</stp>
        <stp>[MODL_NOW_US1.xlsx]Single Period!R200C24</stp>
        <stp>NOW US Equity</stp>
        <stp>CF_DEPR_AMORT/1M</stp>
        <stp>FPR=2021Y</stp>
        <stp>FPT=A</stp>
        <stp>FA_ACT_EST_DATA=E, EST_SOURCE=CWN</stp>
        <stp>ACT_EST_MAPPING=PRECISE</stp>
        <stp>FS=MRC</stp>
        <stp>CURRENCY=USD</stp>
        <stp>XLFILL=b</stp>
        <tr r="X200" s="2"/>
      </tp>
      <tp t="s">
        <v>#N/A Requesting Data...</v>
        <stp/>
        <stp>##V3_BQLV12</stp>
        <stp>[MODL_NOW_US1.xlsx]Single Period!R20C45</stp>
        <stp>SEG0000230986 Segment</stp>
        <stp>SALES_REV_TURN/1M</stp>
        <stp>FPR=2021Y</stp>
        <stp>FPT=A</stp>
        <stp>FA_ACT_EST_DATA=E, EST_SOURCE=PJE</stp>
        <stp>ACT_EST_MAPPING=PRECISE</stp>
        <stp>FS=MRC</stp>
        <stp>CURRENCY=USD</stp>
        <stp>XLFILL=b</stp>
        <tr r="AS20" s="2"/>
      </tp>
      <tp t="s">
        <v>#N/A Requesting Data...</v>
        <stp/>
        <stp>##V3_BQLV12</stp>
        <stp>[MODL_NOW_US1.xlsx]Single Period!R209C11</stp>
        <stp>NOW US Equity</stp>
        <stp>CF_CHANGE_IN_ACCOUNTS_PAYABLE/1M</stp>
        <stp>FPR=2021Y</stp>
        <stp>FPT=A</stp>
        <stp>FA_ACT_EST_DATA=E, EST_SOURCE=JPM</stp>
        <stp>ACT_EST_MAPPING=PRECISE</stp>
        <stp>FS=MRC</stp>
        <stp>CURRENCY=USD</stp>
        <stp>XLFILL=b</stp>
        <tr r="K209" s="2"/>
      </tp>
      <tp t="s">
        <v>#N/A Requesting Data...</v>
        <stp/>
        <stp>##V3_BQLV12</stp>
        <stp>[MODL_NOW_US1.xlsx]Single Period!R200C37</stp>
        <stp>NOW US Equity</stp>
        <stp>CF_DEPR_AMORT/1M</stp>
        <stp>FPR=2021Y</stp>
        <stp>FPT=A</stp>
        <stp>FA_ACT_EST_DATA=E, EST_SOURCE=TTC</stp>
        <stp>ACT_EST_MAPPING=PRECISE</stp>
        <stp>FS=MRC</stp>
        <stp>CURRENCY=USD</stp>
        <stp>XLFILL=b</stp>
        <tr r="AK200" s="2"/>
      </tp>
      <tp t="s">
        <v>#N/A Requesting Data...</v>
        <stp/>
        <stp>##V3_BQLV12</stp>
        <stp>[MODL_NOW_US1.xlsx]Single Period!R16C25</stp>
        <stp>SEG0000230969 Segment</stp>
        <stp>SALES_REV_TURN/1M</stp>
        <stp>FPR=2021Y</stp>
        <stp>FPT=A</stp>
        <stp>FA_ACT_EST_DATA=E, EST_SOURCE=DBG</stp>
        <stp>ACT_EST_MAPPING=PRECISE</stp>
        <stp>FS=MRC</stp>
        <stp>CURRENCY=USD</stp>
        <stp>XLFILL=b</stp>
        <tr r="Y16" s="2"/>
      </tp>
      <tp t="s">
        <v>#N/A Requesting Data...</v>
        <stp/>
        <stp>##V3_BQLV12</stp>
        <stp>[MODL_NOW_US1.xlsx]Single Period!R150C21</stp>
        <stp>NOW US Equity</stp>
        <stp>IS_INC_TAX_EFFECT_NONGAAP_REC/1M</stp>
        <stp>FPR=2021Y</stp>
        <stp>FPT=A</stp>
        <stp>FA_ACT_EST_DATA=E, EST_SOURCE=JMP</stp>
        <stp>ACT_EST_MAPPING=PRECISE</stp>
        <stp>FS=MRC</stp>
        <stp>CURRENCY=USD</stp>
        <stp>XLFILL=b</stp>
        <tr r="U150" s="2"/>
      </tp>
      <tp t="s">
        <v>#N/A Requesting Data...</v>
        <stp/>
        <stp>##V3_BQLV12</stp>
        <stp>[MODL_NOW_US1.xlsx]Single Period!R200C39</stp>
        <stp>NOW US Equity</stp>
        <stp>CF_DEPR_AMORT/1M</stp>
        <stp>FPR=2021Y</stp>
        <stp>FPT=A</stp>
        <stp>FA_ACT_EST_DATA=E, EST_SOURCE=DZB</stp>
        <stp>ACT_EST_MAPPING=PRECISE</stp>
        <stp>FS=MRC</stp>
        <stp>CURRENCY=USD</stp>
        <stp>XLFILL=b</stp>
        <tr r="AM200" s="2"/>
      </tp>
      <tp t="s">
        <v>#N/A Requesting Data...</v>
        <stp/>
        <stp>##V3_BQLV12</stp>
        <stp>[MODL_NOW_US1.xlsx]Single Period!R54C45</stp>
        <stp>NOW US Equity</stp>
        <stp>IS_FOREIGN_CURRENCY_TURNOVER/1M</stp>
        <stp>FPR=2021Y</stp>
        <stp>FPT=A</stp>
        <stp>FA_ACT_EST_DATA=E, EST_SOURCE=PJE</stp>
        <stp>ACT_EST_MAPPING=PRECISE</stp>
        <stp>FS=MRC</stp>
        <stp>CURRENCY=USD</stp>
        <stp>XLFILL=b</stp>
        <tr r="AS54" s="2"/>
      </tp>
      <tp t="s">
        <v>#N/A Requesting Data...</v>
        <stp/>
        <stp>##V3_BQLV12</stp>
        <stp>[MODL_NOW_US1.xlsx]Single Period!R131C32</stp>
        <stp>NOW US Equity</stp>
        <stp>IS_AVG_NUM_SH_FOR_EPS/1M</stp>
        <stp>FPR=2021Y</stp>
        <stp>FPT=A</stp>
        <stp>FA_ACT_EST_DATA=E, EST_SOURCE=FBC</stp>
        <stp>ACT_EST_MAPPING=PRECISE</stp>
        <stp>FS=MRC</stp>
        <stp>CURRENCY=USD</stp>
        <stp>XLFILL=b</stp>
        <tr r="AF131" s="2"/>
      </tp>
      <tp t="s">
        <v>#N/A Requesting Data...</v>
        <stp/>
        <stp>##V3_BQLV12</stp>
        <stp>[MODL_NOW_US1.xlsx]Single Period!R200C41</stp>
        <stp>NOW US Equity</stp>
        <stp>CF_DEPR_AMORT/1M</stp>
        <stp>FPR=2021Y</stp>
        <stp>FPT=A</stp>
        <stp>FA_ACT_EST_DATA=E, EST_SOURCE=ARG</stp>
        <stp>ACT_EST_MAPPING=PRECISE</stp>
        <stp>FS=MRC</stp>
        <stp>CURRENCY=USD</stp>
        <stp>XLFILL=b</stp>
        <tr r="AO200" s="2"/>
      </tp>
      <tp t="s">
        <v>#N/A Requesting Data...</v>
        <stp/>
        <stp>##V3_BQLV12</stp>
        <stp>[MODL_NOW_US1.xlsx]Single Period!R58C14</stp>
        <stp>SEG0000230975 Segment</stp>
        <stp>SALES_REV_TURN/1M</stp>
        <stp>FPR=2021Y</stp>
        <stp>FPT=A</stp>
        <stp>FA_ACT_EST_DATA=E, EST_SOURCE=BMO</stp>
        <stp>ACT_EST_MAPPING=PRECISE</stp>
        <stp>FS=MRC</stp>
        <stp>CURRENCY=USD</stp>
        <stp>XLFILL=b</stp>
        <tr r="N58" s="2"/>
      </tp>
      <tp t="s">
        <v>#N/A Requesting Data...</v>
        <stp/>
        <stp>##V3_BQLV12</stp>
        <stp>[MODL_NOW_US1.xlsx]Single Period!R16C27</stp>
        <stp>SEG0000230969 Segment</stp>
        <stp>SALES_REV_TURN/1M</stp>
        <stp>FPR=2021Y</stp>
        <stp>FPT=A</stp>
        <stp>FA_ACT_EST_DATA=E, EST_SOURCE=RBC</stp>
        <stp>ACT_EST_MAPPING=PRECISE</stp>
        <stp>FS=MRC</stp>
        <stp>CURRENCY=USD</stp>
        <stp>XLFILL=b</stp>
        <tr r="AA16" s="2"/>
      </tp>
      <tp t="s">
        <v>#N/A Requesting Data...</v>
        <stp/>
        <stp>##V3_BQLV12</stp>
        <stp>[MODL_NOW_US1.xlsx]Single Period!R16C32</stp>
        <stp>SEG0000230969 Segment</stp>
        <stp>SALES_REV_TURN/1M</stp>
        <stp>FPR=2021Y</stp>
        <stp>FPT=A</stp>
        <stp>FA_ACT_EST_DATA=E, EST_SOURCE=FBC</stp>
        <stp>ACT_EST_MAPPING=PRECISE</stp>
        <stp>FS=MRC</stp>
        <stp>CURRENCY=USD</stp>
        <stp>XLFILL=b</stp>
        <tr r="AF16" s="2"/>
      </tp>
      <tp t="s">
        <v>#N/A Requesting Data...</v>
        <stp/>
        <stp>##V3_BQLV12</stp>
        <stp>[MODL_NOW_US1.xlsx]Single Period!R123C5</stp>
        <stp>NOW US Equity</stp>
        <stp>TOTAL_OPERATING_EXPENSES_RATIO/1M</stp>
        <stp>FPR=2021Y</stp>
        <stp>FPT=A</stp>
        <stp>FA_ACT_EST_DATA=E</stp>
        <stp>ACT_EST_MAPPING=PRECISE</stp>
        <stp>FS=MRC</stp>
        <stp>CURRENCY=USD</stp>
        <stp>XLFILL=b</stp>
        <tr r="E123" s="2"/>
      </tp>
      <tp t="s">
        <v>#N/A Requesting Data...</v>
        <stp/>
        <stp>##V3_BQLV12</stp>
        <stp>[MODL_NOW_US1.xlsx]Single Period!R14C20</stp>
        <stp>SEG0000230975 Segment</stp>
        <stp>SALES_REV_TURN/1M</stp>
        <stp>FPR=2021Y</stp>
        <stp>FPT=A</stp>
        <stp>FA_ACT_EST_DATA=E, EST_SOURCE=CAN</stp>
        <stp>ACT_EST_MAPPING=PRECISE</stp>
        <stp>FS=MRC</stp>
        <stp>CURRENCY=USD</stp>
        <stp>XLFILL=b</stp>
        <tr r="T14" s="2"/>
      </tp>
      <tp t="s">
        <v>#N/A Requesting Data...</v>
        <stp/>
        <stp>##V3_BQLV12</stp>
        <stp>[MODL_NOW_US1.xlsx]Single Period!R77C49</stp>
        <stp>SEG0000230969 Segment</stp>
        <stp>SALES_REV_TURN/1M</stp>
        <stp>FPR=2021Y</stp>
        <stp>FPT=A</stp>
        <stp>FA_ACT_EST_DATA=E, EST_SOURCE=SCB</stp>
        <stp>ACT_EST_MAPPING=PRECISE</stp>
        <stp>FS=MRC</stp>
        <stp>CURRENCY=USD</stp>
        <stp>XLFILL=b</stp>
        <tr r="AW77" s="2"/>
      </tp>
      <tp t="s">
        <v>#N/A Requesting Data...</v>
        <stp/>
        <stp>##V3_BQLV12</stp>
        <stp>[MODL_NOW_US1.xlsx]Single Period!R77C16</stp>
        <stp>SEG0000230969 Segment</stp>
        <stp>SALES_REV_TURN/1M</stp>
        <stp>FPR=2021Y</stp>
        <stp>FPT=A</stp>
        <stp>FA_ACT_EST_DATA=E, EST_SOURCE=BCA</stp>
        <stp>ACT_EST_MAPPING=PRECISE</stp>
        <stp>FS=MRC</stp>
        <stp>CURRENCY=USD</stp>
        <stp>XLFILL=b</stp>
        <tr r="P77" s="2"/>
      </tp>
      <tp t="s">
        <v>#N/A Requesting Data...</v>
        <stp/>
        <stp>##V3_BQLV12</stp>
        <stp>[MODL_NOW_US1.xlsx]Single Period!R14C30</stp>
        <stp>SEG0000230975 Segment</stp>
        <stp>SALES_REV_TURN/1M</stp>
        <stp>FPR=2021Y</stp>
        <stp>FPT=A</stp>
        <stp>FA_ACT_EST_DATA=E, EST_SOURCE=BAM</stp>
        <stp>ACT_EST_MAPPING=PRECISE</stp>
        <stp>FS=MRC</stp>
        <stp>CURRENCY=USD</stp>
        <stp>XLFILL=b</stp>
        <tr r="AD14" s="2"/>
      </tp>
      <tp t="s">
        <v>#N/A Requesting Data...</v>
        <stp/>
        <stp>##V3_BQLV12</stp>
        <stp>[MODL_NOW_US1.xlsx]Single Period!R61C24</stp>
        <stp>SEG0000230975 Segment</stp>
        <stp>IS_ADJ_GROSS_PROFIT_AS_REPORTED/1M</stp>
        <stp>FPR=2021Y</stp>
        <stp>FPT=A</stp>
        <stp>FA_ACT_EST_DATA=E, EST_SOURCE=CWN</stp>
        <stp>ACT_EST_MAPPING=PRECISE</stp>
        <stp>FS=MRC</stp>
        <stp>CURRENCY=USD</stp>
        <stp>XLFILL=b</stp>
        <tr r="X61" s="2"/>
      </tp>
      <tp t="s">
        <v>#N/A Requesting Data...</v>
        <stp/>
        <stp>##V3_BQLV12</stp>
        <stp>[MODL_NOW_US1.xlsx]Single Period!R69C42</stp>
        <stp>SEG0000230986 Segment</stp>
        <stp>IS_ADJ_GROSS_PROFIT_AS_REPORTED/1M</stp>
        <stp>FPR=2021Y</stp>
        <stp>FPT=A</stp>
        <stp>FA_ACT_EST_DATA=E, EST_SOURCE=CTI</stp>
        <stp>ACT_EST_MAPPING=PRECISE</stp>
        <stp>FS=MRC</stp>
        <stp>CURRENCY=USD</stp>
        <stp>XLFILL=b</stp>
        <tr r="AP69" s="2"/>
      </tp>
      <tp t="s">
        <v>#N/A Requesting Data...</v>
        <stp/>
        <stp>##V3_BQLV12</stp>
        <stp>[MODL_NOW_US1.xlsx]Single Period!R61C40</stp>
        <stp>SEG0000230975 Segment</stp>
        <stp>IS_ADJ_GROSS_PROFIT_AS_REPORTED/1M</stp>
        <stp>FPR=2021Y</stp>
        <stp>FPT=A</stp>
        <stp>FA_ACT_EST_DATA=E, EST_SOURCE=DWI</stp>
        <stp>ACT_EST_MAPPING=PRECISE</stp>
        <stp>FS=MRC</stp>
        <stp>CURRENCY=USD</stp>
        <stp>XLFILL=b</stp>
        <tr r="AN61" s="2"/>
      </tp>
      <tp t="s">
        <v>#N/A Requesting Data...</v>
        <stp/>
        <stp>##V3_BQLV12</stp>
        <stp>[MODL_NOW_US1.xlsx]Single Period!R101C40</stp>
        <stp>NOW US Equity</stp>
        <stp>CB_IS_OTHER_NON_OPER_INC_EXPN/1M</stp>
        <stp>FPR=2021Y</stp>
        <stp>FPT=A</stp>
        <stp>FA_ACT_EST_DATA=E, EST_SOURCE=DWI</stp>
        <stp>ACT_EST_MAPPING=PRECISE</stp>
        <stp>FS=MRC</stp>
        <stp>CURRENCY=USD</stp>
        <stp>XLFILL=b</stp>
        <tr r="AN101" s="2"/>
      </tp>
      <tp t="s">
        <v>#N/A Requesting Data...</v>
        <stp/>
        <stp>##V3_BQLV12</stp>
        <stp>[MODL_NOW_US1.xlsx]Single Period!R58C21</stp>
        <stp>SEG0000230975 Segment</stp>
        <stp>SALES_REV_TURN/1M</stp>
        <stp>FPR=2021Y</stp>
        <stp>FPT=A</stp>
        <stp>FA_ACT_EST_DATA=E, EST_SOURCE=JMP</stp>
        <stp>ACT_EST_MAPPING=PRECISE</stp>
        <stp>FS=MRC</stp>
        <stp>CURRENCY=USD</stp>
        <stp>XLFILL=b</stp>
        <tr r="U58" s="2"/>
      </tp>
      <tp t="s">
        <v>#N/A Requesting Data...</v>
        <stp/>
        <stp>##V3_BQLV12</stp>
        <stp>[MODL_NOW_US1.xlsx]Single Period!R102C14</stp>
        <stp>NOW US Equity</stp>
        <stp>IS_COMP_PTP_EX_STK_BASED_COMP/1M</stp>
        <stp>FPR=2021Y</stp>
        <stp>FPT=A</stp>
        <stp>FA_ACT_EST_DATA=E, EST_SOURCE=BMO</stp>
        <stp>ACT_EST_MAPPING=PRECISE</stp>
        <stp>FS=MRC</stp>
        <stp>CURRENCY=USD</stp>
        <stp>XLFILL=b</stp>
        <tr r="N102" s="2"/>
      </tp>
      <tp t="s">
        <v>#N/A Requesting Data...</v>
        <stp/>
        <stp>##V3_BQLV12</stp>
        <stp>[MODL_NOW_US1.xlsx]Single Period!R75C18</stp>
        <stp>SEG0000230992 Segment</stp>
        <stp>SALES_REV_TURN/1M</stp>
        <stp>FPR=2021Y</stp>
        <stp>FPT=A</stp>
        <stp>FA_ACT_EST_DATA=E, EST_SOURCE=SNR</stp>
        <stp>ACT_EST_MAPPING=PRECISE</stp>
        <stp>FS=MRC</stp>
        <stp>CURRENCY=USD</stp>
        <stp>XLFILL=b</stp>
        <tr r="R75" s="2"/>
      </tp>
      <tp t="s">
        <v>#N/A Requesting Data...</v>
        <stp/>
        <stp>##V3_BQLV12</stp>
        <stp>[MODL_NOW_US1.xlsx]Single Period!R15C18</stp>
        <stp>SEG0000230992 Segment</stp>
        <stp>SALES_REV_TURN/1M</stp>
        <stp>FPR=2021Y</stp>
        <stp>FPT=A</stp>
        <stp>FA_ACT_EST_DATA=E, EST_SOURCE=SNR</stp>
        <stp>ACT_EST_MAPPING=PRECISE</stp>
        <stp>FS=MRC</stp>
        <stp>CURRENCY=USD</stp>
        <stp>XLFILL=b</stp>
        <tr r="R15" s="2"/>
      </tp>
      <tp t="s">
        <v>#N/A Requesting Data...</v>
        <stp/>
        <stp>##V3_BQLV12</stp>
        <stp>[MODL_NOW_US1.xlsx]Single Period!R75C29</stp>
        <stp>SEG0000230992 Segment</stp>
        <stp>SALES_REV_TURN/1M</stp>
        <stp>FPR=2021Y</stp>
        <stp>FPT=A</stp>
        <stp>FA_ACT_EST_DATA=E, EST_SOURCE=BNS</stp>
        <stp>ACT_EST_MAPPING=PRECISE</stp>
        <stp>FS=MRC</stp>
        <stp>CURRENCY=USD</stp>
        <stp>XLFILL=b</stp>
        <tr r="AC75" s="2"/>
      </tp>
      <tp t="s">
        <v>#N/A Requesting Data...</v>
        <stp/>
        <stp>##V3_BQLV12</stp>
        <stp>[MODL_NOW_US1.xlsx]Single Period!R15C29</stp>
        <stp>SEG0000230992 Segment</stp>
        <stp>SALES_REV_TURN/1M</stp>
        <stp>FPR=2021Y</stp>
        <stp>FPT=A</stp>
        <stp>FA_ACT_EST_DATA=E, EST_SOURCE=BNS</stp>
        <stp>ACT_EST_MAPPING=PRECISE</stp>
        <stp>FS=MRC</stp>
        <stp>CURRENCY=USD</stp>
        <stp>XLFILL=b</stp>
        <tr r="AC15" s="2"/>
      </tp>
      <tp t="s">
        <v>#N/A Requesting Data...</v>
        <stp/>
        <stp>##V3_BQLV12</stp>
        <stp>[MODL_NOW_US1.xlsx]Single Period!R16C26</stp>
        <stp>SEG0000230969 Segment</stp>
        <stp>SALES_REV_TURN/1M</stp>
        <stp>FPR=2021Y</stp>
        <stp>FPT=A</stp>
        <stp>FA_ACT_EST_DATA=E, EST_SOURCE=UBS</stp>
        <stp>ACT_EST_MAPPING=PRECISE</stp>
        <stp>FS=MRC</stp>
        <stp>CURRENCY=USD</stp>
        <stp>XLFILL=b</stp>
        <tr r="Z16" s="2"/>
      </tp>
      <tp t="s">
        <v>#N/A Requesting Data...</v>
        <stp/>
        <stp>##V3_BQLV12</stp>
        <stp>[MODL_NOW_US1.xlsx]Single Period!R101C34</stp>
        <stp>NOW US Equity</stp>
        <stp>CB_IS_OTHER_NON_OPER_INC_EXPN/1M</stp>
        <stp>FPR=2021Y</stp>
        <stp>FPT=A</stp>
        <stp>FA_ACT_EST_DATA=E, EST_SOURCE=PSG</stp>
        <stp>ACT_EST_MAPPING=PRECISE</stp>
        <stp>FS=MRC</stp>
        <stp>CURRENCY=USD</stp>
        <stp>XLFILL=b</stp>
        <tr r="AH101" s="2"/>
      </tp>
      <tp t="s">
        <v>#N/A Requesting Data...</v>
        <stp/>
        <stp>##V3_BQLV12</stp>
        <stp>[MODL_NOW_US1.xlsx]Single Period!R99C32</stp>
        <stp>NOW US Equity</stp>
        <stp>IS_COMPARABLE_EBITDA/1M</stp>
        <stp>FPR=2021Y</stp>
        <stp>FPT=A</stp>
        <stp>FA_ACT_EST_DATA=E, EST_SOURCE=FBC</stp>
        <stp>ACT_EST_MAPPING=PRECISE</stp>
        <stp>FS=MRC</stp>
        <stp>CURRENCY=USD</stp>
        <stp>XLFILL=b</stp>
        <tr r="AF99" s="2"/>
      </tp>
      <tp t="s">
        <v>#N/A Requesting Data...</v>
        <stp/>
        <stp>##V3_BQLV12</stp>
        <stp>[MODL_NOW_US1.xlsx]Single Period!R218C10</stp>
        <stp>NOW US Equity</stp>
        <stp>CF_ACQUISITION_OF_INTANG_ASSETS/1M</stp>
        <stp>FPR=2021Y</stp>
        <stp>FPT=A</stp>
        <stp>FA_ACT_EST_DATA=E, EST_SOURCE=CMPY</stp>
        <stp>ACT_EST_MAPPING=PRECISE</stp>
        <stp>FS=MRC</stp>
        <stp>CURRENCY=USD</stp>
        <stp>XLFILL=b</stp>
        <tr r="J218" s="2"/>
      </tp>
      <tp t="s">
        <v>#N/A Requesting Data...</v>
        <stp/>
        <stp>##V3_BQLV12</stp>
        <stp>[MODL_NOW_US1.xlsx]Single Period!R3C47</stp>
        <stp>NOW US Equity</stp>
        <stp>LAST(IS_COMP_SALES(FA_ACT_EST_DATA=E, EST_SOURCE=SUM).firm_name)</stp>
        <stp>FPR=2021Y</stp>
        <stp>FPT=A</stp>
        <stp>ACT_EST_MAPPING=PRECISE</stp>
        <stp>FS=MRC</stp>
        <stp>CURRENCY=USD</stp>
        <stp>XLFILL=b</stp>
        <tr r="AU3" s="2"/>
      </tp>
      <tp t="s">
        <v>#N/A Requesting Data...</v>
        <stp/>
        <stp>##V3_BQLV12</stp>
        <stp>[MODL_NOW_US1.xlsx]Single Period!R134C18</stp>
        <stp>NOW US Equity</stp>
        <stp>IS_COMP_EPS_GAAP</stp>
        <stp>FPR=2021Y</stp>
        <stp>FPT=A</stp>
        <stp>FA_ACT_EST_DATA=E, EST_SOURCE=SNR</stp>
        <stp>ACT_EST_MAPPING=PRECISE</stp>
        <stp>FS=MRC</stp>
        <stp>CURRENCY=USD</stp>
        <stp>XLFILL=b</stp>
        <tr r="R134" s="2"/>
      </tp>
      <tp t="s">
        <v>#N/A Requesting Data...</v>
        <stp/>
        <stp>##V3_BQLV12</stp>
        <stp>[MODL_NOW_US1.xlsx]Single Period!R134C13</stp>
        <stp>NOW US Equity</stp>
        <stp>IS_COMP_EPS_GAAP</stp>
        <stp>FPR=2021Y</stp>
        <stp>FPT=A</stp>
        <stp>FA_ACT_EST_DATA=E, EST_SOURCE=KEY</stp>
        <stp>ACT_EST_MAPPING=PRECISE</stp>
        <stp>FS=MRC</stp>
        <stp>CURRENCY=USD</stp>
        <stp>XLFILL=b</stp>
        <tr r="M134" s="2"/>
      </tp>
      <tp t="s">
        <v>#N/A Requesting Data...</v>
        <stp/>
        <stp>##V3_BQLV12</stp>
        <stp>[MODL_NOW_US1.xlsx]Single Period!R25C20</stp>
        <stp>NOW US Equity</stp>
        <stp>IS_COMP_GROSS_MARGIN_PERCENTAGE</stp>
        <stp>FPR=2021Y</stp>
        <stp>FPT=A</stp>
        <stp>FA_ACT_EST_DATA=E, EST_SOURCE=CAN</stp>
        <stp>ACT_EST_MAPPING=PRECISE</stp>
        <stp>FS=MRC</stp>
        <stp>CURRENCY=USD</stp>
        <stp>XLFILL=b</stp>
        <tr r="T25" s="2"/>
      </tp>
      <tp t="s">
        <v>#N/A Requesting Data...</v>
        <stp/>
        <stp>##V3_BQLV12</stp>
        <stp>[MODL_NOW_US1.xlsx]Single Period!R25C12</stp>
        <stp>NOW US Equity</stp>
        <stp>IS_COMP_GROSS_MARGIN_PERCENTAGE</stp>
        <stp>FPR=2021Y</stp>
        <stp>FPT=A</stp>
        <stp>FA_ACT_EST_DATA=E, EST_SOURCE=WBL</stp>
        <stp>ACT_EST_MAPPING=PRECISE</stp>
        <stp>FS=MRC</stp>
        <stp>CURRENCY=USD</stp>
        <stp>XLFILL=b</stp>
        <tr r="L25" s="2"/>
      </tp>
      <tp t="s">
        <v>#N/A Requesting Data...</v>
        <stp/>
        <stp>##V3_BQLV12</stp>
        <stp>[MODL_NOW_US1.xlsx]Single Period!R85C20</stp>
        <stp>NOW US Equity</stp>
        <stp>IS_COMP_GROSS_MARGIN_PERCENTAGE</stp>
        <stp>FPR=2021Y</stp>
        <stp>FPT=A</stp>
        <stp>FA_ACT_EST_DATA=E, EST_SOURCE=CAN</stp>
        <stp>ACT_EST_MAPPING=PRECISE</stp>
        <stp>FS=MRC</stp>
        <stp>CURRENCY=USD</stp>
        <stp>XLFILL=b</stp>
        <tr r="T85" s="2"/>
      </tp>
      <tp t="s">
        <v>#N/A Requesting Data...</v>
        <stp/>
        <stp>##V3_BQLV12</stp>
        <stp>[MODL_NOW_US1.xlsx]Single Period!R85C12</stp>
        <stp>NOW US Equity</stp>
        <stp>IS_COMP_GROSS_MARGIN_PERCENTAGE</stp>
        <stp>FPR=2021Y</stp>
        <stp>FPT=A</stp>
        <stp>FA_ACT_EST_DATA=E, EST_SOURCE=WBL</stp>
        <stp>ACT_EST_MAPPING=PRECISE</stp>
        <stp>FS=MRC</stp>
        <stp>CURRENCY=USD</stp>
        <stp>XLFILL=b</stp>
        <tr r="L85" s="2"/>
      </tp>
      <tp t="s">
        <v>#N/A Requesting Data...</v>
        <stp/>
        <stp>##V3_BQLV12</stp>
        <stp>[MODL_NOW_US1.xlsx]Single Period!R134C22</stp>
        <stp>NOW US Equity</stp>
        <stp>IS_COMP_EPS_GAAP</stp>
        <stp>FPR=2021Y</stp>
        <stp>FPT=A</stp>
        <stp>FA_ACT_EST_DATA=E, EST_SOURCE=NDH</stp>
        <stp>ACT_EST_MAPPING=PRECISE</stp>
        <stp>FS=MRC</stp>
        <stp>CURRENCY=USD</stp>
        <stp>XLFILL=b</stp>
        <tr r="V134" s="2"/>
      </tp>
      <tp t="s">
        <v>#N/A Requesting Data...</v>
        <stp/>
        <stp>##V3_BQLV12</stp>
        <stp>[MODL_NOW_US1.xlsx]Single Period!R126C19</stp>
        <stp>NOW US Equity</stp>
        <stp>IS_NON_OPERATING_INC_LOSS_GAAP/1M</stp>
        <stp>FPR=2021Y</stp>
        <stp>FPT=A</stp>
        <stp>FA_ACT_EST_DATA=E, EST_SOURCE=MSV</stp>
        <stp>ACT_EST_MAPPING=PRECISE</stp>
        <stp>FS=MRC</stp>
        <stp>CURRENCY=USD</stp>
        <stp>XLFILL=b</stp>
        <tr r="S126" s="2"/>
      </tp>
      <tp t="s">
        <v>#N/A Requesting Data...</v>
        <stp/>
        <stp>##V3_BQLV12</stp>
        <stp>[MODL_NOW_US1.xlsx]Single Period!R195C11</stp>
        <stp>NOW US Equity</stp>
        <stp>CB_BS_DEFERRED_COST_LT/1M</stp>
        <stp>FPR=2021Y</stp>
        <stp>FPT=A</stp>
        <stp>FA_ACT_EST_DATA=E, EST_SOURCE=JPM</stp>
        <stp>ACT_EST_MAPPING=PRECISE</stp>
        <stp>FS=MRC</stp>
        <stp>CURRENCY=USD</stp>
        <stp>XLFILL=b</stp>
        <tr r="K195" s="2"/>
      </tp>
      <tp t="s">
        <v>#N/A Requesting Data...</v>
        <stp/>
        <stp>##V3_BQLV12</stp>
        <stp>[MODL_NOW_US1.xlsx]Single Period!R168C10</stp>
        <stp>NOW US Equity</stp>
        <stp>CB_BS_DEFERRED_COST_LT/1M</stp>
        <stp>FPR=2021Y</stp>
        <stp>FPT=A</stp>
        <stp>FA_ACT_EST_DATA=E, EST_SOURCE=CMPY</stp>
        <stp>ACT_EST_MAPPING=PRECISE</stp>
        <stp>FS=MRC</stp>
        <stp>CURRENCY=USD</stp>
        <stp>XLFILL=b</stp>
        <tr r="J168" s="2"/>
      </tp>
      <tp t="s">
        <v>#N/A Requesting Data...</v>
        <stp/>
        <stp>##V3_BQLV12</stp>
        <stp>[MODL_NOW_US1.xlsx]Single Period!R195C10</stp>
        <stp>NOW US Equity</stp>
        <stp>CB_BS_DEFERRED_COST_LT/1M</stp>
        <stp>FPR=2021Y</stp>
        <stp>FPT=A</stp>
        <stp>FA_ACT_EST_DATA=E, EST_SOURCE=CMPY</stp>
        <stp>ACT_EST_MAPPING=PRECISE</stp>
        <stp>FS=MRC</stp>
        <stp>CURRENCY=USD</stp>
        <stp>XLFILL=b</stp>
        <tr r="J195" s="2"/>
      </tp>
      <tp t="s">
        <v>#N/A Requesting Data...</v>
        <stp/>
        <stp>##V3_BQLV12</stp>
        <stp>[MODL_NOW_US1.xlsx]Single Period!R126C35</stp>
        <stp>NOW US Equity</stp>
        <stp>IS_NON_OPERATING_INC_LOSS_GAAP/1M</stp>
        <stp>FPR=2021Y</stp>
        <stp>FPT=A</stp>
        <stp>FA_ACT_EST_DATA=E, EST_SOURCE=MSR</stp>
        <stp>ACT_EST_MAPPING=PRECISE</stp>
        <stp>FS=MRC</stp>
        <stp>CURRENCY=USD</stp>
        <stp>XLFILL=b</stp>
        <tr r="AI126" s="2"/>
      </tp>
      <tp t="s">
        <v>#N/A Requesting Data...</v>
        <stp/>
        <stp>##V3_BQLV12</stp>
        <stp>[MODL_NOW_US1.xlsx]Single Period!R126C31</stp>
        <stp>NOW US Equity</stp>
        <stp>IS_NON_OPERATING_INC_LOSS_GAAP/1M</stp>
        <stp>FPR=2021Y</stp>
        <stp>FPT=A</stp>
        <stp>FA_ACT_EST_DATA=E, EST_SOURCE=GSR</stp>
        <stp>ACT_EST_MAPPING=PRECISE</stp>
        <stp>FS=MRC</stp>
        <stp>CURRENCY=USD</stp>
        <stp>XLFILL=b</stp>
        <tr r="AE126" s="2"/>
      </tp>
      <tp t="s">
        <v>#N/A Requesting Data...</v>
        <stp/>
        <stp>##V3_BQLV12</stp>
        <stp>[MODL_NOW_US1.xlsx]Single Period!R226C43</stp>
        <stp>NOW US Equity</stp>
        <stp>CF_OTHER_FINANCING_ACT_EXCL_FX/1M</stp>
        <stp>FPR=2021Y</stp>
        <stp>FPT=A</stp>
        <stp>FA_ACT_EST_DATA=E, EST_SOURCE=WFT</stp>
        <stp>ACT_EST_MAPPING=PRECISE</stp>
        <stp>FS=MRC</stp>
        <stp>CURRENCY=USD</stp>
        <stp>XLFILL=b</stp>
        <tr r="AQ226" s="2"/>
      </tp>
      <tp t="s">
        <v>#N/A Requesting Data...</v>
        <stp/>
        <stp>##V3_BQLV12</stp>
        <stp>[MODL_NOW_US1.xlsx]Single Period!R123C38</stp>
        <stp>NOW US Equity</stp>
        <stp>TOTAL_OPERATING_EXPENSES_RATIO/1M</stp>
        <stp>FPR=2021Y</stp>
        <stp>FPT=A</stp>
        <stp>FA_ACT_EST_DATA=E, EST_SOURCE=RWB</stp>
        <stp>ACT_EST_MAPPING=PRECISE</stp>
        <stp>FS=MRC</stp>
        <stp>CURRENCY=USD</stp>
        <stp>XLFILL=b</stp>
        <tr r="AL123" s="2"/>
      </tp>
      <tp t="s">
        <v>#N/A Requesting Data...</v>
        <stp/>
        <stp>##V3_BQLV12</stp>
        <stp>[MODL_NOW_US1.xlsx]Single Period!R40C31</stp>
        <stp>NOW US Equity</stp>
        <stp>BILLNG_AMOUNT_GROWTH_PCT</stp>
        <stp>FPR=2021Y</stp>
        <stp>FPT=A</stp>
        <stp>FA_ACT_EST_DATA=E, EST_SOURCE=GSR</stp>
        <stp>ACT_EST_MAPPING=PRECISE</stp>
        <stp>FS=MRC</stp>
        <stp>CURRENCY=USD</stp>
        <stp>XLFILL=b</stp>
        <tr r="AE40" s="2"/>
      </tp>
      <tp t="s">
        <v>#N/A Requesting Data...</v>
        <stp/>
        <stp>##V3_BQLV12</stp>
        <stp>[MODL_NOW_US1.xlsx]Single Period!R64C18</stp>
        <stp>SEG0000230975 Segment</stp>
        <stp>CB_IS_GROSS_MARGIN</stp>
        <stp>FPR=2021Y</stp>
        <stp>FPT=A</stp>
        <stp>FA_ACT_EST_DATA=E, EST_SOURCE=SNR</stp>
        <stp>ACT_EST_MAPPING=PRECISE</stp>
        <stp>FS=MRC</stp>
        <stp>CURRENCY=USD</stp>
        <stp>XLFILL=b</stp>
        <tr r="R64" s="2"/>
      </tp>
      <tp t="s">
        <v>#N/A Requesting Data...</v>
        <stp/>
        <stp>##V3_BQLV12</stp>
        <stp>[MODL_NOW_US1.xlsx]Single Period!R211C36</stp>
        <stp>NOW US Equity</stp>
        <stp>CF_CHG_IN_DEFER_UNEARND_REV_ST/1M</stp>
        <stp>FPR=2021Y</stp>
        <stp>FPT=A</stp>
        <stp>FA_ACT_EST_DATA=E, EST_SOURCE=JEF</stp>
        <stp>ACT_EST_MAPPING=PRECISE</stp>
        <stp>FS=MRC</stp>
        <stp>CURRENCY=USD</stp>
        <stp>XLFILL=b</stp>
        <tr r="AJ211" s="2"/>
      </tp>
      <tp t="s">
        <v>#N/A Requesting Data...</v>
        <stp/>
        <stp>##V3_BQLV12</stp>
        <stp>[MODL_NOW_US1.xlsx]Single Period!R64C29</stp>
        <stp>SEG0000230975 Segment</stp>
        <stp>CB_IS_GROSS_MARGIN</stp>
        <stp>FPR=2021Y</stp>
        <stp>FPT=A</stp>
        <stp>FA_ACT_EST_DATA=E, EST_SOURCE=BNS</stp>
        <stp>ACT_EST_MAPPING=PRECISE</stp>
        <stp>FS=MRC</stp>
        <stp>CURRENCY=USD</stp>
        <stp>XLFILL=b</stp>
        <tr r="AC64" s="2"/>
      </tp>
      <tp t="s">
        <v>#N/A Requesting Data...</v>
        <stp/>
        <stp>##V3_BQLV12</stp>
        <stp>[MODL_NOW_US1.xlsx]Single Period!R123C24</stp>
        <stp>NOW US Equity</stp>
        <stp>TOTAL_OPERATING_EXPENSES_RATIO/1M</stp>
        <stp>FPR=2021Y</stp>
        <stp>FPT=A</stp>
        <stp>FA_ACT_EST_DATA=E, EST_SOURCE=CWN</stp>
        <stp>ACT_EST_MAPPING=PRECISE</stp>
        <stp>FS=MRC</stp>
        <stp>CURRENCY=USD</stp>
        <stp>XLFILL=b</stp>
        <tr r="X123" s="2"/>
      </tp>
      <tp t="s">
        <v>#N/A Requesting Data...</v>
        <stp/>
        <stp>##V3_BQLV12</stp>
        <stp>[MODL_NOW_US1.xlsx]Single Period!R123C40</stp>
        <stp>NOW US Equity</stp>
        <stp>TOTAL_OPERATING_EXPENSES_RATIO/1M</stp>
        <stp>FPR=2021Y</stp>
        <stp>FPT=A</stp>
        <stp>FA_ACT_EST_DATA=E, EST_SOURCE=DWI</stp>
        <stp>ACT_EST_MAPPING=PRECISE</stp>
        <stp>FS=MRC</stp>
        <stp>CURRENCY=USD</stp>
        <stp>XLFILL=b</stp>
        <tr r="AN123" s="2"/>
      </tp>
      <tp t="s">
        <v>#N/A Requesting Data...</v>
        <stp/>
        <stp>##V3_BQLV12</stp>
        <stp>[MODL_NOW_US1.xlsx]Single Period!R146C36</stp>
        <stp>NOW US Equity</stp>
        <stp>IS_AMORT_ACQD_INTANGIBLES_COGS/1M</stp>
        <stp>FPR=2021Y</stp>
        <stp>FPT=A</stp>
        <stp>FA_ACT_EST_DATA=E, EST_SOURCE=JEF</stp>
        <stp>ACT_EST_MAPPING=PRECISE</stp>
        <stp>FS=MRC</stp>
        <stp>CURRENCY=USD</stp>
        <stp>XLFILL=b</stp>
        <tr r="AJ146" s="2"/>
      </tp>
      <tp t="s">
        <v>#N/A Requesting Data...</v>
        <stp/>
        <stp>##V3_BQLV12</stp>
        <stp>[MODL_NOW_US1.xlsx]Single Period!R232C18</stp>
        <stp>NOW US Equity</stp>
        <stp>CF_CASH_AND_CASH_EQUIV_BEG_BAL/1M</stp>
        <stp>FPR=2021Y</stp>
        <stp>FPT=A</stp>
        <stp>FA_ACT_EST_DATA=E, EST_SOURCE=SNR</stp>
        <stp>ACT_EST_MAPPING=PRECISE</stp>
        <stp>FS=MRC</stp>
        <stp>CURRENCY=USD</stp>
        <stp>XLFILL=b</stp>
        <tr r="R232" s="2"/>
      </tp>
      <tp t="s">
        <v>#N/A Requesting Data...</v>
        <stp/>
        <stp>##V3_BQLV12</stp>
        <stp>[MODL_NOW_US1.xlsx]Single Period!R232C29</stp>
        <stp>NOW US Equity</stp>
        <stp>CF_CASH_AND_CASH_EQUIV_BEG_BAL/1M</stp>
        <stp>FPR=2021Y</stp>
        <stp>FPT=A</stp>
        <stp>FA_ACT_EST_DATA=E, EST_SOURCE=BNS</stp>
        <stp>ACT_EST_MAPPING=PRECISE</stp>
        <stp>FS=MRC</stp>
        <stp>CURRENCY=USD</stp>
        <stp>XLFILL=b</stp>
        <tr r="AC232" s="2"/>
      </tp>
      <tp t="s">
        <v>#N/A Requesting Data...</v>
        <stp/>
        <stp>##V3_BQLV12</stp>
        <stp>[MODL_NOW_US1.xlsx]Single Period!R80C7</stp>
        <stp>NOW US Equity</stp>
        <stp>CONTRIBUTOR_STATS(IS_COMP_SALES, MAX)/1M</stp>
        <stp>FPR=2021Y</stp>
        <stp>FPT=A</stp>
        <stp>FA_ACT_EST_DATA=E</stp>
        <stp>ACT_EST_MAPPING=PRECISE</stp>
        <stp>FS=MRC</stp>
        <stp>CURRENCY=USD</stp>
        <stp>XLFILL=b</stp>
        <tr r="G80" s="2"/>
      </tp>
      <tp t="s">
        <v>#N/A Requesting Data...</v>
        <stp/>
        <stp>##V3_BQLV12</stp>
        <stp>[MODL_NOW_US1.xlsx]Single Period!R126C34</stp>
        <stp>NOW US Equity</stp>
        <stp>IS_NON_OPERATING_INC_LOSS_GAAP/1M</stp>
        <stp>FPR=2021Y</stp>
        <stp>FPT=A</stp>
        <stp>FA_ACT_EST_DATA=E, EST_SOURCE=PSG</stp>
        <stp>ACT_EST_MAPPING=PRECISE</stp>
        <stp>FS=MRC</stp>
        <stp>CURRENCY=USD</stp>
        <stp>XLFILL=b</stp>
        <tr r="AH126" s="2"/>
      </tp>
      <tp t="s">
        <v>#N/A Requesting Data...</v>
        <stp/>
        <stp>##V3_BQLV12</stp>
        <stp>[MODL_NOW_US1.xlsx]Single Period!R146C13</stp>
        <stp>NOW US Equity</stp>
        <stp>IS_AMORT_ACQD_INTANGIBLES_COGS/1M</stp>
        <stp>FPR=2021Y</stp>
        <stp>FPT=A</stp>
        <stp>FA_ACT_EST_DATA=E, EST_SOURCE=KEY</stp>
        <stp>ACT_EST_MAPPING=PRECISE</stp>
        <stp>FS=MRC</stp>
        <stp>CURRENCY=USD</stp>
        <stp>XLFILL=b</stp>
        <tr r="M146" s="2"/>
      </tp>
      <tp t="s">
        <v>#N/A Requesting Data...</v>
        <stp/>
        <stp>##V3_BQLV12</stp>
        <stp>[MODL_NOW_US1.xlsx]Single Period!R10C34</stp>
        <stp>NOW US Equity</stp>
        <stp>BILLNG_AMOUNT_GROWTH_PCT</stp>
        <stp>FPR=2021Y</stp>
        <stp>FPT=A</stp>
        <stp>FA_ACT_EST_DATA=E, EST_SOURCE=PSG</stp>
        <stp>ACT_EST_MAPPING=PRECISE</stp>
        <stp>FS=MRC</stp>
        <stp>CURRENCY=USD</stp>
        <stp>XLFILL=b</stp>
        <tr r="AH10" s="2"/>
      </tp>
      <tp t="s">
        <v>#N/A Requesting Data...</v>
        <stp/>
        <stp>##V3_BQLV12</stp>
        <stp>[MODL_NOW_US1.xlsx]Single Period!R211C13</stp>
        <stp>NOW US Equity</stp>
        <stp>CF_CHG_IN_DEFER_UNEARND_REV_ST/1M</stp>
        <stp>FPR=2021Y</stp>
        <stp>FPT=A</stp>
        <stp>FA_ACT_EST_DATA=E, EST_SOURCE=KEY</stp>
        <stp>ACT_EST_MAPPING=PRECISE</stp>
        <stp>FS=MRC</stp>
        <stp>CURRENCY=USD</stp>
        <stp>XLFILL=b</stp>
        <tr r="M211" s="2"/>
      </tp>
      <tp t="s">
        <v>#N/A Requesting Data...</v>
        <stp/>
        <stp>##V3_BQLV12</stp>
        <stp>[MODL_NOW_US1.xlsx]Single Period!R195C15</stp>
        <stp>NOW US Equity</stp>
        <stp>CB_BS_DEFERRED_COST_LT/1M</stp>
        <stp>FPR=2021Y</stp>
        <stp>FPT=A</stp>
        <stp>FA_ACT_EST_DATA=E, EST_SOURCE=OPY</stp>
        <stp>ACT_EST_MAPPING=PRECISE</stp>
        <stp>FS=MRC</stp>
        <stp>CURRENCY=USD</stp>
        <stp>XLFILL=b</stp>
        <tr r="O195" s="2"/>
      </tp>
      <tp t="s">
        <v>#N/A Requesting Data...</v>
        <stp/>
        <stp>##V3_BQLV12</stp>
        <stp>[MODL_NOW_US1.xlsx]Single Period!R40C47</stp>
        <stp>NOW US Equity</stp>
        <stp>BILLNG_AMOUNT_GROWTH_PCT</stp>
        <stp>FPR=2021Y</stp>
        <stp>FPT=A</stp>
        <stp>FA_ACT_EST_DATA=E, EST_SOURCE=SUM</stp>
        <stp>ACT_EST_MAPPING=PRECISE</stp>
        <stp>FS=MRC</stp>
        <stp>CURRENCY=USD</stp>
        <stp>XLFILL=b</stp>
        <tr r="AU40" s="2"/>
      </tp>
      <tp t="s">
        <v>#N/A Requesting Data...</v>
        <stp/>
        <stp>##V3_BQLV12</stp>
        <stp>[MODL_NOW_US1.xlsx]Single Period!R10C40</stp>
        <stp>NOW US Equity</stp>
        <stp>BILLNG_AMOUNT_GROWTH_PCT</stp>
        <stp>FPR=2021Y</stp>
        <stp>FPT=A</stp>
        <stp>FA_ACT_EST_DATA=E, EST_SOURCE=DWI</stp>
        <stp>ACT_EST_MAPPING=PRECISE</stp>
        <stp>FS=MRC</stp>
        <stp>CURRENCY=USD</stp>
        <stp>XLFILL=b</stp>
        <tr r="AN10" s="2"/>
      </tp>
      <tp t="s">
        <v>#N/A Requesting Data...</v>
        <stp/>
        <stp>##V3_BQLV12</stp>
        <stp>[MODL_NOW_US1.xlsx]Single Period!R98C6</stp>
        <stp>NOW US Equity</stp>
        <stp>CONTRIBUTOR_STATS(CF_DEPR_AMORT, MIN)/1M</stp>
        <stp>FPR=2021Y</stp>
        <stp>FPT=A</stp>
        <stp>FA_ACT_EST_DATA=E</stp>
        <stp>ACT_EST_MAPPING=PRECISE</stp>
        <stp>FS=MRC</stp>
        <stp>CURRENCY=USD</stp>
        <stp>XLFILL=b</stp>
        <tr r="F98" s="2"/>
      </tp>
      <tp t="s">
        <v>#N/A Requesting Data...</v>
        <stp/>
        <stp>##V3_BQLV12</stp>
        <stp>[MODL_NOW_US1.xlsx]Single Period!R9C33</stp>
        <stp>NOW US Equity</stp>
        <stp>IS_BILLINGS/1M</stp>
        <stp>FPR=2021Y</stp>
        <stp>FPT=A</stp>
        <stp>FA_ACT_EST_DATA=E, EST_SOURCE=MAC</stp>
        <stp>ACT_EST_MAPPING=PRECISE</stp>
        <stp>FS=MRC</stp>
        <stp>CURRENCY=USD</stp>
        <stp>XLFILL=b</stp>
        <tr r="AG9" s="2"/>
      </tp>
      <tp t="s">
        <v>#N/A Requesting Data...</v>
        <stp/>
        <stp>##V3_BQLV12</stp>
        <stp>[MODL_NOW_US1.xlsx]Single Period!R142C31</stp>
        <stp>NOW US Equity</stp>
        <stp>IS_SBC_ATT_TO_S_AND_M_PRETX/1M</stp>
        <stp>FPR=2021Y</stp>
        <stp>FPT=A</stp>
        <stp>FA_ACT_EST_DATA=E, EST_SOURCE=GSR</stp>
        <stp>ACT_EST_MAPPING=PRECISE</stp>
        <stp>FS=MRC</stp>
        <stp>CURRENCY=USD</stp>
        <stp>XLFILL=b</stp>
        <tr r="AE142" s="2"/>
      </tp>
      <tp t="s">
        <v>#N/A Requesting Data...</v>
        <stp/>
        <stp>##V3_BQLV12</stp>
        <stp>[MODL_NOW_US1.xlsx]Single Period!R142C35</stp>
        <stp>NOW US Equity</stp>
        <stp>IS_SBC_ATT_TO_S_AND_M_PRETX/1M</stp>
        <stp>FPR=2021Y</stp>
        <stp>FPT=A</stp>
        <stp>FA_ACT_EST_DATA=E, EST_SOURCE=MSR</stp>
        <stp>ACT_EST_MAPPING=PRECISE</stp>
        <stp>FS=MRC</stp>
        <stp>CURRENCY=USD</stp>
        <stp>XLFILL=b</stp>
        <tr r="AI142" s="2"/>
      </tp>
      <tp t="s">
        <v>#N/A Requesting Data...</v>
        <stp/>
        <stp>##V3_BQLV12</stp>
        <stp>[MODL_NOW_US1.xlsx]Single Period!R40C8</stp>
        <stp>NOW US Equity</stp>
        <stp>CONTRIBUTOR_STATS(BILLNG_AMOUNT_GROWTH_PCT, STD)</stp>
        <stp>FPR=2021Y</stp>
        <stp>FPT=A</stp>
        <stp>FA_ACT_EST_DATA=E</stp>
        <stp>ACT_EST_MAPPING=PRECISE</stp>
        <stp>FS=MRC</stp>
        <stp>CURRENCY=USD</stp>
        <stp>XLFILL=b</stp>
        <tr r="H40" s="2"/>
      </tp>
      <tp t="s">
        <v>#N/A Requesting Data...</v>
        <stp/>
        <stp>##V3_BQLV12</stp>
        <stp>[MODL_NOW_US1.xlsx]Single Period!R184C29</stp>
        <stp>NOW US Equity</stp>
        <stp>BS_EQTY_BEFORE_MINORITY_INT/1M</stp>
        <stp>FPR=2021Y</stp>
        <stp>FPT=A</stp>
        <stp>FA_ACT_EST_DATA=E, EST_SOURCE=BNS</stp>
        <stp>ACT_EST_MAPPING=PRECISE</stp>
        <stp>FS=MRC</stp>
        <stp>CURRENCY=USD</stp>
        <stp>XLFILL=b</stp>
        <tr r="AC184" s="2"/>
      </tp>
      <tp t="s">
        <v>#N/A Requesting Data...</v>
        <stp/>
        <stp>##V3_BQLV12</stp>
        <stp>[MODL_NOW_US1.xlsx]Single Period!R139C48</stp>
        <stp>NOW US Equity</stp>
        <stp>IS_SBC_ATTRIB_TO_COGS_PRETX/1M</stp>
        <stp>FPR=2021Y</stp>
        <stp>FPT=A</stp>
        <stp>FA_ACT_EST_DATA=E, EST_SOURCE=CRC</stp>
        <stp>ACT_EST_MAPPING=PRECISE</stp>
        <stp>FS=MRC</stp>
        <stp>CURRENCY=USD</stp>
        <stp>XLFILL=b</stp>
        <tr r="AV139" s="2"/>
      </tp>
      <tp t="s">
        <v>#N/A Requesting Data...</v>
        <stp/>
        <stp>##V3_BQLV12</stp>
        <stp>[MODL_NOW_US1.xlsx]Single Period!R184C18</stp>
        <stp>NOW US Equity</stp>
        <stp>BS_EQTY_BEFORE_MINORITY_INT/1M</stp>
        <stp>FPR=2021Y</stp>
        <stp>FPT=A</stp>
        <stp>FA_ACT_EST_DATA=E, EST_SOURCE=SNR</stp>
        <stp>ACT_EST_MAPPING=PRECISE</stp>
        <stp>FS=MRC</stp>
        <stp>CURRENCY=USD</stp>
        <stp>XLFILL=b</stp>
        <tr r="R184" s="2"/>
      </tp>
      <tp t="s">
        <v>#N/A Requesting Data...</v>
        <stp/>
        <stp>##V3_BQLV12</stp>
        <stp>[MODL_NOW_US1.xlsx]Single Period!R189C34</stp>
        <stp>NOW US Equity</stp>
        <stp>CUR_RATIO</stp>
        <stp>FPR=2021Y</stp>
        <stp>FPT=A</stp>
        <stp>FA_ACT_EST_DATA=E, EST_SOURCE=PSG</stp>
        <stp>ACT_EST_MAPPING=PRECISE</stp>
        <stp>FS=MRC</stp>
        <stp>CURRENCY=USD</stp>
        <stp>XLFILL=b</stp>
        <tr r="AH189" s="2"/>
      </tp>
      <tp t="s">
        <v>#N/A Requesting Data...</v>
        <stp/>
        <stp>##V3_BQLV12</stp>
        <stp>[MODL_NOW_US1.xlsx]Single Period!R10C8</stp>
        <stp>NOW US Equity</stp>
        <stp>CONTRIBUTOR_STATS(BILLNG_AMOUNT_GROWTH_PCT, STD)</stp>
        <stp>FPR=2021Y</stp>
        <stp>FPT=A</stp>
        <stp>FA_ACT_EST_DATA=E</stp>
        <stp>ACT_EST_MAPPING=PRECISE</stp>
        <stp>FS=MRC</stp>
        <stp>CURRENCY=USD</stp>
        <stp>XLFILL=b</stp>
        <tr r="H10" s="2"/>
      </tp>
      <tp t="s">
        <v>#N/A Requesting Data...</v>
        <stp/>
        <stp>##V3_BQLV12</stp>
        <stp>[MODL_NOW_US1.xlsx]Single Period!R89C44</stp>
        <stp>NOW US Equity</stp>
        <stp>IS_REV_INCLUDING_INTERSEG_REV/1M</stp>
        <stp>FPR=2021Y</stp>
        <stp>FPT=A</stp>
        <stp>FA_ACT_EST_DATA=E, EST_SOURCE=ARE</stp>
        <stp>ACT_EST_MAPPING=PRECISE</stp>
        <stp>FS=MRC</stp>
        <stp>CURRENCY=USD</stp>
        <stp>XLFILL=b</stp>
        <tr r="AR89" s="2"/>
      </tp>
      <tp t="s">
        <v>#N/A Requesting Data...</v>
        <stp/>
        <stp>##V3_BQLV12</stp>
        <stp>[MODL_NOW_US1.xlsx]Single Period!R89C5</stp>
        <stp>NOW US Equity</stp>
        <stp>IS_REV_INCLUDING_INTERSEG_REV/1M</stp>
        <stp>FPR=2021Y</stp>
        <stp>FPT=A</stp>
        <stp>FA_ACT_EST_DATA=E</stp>
        <stp>ACT_EST_MAPPING=PRECISE</stp>
        <stp>FS=MRC</stp>
        <stp>CURRENCY=USD</stp>
        <stp>XLFILL=b</stp>
        <tr r="E89" s="2"/>
      </tp>
      <tp t="s">
        <v>#N/A Requesting Data...</v>
        <stp/>
        <stp>##V3_BQLV12</stp>
        <stp>[MODL_NOW_US1.xlsx]Single Period!R139C44</stp>
        <stp>NOW US Equity</stp>
        <stp>IS_SBC_ATTRIB_TO_COGS_PRETX/1M</stp>
        <stp>FPR=2021Y</stp>
        <stp>FPT=A</stp>
        <stp>FA_ACT_EST_DATA=E, EST_SOURCE=ARE</stp>
        <stp>ACT_EST_MAPPING=PRECISE</stp>
        <stp>FS=MRC</stp>
        <stp>CURRENCY=USD</stp>
        <stp>XLFILL=b</stp>
        <tr r="AR139" s="2"/>
      </tp>
      <tp t="s">
        <v>#N/A Requesting Data...</v>
        <stp/>
        <stp>##V3_BQLV12</stp>
        <stp>[MODL_NOW_US1.xlsx]Single Period!R142C19</stp>
        <stp>NOW US Equity</stp>
        <stp>IS_SBC_ATT_TO_S_AND_M_PRETX/1M</stp>
        <stp>FPR=2021Y</stp>
        <stp>FPT=A</stp>
        <stp>FA_ACT_EST_DATA=E, EST_SOURCE=MSV</stp>
        <stp>ACT_EST_MAPPING=PRECISE</stp>
        <stp>FS=MRC</stp>
        <stp>CURRENCY=USD</stp>
        <stp>XLFILL=b</stp>
        <tr r="S142" s="2"/>
      </tp>
      <tp t="s">
        <v>#N/A Requesting Data...</v>
        <stp/>
        <stp>##V3_BQLV12</stp>
        <stp>[MODL_NOW_US1.xlsx]Single Period!R139C41</stp>
        <stp>NOW US Equity</stp>
        <stp>IS_SBC_ATTRIB_TO_COGS_PRETX/1M</stp>
        <stp>FPR=2021Y</stp>
        <stp>FPT=A</stp>
        <stp>FA_ACT_EST_DATA=E, EST_SOURCE=ARG</stp>
        <stp>ACT_EST_MAPPING=PRECISE</stp>
        <stp>FS=MRC</stp>
        <stp>CURRENCY=USD</stp>
        <stp>XLFILL=b</stp>
        <tr r="AO139" s="2"/>
      </tp>
      <tp t="s">
        <v>#N/A Requesting Data...</v>
        <stp/>
        <stp>##V3_BQLV12</stp>
        <stp>[MODL_NOW_US1.xlsx]Single Period!R89C42</stp>
        <stp>NOW US Equity</stp>
        <stp>IS_REV_INCLUDING_INTERSEG_REV/1M</stp>
        <stp>FPR=2021Y</stp>
        <stp>FPT=A</stp>
        <stp>FA_ACT_EST_DATA=E, EST_SOURCE=CTI</stp>
        <stp>ACT_EST_MAPPING=PRECISE</stp>
        <stp>FS=MRC</stp>
        <stp>CURRENCY=USD</stp>
        <stp>XLFILL=b</stp>
        <tr r="AP89" s="2"/>
      </tp>
      <tp t="s">
        <v>#N/A Requesting Data...</v>
        <stp/>
        <stp>##V3_BQLV12</stp>
        <stp>[MODL_NOW_US1.xlsx]Single Period!R30C28</stp>
        <stp>NOW US Equity</stp>
        <stp>CF_FREE_CASH_FLOW_AS_REPORTED/1M</stp>
        <stp>FPR=2021Y</stp>
        <stp>FPT=A</stp>
        <stp>FA_ACT_EST_DATA=E, EST_SOURCE=EVR</stp>
        <stp>ACT_EST_MAPPING=PRECISE</stp>
        <stp>FS=MRC</stp>
        <stp>CURRENCY=USD</stp>
        <stp>XLFILL=b</stp>
        <tr r="AB30" s="2"/>
      </tp>
      <tp t="s">
        <v>#N/A Requesting Data...</v>
        <stp/>
        <stp>##V3_BQLV12</stp>
        <stp>[MODL_NOW_US1.xlsx]Single Period!R9C20</stp>
        <stp>NOW US Equity</stp>
        <stp>IS_BILLINGS/1M</stp>
        <stp>FPR=2021Y</stp>
        <stp>FPT=A</stp>
        <stp>FA_ACT_EST_DATA=E, EST_SOURCE=CAN</stp>
        <stp>ACT_EST_MAPPING=PRECISE</stp>
        <stp>FS=MRC</stp>
        <stp>CURRENCY=USD</stp>
        <stp>XLFILL=b</stp>
        <tr r="T9" s="2"/>
      </tp>
      <tp t="s">
        <v>#N/A Requesting Data...</v>
        <stp/>
        <stp>##V3_BQLV12</stp>
        <stp>[MODL_NOW_US1.xlsx]Single Period!R137C29</stp>
        <stp>NOW US Equity</stp>
        <stp>CF_STOCK_BASED_COMPENSATION/1M</stp>
        <stp>FPR=2021Y</stp>
        <stp>FPT=A</stp>
        <stp>FA_ACT_EST_DATA=E, EST_SOURCE=BNS</stp>
        <stp>ACT_EST_MAPPING=PRECISE</stp>
        <stp>FS=MRC</stp>
        <stp>CURRENCY=USD</stp>
        <stp>XLFILL=b</stp>
        <tr r="AC137" s="2"/>
      </tp>
      <tp t="s">
        <v>#N/A Requesting Data...</v>
        <stp/>
        <stp>##V3_BQLV12</stp>
        <stp>[MODL_NOW_US1.xlsx]Single Period!R9C30</stp>
        <stp>NOW US Equity</stp>
        <stp>IS_BILLINGS/1M</stp>
        <stp>FPR=2021Y</stp>
        <stp>FPT=A</stp>
        <stp>FA_ACT_EST_DATA=E, EST_SOURCE=BAM</stp>
        <stp>ACT_EST_MAPPING=PRECISE</stp>
        <stp>FS=MRC</stp>
        <stp>CURRENCY=USD</stp>
        <stp>XLFILL=b</stp>
        <tr r="AD9" s="2"/>
      </tp>
      <tp t="s">
        <v>#N/A Requesting Data...</v>
        <stp/>
        <stp>##V3_BQLV12</stp>
        <stp>[MODL_NOW_US1.xlsx]Single Period!R27C5</stp>
        <stp>NOW US Equity</stp>
        <stp>IS_REV_INCLUDING_INTERSEG_REV/1M</stp>
        <stp>FPR=2021Y</stp>
        <stp>FPT=A</stp>
        <stp>FA_ACT_EST_DATA=E</stp>
        <stp>ACT_EST_MAPPING=PRECISE</stp>
        <stp>FS=MRC</stp>
        <stp>CURRENCY=USD</stp>
        <stp>XLFILL=b</stp>
        <tr r="E27" s="2"/>
      </tp>
      <tp t="s">
        <v>#N/A Requesting Data...</v>
        <stp/>
        <stp>##V3_BQLV12</stp>
        <stp>[MODL_NOW_US1.xlsx]Single Period!R167C22</stp>
        <stp>NOW US Equity</stp>
        <stp>BS_GOODWILL/1M</stp>
        <stp>FPR=2021Y</stp>
        <stp>FPT=A</stp>
        <stp>FA_ACT_EST_DATA=E, EST_SOURCE=NDH</stp>
        <stp>ACT_EST_MAPPING=PRECISE</stp>
        <stp>FS=MRC</stp>
        <stp>CURRENCY=USD</stp>
        <stp>XLFILL=b</stp>
        <tr r="V167" s="2"/>
      </tp>
      <tp t="s">
        <v>#N/A Requesting Data...</v>
        <stp/>
        <stp>##V3_BQLV12</stp>
        <stp>[MODL_NOW_US1.xlsx]Single Period!R137C18</stp>
        <stp>NOW US Equity</stp>
        <stp>CF_STOCK_BASED_COMPENSATION/1M</stp>
        <stp>FPR=2021Y</stp>
        <stp>FPT=A</stp>
        <stp>FA_ACT_EST_DATA=E, EST_SOURCE=SNR</stp>
        <stp>ACT_EST_MAPPING=PRECISE</stp>
        <stp>FS=MRC</stp>
        <stp>CURRENCY=USD</stp>
        <stp>XLFILL=b</stp>
        <tr r="R137" s="2"/>
      </tp>
      <tp t="s">
        <v>#N/A Requesting Data...</v>
        <stp/>
        <stp>##V3_BQLV12</stp>
        <stp>[MODL_NOW_US1.xlsx]Single Period!R89C35</stp>
        <stp>NOW US Equity</stp>
        <stp>IS_REV_INCLUDING_INTERSEG_REV/1M</stp>
        <stp>FPR=2021Y</stp>
        <stp>FPT=A</stp>
        <stp>FA_ACT_EST_DATA=E, EST_SOURCE=MSR</stp>
        <stp>ACT_EST_MAPPING=PRECISE</stp>
        <stp>FS=MRC</stp>
        <stp>CURRENCY=USD</stp>
        <stp>XLFILL=b</stp>
        <tr r="AI89" s="2"/>
      </tp>
      <tp t="s">
        <v>#N/A Requesting Data...</v>
        <stp/>
        <stp>##V3_BQLV12</stp>
        <stp>[MODL_NOW_US1.xlsx]Single Period!R189C19</stp>
        <stp>NOW US Equity</stp>
        <stp>CUR_RATIO</stp>
        <stp>FPR=2021Y</stp>
        <stp>FPT=A</stp>
        <stp>FA_ACT_EST_DATA=E, EST_SOURCE=MSV</stp>
        <stp>ACT_EST_MAPPING=PRECISE</stp>
        <stp>FS=MRC</stp>
        <stp>CURRENCY=USD</stp>
        <stp>XLFILL=b</stp>
        <tr r="S189" s="2"/>
      </tp>
      <tp t="s">
        <v>#N/A Requesting Data...</v>
        <stp/>
        <stp>##V3_BQLV12</stp>
        <stp>[MODL_NOW_US1.xlsx]Single Period!R142C34</stp>
        <stp>NOW US Equity</stp>
        <stp>IS_SBC_ATT_TO_S_AND_M_PRETX/1M</stp>
        <stp>FPR=2021Y</stp>
        <stp>FPT=A</stp>
        <stp>FA_ACT_EST_DATA=E, EST_SOURCE=PSG</stp>
        <stp>ACT_EST_MAPPING=PRECISE</stp>
        <stp>FS=MRC</stp>
        <stp>CURRENCY=USD</stp>
        <stp>XLFILL=b</stp>
        <tr r="AH142" s="2"/>
      </tp>
      <tp t="s">
        <v>#N/A Requesting Data...</v>
        <stp/>
        <stp>##V3_BQLV12</stp>
        <stp>[MODL_NOW_US1.xlsx]Single Period!R189C31</stp>
        <stp>NOW US Equity</stp>
        <stp>CUR_RATIO</stp>
        <stp>FPR=2021Y</stp>
        <stp>FPT=A</stp>
        <stp>FA_ACT_EST_DATA=E, EST_SOURCE=GSR</stp>
        <stp>ACT_EST_MAPPING=PRECISE</stp>
        <stp>FS=MRC</stp>
        <stp>CURRENCY=USD</stp>
        <stp>XLFILL=b</stp>
        <tr r="AE189" s="2"/>
      </tp>
      <tp t="s">
        <v>#N/A Requesting Data...</v>
        <stp/>
        <stp>##V3_BQLV12</stp>
        <stp>[MODL_NOW_US1.xlsx]Single Period!R189C35</stp>
        <stp>NOW US Equity</stp>
        <stp>CUR_RATIO</stp>
        <stp>FPR=2021Y</stp>
        <stp>FPT=A</stp>
        <stp>FA_ACT_EST_DATA=E, EST_SOURCE=MSR</stp>
        <stp>ACT_EST_MAPPING=PRECISE</stp>
        <stp>FS=MRC</stp>
        <stp>CURRENCY=USD</stp>
        <stp>XLFILL=b</stp>
        <tr r="AI189" s="2"/>
      </tp>
      <tp t="s">
        <v>#N/A Requesting Data...</v>
        <stp/>
        <stp>##V3_BQLV12</stp>
        <stp>[MODL_NOW_US1.xlsx]Single Period!R27C46</stp>
        <stp>NOW US Equity</stp>
        <stp>IS_REV_INCLUDING_INTERSEG_REV/1M</stp>
        <stp>FPR=2021Y</stp>
        <stp>FPT=A</stp>
        <stp>FA_ACT_EST_DATA=E, EST_SOURCE=MZS</stp>
        <stp>ACT_EST_MAPPING=PRECISE</stp>
        <stp>FS=MRC</stp>
        <stp>CURRENCY=USD</stp>
        <stp>XLFILL=b</stp>
        <tr r="AT27" s="2"/>
      </tp>
      <tp t="s">
        <v>#N/A Requesting Data...</v>
        <stp/>
        <stp>##V3_BQLV12</stp>
        <stp>[MODL_NOW_US1.xlsx]Single Period!R98C14</stp>
        <stp>NOW US Equity</stp>
        <stp>CF_DEPR_AMORT/1M</stp>
        <stp>FPR=2021Y</stp>
        <stp>FPT=A</stp>
        <stp>FA_ACT_EST_DATA=E, EST_SOURCE=BMO</stp>
        <stp>ACT_EST_MAPPING=PRECISE</stp>
        <stp>FS=MRC</stp>
        <stp>CURRENCY=USD</stp>
        <stp>XLFILL=b</stp>
        <tr r="N98" s="2"/>
      </tp>
      <tp t="s">
        <v>#N/A Requesting Data...</v>
        <stp/>
        <stp>##V3_BQLV12</stp>
        <stp>[MODL_NOW_US1.xlsx]Single Period!R92C28</stp>
        <stp>NOW US Equity</stp>
        <stp>IS_ADJ_GENL_AND_ADMIN_EXPN_AR/1M</stp>
        <stp>FPR=2021Y</stp>
        <stp>FPT=A</stp>
        <stp>FA_ACT_EST_DATA=E, EST_SOURCE=EVR</stp>
        <stp>ACT_EST_MAPPING=PRECISE</stp>
        <stp>FS=MRC</stp>
        <stp>CURRENCY=USD</stp>
        <stp>XLFILL=b</stp>
        <tr r="AB92" s="2"/>
      </tp>
      <tp t="s">
        <v>#N/A Requesting Data...</v>
        <stp/>
        <stp>##V3_BQLV12</stp>
        <stp>[MODL_NOW_US1.xlsx]Single Period!R77C12</stp>
        <stp>SEG0000230969 Segment</stp>
        <stp>SALES_REV_TURN/1M</stp>
        <stp>FPR=2021Y</stp>
        <stp>FPT=A</stp>
        <stp>FA_ACT_EST_DATA=E, EST_SOURCE=WBL</stp>
        <stp>ACT_EST_MAPPING=PRECISE</stp>
        <stp>FS=MRC</stp>
        <stp>CURRENCY=USD</stp>
        <stp>XLFILL=b</stp>
        <tr r="L77" s="2"/>
      </tp>
      <tp t="s">
        <v>#N/A Requesting Data...</v>
        <stp/>
        <stp>##V3_BQLV12</stp>
        <stp>[MODL_NOW_US1.xlsx]Single Period!R131C30</stp>
        <stp>NOW US Equity</stp>
        <stp>IS_AVG_NUM_SH_FOR_EPS/1M</stp>
        <stp>FPR=2021Y</stp>
        <stp>FPT=A</stp>
        <stp>FA_ACT_EST_DATA=E, EST_SOURCE=BAM</stp>
        <stp>ACT_EST_MAPPING=PRECISE</stp>
        <stp>FS=MRC</stp>
        <stp>CURRENCY=USD</stp>
        <stp>XLFILL=b</stp>
        <tr r="AD131" s="2"/>
      </tp>
      <tp t="s">
        <v>#N/A Requesting Data...</v>
        <stp/>
        <stp>##V3_BQLV12</stp>
        <stp>[MODL_NOW_US1.xlsx]Single Period!R200C47</stp>
        <stp>NOW US Equity</stp>
        <stp>CF_DEPR_AMORT/1M</stp>
        <stp>FPR=2021Y</stp>
        <stp>FPT=A</stp>
        <stp>FA_ACT_EST_DATA=E, EST_SOURCE=SUM</stp>
        <stp>ACT_EST_MAPPING=PRECISE</stp>
        <stp>FS=MRC</stp>
        <stp>CURRENCY=USD</stp>
        <stp>XLFILL=b</stp>
        <tr r="AU200" s="2"/>
      </tp>
      <tp t="s">
        <v>#N/A Requesting Data...</v>
        <stp/>
        <stp>##V3_BQLV12</stp>
        <stp>[MODL_NOW_US1.xlsx]Single Period!R131C20</stp>
        <stp>NOW US Equity</stp>
        <stp>IS_AVG_NUM_SH_FOR_EPS/1M</stp>
        <stp>FPR=2021Y</stp>
        <stp>FPT=A</stp>
        <stp>FA_ACT_EST_DATA=E, EST_SOURCE=CAN</stp>
        <stp>ACT_EST_MAPPING=PRECISE</stp>
        <stp>FS=MRC</stp>
        <stp>CURRENCY=USD</stp>
        <stp>XLFILL=b</stp>
        <tr r="T131" s="2"/>
      </tp>
      <tp t="s">
        <v>#N/A Requesting Data...</v>
        <stp/>
        <stp>##V3_BQLV12</stp>
        <stp>[MODL_NOW_US1.xlsx]Single Period!R133C49</stp>
        <stp>NOW US Equity</stp>
        <stp>IS_SH_FOR_DILUTED_EPS/1M</stp>
        <stp>FPR=2021Y</stp>
        <stp>FPT=A</stp>
        <stp>FA_ACT_EST_DATA=E, EST_SOURCE=SCB</stp>
        <stp>ACT_EST_MAPPING=PRECISE</stp>
        <stp>FS=MRC</stp>
        <stp>CURRENCY=USD</stp>
        <stp>XLFILL=b</stp>
        <tr r="AW133" s="2"/>
      </tp>
      <tp t="s">
        <v>#N/A Requesting Data...</v>
        <stp/>
        <stp>##V3_BQLV12</stp>
        <stp>[MODL_NOW_US1.xlsx]Single Period!R101C35</stp>
        <stp>NOW US Equity</stp>
        <stp>CB_IS_OTHER_NON_OPER_INC_EXPN/1M</stp>
        <stp>FPR=2021Y</stp>
        <stp>FPT=A</stp>
        <stp>FA_ACT_EST_DATA=E, EST_SOURCE=MSR</stp>
        <stp>ACT_EST_MAPPING=PRECISE</stp>
        <stp>FS=MRC</stp>
        <stp>CURRENCY=USD</stp>
        <stp>XLFILL=b</stp>
        <tr r="AI101" s="2"/>
      </tp>
      <tp t="s">
        <v>#N/A Requesting Data...</v>
        <stp/>
        <stp>##V3_BQLV12</stp>
        <stp>[MODL_NOW_US1.xlsx]Single Period!R77C25</stp>
        <stp>SEG0000230969 Segment</stp>
        <stp>SALES_REV_TURN/1M</stp>
        <stp>FPR=2021Y</stp>
        <stp>FPT=A</stp>
        <stp>FA_ACT_EST_DATA=E, EST_SOURCE=DBG</stp>
        <stp>ACT_EST_MAPPING=PRECISE</stp>
        <stp>FS=MRC</stp>
        <stp>CURRENCY=USD</stp>
        <stp>XLFILL=b</stp>
        <tr r="Y77" s="2"/>
      </tp>
      <tp t="s">
        <v>#N/A Requesting Data...</v>
        <stp/>
        <stp>##V3_BQLV12</stp>
        <stp>[MODL_NOW_US1.xlsx]Single Period!R99C26</stp>
        <stp>NOW US Equity</stp>
        <stp>IS_COMPARABLE_EBITDA/1M</stp>
        <stp>FPR=2021Y</stp>
        <stp>FPT=A</stp>
        <stp>FA_ACT_EST_DATA=E, EST_SOURCE=UBS</stp>
        <stp>ACT_EST_MAPPING=PRECISE</stp>
        <stp>FS=MRC</stp>
        <stp>CURRENCY=USD</stp>
        <stp>XLFILL=b</stp>
        <tr r="Z99" s="2"/>
      </tp>
      <tp t="s">
        <v>#N/A Requesting Data...</v>
        <stp/>
        <stp>##V3_BQLV12</stp>
        <stp>[MODL_NOW_US1.xlsx]Single Period!R143C39</stp>
        <stp>NOW US Equity</stp>
        <stp>IS_SBC_ATTRIBUTABLE_TO_R_AND_D_PRETX/1M</stp>
        <stp>FPR=2021Y</stp>
        <stp>FPT=A</stp>
        <stp>FA_ACT_EST_DATA=E, EST_SOURCE=DZB</stp>
        <stp>ACT_EST_MAPPING=PRECISE</stp>
        <stp>FS=MRC</stp>
        <stp>CURRENCY=USD</stp>
        <stp>XLFILL=b</stp>
        <tr r="AM143" s="2"/>
      </tp>
      <tp t="s">
        <v>#N/A Requesting Data...</v>
        <stp/>
        <stp>##V3_BQLV12</stp>
        <stp>[MODL_NOW_US1.xlsx]Single Period!R69C47</stp>
        <stp>SEG0000230986 Segment</stp>
        <stp>IS_ADJ_GROSS_PROFIT_AS_REPORTED/1M</stp>
        <stp>FPR=2021Y</stp>
        <stp>FPT=A</stp>
        <stp>FA_ACT_EST_DATA=E, EST_SOURCE=SUM</stp>
        <stp>ACT_EST_MAPPING=PRECISE</stp>
        <stp>FS=MRC</stp>
        <stp>CURRENCY=USD</stp>
        <stp>XLFILL=b</stp>
        <tr r="AU69" s="2"/>
      </tp>
      <tp t="s">
        <v>#N/A Requesting Data...</v>
        <stp/>
        <stp>##V3_BQLV12</stp>
        <stp>[MODL_NOW_US1.xlsx]Single Period!R77C27</stp>
        <stp>SEG0000230969 Segment</stp>
        <stp>SALES_REV_TURN/1M</stp>
        <stp>FPR=2021Y</stp>
        <stp>FPT=A</stp>
        <stp>FA_ACT_EST_DATA=E, EST_SOURCE=RBC</stp>
        <stp>ACT_EST_MAPPING=PRECISE</stp>
        <stp>FS=MRC</stp>
        <stp>CURRENCY=USD</stp>
        <stp>XLFILL=b</stp>
        <tr r="AA77" s="2"/>
      </tp>
      <tp t="s">
        <v>#N/A Requesting Data...</v>
        <stp/>
        <stp>##V3_BQLV12</stp>
        <stp>[MODL_NOW_US1.xlsx]Single Period!R77C32</stp>
        <stp>SEG0000230969 Segment</stp>
        <stp>SALES_REV_TURN/1M</stp>
        <stp>FPR=2021Y</stp>
        <stp>FPT=A</stp>
        <stp>FA_ACT_EST_DATA=E, EST_SOURCE=FBC</stp>
        <stp>ACT_EST_MAPPING=PRECISE</stp>
        <stp>FS=MRC</stp>
        <stp>CURRENCY=USD</stp>
        <stp>XLFILL=b</stp>
        <tr r="AF77" s="2"/>
      </tp>
      <tp t="s">
        <v>#N/A Requesting Data...</v>
        <stp/>
        <stp>##V3_BQLV12</stp>
        <stp>[MODL_NOW_US1.xlsx]Single Period!R16C49</stp>
        <stp>SEG0000230969 Segment</stp>
        <stp>SALES_REV_TURN/1M</stp>
        <stp>FPR=2021Y</stp>
        <stp>FPT=A</stp>
        <stp>FA_ACT_EST_DATA=E, EST_SOURCE=SCB</stp>
        <stp>ACT_EST_MAPPING=PRECISE</stp>
        <stp>FS=MRC</stp>
        <stp>CURRENCY=USD</stp>
        <stp>XLFILL=b</stp>
        <tr r="AW16" s="2"/>
      </tp>
      <tp t="s">
        <v>#N/A Requesting Data...</v>
        <stp/>
        <stp>##V3_BQLV12</stp>
        <stp>[MODL_NOW_US1.xlsx]Single Period!R16C16</stp>
        <stp>SEG0000230969 Segment</stp>
        <stp>SALES_REV_TURN/1M</stp>
        <stp>FPR=2021Y</stp>
        <stp>FPT=A</stp>
        <stp>FA_ACT_EST_DATA=E, EST_SOURCE=BCA</stp>
        <stp>ACT_EST_MAPPING=PRECISE</stp>
        <stp>FS=MRC</stp>
        <stp>CURRENCY=USD</stp>
        <stp>XLFILL=b</stp>
        <tr r="P16" s="2"/>
      </tp>
      <tp t="s">
        <v>#N/A Requesting Data...</v>
        <stp/>
        <stp>##V3_BQLV12</stp>
        <stp>[MODL_NOW_US1.xlsx]Single Period!R66C14</stp>
        <stp>SEG0000230986 Segment</stp>
        <stp>SALES_REV_TURN/1M</stp>
        <stp>FPR=2021Y</stp>
        <stp>FPT=A</stp>
        <stp>FA_ACT_EST_DATA=E, EST_SOURCE=BMO</stp>
        <stp>ACT_EST_MAPPING=PRECISE</stp>
        <stp>FS=MRC</stp>
        <stp>CURRENCY=USD</stp>
        <stp>XLFILL=b</stp>
        <tr r="N66" s="2"/>
      </tp>
      <tp t="s">
        <v>#N/A Requesting Data...</v>
        <stp/>
        <stp>##V3_BQLV12</stp>
        <stp>[MODL_NOW_US1.xlsx]Single Period!R140C5</stp>
        <stp>SEG0000230975 Segment</stp>
        <stp>IS_SBC_ATTRIB_TO_COGS_PRETX/1M</stp>
        <stp>FPR=2021Y</stp>
        <stp>FPT=A</stp>
        <stp>FA_ACT_EST_DATA=E</stp>
        <stp>ACT_EST_MAPPING=PRECISE</stp>
        <stp>FS=MRC</stp>
        <stp>CURRENCY=USD</stp>
        <stp>XLFILL=b</stp>
        <tr r="E140" s="2"/>
      </tp>
      <tp t="s">
        <v>#N/A Requesting Data...</v>
        <stp/>
        <stp>##V3_BQLV12</stp>
        <stp>[MODL_NOW_US1.xlsx]Single Period!R66C21</stp>
        <stp>SEG0000230986 Segment</stp>
        <stp>SALES_REV_TURN/1M</stp>
        <stp>FPR=2021Y</stp>
        <stp>FPT=A</stp>
        <stp>FA_ACT_EST_DATA=E, EST_SOURCE=JMP</stp>
        <stp>ACT_EST_MAPPING=PRECISE</stp>
        <stp>FS=MRC</stp>
        <stp>CURRENCY=USD</stp>
        <stp>XLFILL=b</stp>
        <tr r="U66" s="2"/>
      </tp>
      <tp t="s">
        <v>#N/A Requesting Data...</v>
        <stp/>
        <stp>##V3_BQLV12</stp>
        <stp>[MODL_NOW_US1.xlsx]Single Period!R83C21</stp>
        <stp>NOW US Equity</stp>
        <stp>IS_ADJUSTED_COGS_AS_REPORTED/1M</stp>
        <stp>FPR=2021Y</stp>
        <stp>FPT=A</stp>
        <stp>FA_ACT_EST_DATA=E, EST_SOURCE=JMP</stp>
        <stp>ACT_EST_MAPPING=PRECISE</stp>
        <stp>FS=MRC</stp>
        <stp>CURRENCY=USD</stp>
        <stp>XLFILL=b</stp>
        <tr r="U83" s="2"/>
      </tp>
      <tp t="s">
        <v>#N/A Requesting Data...</v>
        <stp/>
        <stp>##V3_BQLV12</stp>
        <stp>[MODL_NOW_US1.xlsx]Single Period!R61C28</stp>
        <stp>SEG0000230975 Segment</stp>
        <stp>IS_ADJ_GROSS_PROFIT_AS_REPORTED/1M</stp>
        <stp>FPR=2021Y</stp>
        <stp>FPT=A</stp>
        <stp>FA_ACT_EST_DATA=E, EST_SOURCE=EVR</stp>
        <stp>ACT_EST_MAPPING=PRECISE</stp>
        <stp>FS=MRC</stp>
        <stp>CURRENCY=USD</stp>
        <stp>XLFILL=b</stp>
        <tr r="AB61" s="2"/>
      </tp>
      <tp t="s">
        <v>#N/A Requesting Data...</v>
        <stp/>
        <stp>##V3_BQLV12</stp>
        <stp>[MODL_NOW_US1.xlsx]Single Period!R101C42</stp>
        <stp>NOW US Equity</stp>
        <stp>CB_IS_OTHER_NON_OPER_INC_EXPN/1M</stp>
        <stp>FPR=2021Y</stp>
        <stp>FPT=A</stp>
        <stp>FA_ACT_EST_DATA=E, EST_SOURCE=CTI</stp>
        <stp>ACT_EST_MAPPING=PRECISE</stp>
        <stp>FS=MRC</stp>
        <stp>CURRENCY=USD</stp>
        <stp>XLFILL=b</stp>
        <tr r="AP101" s="2"/>
      </tp>
      <tp t="s">
        <v>#N/A Requesting Data...</v>
        <stp/>
        <stp>##V3_BQLV12</stp>
        <stp>[MODL_NOW_US1.xlsx]Single Period!R54C18</stp>
        <stp>NOW US Equity</stp>
        <stp>IS_FOREIGN_CURRENCY_TURNOVER/1M</stp>
        <stp>FPR=2021Y</stp>
        <stp>FPT=A</stp>
        <stp>FA_ACT_EST_DATA=E, EST_SOURCE=SNR</stp>
        <stp>ACT_EST_MAPPING=PRECISE</stp>
        <stp>FS=MRC</stp>
        <stp>CURRENCY=USD</stp>
        <stp>XLFILL=b</stp>
        <tr r="R54" s="2"/>
      </tp>
      <tp t="s">
        <v>#N/A Requesting Data...</v>
        <stp/>
        <stp>##V3_BQLV12</stp>
        <stp>[MODL_NOW_US1.xlsx]Single Period!R54C21</stp>
        <stp>NOW US Equity</stp>
        <stp>IS_FOREIGN_CURRENCY_TURNOVER/1M</stp>
        <stp>FPR=2021Y</stp>
        <stp>FPT=A</stp>
        <stp>FA_ACT_EST_DATA=E, EST_SOURCE=JMP</stp>
        <stp>ACT_EST_MAPPING=PRECISE</stp>
        <stp>FS=MRC</stp>
        <stp>CURRENCY=USD</stp>
        <stp>XLFILL=b</stp>
        <tr r="U54" s="2"/>
      </tp>
      <tp t="s">
        <v>#N/A Requesting Data...</v>
        <stp/>
        <stp>##V3_BQLV12</stp>
        <stp>[MODL_NOW_US1.xlsx]Single Period!R99C27</stp>
        <stp>NOW US Equity</stp>
        <stp>IS_COMPARABLE_EBITDA/1M</stp>
        <stp>FPR=2021Y</stp>
        <stp>FPT=A</stp>
        <stp>FA_ACT_EST_DATA=E, EST_SOURCE=RBC</stp>
        <stp>ACT_EST_MAPPING=PRECISE</stp>
        <stp>FS=MRC</stp>
        <stp>CURRENCY=USD</stp>
        <stp>XLFILL=b</stp>
        <tr r="AA99" s="2"/>
      </tp>
      <tp t="s">
        <v>#N/A Requesting Data...</v>
        <stp/>
        <stp>##V3_BQLV12</stp>
        <stp>[MODL_NOW_US1.xlsx]Single Period!R169C49</stp>
        <stp>NOW US Equity</stp>
        <stp>CB_BS_OTHER_NONCURRENT_ASSETS/1M</stp>
        <stp>FPR=2021Y</stp>
        <stp>FPT=A</stp>
        <stp>FA_ACT_EST_DATA=E, EST_SOURCE=SCB</stp>
        <stp>ACT_EST_MAPPING=PRECISE</stp>
        <stp>FS=MRC</stp>
        <stp>CURRENCY=USD</stp>
        <stp>XLFILL=b</stp>
        <tr r="AW169" s="2"/>
      </tp>
      <tp t="s">
        <v>#N/A Requesting Data...</v>
        <stp/>
        <stp>##V3_BQLV12</stp>
        <stp>[MODL_NOW_US1.xlsx]Single Period!R200C31</stp>
        <stp>NOW US Equity</stp>
        <stp>CF_DEPR_AMORT/1M</stp>
        <stp>FPR=2021Y</stp>
        <stp>FPT=A</stp>
        <stp>FA_ACT_EST_DATA=E, EST_SOURCE=GSR</stp>
        <stp>ACT_EST_MAPPING=PRECISE</stp>
        <stp>FS=MRC</stp>
        <stp>CURRENCY=USD</stp>
        <stp>XLFILL=b</stp>
        <tr r="AE200" s="2"/>
      </tp>
      <tp t="s">
        <v>#N/A Requesting Data...</v>
        <stp/>
        <stp>##V3_BQLV12</stp>
        <stp>[MODL_NOW_US1.xlsx]Single Period!R83C18</stp>
        <stp>NOW US Equity</stp>
        <stp>IS_ADJUSTED_COGS_AS_REPORTED/1M</stp>
        <stp>FPR=2021Y</stp>
        <stp>FPT=A</stp>
        <stp>FA_ACT_EST_DATA=E, EST_SOURCE=SNR</stp>
        <stp>ACT_EST_MAPPING=PRECISE</stp>
        <stp>FS=MRC</stp>
        <stp>CURRENCY=USD</stp>
        <stp>XLFILL=b</stp>
        <tr r="R83" s="2"/>
      </tp>
      <tp t="s">
        <v>#N/A Requesting Data...</v>
        <stp/>
        <stp>##V3_BQLV12</stp>
        <stp>[MODL_NOW_US1.xlsx]Single Period!R126C5</stp>
        <stp>NOW US Equity</stp>
        <stp>IS_NON_OPERATING_INC_LOSS_GAAP/1M</stp>
        <stp>FPR=2021Y</stp>
        <stp>FPT=A</stp>
        <stp>FA_ACT_EST_DATA=E</stp>
        <stp>ACT_EST_MAPPING=PRECISE</stp>
        <stp>FS=MRC</stp>
        <stp>CURRENCY=USD</stp>
        <stp>XLFILL=b</stp>
        <tr r="E126" s="2"/>
      </tp>
      <tp t="s">
        <v>#N/A Requesting Data...</v>
        <stp/>
        <stp>##V3_BQLV12</stp>
        <stp>[MODL_NOW_US1.xlsx]Single Period!R77C26</stp>
        <stp>SEG0000230969 Segment</stp>
        <stp>SALES_REV_TURN/1M</stp>
        <stp>FPR=2021Y</stp>
        <stp>FPT=A</stp>
        <stp>FA_ACT_EST_DATA=E, EST_SOURCE=UBS</stp>
        <stp>ACT_EST_MAPPING=PRECISE</stp>
        <stp>FS=MRC</stp>
        <stp>CURRENCY=USD</stp>
        <stp>XLFILL=b</stp>
        <tr r="Z77" s="2"/>
      </tp>
      <tp t="s">
        <v>#N/A Requesting Data...</v>
        <stp/>
        <stp>##V3_BQLV12</stp>
        <stp>[MODL_NOW_US1.xlsx]Single Period!R235C21</stp>
        <stp>NOW US Equity</stp>
        <stp>CF_FREE_CASH_FLOW_AS_REPORTED/1M</stp>
        <stp>FPR=2021Y</stp>
        <stp>FPT=A</stp>
        <stp>FA_ACT_EST_DATA=E, EST_SOURCE=JMP</stp>
        <stp>ACT_EST_MAPPING=PRECISE</stp>
        <stp>FS=MRC</stp>
        <stp>CURRENCY=USD</stp>
        <stp>XLFILL=b</stp>
        <tr r="U235" s="2"/>
      </tp>
      <tp t="s">
        <v>#N/A Requesting Data...</v>
        <stp/>
        <stp>##V3_BQLV12</stp>
        <stp>[MODL_NOW_US1.xlsx]Single Period!R99C25</stp>
        <stp>NOW US Equity</stp>
        <stp>IS_COMPARABLE_EBITDA/1M</stp>
        <stp>FPR=2021Y</stp>
        <stp>FPT=A</stp>
        <stp>FA_ACT_EST_DATA=E, EST_SOURCE=DBG</stp>
        <stp>ACT_EST_MAPPING=PRECISE</stp>
        <stp>FS=MRC</stp>
        <stp>CURRENCY=USD</stp>
        <stp>XLFILL=b</stp>
        <tr r="Y99" s="2"/>
      </tp>
      <tp t="s">
        <v>#N/A Requesting Data...</v>
        <stp/>
        <stp>##V3_BQLV12</stp>
        <stp>[MODL_NOW_US1.xlsx]Single Period!R119C14</stp>
        <stp>NOW US Equity</stp>
        <stp>CB_IS_S_AND_M_EXPENSE/1M</stp>
        <stp>FPR=2021Y</stp>
        <stp>FPT=A</stp>
        <stp>FA_ACT_EST_DATA=E, EST_SOURCE=BMO</stp>
        <stp>ACT_EST_MAPPING=PRECISE</stp>
        <stp>FS=MRC</stp>
        <stp>CURRENCY=USD</stp>
        <stp>XLFILL=b</stp>
        <tr r="N119" s="2"/>
      </tp>
      <tp t="s">
        <v>#N/A Requesting Data...</v>
        <stp/>
        <stp>##V3_BQLV12</stp>
        <stp>[MODL_NOW_US1.xlsx]Single Period!R101C44</stp>
        <stp>NOW US Equity</stp>
        <stp>CB_IS_OTHER_NON_OPER_INC_EXPN/1M</stp>
        <stp>FPR=2021Y</stp>
        <stp>FPT=A</stp>
        <stp>FA_ACT_EST_DATA=E, EST_SOURCE=ARE</stp>
        <stp>ACT_EST_MAPPING=PRECISE</stp>
        <stp>FS=MRC</stp>
        <stp>CURRENCY=USD</stp>
        <stp>XLFILL=b</stp>
        <tr r="AR101" s="2"/>
      </tp>
      <tp t="s">
        <v>#N/A Requesting Data...</v>
        <stp/>
        <stp>##V3_BQLV12</stp>
        <stp>[MODL_NOW_US1.xlsx]Single Period!R134C43</stp>
        <stp>NOW US Equity</stp>
        <stp>IS_COMP_EPS_GAAP</stp>
        <stp>FPR=2021Y</stp>
        <stp>FPT=A</stp>
        <stp>FA_ACT_EST_DATA=E, EST_SOURCE=WFT</stp>
        <stp>ACT_EST_MAPPING=PRECISE</stp>
        <stp>FS=MRC</stp>
        <stp>CURRENCY=USD</stp>
        <stp>XLFILL=b</stp>
        <tr r="AQ134" s="2"/>
      </tp>
      <tp t="s">
        <v>#N/A Requesting Data...</v>
        <stp/>
        <stp>##V3_BQLV12</stp>
        <stp>[MODL_NOW_US1.xlsx]Single Period!R211C10</stp>
        <stp>NOW US Equity</stp>
        <stp>CF_CHG_IN_DEFER_UNEARND_REV_ST/1M</stp>
        <stp>FPR=2021Y</stp>
        <stp>FPT=A</stp>
        <stp>FA_ACT_EST_DATA=E, EST_SOURCE=CMPY</stp>
        <stp>ACT_EST_MAPPING=PRECISE</stp>
        <stp>FS=MRC</stp>
        <stp>CURRENCY=USD</stp>
        <stp>XLFILL=b</stp>
        <tr r="J211" s="2"/>
      </tp>
      <tp t="s">
        <v>#N/A Requesting Data...</v>
        <stp/>
        <stp>##V3_BQLV12</stp>
        <stp>[MODL_NOW_US1.xlsx]Single Period!R85C26</stp>
        <stp>NOW US Equity</stp>
        <stp>IS_COMP_GROSS_MARGIN_PERCENTAGE</stp>
        <stp>FPR=2021Y</stp>
        <stp>FPT=A</stp>
        <stp>FA_ACT_EST_DATA=E, EST_SOURCE=UBS</stp>
        <stp>ACT_EST_MAPPING=PRECISE</stp>
        <stp>FS=MRC</stp>
        <stp>CURRENCY=USD</stp>
        <stp>XLFILL=b</stp>
        <tr r="Z85" s="2"/>
      </tp>
      <tp t="s">
        <v>#N/A Requesting Data...</v>
        <stp/>
        <stp>##V3_BQLV12</stp>
        <stp>[MODL_NOW_US1.xlsx]Single Period!R25C26</stp>
        <stp>NOW US Equity</stp>
        <stp>IS_COMP_GROSS_MARGIN_PERCENTAGE</stp>
        <stp>FPR=2021Y</stp>
        <stp>FPT=A</stp>
        <stp>FA_ACT_EST_DATA=E, EST_SOURCE=UBS</stp>
        <stp>ACT_EST_MAPPING=PRECISE</stp>
        <stp>FS=MRC</stp>
        <stp>CURRENCY=USD</stp>
        <stp>XLFILL=b</stp>
        <tr r="Z25" s="2"/>
      </tp>
      <tp t="s">
        <v>#N/A Requesting Data...</v>
        <stp/>
        <stp>##V3_BQLV12</stp>
        <stp>[MODL_NOW_US1.xlsx]Single Period!R85C27</stp>
        <stp>NOW US Equity</stp>
        <stp>IS_COMP_GROSS_MARGIN_PERCENTAGE</stp>
        <stp>FPR=2021Y</stp>
        <stp>FPT=A</stp>
        <stp>FA_ACT_EST_DATA=E, EST_SOURCE=RBC</stp>
        <stp>ACT_EST_MAPPING=PRECISE</stp>
        <stp>FS=MRC</stp>
        <stp>CURRENCY=USD</stp>
        <stp>XLFILL=b</stp>
        <tr r="AA85" s="2"/>
      </tp>
      <tp t="s">
        <v>#N/A Requesting Data...</v>
        <stp/>
        <stp>##V3_BQLV12</stp>
        <stp>[MODL_NOW_US1.xlsx]Single Period!R201C40</stp>
        <stp>NOW US Equity</stp>
        <stp>D_AND_A_TO_SALES</stp>
        <stp>FPR=2021Y</stp>
        <stp>FPT=A</stp>
        <stp>FA_ACT_EST_DATA=E, EST_SOURCE=DWI</stp>
        <stp>ACT_EST_MAPPING=PRECISE</stp>
        <stp>FS=MRC</stp>
        <stp>CURRENCY=USD</stp>
        <stp>XLFILL=b</stp>
        <tr r="AN201" s="2"/>
      </tp>
      <tp t="s">
        <v>#N/A Requesting Data...</v>
        <stp/>
        <stp>##V3_BQLV12</stp>
        <stp>[MODL_NOW_US1.xlsx]Single Period!R85C25</stp>
        <stp>NOW US Equity</stp>
        <stp>IS_COMP_GROSS_MARGIN_PERCENTAGE</stp>
        <stp>FPR=2021Y</stp>
        <stp>FPT=A</stp>
        <stp>FA_ACT_EST_DATA=E, EST_SOURCE=DBG</stp>
        <stp>ACT_EST_MAPPING=PRECISE</stp>
        <stp>FS=MRC</stp>
        <stp>CURRENCY=USD</stp>
        <stp>XLFILL=b</stp>
        <tr r="Y85" s="2"/>
      </tp>
      <tp t="s">
        <v>#N/A Requesting Data...</v>
        <stp/>
        <stp>##V3_BQLV12</stp>
        <stp>[MODL_NOW_US1.xlsx]Single Period!R134C16</stp>
        <stp>NOW US Equity</stp>
        <stp>IS_COMP_EPS_GAAP</stp>
        <stp>FPR=2021Y</stp>
        <stp>FPT=A</stp>
        <stp>FA_ACT_EST_DATA=E, EST_SOURCE=BCA</stp>
        <stp>ACT_EST_MAPPING=PRECISE</stp>
        <stp>FS=MRC</stp>
        <stp>CURRENCY=USD</stp>
        <stp>XLFILL=b</stp>
        <tr r="P134" s="2"/>
      </tp>
      <tp t="s">
        <v>#N/A Requesting Data...</v>
        <stp/>
        <stp>##V3_BQLV12</stp>
        <stp>[MODL_NOW_US1.xlsx]Single Period!R134C27</stp>
        <stp>NOW US Equity</stp>
        <stp>IS_COMP_EPS_GAAP</stp>
        <stp>FPR=2021Y</stp>
        <stp>FPT=A</stp>
        <stp>FA_ACT_EST_DATA=E, EST_SOURCE=RBC</stp>
        <stp>ACT_EST_MAPPING=PRECISE</stp>
        <stp>FS=MRC</stp>
        <stp>CURRENCY=USD</stp>
        <stp>XLFILL=b</stp>
        <tr r="AA134" s="2"/>
      </tp>
      <tp t="s">
        <v>#N/A Requesting Data...</v>
        <stp/>
        <stp>##V3_BQLV12</stp>
        <stp>[MODL_NOW_US1.xlsx]Single Period!R25C27</stp>
        <stp>NOW US Equity</stp>
        <stp>IS_COMP_GROSS_MARGIN_PERCENTAGE</stp>
        <stp>FPR=2021Y</stp>
        <stp>FPT=A</stp>
        <stp>FA_ACT_EST_DATA=E, EST_SOURCE=RBC</stp>
        <stp>ACT_EST_MAPPING=PRECISE</stp>
        <stp>FS=MRC</stp>
        <stp>CURRENCY=USD</stp>
        <stp>XLFILL=b</stp>
        <tr r="AA25" s="2"/>
      </tp>
      <tp t="s">
        <v>#N/A Requesting Data...</v>
        <stp/>
        <stp>##V3_BQLV12</stp>
        <stp>[MODL_NOW_US1.xlsx]Single Period!R201C34</stp>
        <stp>NOW US Equity</stp>
        <stp>D_AND_A_TO_SALES</stp>
        <stp>FPR=2021Y</stp>
        <stp>FPT=A</stp>
        <stp>FA_ACT_EST_DATA=E, EST_SOURCE=PSG</stp>
        <stp>ACT_EST_MAPPING=PRECISE</stp>
        <stp>FS=MRC</stp>
        <stp>CURRENCY=USD</stp>
        <stp>XLFILL=b</stp>
        <tr r="AH201" s="2"/>
      </tp>
      <tp t="s">
        <v>#N/A Requesting Data...</v>
        <stp/>
        <stp>##V3_BQLV12</stp>
        <stp>[MODL_NOW_US1.xlsx]Single Period!R3C28</stp>
        <stp>NOW US Equity</stp>
        <stp>LAST(IS_COMP_SALES(FA_ACT_EST_DATA=E, EST_SOURCE=EVR).firm_name)</stp>
        <stp>FPR=2021Y</stp>
        <stp>FPT=A</stp>
        <stp>ACT_EST_MAPPING=PRECISE</stp>
        <stp>FS=MRC</stp>
        <stp>CURRENCY=USD</stp>
        <stp>XLFILL=b</stp>
        <tr r="AB3" s="2"/>
      </tp>
      <tp t="s">
        <v>#N/A Requesting Data...</v>
        <stp/>
        <stp>##V3_BQLV12</stp>
        <stp>[MODL_NOW_US1.xlsx]Single Period!R25C25</stp>
        <stp>NOW US Equity</stp>
        <stp>IS_COMP_GROSS_MARGIN_PERCENTAGE</stp>
        <stp>FPR=2021Y</stp>
        <stp>FPT=A</stp>
        <stp>FA_ACT_EST_DATA=E, EST_SOURCE=DBG</stp>
        <stp>ACT_EST_MAPPING=PRECISE</stp>
        <stp>FS=MRC</stp>
        <stp>CURRENCY=USD</stp>
        <stp>XLFILL=b</stp>
        <tr r="Y25" s="2"/>
      </tp>
      <tp t="s">
        <v>#N/A Requesting Data...</v>
        <stp/>
        <stp>##V3_BQLV12</stp>
        <stp>[MODL_NOW_US1.xlsx]Single Period!R123C37</stp>
        <stp>NOW US Equity</stp>
        <stp>TOTAL_OPERATING_EXPENSES_RATIO/1M</stp>
        <stp>FPR=2021Y</stp>
        <stp>FPT=A</stp>
        <stp>FA_ACT_EST_DATA=E, EST_SOURCE=TTC</stp>
        <stp>ACT_EST_MAPPING=PRECISE</stp>
        <stp>FS=MRC</stp>
        <stp>CURRENCY=USD</stp>
        <stp>XLFILL=b</stp>
        <tr r="AK123" s="2"/>
      </tp>
      <tp t="s">
        <v>#N/A Requesting Data...</v>
        <stp/>
        <stp>##V3_BQLV12</stp>
        <stp>[MODL_NOW_US1.xlsx]Single Period!R195C34</stp>
        <stp>NOW US Equity</stp>
        <stp>CB_BS_DEFERRED_COST_LT/1M</stp>
        <stp>FPR=2021Y</stp>
        <stp>FPT=A</stp>
        <stp>FA_ACT_EST_DATA=E, EST_SOURCE=PSG</stp>
        <stp>ACT_EST_MAPPING=PRECISE</stp>
        <stp>FS=MRC</stp>
        <stp>CURRENCY=USD</stp>
        <stp>XLFILL=b</stp>
        <tr r="AH195" s="2"/>
      </tp>
      <tp t="s">
        <v>#N/A Requesting Data...</v>
        <stp/>
        <stp>##V3_BQLV12</stp>
        <stp>[MODL_NOW_US1.xlsx]Single Period!R226C13</stp>
        <stp>NOW US Equity</stp>
        <stp>CF_OTHER_FINANCING_ACT_EXCL_FX/1M</stp>
        <stp>FPR=2021Y</stp>
        <stp>FPT=A</stp>
        <stp>FA_ACT_EST_DATA=E, EST_SOURCE=KEY</stp>
        <stp>ACT_EST_MAPPING=PRECISE</stp>
        <stp>FS=MRC</stp>
        <stp>CURRENCY=USD</stp>
        <stp>XLFILL=b</stp>
        <tr r="M226" s="2"/>
      </tp>
      <tp t="s">
        <v>#N/A Requesting Data...</v>
        <stp/>
        <stp>##V3_BQLV12</stp>
        <stp>[MODL_NOW_US1.xlsx]Single Period!R64C21</stp>
        <stp>SEG0000230975 Segment</stp>
        <stp>CB_IS_GROSS_MARGIN</stp>
        <stp>FPR=2021Y</stp>
        <stp>FPT=A</stp>
        <stp>FA_ACT_EST_DATA=E, EST_SOURCE=JMP</stp>
        <stp>ACT_EST_MAPPING=PRECISE</stp>
        <stp>FS=MRC</stp>
        <stp>CURRENCY=USD</stp>
        <stp>XLFILL=b</stp>
        <tr r="U64" s="2"/>
      </tp>
      <tp t="s">
        <v>#N/A Requesting Data...</v>
        <stp/>
        <stp>##V3_BQLV12</stp>
        <stp>[MODL_NOW_US1.xlsx]Single Period!R232C21</stp>
        <stp>NOW US Equity</stp>
        <stp>CF_CASH_AND_CASH_EQUIV_BEG_BAL/1M</stp>
        <stp>FPR=2021Y</stp>
        <stp>FPT=A</stp>
        <stp>FA_ACT_EST_DATA=E, EST_SOURCE=JMP</stp>
        <stp>ACT_EST_MAPPING=PRECISE</stp>
        <stp>FS=MRC</stp>
        <stp>CURRENCY=USD</stp>
        <stp>XLFILL=b</stp>
        <tr r="U232" s="2"/>
      </tp>
      <tp t="s">
        <v>#N/A Requesting Data...</v>
        <stp/>
        <stp>##V3_BQLV12</stp>
        <stp>[MODL_NOW_US1.xlsx]Single Period!R123C42</stp>
        <stp>NOW US Equity</stp>
        <stp>TOTAL_OPERATING_EXPENSES_RATIO/1M</stp>
        <stp>FPR=2021Y</stp>
        <stp>FPT=A</stp>
        <stp>FA_ACT_EST_DATA=E, EST_SOURCE=CTI</stp>
        <stp>ACT_EST_MAPPING=PRECISE</stp>
        <stp>FS=MRC</stp>
        <stp>CURRENCY=USD</stp>
        <stp>XLFILL=b</stp>
        <tr r="AP123" s="2"/>
      </tp>
      <tp t="s">
        <v>#N/A Requesting Data...</v>
        <stp/>
        <stp>##V3_BQLV12</stp>
        <stp>[MODL_NOW_US1.xlsx]Single Period!R126C15</stp>
        <stp>NOW US Equity</stp>
        <stp>IS_NON_OPERATING_INC_LOSS_GAAP/1M</stp>
        <stp>FPR=2021Y</stp>
        <stp>FPT=A</stp>
        <stp>FA_ACT_EST_DATA=E, EST_SOURCE=OPY</stp>
        <stp>ACT_EST_MAPPING=PRECISE</stp>
        <stp>FS=MRC</stp>
        <stp>CURRENCY=USD</stp>
        <stp>XLFILL=b</stp>
        <tr r="O126" s="2"/>
      </tp>
      <tp t="s">
        <v>#N/A Requesting Data...</v>
        <stp/>
        <stp>##V3_BQLV12</stp>
        <stp>[MODL_NOW_US1.xlsx]Single Period!R204C48</stp>
        <stp>NOW US Equity</stp>
        <stp>CF_DEF_INC_TAX/1M</stp>
        <stp>FPR=2021Y</stp>
        <stp>FPT=A</stp>
        <stp>FA_ACT_EST_DATA=E, EST_SOURCE=CRC</stp>
        <stp>ACT_EST_MAPPING=PRECISE</stp>
        <stp>FS=MRC</stp>
        <stp>CURRENCY=USD</stp>
        <stp>XLFILL=b</stp>
        <tr r="AV204" s="2"/>
      </tp>
      <tp t="s">
        <v>#N/A Requesting Data...</v>
        <stp/>
        <stp>##V3_BQLV12</stp>
        <stp>[MODL_NOW_US1.xlsx]Single Period!R232C14</stp>
        <stp>NOW US Equity</stp>
        <stp>CF_CASH_AND_CASH_EQUIV_BEG_BAL/1M</stp>
        <stp>FPR=2021Y</stp>
        <stp>FPT=A</stp>
        <stp>FA_ACT_EST_DATA=E, EST_SOURCE=BMO</stp>
        <stp>ACT_EST_MAPPING=PRECISE</stp>
        <stp>FS=MRC</stp>
        <stp>CURRENCY=USD</stp>
        <stp>XLFILL=b</stp>
        <tr r="N232" s="2"/>
      </tp>
      <tp t="s">
        <v>#N/A Requesting Data...</v>
        <stp/>
        <stp>##V3_BQLV12</stp>
        <stp>[MODL_NOW_US1.xlsx]Single Period!R204C41</stp>
        <stp>NOW US Equity</stp>
        <stp>CF_DEF_INC_TAX/1M</stp>
        <stp>FPR=2021Y</stp>
        <stp>FPT=A</stp>
        <stp>FA_ACT_EST_DATA=E, EST_SOURCE=ARG</stp>
        <stp>ACT_EST_MAPPING=PRECISE</stp>
        <stp>FS=MRC</stp>
        <stp>CURRENCY=USD</stp>
        <stp>XLFILL=b</stp>
        <tr r="AO204" s="2"/>
      </tp>
      <tp t="s">
        <v>#N/A Requesting Data...</v>
        <stp/>
        <stp>##V3_BQLV12</stp>
        <stp>[MODL_NOW_US1.xlsx]Single Period!R64C14</stp>
        <stp>SEG0000230975 Segment</stp>
        <stp>CB_IS_GROSS_MARGIN</stp>
        <stp>FPR=2021Y</stp>
        <stp>FPT=A</stp>
        <stp>FA_ACT_EST_DATA=E, EST_SOURCE=BMO</stp>
        <stp>ACT_EST_MAPPING=PRECISE</stp>
        <stp>FS=MRC</stp>
        <stp>CURRENCY=USD</stp>
        <stp>XLFILL=b</stp>
        <tr r="N64" s="2"/>
      </tp>
      <tp t="s">
        <v>#N/A Requesting Data...</v>
        <stp/>
        <stp>##V3_BQLV12</stp>
        <stp>[MODL_NOW_US1.xlsx]Single Period!R204C44</stp>
        <stp>NOW US Equity</stp>
        <stp>CF_DEF_INC_TAX/1M</stp>
        <stp>FPR=2021Y</stp>
        <stp>FPT=A</stp>
        <stp>FA_ACT_EST_DATA=E, EST_SOURCE=ARE</stp>
        <stp>ACT_EST_MAPPING=PRECISE</stp>
        <stp>FS=MRC</stp>
        <stp>CURRENCY=USD</stp>
        <stp>XLFILL=b</stp>
        <tr r="AR204" s="2"/>
      </tp>
      <tp t="s">
        <v>#N/A Requesting Data...</v>
        <stp/>
        <stp>##V3_BQLV12</stp>
        <stp>[MODL_NOW_US1.xlsx]Single Period!R226C36</stp>
        <stp>NOW US Equity</stp>
        <stp>CF_OTHER_FINANCING_ACT_EXCL_FX/1M</stp>
        <stp>FPR=2021Y</stp>
        <stp>FPT=A</stp>
        <stp>FA_ACT_EST_DATA=E, EST_SOURCE=JEF</stp>
        <stp>ACT_EST_MAPPING=PRECISE</stp>
        <stp>FS=MRC</stp>
        <stp>CURRENCY=USD</stp>
        <stp>XLFILL=b</stp>
        <tr r="AJ226" s="2"/>
      </tp>
      <tp t="s">
        <v>#N/A Requesting Data...</v>
        <stp/>
        <stp>##V3_BQLV12</stp>
        <stp>[MODL_NOW_US1.xlsx]Single Period!R211C43</stp>
        <stp>NOW US Equity</stp>
        <stp>CF_CHG_IN_DEFER_UNEARND_REV_ST/1M</stp>
        <stp>FPR=2021Y</stp>
        <stp>FPT=A</stp>
        <stp>FA_ACT_EST_DATA=E, EST_SOURCE=WFT</stp>
        <stp>ACT_EST_MAPPING=PRECISE</stp>
        <stp>FS=MRC</stp>
        <stp>CURRENCY=USD</stp>
        <stp>XLFILL=b</stp>
        <tr r="AQ211" s="2"/>
      </tp>
      <tp t="s">
        <v>#N/A Requesting Data...</v>
        <stp/>
        <stp>##V3_BQLV12</stp>
        <stp>[MODL_NOW_US1.xlsx]Single Period!R195C19</stp>
        <stp>NOW US Equity</stp>
        <stp>CB_BS_DEFERRED_COST_LT/1M</stp>
        <stp>FPR=2021Y</stp>
        <stp>FPT=A</stp>
        <stp>FA_ACT_EST_DATA=E, EST_SOURCE=MSV</stp>
        <stp>ACT_EST_MAPPING=PRECISE</stp>
        <stp>FS=MRC</stp>
        <stp>CURRENCY=USD</stp>
        <stp>XLFILL=b</stp>
        <tr r="S195" s="2"/>
      </tp>
      <tp t="s">
        <v>#N/A Requesting Data...</v>
        <stp/>
        <stp>##V3_BQLV12</stp>
        <stp>[MODL_NOW_US1.xlsx]Single Period!R40C11</stp>
        <stp>NOW US Equity</stp>
        <stp>BILLNG_AMOUNT_GROWTH_PCT</stp>
        <stp>FPR=2021Y</stp>
        <stp>FPT=A</stp>
        <stp>FA_ACT_EST_DATA=E, EST_SOURCE=JPM</stp>
        <stp>ACT_EST_MAPPING=PRECISE</stp>
        <stp>FS=MRC</stp>
        <stp>CURRENCY=USD</stp>
        <stp>XLFILL=b</stp>
        <tr r="K40" s="2"/>
      </tp>
      <tp t="s">
        <v>#N/A Requesting Data...</v>
        <stp/>
        <stp>##V3_BQLV12</stp>
        <stp>[MODL_NOW_US1.xlsx]Single Period!R126C11</stp>
        <stp>NOW US Equity</stp>
        <stp>IS_NON_OPERATING_INC_LOSS_GAAP/1M</stp>
        <stp>FPR=2021Y</stp>
        <stp>FPT=A</stp>
        <stp>FA_ACT_EST_DATA=E, EST_SOURCE=JPM</stp>
        <stp>ACT_EST_MAPPING=PRECISE</stp>
        <stp>FS=MRC</stp>
        <stp>CURRENCY=USD</stp>
        <stp>XLFILL=b</stp>
        <tr r="K126" s="2"/>
      </tp>
      <tp t="s">
        <v>#N/A Requesting Data...</v>
        <stp/>
        <stp>##V3_BQLV12</stp>
        <stp>[MODL_NOW_US1.xlsx]Single Period!R195C31</stp>
        <stp>NOW US Equity</stp>
        <stp>CB_BS_DEFERRED_COST_LT/1M</stp>
        <stp>FPR=2021Y</stp>
        <stp>FPT=A</stp>
        <stp>FA_ACT_EST_DATA=E, EST_SOURCE=GSR</stp>
        <stp>ACT_EST_MAPPING=PRECISE</stp>
        <stp>FS=MRC</stp>
        <stp>CURRENCY=USD</stp>
        <stp>XLFILL=b</stp>
        <tr r="AE195" s="2"/>
      </tp>
      <tp t="s">
        <v>#N/A Requesting Data...</v>
        <stp/>
        <stp>##V3_BQLV12</stp>
        <stp>[MODL_NOW_US1.xlsx]Single Period!R195C35</stp>
        <stp>NOW US Equity</stp>
        <stp>CB_BS_DEFERRED_COST_LT/1M</stp>
        <stp>FPR=2021Y</stp>
        <stp>FPT=A</stp>
        <stp>FA_ACT_EST_DATA=E, EST_SOURCE=MSR</stp>
        <stp>ACT_EST_MAPPING=PRECISE</stp>
        <stp>FS=MRC</stp>
        <stp>CURRENCY=USD</stp>
        <stp>XLFILL=b</stp>
        <tr r="AI195" s="2"/>
      </tp>
      <tp t="s">
        <v>#N/A Requesting Data...</v>
        <stp/>
        <stp>##V3_BQLV12</stp>
        <stp>[MODL_NOW_US1.xlsx]Single Period!R146C43</stp>
        <stp>NOW US Equity</stp>
        <stp>IS_AMORT_ACQD_INTANGIBLES_COGS/1M</stp>
        <stp>FPR=2021Y</stp>
        <stp>FPT=A</stp>
        <stp>FA_ACT_EST_DATA=E, EST_SOURCE=WFT</stp>
        <stp>ACT_EST_MAPPING=PRECISE</stp>
        <stp>FS=MRC</stp>
        <stp>CURRENCY=USD</stp>
        <stp>XLFILL=b</stp>
        <tr r="AQ146" s="2"/>
      </tp>
      <tp t="s">
        <v>#N/A Requesting Data...</v>
        <stp/>
        <stp>##V3_BQLV12</stp>
        <stp>[MODL_NOW_US1.xlsx]Single Period!R9C32</stp>
        <stp>NOW US Equity</stp>
        <stp>IS_BILLINGS/1M</stp>
        <stp>FPR=2021Y</stp>
        <stp>FPT=A</stp>
        <stp>FA_ACT_EST_DATA=E, EST_SOURCE=FBC</stp>
        <stp>ACT_EST_MAPPING=PRECISE</stp>
        <stp>FS=MRC</stp>
        <stp>CURRENCY=USD</stp>
        <stp>XLFILL=b</stp>
        <tr r="AF9" s="2"/>
      </tp>
      <tp t="s">
        <v>#N/A Requesting Data...</v>
        <stp/>
        <stp>##V3_BQLV12</stp>
        <stp>[MODL_NOW_US1.xlsx]Single Period!R9C27</stp>
        <stp>NOW US Equity</stp>
        <stp>IS_BILLINGS/1M</stp>
        <stp>FPR=2021Y</stp>
        <stp>FPT=A</stp>
        <stp>FA_ACT_EST_DATA=E, EST_SOURCE=RBC</stp>
        <stp>ACT_EST_MAPPING=PRECISE</stp>
        <stp>FS=MRC</stp>
        <stp>CURRENCY=USD</stp>
        <stp>XLFILL=b</stp>
        <tr r="AA9" s="2"/>
      </tp>
      <tp t="s">
        <v>#N/A Requesting Data...</v>
        <stp/>
        <stp>##V3_BQLV12</stp>
        <stp>[MODL_NOW_US1.xlsx]Single Period!R154C22</stp>
        <stp>NOW US Equity</stp>
        <stp>BS_CUR_ASSET_REPORT/1M</stp>
        <stp>FPR=2021Y</stp>
        <stp>FPT=A</stp>
        <stp>FA_ACT_EST_DATA=E, EST_SOURCE=NDH</stp>
        <stp>ACT_EST_MAPPING=PRECISE</stp>
        <stp>FS=MRC</stp>
        <stp>CURRENCY=USD</stp>
        <stp>XLFILL=b</stp>
        <tr r="V154" s="2"/>
      </tp>
      <tp t="s">
        <v>#N/A Requesting Data...</v>
        <stp/>
        <stp>##V3_BQLV12</stp>
        <stp>[MODL_NOW_US1.xlsx]Single Period!R184C21</stp>
        <stp>NOW US Equity</stp>
        <stp>BS_EQTY_BEFORE_MINORITY_INT/1M</stp>
        <stp>FPR=2021Y</stp>
        <stp>FPT=A</stp>
        <stp>FA_ACT_EST_DATA=E, EST_SOURCE=JMP</stp>
        <stp>ACT_EST_MAPPING=PRECISE</stp>
        <stp>FS=MRC</stp>
        <stp>CURRENCY=USD</stp>
        <stp>XLFILL=b</stp>
        <tr r="U184" s="2"/>
      </tp>
      <tp t="s">
        <v>#N/A Requesting Data...</v>
        <stp/>
        <stp>##V3_BQLV12</stp>
        <stp>[MODL_NOW_US1.xlsx]Single Period!R9C25</stp>
        <stp>NOW US Equity</stp>
        <stp>IS_BILLINGS/1M</stp>
        <stp>FPR=2021Y</stp>
        <stp>FPT=A</stp>
        <stp>FA_ACT_EST_DATA=E, EST_SOURCE=DBG</stp>
        <stp>ACT_EST_MAPPING=PRECISE</stp>
        <stp>FS=MRC</stp>
        <stp>CURRENCY=USD</stp>
        <stp>XLFILL=b</stp>
        <tr r="Y9" s="2"/>
      </tp>
      <tp t="s">
        <v>#N/A Requesting Data...</v>
        <stp/>
        <stp>##V3_BQLV12</stp>
        <stp>[MODL_NOW_US1.xlsx]Single Period!R161C39</stp>
        <stp>NOW US Equity</stp>
        <stp>BS_TOTAL_NON_CURRENT_ASSETS/1M</stp>
        <stp>FPR=2021Y</stp>
        <stp>FPT=A</stp>
        <stp>FA_ACT_EST_DATA=E, EST_SOURCE=DZB</stp>
        <stp>ACT_EST_MAPPING=PRECISE</stp>
        <stp>FS=MRC</stp>
        <stp>CURRENCY=USD</stp>
        <stp>XLFILL=b</stp>
        <tr r="AM161" s="2"/>
      </tp>
      <tp t="s">
        <v>#N/A Requesting Data...</v>
        <stp/>
        <stp>##V3_BQLV12</stp>
        <stp>[MODL_NOW_US1.xlsx]Single Period!R142C15</stp>
        <stp>NOW US Equity</stp>
        <stp>IS_SBC_ATT_TO_S_AND_M_PRETX/1M</stp>
        <stp>FPR=2021Y</stp>
        <stp>FPT=A</stp>
        <stp>FA_ACT_EST_DATA=E, EST_SOURCE=OPY</stp>
        <stp>ACT_EST_MAPPING=PRECISE</stp>
        <stp>FS=MRC</stp>
        <stp>CURRENCY=USD</stp>
        <stp>XLFILL=b</stp>
        <tr r="O142" s="2"/>
      </tp>
      <tp t="s">
        <v>#N/A Requesting Data...</v>
        <stp/>
        <stp>##V3_BQLV12</stp>
        <stp>[MODL_NOW_US1.xlsx]Single Period!R189C11</stp>
        <stp>NOW US Equity</stp>
        <stp>CUR_RATIO</stp>
        <stp>FPR=2021Y</stp>
        <stp>FPT=A</stp>
        <stp>FA_ACT_EST_DATA=E, EST_SOURCE=JPM</stp>
        <stp>ACT_EST_MAPPING=PRECISE</stp>
        <stp>FS=MRC</stp>
        <stp>CURRENCY=USD</stp>
        <stp>XLFILL=b</stp>
        <tr r="K189" s="2"/>
      </tp>
      <tp t="s">
        <v>#N/A Requesting Data...</v>
        <stp/>
        <stp>##V3_BQLV12</stp>
        <stp>[MODL_NOW_US1.xlsx]Single Period!R27C38</stp>
        <stp>NOW US Equity</stp>
        <stp>IS_REV_INCLUDING_INTERSEG_REV/1M</stp>
        <stp>FPR=2021Y</stp>
        <stp>FPT=A</stp>
        <stp>FA_ACT_EST_DATA=E, EST_SOURCE=RWB</stp>
        <stp>ACT_EST_MAPPING=PRECISE</stp>
        <stp>FS=MRC</stp>
        <stp>CURRENCY=USD</stp>
        <stp>XLFILL=b</stp>
        <tr r="AL27" s="2"/>
      </tp>
      <tp t="s">
        <v>#N/A Requesting Data...</v>
        <stp/>
        <stp>##V3_BQLV12</stp>
        <stp>[MODL_NOW_US1.xlsx]Single Period!R210C23</stp>
        <stp>NOW US Equity</stp>
        <stp>CF_CHANGE_IN_PREPAID_EXPNSS/1M</stp>
        <stp>FPR=2021Y</stp>
        <stp>FPT=A</stp>
        <stp>FA_ACT_EST_DATA=E, EST_SOURCE=ZXS</stp>
        <stp>ACT_EST_MAPPING=PRECISE</stp>
        <stp>FS=MRC</stp>
        <stp>CURRENCY=USD</stp>
        <stp>XLFILL=b</stp>
        <tr r="W210" s="2"/>
      </tp>
      <tp t="s">
        <v>#N/A Requesting Data...</v>
        <stp/>
        <stp>##V3_BQLV12</stp>
        <stp>[MODL_NOW_US1.xlsx]Single Period!R121C10</stp>
        <stp>NOW US Equity</stp>
        <stp>CB_IS_GENL_AND_ADMIN_EXPN/1M</stp>
        <stp>FPR=2021Y</stp>
        <stp>FPT=A</stp>
        <stp>FA_ACT_EST_DATA=E, EST_SOURCE=CMPY</stp>
        <stp>ACT_EST_MAPPING=PRECISE</stp>
        <stp>FS=MRC</stp>
        <stp>CURRENCY=USD</stp>
        <stp>XLFILL=b</stp>
        <tr r="J121" s="2"/>
      </tp>
      <tp t="s">
        <v>#N/A Requesting Data...</v>
        <stp/>
        <stp>##V3_BQLV12</stp>
        <stp>[MODL_NOW_US1.xlsx]Single Period!R105C23</stp>
        <stp>NOW US Equity</stp>
        <stp>ADJ_PROFIT_MARGIN</stp>
        <stp>FPR=2021Y</stp>
        <stp>FPT=A</stp>
        <stp>FA_ACT_EST_DATA=E, EST_SOURCE=ZXS</stp>
        <stp>ACT_EST_MAPPING=PRECISE</stp>
        <stp>FS=MRC</stp>
        <stp>CURRENCY=USD</stp>
        <stp>XLFILL=b</stp>
        <tr r="W105" s="2"/>
      </tp>
      <tp t="s">
        <v>#N/A Requesting Data...</v>
        <stp/>
        <stp>##V3_BQLV12</stp>
        <stp>[MODL_NOW_US1.xlsx]Single Period!R140C7</stp>
        <stp>SEG0000230975 Segment</stp>
        <stp>CONTRIBUTOR_STATS(IS_SBC_ATTRIB_TO_COGS_PRETX, MAX)/1M</stp>
        <stp>FPR=2021Y</stp>
        <stp>FPT=A</stp>
        <stp>FA_ACT_EST_DATA=E</stp>
        <stp>ACT_EST_MAPPING=PRECISE</stp>
        <stp>FS=MRC</stp>
        <stp>CURRENCY=USD</stp>
        <stp>XLFILL=b</stp>
        <tr r="G140" s="2"/>
      </tp>
      <tp t="s">
        <v>#N/A Requesting Data...</v>
        <stp/>
        <stp>##V3_BQLV12</stp>
        <stp>[MODL_NOW_US1.xlsx]Single Period!R140C6</stp>
        <stp>SEG0000230975 Segment</stp>
        <stp>CONTRIBUTOR_STATS(IS_SBC_ATTRIB_TO_COGS_PRETX, MIN)/1M</stp>
        <stp>FPR=2021Y</stp>
        <stp>FPT=A</stp>
        <stp>FA_ACT_EST_DATA=E</stp>
        <stp>ACT_EST_MAPPING=PRECISE</stp>
        <stp>FS=MRC</stp>
        <stp>CURRENCY=USD</stp>
        <stp>XLFILL=b</stp>
        <tr r="F140" s="2"/>
      </tp>
      <tp t="s">
        <v>#N/A Requesting Data...</v>
        <stp/>
        <stp>##V3_BQLV12</stp>
        <stp>[MODL_NOW_US1.xlsx]Single Period!R9C12</stp>
        <stp>NOW US Equity</stp>
        <stp>IS_BILLINGS/1M</stp>
        <stp>FPR=2021Y</stp>
        <stp>FPT=A</stp>
        <stp>FA_ACT_EST_DATA=E, EST_SOURCE=WBL</stp>
        <stp>ACT_EST_MAPPING=PRECISE</stp>
        <stp>FS=MRC</stp>
        <stp>CURRENCY=USD</stp>
        <stp>XLFILL=b</stp>
        <tr r="L9" s="2"/>
      </tp>
      <tp t="s">
        <v>#N/A Requesting Data...</v>
        <stp/>
        <stp>##V3_BQLV12</stp>
        <stp>[MODL_NOW_US1.xlsx]Single Period!R137C21</stp>
        <stp>NOW US Equity</stp>
        <stp>CF_STOCK_BASED_COMPENSATION/1M</stp>
        <stp>FPR=2021Y</stp>
        <stp>FPT=A</stp>
        <stp>FA_ACT_EST_DATA=E, EST_SOURCE=JMP</stp>
        <stp>ACT_EST_MAPPING=PRECISE</stp>
        <stp>FS=MRC</stp>
        <stp>CURRENCY=USD</stp>
        <stp>XLFILL=b</stp>
        <tr r="U137" s="2"/>
      </tp>
      <tp t="s">
        <v>#N/A Requesting Data...</v>
        <stp/>
        <stp>##V3_BQLV12</stp>
        <stp>[MODL_NOW_US1.xlsx]Single Period!R80C28</stp>
        <stp>NOW US Equity</stp>
        <stp>IS_COMP_SALES/1M</stp>
        <stp>FPR=2021Y</stp>
        <stp>FPT=A</stp>
        <stp>FA_ACT_EST_DATA=E, EST_SOURCE=EVR</stp>
        <stp>ACT_EST_MAPPING=PRECISE</stp>
        <stp>FS=MRC</stp>
        <stp>CURRENCY=USD</stp>
        <stp>XLFILL=b</stp>
        <tr r="AB80" s="2"/>
      </tp>
      <tp t="s">
        <v>#N/A Requesting Data...</v>
        <stp/>
        <stp>##V3_BQLV12</stp>
        <stp>[MODL_NOW_US1.xlsx]Single Period!R9C26</stp>
        <stp>NOW US Equity</stp>
        <stp>IS_BILLINGS/1M</stp>
        <stp>FPR=2021Y</stp>
        <stp>FPT=A</stp>
        <stp>FA_ACT_EST_DATA=E, EST_SOURCE=UBS</stp>
        <stp>ACT_EST_MAPPING=PRECISE</stp>
        <stp>FS=MRC</stp>
        <stp>CURRENCY=USD</stp>
        <stp>XLFILL=b</stp>
        <tr r="Z9" s="2"/>
      </tp>
      <tp t="s">
        <v>#N/A Requesting Data...</v>
        <stp/>
        <stp>##V3_BQLV12</stp>
        <stp>[MODL_NOW_US1.xlsx]Single Period!R161C46</stp>
        <stp>NOW US Equity</stp>
        <stp>BS_TOTAL_NON_CURRENT_ASSETS/1M</stp>
        <stp>FPR=2021Y</stp>
        <stp>FPT=A</stp>
        <stp>FA_ACT_EST_DATA=E, EST_SOURCE=MZS</stp>
        <stp>ACT_EST_MAPPING=PRECISE</stp>
        <stp>FS=MRC</stp>
        <stp>CURRENCY=USD</stp>
        <stp>XLFILL=b</stp>
        <tr r="AT161" s="2"/>
      </tp>
      <tp t="s">
        <v>#N/A Requesting Data...</v>
        <stp/>
        <stp>##V3_BQLV12</stp>
        <stp>[MODL_NOW_US1.xlsx]Single Period!R137C14</stp>
        <stp>NOW US Equity</stp>
        <stp>CF_STOCK_BASED_COMPENSATION/1M</stp>
        <stp>FPR=2021Y</stp>
        <stp>FPT=A</stp>
        <stp>FA_ACT_EST_DATA=E, EST_SOURCE=BMO</stp>
        <stp>ACT_EST_MAPPING=PRECISE</stp>
        <stp>FS=MRC</stp>
        <stp>CURRENCY=USD</stp>
        <stp>XLFILL=b</stp>
        <tr r="N137" s="2"/>
      </tp>
      <tp t="s">
        <v>#N/A Requesting Data...</v>
        <stp/>
        <stp>##V3_BQLV12</stp>
        <stp>[MODL_NOW_US1.xlsx]Single Period!R98C49</stp>
        <stp>NOW US Equity</stp>
        <stp>CF_DEPR_AMORT/1M</stp>
        <stp>FPR=2021Y</stp>
        <stp>FPT=A</stp>
        <stp>FA_ACT_EST_DATA=E, EST_SOURCE=SCB</stp>
        <stp>ACT_EST_MAPPING=PRECISE</stp>
        <stp>FS=MRC</stp>
        <stp>CURRENCY=USD</stp>
        <stp>XLFILL=b</stp>
        <tr r="AW98" s="2"/>
      </tp>
      <tp t="s">
        <v>#N/A Requesting Data...</v>
        <stp/>
        <stp>##V3_BQLV12</stp>
        <stp>[MODL_NOW_US1.xlsx]Single Period!R140C8</stp>
        <stp>SEG0000230975 Segment</stp>
        <stp>CONTRIBUTOR_STATS(IS_SBC_ATTRIB_TO_COGS_PRETX, STD)/1M</stp>
        <stp>FPR=2021Y</stp>
        <stp>FPT=A</stp>
        <stp>FA_ACT_EST_DATA=E</stp>
        <stp>ACT_EST_MAPPING=PRECISE</stp>
        <stp>FS=MRC</stp>
        <stp>CURRENCY=USD</stp>
        <stp>XLFILL=b</stp>
        <tr r="H140" s="2"/>
      </tp>
      <tp t="s">
        <v>#N/A Requesting Data...</v>
        <stp/>
        <stp>##V3_BQLV12</stp>
        <stp>[MODL_NOW_US1.xlsx]Single Period!R158C23</stp>
        <stp>NOW US Equity</stp>
        <stp>BS_ACCTS_REC_EXCL_NOTES_REC/1M</stp>
        <stp>FPR=2021Y</stp>
        <stp>FPT=A</stp>
        <stp>FA_ACT_EST_DATA=E, EST_SOURCE=ZXS</stp>
        <stp>ACT_EST_MAPPING=PRECISE</stp>
        <stp>FS=MRC</stp>
        <stp>CURRENCY=USD</stp>
        <stp>XLFILL=b</stp>
        <tr r="W158" s="2"/>
      </tp>
      <tp t="s">
        <v>#N/A Requesting Data...</v>
        <stp/>
        <stp>##V3_BQLV12</stp>
        <stp>[MODL_NOW_US1.xlsx]Single Period!R89C15</stp>
        <stp>NOW US Equity</stp>
        <stp>IS_REV_INCLUDING_INTERSEG_REV/1M</stp>
        <stp>FPR=2021Y</stp>
        <stp>FPT=A</stp>
        <stp>FA_ACT_EST_DATA=E, EST_SOURCE=OPY</stp>
        <stp>ACT_EST_MAPPING=PRECISE</stp>
        <stp>FS=MRC</stp>
        <stp>CURRENCY=USD</stp>
        <stp>XLFILL=b</stp>
        <tr r="O89" s="2"/>
      </tp>
      <tp t="s">
        <v>#N/A Requesting Data...</v>
        <stp/>
        <stp>##V3_BQLV12</stp>
        <stp>[MODL_NOW_US1.xlsx]Single Period!R173C41</stp>
        <stp>NOW US Equity</stp>
        <stp>BS_CUR_LIAB/1M</stp>
        <stp>FPR=2021Y</stp>
        <stp>FPT=A</stp>
        <stp>FA_ACT_EST_DATA=E, EST_SOURCE=ARG</stp>
        <stp>ACT_EST_MAPPING=PRECISE</stp>
        <stp>FS=MRC</stp>
        <stp>CURRENCY=USD</stp>
        <stp>XLFILL=b</stp>
        <tr r="AO173" s="2"/>
      </tp>
      <tp t="s">
        <v>#N/A Requesting Data...</v>
        <stp/>
        <stp>##V3_BQLV12</stp>
        <stp>[MODL_NOW_US1.xlsx]Single Period!R180C23</stp>
        <stp>NOW US Equity</stp>
        <stp>BS_LT_OPERATING_LEASE_LIABS/1M</stp>
        <stp>FPR=2021Y</stp>
        <stp>FPT=A</stp>
        <stp>FA_ACT_EST_DATA=E, EST_SOURCE=ZXS</stp>
        <stp>ACT_EST_MAPPING=PRECISE</stp>
        <stp>FS=MRC</stp>
        <stp>CURRENCY=USD</stp>
        <stp>XLFILL=b</stp>
        <tr r="W180" s="2"/>
      </tp>
      <tp t="s">
        <v>#N/A Requesting Data...</v>
        <stp/>
        <stp>##V3_BQLV12</stp>
        <stp>[MODL_NOW_US1.xlsx]Single Period!R230C48</stp>
        <stp>NOW US Equity</stp>
        <stp>CF_EFFECT_FOREIGN_EXCHANGES/1M</stp>
        <stp>FPR=2021Y</stp>
        <stp>FPT=A</stp>
        <stp>FA_ACT_EST_DATA=E, EST_SOURCE=CRC</stp>
        <stp>ACT_EST_MAPPING=PRECISE</stp>
        <stp>FS=MRC</stp>
        <stp>CURRENCY=USD</stp>
        <stp>XLFILL=b</stp>
        <tr r="AV230" s="2"/>
      </tp>
      <tp t="s">
        <v>#N/A Requesting Data...</v>
        <stp/>
        <stp>##V3_BQLV12</stp>
        <stp>[MODL_NOW_US1.xlsx]Single Period!R173C44</stp>
        <stp>NOW US Equity</stp>
        <stp>BS_CUR_LIAB/1M</stp>
        <stp>FPR=2021Y</stp>
        <stp>FPT=A</stp>
        <stp>FA_ACT_EST_DATA=E, EST_SOURCE=ARE</stp>
        <stp>ACT_EST_MAPPING=PRECISE</stp>
        <stp>FS=MRC</stp>
        <stp>CURRENCY=USD</stp>
        <stp>XLFILL=b</stp>
        <tr r="AR173" s="2"/>
      </tp>
      <tp t="s">
        <v>#N/A Requesting Data...</v>
        <stp/>
        <stp>##V3_BQLV12</stp>
        <stp>[MODL_NOW_US1.xlsx]Single Period!R173C48</stp>
        <stp>NOW US Equity</stp>
        <stp>BS_CUR_LIAB/1M</stp>
        <stp>FPR=2021Y</stp>
        <stp>FPT=A</stp>
        <stp>FA_ACT_EST_DATA=E, EST_SOURCE=CRC</stp>
        <stp>ACT_EST_MAPPING=PRECISE</stp>
        <stp>FS=MRC</stp>
        <stp>CURRENCY=USD</stp>
        <stp>XLFILL=b</stp>
        <tr r="AV173" s="2"/>
      </tp>
      <tp t="s">
        <v>#N/A Requesting Data...</v>
        <stp/>
        <stp>##V3_BQLV12</stp>
        <stp>[MODL_NOW_US1.xlsx]Single Period!R142C11</stp>
        <stp>NOW US Equity</stp>
        <stp>IS_SBC_ATT_TO_S_AND_M_PRETX/1M</stp>
        <stp>FPR=2021Y</stp>
        <stp>FPT=A</stp>
        <stp>FA_ACT_EST_DATA=E, EST_SOURCE=JPM</stp>
        <stp>ACT_EST_MAPPING=PRECISE</stp>
        <stp>FS=MRC</stp>
        <stp>CURRENCY=USD</stp>
        <stp>XLFILL=b</stp>
        <tr r="K142" s="2"/>
      </tp>
      <tp t="s">
        <v>#N/A Requesting Data...</v>
        <stp/>
        <stp>##V3_BQLV12</stp>
        <stp>[MODL_NOW_US1.xlsx]Single Period!R189C15</stp>
        <stp>NOW US Equity</stp>
        <stp>CUR_RATIO</stp>
        <stp>FPR=2021Y</stp>
        <stp>FPT=A</stp>
        <stp>FA_ACT_EST_DATA=E, EST_SOURCE=OPY</stp>
        <stp>ACT_EST_MAPPING=PRECISE</stp>
        <stp>FS=MRC</stp>
        <stp>CURRENCY=USD</stp>
        <stp>XLFILL=b</stp>
        <tr r="O189" s="2"/>
      </tp>
      <tp t="s">
        <v>#N/A Requesting Data...</v>
        <stp/>
        <stp>##V3_BQLV12</stp>
        <stp>[MODL_NOW_US1.xlsx]Single Period!R230C41</stp>
        <stp>NOW US Equity</stp>
        <stp>CF_EFFECT_FOREIGN_EXCHANGES/1M</stp>
        <stp>FPR=2021Y</stp>
        <stp>FPT=A</stp>
        <stp>FA_ACT_EST_DATA=E, EST_SOURCE=ARG</stp>
        <stp>ACT_EST_MAPPING=PRECISE</stp>
        <stp>FS=MRC</stp>
        <stp>CURRENCY=USD</stp>
        <stp>XLFILL=b</stp>
        <tr r="AO230" s="2"/>
      </tp>
      <tp t="s">
        <v>#N/A Requesting Data...</v>
        <stp/>
        <stp>##V3_BQLV12</stp>
        <stp>[MODL_NOW_US1.xlsx]Single Period!R30C5</stp>
        <stp>NOW US Equity</stp>
        <stp>CF_FREE_CASH_FLOW_AS_REPORTED/1M</stp>
        <stp>FPR=2021Y</stp>
        <stp>FPT=A</stp>
        <stp>FA_ACT_EST_DATA=E</stp>
        <stp>ACT_EST_MAPPING=PRECISE</stp>
        <stp>FS=MRC</stp>
        <stp>CURRENCY=USD</stp>
        <stp>XLFILL=b</stp>
        <tr r="E30" s="2"/>
      </tp>
      <tp t="s">
        <v>#N/A Requesting Data...</v>
        <stp/>
        <stp>##V3_BQLV12</stp>
        <stp>[MODL_NOW_US1.xlsx]Single Period!R184C14</stp>
        <stp>NOW US Equity</stp>
        <stp>BS_EQTY_BEFORE_MINORITY_INT/1M</stp>
        <stp>FPR=2021Y</stp>
        <stp>FPT=A</stp>
        <stp>FA_ACT_EST_DATA=E, EST_SOURCE=BMO</stp>
        <stp>ACT_EST_MAPPING=PRECISE</stp>
        <stp>FS=MRC</stp>
        <stp>CURRENCY=USD</stp>
        <stp>XLFILL=b</stp>
        <tr r="N184" s="2"/>
      </tp>
      <tp t="s">
        <v>#N/A Requesting Data...</v>
        <stp/>
        <stp>##V3_BQLV12</stp>
        <stp>[MODL_NOW_US1.xlsx]Single Period!R230C44</stp>
        <stp>NOW US Equity</stp>
        <stp>CF_EFFECT_FOREIGN_EXCHANGES/1M</stp>
        <stp>FPR=2021Y</stp>
        <stp>FPT=A</stp>
        <stp>FA_ACT_EST_DATA=E, EST_SOURCE=ARE</stp>
        <stp>ACT_EST_MAPPING=PRECISE</stp>
        <stp>FS=MRC</stp>
        <stp>CURRENCY=USD</stp>
        <stp>XLFILL=b</stp>
        <tr r="AR230" s="2"/>
      </tp>
      <tp t="s">
        <v>#N/A Requesting Data...</v>
        <stp/>
        <stp>##V3_BQLV12</stp>
        <stp>[MODL_NOW_US1.xlsx]Single Period!R77C20</stp>
        <stp>SEG0000230969 Segment</stp>
        <stp>SALES_REV_TURN/1M</stp>
        <stp>FPR=2021Y</stp>
        <stp>FPT=A</stp>
        <stp>FA_ACT_EST_DATA=E, EST_SOURCE=CAN</stp>
        <stp>ACT_EST_MAPPING=PRECISE</stp>
        <stp>FS=MRC</stp>
        <stp>CURRENCY=USD</stp>
        <stp>XLFILL=b</stp>
        <tr r="T77" s="2"/>
      </tp>
      <tp t="s">
        <v>#N/A Requesting Data...</v>
        <stp/>
        <stp>##V3_BQLV12</stp>
        <stp>[MODL_NOW_US1.xlsx]Single Period!R14C49</stp>
        <stp>SEG0000230975 Segment</stp>
        <stp>SALES_REV_TURN/1M</stp>
        <stp>FPR=2021Y</stp>
        <stp>FPT=A</stp>
        <stp>FA_ACT_EST_DATA=E, EST_SOURCE=SCB</stp>
        <stp>ACT_EST_MAPPING=PRECISE</stp>
        <stp>FS=MRC</stp>
        <stp>CURRENCY=USD</stp>
        <stp>XLFILL=b</stp>
        <tr r="AW14" s="2"/>
      </tp>
      <tp t="s">
        <v>#N/A Requesting Data...</v>
        <stp/>
        <stp>##V3_BQLV12</stp>
        <stp>[MODL_NOW_US1.xlsx]Single Period!R14C16</stp>
        <stp>SEG0000230975 Segment</stp>
        <stp>SALES_REV_TURN/1M</stp>
        <stp>FPR=2021Y</stp>
        <stp>FPT=A</stp>
        <stp>FA_ACT_EST_DATA=E, EST_SOURCE=BCA</stp>
        <stp>ACT_EST_MAPPING=PRECISE</stp>
        <stp>FS=MRC</stp>
        <stp>CURRENCY=USD</stp>
        <stp>XLFILL=b</stp>
        <tr r="P14" s="2"/>
      </tp>
      <tp t="s">
        <v>#N/A Requesting Data...</v>
        <stp/>
        <stp>##V3_BQLV12</stp>
        <stp>[MODL_NOW_US1.xlsx]Single Period!R77C30</stp>
        <stp>SEG0000230969 Segment</stp>
        <stp>SALES_REV_TURN/1M</stp>
        <stp>FPR=2021Y</stp>
        <stp>FPT=A</stp>
        <stp>FA_ACT_EST_DATA=E, EST_SOURCE=BAM</stp>
        <stp>ACT_EST_MAPPING=PRECISE</stp>
        <stp>FS=MRC</stp>
        <stp>CURRENCY=USD</stp>
        <stp>XLFILL=b</stp>
        <tr r="AD77" s="2"/>
      </tp>
      <tp t="s">
        <v>#N/A Requesting Data...</v>
        <stp/>
        <stp>##V3_BQLV12</stp>
        <stp>[MODL_NOW_US1.xlsx]Single Period!R54C14</stp>
        <stp>NOW US Equity</stp>
        <stp>IS_FOREIGN_CURRENCY_TURNOVER/1M</stp>
        <stp>FPR=2021Y</stp>
        <stp>FPT=A</stp>
        <stp>FA_ACT_EST_DATA=E, EST_SOURCE=BMO</stp>
        <stp>ACT_EST_MAPPING=PRECISE</stp>
        <stp>FS=MRC</stp>
        <stp>CURRENCY=USD</stp>
        <stp>XLFILL=b</stp>
        <tr r="N54" s="2"/>
      </tp>
      <tp t="s">
        <v>#N/A Requesting Data...</v>
        <stp/>
        <stp>##V3_BQLV12</stp>
        <stp>[MODL_NOW_US1.xlsx]Single Period!R101C15</stp>
        <stp>NOW US Equity</stp>
        <stp>CB_IS_OTHER_NON_OPER_INC_EXPN/1M</stp>
        <stp>FPR=2021Y</stp>
        <stp>FPT=A</stp>
        <stp>FA_ACT_EST_DATA=E, EST_SOURCE=OPY</stp>
        <stp>ACT_EST_MAPPING=PRECISE</stp>
        <stp>FS=MRC</stp>
        <stp>CURRENCY=USD</stp>
        <stp>XLFILL=b</stp>
        <tr r="O101" s="2"/>
      </tp>
      <tp t="s">
        <v>#N/A Requesting Data...</v>
        <stp/>
        <stp>##V3_BQLV12</stp>
        <stp>[MODL_NOW_US1.xlsx]Single Period!R209C24</stp>
        <stp>NOW US Equity</stp>
        <stp>CF_CHANGE_IN_ACCOUNTS_PAYABLE/1M</stp>
        <stp>FPR=2021Y</stp>
        <stp>FPT=A</stp>
        <stp>FA_ACT_EST_DATA=E, EST_SOURCE=CWN</stp>
        <stp>ACT_EST_MAPPING=PRECISE</stp>
        <stp>FS=MRC</stp>
        <stp>CURRENCY=USD</stp>
        <stp>XLFILL=b</stp>
        <tr r="X209" s="2"/>
      </tp>
      <tp t="s">
        <v>#N/A Requesting Data...</v>
        <stp/>
        <stp>##V3_BQLV12</stp>
        <stp>[MODL_NOW_US1.xlsx]Single Period!R133C14</stp>
        <stp>NOW US Equity</stp>
        <stp>IS_SH_FOR_DILUTED_EPS/1M</stp>
        <stp>FPR=2021Y</stp>
        <stp>FPT=A</stp>
        <stp>FA_ACT_EST_DATA=E, EST_SOURCE=BMO</stp>
        <stp>ACT_EST_MAPPING=PRECISE</stp>
        <stp>FS=MRC</stp>
        <stp>CURRENCY=USD</stp>
        <stp>XLFILL=b</stp>
        <tr r="N133" s="2"/>
      </tp>
      <tp t="s">
        <v>#N/A Requesting Data...</v>
        <stp/>
        <stp>##V3_BQLV12</stp>
        <stp>[MODL_NOW_US1.xlsx]Single Period!R200C11</stp>
        <stp>NOW US Equity</stp>
        <stp>CF_DEPR_AMORT/1M</stp>
        <stp>FPR=2021Y</stp>
        <stp>FPT=A</stp>
        <stp>FA_ACT_EST_DATA=E, EST_SOURCE=JPM</stp>
        <stp>ACT_EST_MAPPING=PRECISE</stp>
        <stp>FS=MRC</stp>
        <stp>CURRENCY=USD</stp>
        <stp>XLFILL=b</stp>
        <tr r="K200" s="2"/>
      </tp>
      <tp t="s">
        <v>#N/A Requesting Data...</v>
        <stp/>
        <stp>##V3_BQLV12</stp>
        <stp>[MODL_NOW_US1.xlsx]Single Period!R209C37</stp>
        <stp>NOW US Equity</stp>
        <stp>CF_CHANGE_IN_ACCOUNTS_PAYABLE/1M</stp>
        <stp>FPR=2021Y</stp>
        <stp>FPT=A</stp>
        <stp>FA_ACT_EST_DATA=E, EST_SOURCE=TTC</stp>
        <stp>ACT_EST_MAPPING=PRECISE</stp>
        <stp>FS=MRC</stp>
        <stp>CURRENCY=USD</stp>
        <stp>XLFILL=b</stp>
        <tr r="AK209" s="2"/>
      </tp>
      <tp t="s">
        <v>#N/A Requesting Data...</v>
        <stp/>
        <stp>##V3_BQLV12</stp>
        <stp>[MODL_NOW_US1.xlsx]Single Period!R209C39</stp>
        <stp>NOW US Equity</stp>
        <stp>CF_CHANGE_IN_ACCOUNTS_PAYABLE/1M</stp>
        <stp>FPR=2021Y</stp>
        <stp>FPT=A</stp>
        <stp>FA_ACT_EST_DATA=E, EST_SOURCE=DZB</stp>
        <stp>ACT_EST_MAPPING=PRECISE</stp>
        <stp>FS=MRC</stp>
        <stp>CURRENCY=USD</stp>
        <stp>XLFILL=b</stp>
        <tr r="AM209" s="2"/>
      </tp>
      <tp t="s">
        <v>#N/A Requesting Data...</v>
        <stp/>
        <stp>##V3_BQLV12</stp>
        <stp>[MODL_NOW_US1.xlsx]Single Period!R235C45</stp>
        <stp>NOW US Equity</stp>
        <stp>CF_FREE_CASH_FLOW_AS_REPORTED/1M</stp>
        <stp>FPR=2021Y</stp>
        <stp>FPT=A</stp>
        <stp>FA_ACT_EST_DATA=E, EST_SOURCE=PJE</stp>
        <stp>ACT_EST_MAPPING=PRECISE</stp>
        <stp>FS=MRC</stp>
        <stp>CURRENCY=USD</stp>
        <stp>XLFILL=b</stp>
        <tr r="AS235" s="2"/>
      </tp>
      <tp t="s">
        <v>#N/A Requesting Data...</v>
        <stp/>
        <stp>##V3_BQLV12</stp>
        <stp>[MODL_NOW_US1.xlsx]Single Period!R131C33</stp>
        <stp>NOW US Equity</stp>
        <stp>IS_AVG_NUM_SH_FOR_EPS/1M</stp>
        <stp>FPR=2021Y</stp>
        <stp>FPT=A</stp>
        <stp>FA_ACT_EST_DATA=E, EST_SOURCE=MAC</stp>
        <stp>ACT_EST_MAPPING=PRECISE</stp>
        <stp>FS=MRC</stp>
        <stp>CURRENCY=USD</stp>
        <stp>XLFILL=b</stp>
        <tr r="AG131" s="2"/>
      </tp>
      <tp t="s">
        <v>#N/A Requesting Data...</v>
        <stp/>
        <stp>##V3_BQLV12</stp>
        <stp>[MODL_NOW_US1.xlsx]Single Period!R83C14</stp>
        <stp>NOW US Equity</stp>
        <stp>IS_ADJUSTED_COGS_AS_REPORTED/1M</stp>
        <stp>FPR=2021Y</stp>
        <stp>FPT=A</stp>
        <stp>FA_ACT_EST_DATA=E, EST_SOURCE=BMO</stp>
        <stp>ACT_EST_MAPPING=PRECISE</stp>
        <stp>FS=MRC</stp>
        <stp>CURRENCY=USD</stp>
        <stp>XLFILL=b</stp>
        <tr r="N83" s="2"/>
      </tp>
      <tp t="s">
        <v>#N/A Requesting Data...</v>
        <stp/>
        <stp>##V3_BQLV12</stp>
        <stp>[MODL_NOW_US1.xlsx]Single Period!R61C47</stp>
        <stp>SEG0000230975 Segment</stp>
        <stp>IS_ADJ_GROSS_PROFIT_AS_REPORTED/1M</stp>
        <stp>FPR=2021Y</stp>
        <stp>FPT=A</stp>
        <stp>FA_ACT_EST_DATA=E, EST_SOURCE=SUM</stp>
        <stp>ACT_EST_MAPPING=PRECISE</stp>
        <stp>FS=MRC</stp>
        <stp>CURRENCY=USD</stp>
        <stp>XLFILL=b</stp>
        <tr r="AU61" s="2"/>
      </tp>
      <tp t="s">
        <v>#N/A Requesting Data...</v>
        <stp/>
        <stp>##V3_BQLV12</stp>
        <stp>[MODL_NOW_US1.xlsx]Single Period!R209C41</stp>
        <stp>NOW US Equity</stp>
        <stp>CF_CHANGE_IN_ACCOUNTS_PAYABLE/1M</stp>
        <stp>FPR=2021Y</stp>
        <stp>FPT=A</stp>
        <stp>FA_ACT_EST_DATA=E, EST_SOURCE=ARG</stp>
        <stp>ACT_EST_MAPPING=PRECISE</stp>
        <stp>FS=MRC</stp>
        <stp>CURRENCY=USD</stp>
        <stp>XLFILL=b</stp>
        <tr r="AO209" s="2"/>
      </tp>
      <tp t="s">
        <v>#N/A Requesting Data...</v>
        <stp/>
        <stp>##V3_BQLV12</stp>
        <stp>[MODL_NOW_US1.xlsx]Single Period!R77C33</stp>
        <stp>SEG0000230969 Segment</stp>
        <stp>SALES_REV_TURN/1M</stp>
        <stp>FPR=2021Y</stp>
        <stp>FPT=A</stp>
        <stp>FA_ACT_EST_DATA=E, EST_SOURCE=MAC</stp>
        <stp>ACT_EST_MAPPING=PRECISE</stp>
        <stp>FS=MRC</stp>
        <stp>CURRENCY=USD</stp>
        <stp>XLFILL=b</stp>
        <tr r="AG77" s="2"/>
      </tp>
      <tp t="s">
        <v>#N/A Requesting Data...</v>
        <stp/>
        <stp>##V3_BQLV12</stp>
        <stp>[MODL_NOW_US1.xlsx]Single Period!R128C5</stp>
        <stp>NOW US Equity</stp>
        <stp>IS_INC_TAX_EXP/1M</stp>
        <stp>FPR=2021Y</stp>
        <stp>FPT=A</stp>
        <stp>FA_ACT_EST_DATA=E</stp>
        <stp>ACT_EST_MAPPING=PRECISE</stp>
        <stp>FS=MRC</stp>
        <stp>CURRENCY=USD</stp>
        <stp>XLFILL=b</stp>
        <tr r="E128" s="2"/>
      </tp>
      <tp t="s">
        <v>#N/A Requesting Data...</v>
        <stp/>
        <stp>##V3_BQLV12</stp>
        <stp>[MODL_NOW_US1.xlsx]Single Period!R119C49</stp>
        <stp>NOW US Equity</stp>
        <stp>CB_IS_S_AND_M_EXPENSE/1M</stp>
        <stp>FPR=2021Y</stp>
        <stp>FPT=A</stp>
        <stp>FA_ACT_EST_DATA=E, EST_SOURCE=SCB</stp>
        <stp>ACT_EST_MAPPING=PRECISE</stp>
        <stp>FS=MRC</stp>
        <stp>CURRENCY=USD</stp>
        <stp>XLFILL=b</stp>
        <tr r="AW119" s="2"/>
      </tp>
      <tp t="s">
        <v>#N/A Requesting Data...</v>
        <stp/>
        <stp>##V3_BQLV12</stp>
        <stp>[MODL_NOW_US1.xlsx]Single Period!R66C18</stp>
        <stp>SEG0000230986 Segment</stp>
        <stp>SALES_REV_TURN/1M</stp>
        <stp>FPR=2021Y</stp>
        <stp>FPT=A</stp>
        <stp>FA_ACT_EST_DATA=E, EST_SOURCE=SNR</stp>
        <stp>ACT_EST_MAPPING=PRECISE</stp>
        <stp>FS=MRC</stp>
        <stp>CURRENCY=USD</stp>
        <stp>XLFILL=b</stp>
        <tr r="R66" s="2"/>
      </tp>
      <tp t="s">
        <v>#N/A Requesting Data...</v>
        <stp/>
        <stp>##V3_BQLV12</stp>
        <stp>[MODL_NOW_US1.xlsx]Single Period!R20C17</stp>
        <stp>SEG0000230986 Segment</stp>
        <stp>SALES_REV_TURN/1M</stp>
        <stp>FPR=2021Y</stp>
        <stp>FPT=A</stp>
        <stp>FA_ACT_EST_DATA=E, EST_SOURCE=RHR</stp>
        <stp>ACT_EST_MAPPING=PRECISE</stp>
        <stp>FS=MRC</stp>
        <stp>CURRENCY=USD</stp>
        <stp>XLFILL=b</stp>
        <tr r="Q20" s="2"/>
      </tp>
      <tp t="s">
        <v>#N/A Requesting Data...</v>
        <stp/>
        <stp>##V3_BQLV12</stp>
        <stp>[MODL_NOW_US1.xlsx]Single Period!R99C20</stp>
        <stp>NOW US Equity</stp>
        <stp>IS_COMPARABLE_EBITDA/1M</stp>
        <stp>FPR=2021Y</stp>
        <stp>FPT=A</stp>
        <stp>FA_ACT_EST_DATA=E, EST_SOURCE=CAN</stp>
        <stp>ACT_EST_MAPPING=PRECISE</stp>
        <stp>FS=MRC</stp>
        <stp>CURRENCY=USD</stp>
        <stp>XLFILL=b</stp>
        <tr r="T99" s="2"/>
      </tp>
      <tp t="s">
        <v>#N/A Requesting Data...</v>
        <stp/>
        <stp>##V3_BQLV12</stp>
        <stp>[MODL_NOW_US1.xlsx]Single Period!R99C12</stp>
        <stp>NOW US Equity</stp>
        <stp>IS_COMPARABLE_EBITDA/1M</stp>
        <stp>FPR=2021Y</stp>
        <stp>FPT=A</stp>
        <stp>FA_ACT_EST_DATA=E, EST_SOURCE=WBL</stp>
        <stp>ACT_EST_MAPPING=PRECISE</stp>
        <stp>FS=MRC</stp>
        <stp>CURRENCY=USD</stp>
        <stp>XLFILL=b</stp>
        <tr r="L99" s="2"/>
      </tp>
      <tp t="s">
        <v>#N/A Requesting Data...</v>
        <stp/>
        <stp>##V3_BQLV12</stp>
        <stp>[MODL_NOW_US1.xlsx]Single Period!R69C28</stp>
        <stp>SEG0000230986 Segment</stp>
        <stp>IS_ADJ_GROSS_PROFIT_AS_REPORTED/1M</stp>
        <stp>FPR=2021Y</stp>
        <stp>FPT=A</stp>
        <stp>FA_ACT_EST_DATA=E, EST_SOURCE=EVR</stp>
        <stp>ACT_EST_MAPPING=PRECISE</stp>
        <stp>FS=MRC</stp>
        <stp>CURRENCY=USD</stp>
        <stp>XLFILL=b</stp>
        <tr r="AB69" s="2"/>
      </tp>
      <tp t="s">
        <v>#N/A Requesting Data...</v>
        <stp/>
        <stp>##V3_BQLV12</stp>
        <stp>[MODL_NOW_US1.xlsx]Single Period!R143C23</stp>
        <stp>NOW US Equity</stp>
        <stp>IS_SBC_ATTRIBUTABLE_TO_R_AND_D_PRETX/1M</stp>
        <stp>FPR=2021Y</stp>
        <stp>FPT=A</stp>
        <stp>FA_ACT_EST_DATA=E, EST_SOURCE=ZXS</stp>
        <stp>ACT_EST_MAPPING=PRECISE</stp>
        <stp>FS=MRC</stp>
        <stp>CURRENCY=USD</stp>
        <stp>XLFILL=b</stp>
        <tr r="W143" s="2"/>
      </tp>
      <tp t="s">
        <v>#N/A Requesting Data...</v>
        <stp/>
        <stp>##V3_BQLV12</stp>
        <stp>[MODL_NOW_US1.xlsx]Single Period!R66C29</stp>
        <stp>SEG0000230986 Segment</stp>
        <stp>SALES_REV_TURN/1M</stp>
        <stp>FPR=2021Y</stp>
        <stp>FPT=A</stp>
        <stp>FA_ACT_EST_DATA=E, EST_SOURCE=BNS</stp>
        <stp>ACT_EST_MAPPING=PRECISE</stp>
        <stp>FS=MRC</stp>
        <stp>CURRENCY=USD</stp>
        <stp>XLFILL=b</stp>
        <tr r="AC66" s="2"/>
      </tp>
      <tp t="s">
        <v>#N/A Requesting Data...</v>
        <stp/>
        <stp>##V3_BQLV12</stp>
        <stp>[MODL_NOW_US1.xlsx]Single Period!R54C29</stp>
        <stp>NOW US Equity</stp>
        <stp>IS_FOREIGN_CURRENCY_TURNOVER/1M</stp>
        <stp>FPR=2021Y</stp>
        <stp>FPT=A</stp>
        <stp>FA_ACT_EST_DATA=E, EST_SOURCE=BNS</stp>
        <stp>ACT_EST_MAPPING=PRECISE</stp>
        <stp>FS=MRC</stp>
        <stp>CURRENCY=USD</stp>
        <stp>XLFILL=b</stp>
        <tr r="AC54" s="2"/>
      </tp>
      <tp t="s">
        <v>#N/A Requesting Data...</v>
        <stp/>
        <stp>##V3_BQLV12</stp>
        <stp>[MODL_NOW_US1.xlsx]Single Period!R169C14</stp>
        <stp>NOW US Equity</stp>
        <stp>CB_BS_OTHER_NONCURRENT_ASSETS/1M</stp>
        <stp>FPR=2021Y</stp>
        <stp>FPT=A</stp>
        <stp>FA_ACT_EST_DATA=E, EST_SOURCE=BMO</stp>
        <stp>ACT_EST_MAPPING=PRECISE</stp>
        <stp>FS=MRC</stp>
        <stp>CURRENCY=USD</stp>
        <stp>XLFILL=b</stp>
        <tr r="N169" s="2"/>
      </tp>
      <tp t="s">
        <v>#N/A Requesting Data...</v>
        <stp/>
        <stp>##V3_BQLV12</stp>
        <stp>[MODL_NOW_US1.xlsx]Single Period!R83C29</stp>
        <stp>NOW US Equity</stp>
        <stp>IS_ADJUSTED_COGS_AS_REPORTED/1M</stp>
        <stp>FPR=2021Y</stp>
        <stp>FPT=A</stp>
        <stp>FA_ACT_EST_DATA=E, EST_SOURCE=BNS</stp>
        <stp>ACT_EST_MAPPING=PRECISE</stp>
        <stp>FS=MRC</stp>
        <stp>CURRENCY=USD</stp>
        <stp>XLFILL=b</stp>
        <tr r="AC83" s="2"/>
      </tp>
      <tp t="s">
        <v>#N/A Requesting Data...</v>
        <stp/>
        <stp>##V3_BQLV12</stp>
        <stp>[MODL_NOW_US1.xlsx]Single Period!R207C22</stp>
        <stp>NOW US Equity</stp>
        <stp>CB_CF_CHANGE_IN_ACCOUNTS_RECEIVABLE/1M</stp>
        <stp>FPR=2021Y</stp>
        <stp>FPT=A</stp>
        <stp>FA_ACT_EST_DATA=E, EST_SOURCE=NDH</stp>
        <stp>ACT_EST_MAPPING=PRECISE</stp>
        <stp>FS=MRC</stp>
        <stp>CURRENCY=USD</stp>
        <stp>XLFILL=b</stp>
        <tr r="V207" s="2"/>
      </tp>
      <tp t="s">
        <v>#N/A Requesting Data...</v>
        <stp/>
        <stp>##V3_BQLV12</stp>
        <stp>[MODL_NOW_US1.xlsx]Single Period!R235C17</stp>
        <stp>NOW US Equity</stp>
        <stp>CF_FREE_CASH_FLOW_AS_REPORTED/1M</stp>
        <stp>FPR=2021Y</stp>
        <stp>FPT=A</stp>
        <stp>FA_ACT_EST_DATA=E, EST_SOURCE=RHR</stp>
        <stp>ACT_EST_MAPPING=PRECISE</stp>
        <stp>FS=MRC</stp>
        <stp>CURRENCY=USD</stp>
        <stp>XLFILL=b</stp>
        <tr r="Q235" s="2"/>
      </tp>
      <tp t="s">
        <v>#N/A Requesting Data...</v>
        <stp/>
        <stp>##V3_BQLV12</stp>
        <stp>[MODL_NOW_US1.xlsx]Single Period!R3C40</stp>
        <stp>NOW US Equity</stp>
        <stp>LAST(IS_COMP_SALES(FA_ACT_EST_DATA=E, EST_SOURCE=DWI).firm_name)</stp>
        <stp>FPR=2021Y</stp>
        <stp>FPT=A</stp>
        <stp>ACT_EST_MAPPING=PRECISE</stp>
        <stp>FS=MRC</stp>
        <stp>CURRENCY=USD</stp>
        <stp>XLFILL=b</stp>
        <tr r="AN3" s="2"/>
      </tp>
      <tp t="s">
        <v>#N/A Requesting Data...</v>
        <stp/>
        <stp>##V3_BQLV12</stp>
        <stp>[MODL_NOW_US1.xlsx]Single Period!R3C24</stp>
        <stp>NOW US Equity</stp>
        <stp>LAST(IS_COMP_SALES(FA_ACT_EST_DATA=E, EST_SOURCE=CWN).firm_name)</stp>
        <stp>FPR=2021Y</stp>
        <stp>FPT=A</stp>
        <stp>ACT_EST_MAPPING=PRECISE</stp>
        <stp>FS=MRC</stp>
        <stp>CURRENCY=USD</stp>
        <stp>XLFILL=b</stp>
        <tr r="X3" s="2"/>
      </tp>
      <tp t="s">
        <v>#N/A Requesting Data...</v>
        <stp/>
        <stp>##V3_BQLV12</stp>
        <stp>[MODL_NOW_US1.xlsx]Single Period!R221C10</stp>
        <stp>NOW US Equity</stp>
        <stp>CB_CF_OTHER_INVESTING_ACTIVITIES/1M</stp>
        <stp>FPR=2021Y</stp>
        <stp>FPT=A</stp>
        <stp>FA_ACT_EST_DATA=E, EST_SOURCE=CMPY</stp>
        <stp>ACT_EST_MAPPING=PRECISE</stp>
        <stp>FS=MRC</stp>
        <stp>CURRENCY=USD</stp>
        <stp>XLFILL=b</stp>
        <tr r="J221" s="2"/>
      </tp>
      <tp t="s">
        <v>#N/A Requesting Data...</v>
        <stp/>
        <stp>##V3_BQLV12</stp>
        <stp>[MODL_NOW_US1.xlsx]Single Period!R134C26</stp>
        <stp>NOW US Equity</stp>
        <stp>IS_COMP_EPS_GAAP</stp>
        <stp>FPR=2021Y</stp>
        <stp>FPT=A</stp>
        <stp>FA_ACT_EST_DATA=E, EST_SOURCE=UBS</stp>
        <stp>ACT_EST_MAPPING=PRECISE</stp>
        <stp>FS=MRC</stp>
        <stp>CURRENCY=USD</stp>
        <stp>XLFILL=b</stp>
        <tr r="Z134" s="2"/>
      </tp>
      <tp t="s">
        <v>#N/A Requesting Data...</v>
        <stp/>
        <stp>##V3_BQLV12</stp>
        <stp>[MODL_NOW_US1.xlsx]Single Period!R3C38</stp>
        <stp>NOW US Equity</stp>
        <stp>LAST(IS_COMP_SALES(FA_ACT_EST_DATA=E, EST_SOURCE=RWB).firm_name)</stp>
        <stp>FPR=2021Y</stp>
        <stp>FPT=A</stp>
        <stp>ACT_EST_MAPPING=PRECISE</stp>
        <stp>FS=MRC</stp>
        <stp>CURRENCY=USD</stp>
        <stp>XLFILL=b</stp>
        <tr r="AL3" s="2"/>
      </tp>
      <tp t="s">
        <v>#N/A Requesting Data...</v>
        <stp/>
        <stp>##V3_BQLV12</stp>
        <stp>[MODL_NOW_US1.xlsx]Single Period!R201C35</stp>
        <stp>NOW US Equity</stp>
        <stp>D_AND_A_TO_SALES</stp>
        <stp>FPR=2021Y</stp>
        <stp>FPT=A</stp>
        <stp>FA_ACT_EST_DATA=E, EST_SOURCE=MSR</stp>
        <stp>ACT_EST_MAPPING=PRECISE</stp>
        <stp>FS=MRC</stp>
        <stp>CURRENCY=USD</stp>
        <stp>XLFILL=b</stp>
        <tr r="AI201" s="2"/>
      </tp>
      <tp t="s">
        <v>#N/A Requesting Data...</v>
        <stp/>
        <stp>##V3_BQLV12</stp>
        <stp>[MODL_NOW_US1.xlsx]Single Period!R116C9</stp>
        <stp>NOW US Equity</stp>
        <stp>CONTRIBUTOR_STATS(GROSS_MARGIN, MEDIAN)</stp>
        <stp>FPR=2021Y</stp>
        <stp>FPT=A</stp>
        <stp>FA_ACT_EST_DATA=E</stp>
        <stp>ACT_EST_MAPPING=PRECISE</stp>
        <stp>FS=MRC</stp>
        <stp>CURRENCY=USD</stp>
        <stp>XLFILL=b</stp>
        <tr r="I116" s="2"/>
      </tp>
      <tp t="s">
        <v>#N/A Requesting Data...</v>
        <stp/>
        <stp>##V3_BQLV12</stp>
        <stp>[MODL_NOW_US1.xlsx]Single Period!R201C42</stp>
        <stp>NOW US Equity</stp>
        <stp>D_AND_A_TO_SALES</stp>
        <stp>FPR=2021Y</stp>
        <stp>FPT=A</stp>
        <stp>FA_ACT_EST_DATA=E, EST_SOURCE=CTI</stp>
        <stp>ACT_EST_MAPPING=PRECISE</stp>
        <stp>FS=MRC</stp>
        <stp>CURRENCY=USD</stp>
        <stp>XLFILL=b</stp>
        <tr r="AP201" s="2"/>
      </tp>
      <tp t="s">
        <v>#N/A Requesting Data...</v>
        <stp/>
        <stp>##V3_BQLV12</stp>
        <stp>[MODL_NOW_US1.xlsx]Single Period!R227C10</stp>
        <stp>NOW US Equity</stp>
        <stp>CF_NET_CSH_PROV_BY_FINANCING_ACT/1M</stp>
        <stp>FPR=2021Y</stp>
        <stp>FPT=A</stp>
        <stp>FA_ACT_EST_DATA=E, EST_SOURCE=CMPY</stp>
        <stp>ACT_EST_MAPPING=PRECISE</stp>
        <stp>FS=MRC</stp>
        <stp>CURRENCY=USD</stp>
        <stp>XLFILL=b</stp>
        <tr r="J227" s="2"/>
      </tp>
      <tp t="s">
        <v>#N/A Requesting Data...</v>
        <stp/>
        <stp>##V3_BQLV12</stp>
        <stp>[MODL_NOW_US1.xlsx]Single Period!R85C32</stp>
        <stp>NOW US Equity</stp>
        <stp>IS_COMP_GROSS_MARGIN_PERCENTAGE</stp>
        <stp>FPR=2021Y</stp>
        <stp>FPT=A</stp>
        <stp>FA_ACT_EST_DATA=E, EST_SOURCE=FBC</stp>
        <stp>ACT_EST_MAPPING=PRECISE</stp>
        <stp>FS=MRC</stp>
        <stp>CURRENCY=USD</stp>
        <stp>XLFILL=b</stp>
        <tr r="AF85" s="2"/>
      </tp>
      <tp t="s">
        <v>#N/A Requesting Data...</v>
        <stp/>
        <stp>##V3_BQLV12</stp>
        <stp>[MODL_NOW_US1.xlsx]Single Period!R201C44</stp>
        <stp>NOW US Equity</stp>
        <stp>D_AND_A_TO_SALES</stp>
        <stp>FPR=2021Y</stp>
        <stp>FPT=A</stp>
        <stp>FA_ACT_EST_DATA=E, EST_SOURCE=ARE</stp>
        <stp>ACT_EST_MAPPING=PRECISE</stp>
        <stp>FS=MRC</stp>
        <stp>CURRENCY=USD</stp>
        <stp>XLFILL=b</stp>
        <tr r="AR201" s="2"/>
      </tp>
      <tp t="s">
        <v>#N/A Requesting Data...</v>
        <stp/>
        <stp>##V3_BQLV12</stp>
        <stp>[MODL_NOW_US1.xlsx]Single Period!R25C32</stp>
        <stp>NOW US Equity</stp>
        <stp>IS_COMP_GROSS_MARGIN_PERCENTAGE</stp>
        <stp>FPR=2021Y</stp>
        <stp>FPT=A</stp>
        <stp>FA_ACT_EST_DATA=E, EST_SOURCE=FBC</stp>
        <stp>ACT_EST_MAPPING=PRECISE</stp>
        <stp>FS=MRC</stp>
        <stp>CURRENCY=USD</stp>
        <stp>XLFILL=b</stp>
        <tr r="AF25" s="2"/>
      </tp>
      <tp t="s">
        <v>#N/A Requesting Data...</v>
        <stp/>
        <stp>##V3_BQLV12</stp>
        <stp>[MODL_NOW_US1.xlsx]Single Period!R204C31</stp>
        <stp>NOW US Equity</stp>
        <stp>CF_DEF_INC_TAX/1M</stp>
        <stp>FPR=2021Y</stp>
        <stp>FPT=A</stp>
        <stp>FA_ACT_EST_DATA=E, EST_SOURCE=GSR</stp>
        <stp>ACT_EST_MAPPING=PRECISE</stp>
        <stp>FS=MRC</stp>
        <stp>CURRENCY=USD</stp>
        <stp>XLFILL=b</stp>
        <tr r="AE204" s="2"/>
      </tp>
      <tp t="s">
        <v>#N/A Requesting Data...</v>
        <stp/>
        <stp>##V3_BQLV12</stp>
        <stp>[MODL_NOW_US1.xlsx]Single Period!R204C35</stp>
        <stp>NOW US Equity</stp>
        <stp>CF_DEF_INC_TAX/1M</stp>
        <stp>FPR=2021Y</stp>
        <stp>FPT=A</stp>
        <stp>FA_ACT_EST_DATA=E, EST_SOURCE=MSR</stp>
        <stp>ACT_EST_MAPPING=PRECISE</stp>
        <stp>FS=MRC</stp>
        <stp>CURRENCY=USD</stp>
        <stp>XLFILL=b</stp>
        <tr r="AI204" s="2"/>
      </tp>
      <tp t="s">
        <v>#N/A Requesting Data...</v>
        <stp/>
        <stp>##V3_BQLV12</stp>
        <stp>[MODL_NOW_US1.xlsx]Single Period!R204C19</stp>
        <stp>NOW US Equity</stp>
        <stp>CF_DEF_INC_TAX/1M</stp>
        <stp>FPR=2021Y</stp>
        <stp>FPT=A</stp>
        <stp>FA_ACT_EST_DATA=E, EST_SOURCE=MSV</stp>
        <stp>ACT_EST_MAPPING=PRECISE</stp>
        <stp>FS=MRC</stp>
        <stp>CURRENCY=USD</stp>
        <stp>XLFILL=b</stp>
        <tr r="S204" s="2"/>
      </tp>
      <tp t="s">
        <v>#N/A Requesting Data...</v>
        <stp/>
        <stp>##V3_BQLV12</stp>
        <stp>[MODL_NOW_US1.xlsx]Single Period!R195C41</stp>
        <stp>NOW US Equity</stp>
        <stp>CB_BS_DEFERRED_COST_LT/1M</stp>
        <stp>FPR=2021Y</stp>
        <stp>FPT=A</stp>
        <stp>FA_ACT_EST_DATA=E, EST_SOURCE=ARG</stp>
        <stp>ACT_EST_MAPPING=PRECISE</stp>
        <stp>FS=MRC</stp>
        <stp>CURRENCY=USD</stp>
        <stp>XLFILL=b</stp>
        <tr r="AO195" s="2"/>
      </tp>
      <tp t="s">
        <v>#N/A Requesting Data...</v>
        <stp/>
        <stp>##V3_BQLV12</stp>
        <stp>[MODL_NOW_US1.xlsx]Single Period!R123C47</stp>
        <stp>NOW US Equity</stp>
        <stp>TOTAL_OPERATING_EXPENSES_RATIO/1M</stp>
        <stp>FPR=2021Y</stp>
        <stp>FPT=A</stp>
        <stp>FA_ACT_EST_DATA=E, EST_SOURCE=SUM</stp>
        <stp>ACT_EST_MAPPING=PRECISE</stp>
        <stp>FS=MRC</stp>
        <stp>CURRENCY=USD</stp>
        <stp>XLFILL=b</stp>
        <tr r="AU123" s="2"/>
      </tp>
      <tp t="s">
        <v>#N/A Requesting Data...</v>
        <stp/>
        <stp>##V3_BQLV12</stp>
        <stp>[MODL_NOW_US1.xlsx]Single Period!R195C44</stp>
        <stp>NOW US Equity</stp>
        <stp>CB_BS_DEFERRED_COST_LT/1M</stp>
        <stp>FPR=2021Y</stp>
        <stp>FPT=A</stp>
        <stp>FA_ACT_EST_DATA=E, EST_SOURCE=ARE</stp>
        <stp>ACT_EST_MAPPING=PRECISE</stp>
        <stp>FS=MRC</stp>
        <stp>CURRENCY=USD</stp>
        <stp>XLFILL=b</stp>
        <tr r="AR195" s="2"/>
      </tp>
      <tp t="s">
        <v>#N/A Requesting Data...</v>
        <stp/>
        <stp>##V3_BQLV12</stp>
        <stp>[MODL_NOW_US1.xlsx]Single Period!R195C48</stp>
        <stp>NOW US Equity</stp>
        <stp>CB_BS_DEFERRED_COST_LT/1M</stp>
        <stp>FPR=2021Y</stp>
        <stp>FPT=A</stp>
        <stp>FA_ACT_EST_DATA=E, EST_SOURCE=CRC</stp>
        <stp>ACT_EST_MAPPING=PRECISE</stp>
        <stp>FS=MRC</stp>
        <stp>CURRENCY=USD</stp>
        <stp>XLFILL=b</stp>
        <tr r="AV195" s="2"/>
      </tp>
      <tp t="s">
        <v>#N/A Requesting Data...</v>
        <stp/>
        <stp>##V3_BQLV12</stp>
        <stp>[MODL_NOW_US1.xlsx]Single Period!R10C15</stp>
        <stp>NOW US Equity</stp>
        <stp>BILLNG_AMOUNT_GROWTH_PCT</stp>
        <stp>FPR=2021Y</stp>
        <stp>FPT=A</stp>
        <stp>FA_ACT_EST_DATA=E, EST_SOURCE=OPY</stp>
        <stp>ACT_EST_MAPPING=PRECISE</stp>
        <stp>FS=MRC</stp>
        <stp>CURRENCY=USD</stp>
        <stp>XLFILL=b</stp>
        <tr r="O10" s="2"/>
      </tp>
      <tp t="s">
        <v>#N/A Requesting Data...</v>
        <stp/>
        <stp>##V3_BQLV12</stp>
        <stp>[MODL_NOW_US1.xlsx]Single Period!R233C18</stp>
        <stp>NOW US Equity</stp>
        <stp>CF_CASH_AND_CASH_EQUIV_END_BAL/1M</stp>
        <stp>FPR=2021Y</stp>
        <stp>FPT=A</stp>
        <stp>FA_ACT_EST_DATA=E, EST_SOURCE=SNR</stp>
        <stp>ACT_EST_MAPPING=PRECISE</stp>
        <stp>FS=MRC</stp>
        <stp>CURRENCY=USD</stp>
        <stp>XLFILL=b</stp>
        <tr r="R233" s="2"/>
      </tp>
      <tp t="s">
        <v>#N/A Requesting Data...</v>
        <stp/>
        <stp>##V3_BQLV12</stp>
        <stp>[MODL_NOW_US1.xlsx]Single Period!R233C29</stp>
        <stp>NOW US Equity</stp>
        <stp>CF_CASH_AND_CASH_EQUIV_END_BAL/1M</stp>
        <stp>FPR=2021Y</stp>
        <stp>FPT=A</stp>
        <stp>FA_ACT_EST_DATA=E, EST_SOURCE=BNS</stp>
        <stp>ACT_EST_MAPPING=PRECISE</stp>
        <stp>FS=MRC</stp>
        <stp>CURRENCY=USD</stp>
        <stp>XLFILL=b</stp>
        <tr r="AC233" s="2"/>
      </tp>
      <tp t="s">
        <v>#N/A Requesting Data...</v>
        <stp/>
        <stp>##V3_BQLV12</stp>
        <stp>[MODL_NOW_US1.xlsx]Single Period!R204C34</stp>
        <stp>NOW US Equity</stp>
        <stp>CF_DEF_INC_TAX/1M</stp>
        <stp>FPR=2021Y</stp>
        <stp>FPT=A</stp>
        <stp>FA_ACT_EST_DATA=E, EST_SOURCE=PSG</stp>
        <stp>ACT_EST_MAPPING=PRECISE</stp>
        <stp>FS=MRC</stp>
        <stp>CURRENCY=USD</stp>
        <stp>XLFILL=b</stp>
        <tr r="AH204" s="2"/>
      </tp>
      <tp t="s">
        <v>#N/A Requesting Data...</v>
        <stp/>
        <stp>##V3_BQLV12</stp>
        <stp>[MODL_NOW_US1.xlsx]Single Period!R226C22</stp>
        <stp>NOW US Equity</stp>
        <stp>CF_OTHER_FINANCING_ACT_EXCL_FX/1M</stp>
        <stp>FPR=2021Y</stp>
        <stp>FPT=A</stp>
        <stp>FA_ACT_EST_DATA=E, EST_SOURCE=NDH</stp>
        <stp>ACT_EST_MAPPING=PRECISE</stp>
        <stp>FS=MRC</stp>
        <stp>CURRENCY=USD</stp>
        <stp>XLFILL=b</stp>
        <tr r="V226" s="2"/>
      </tp>
      <tp t="s">
        <v>#N/A Requesting Data...</v>
        <stp/>
        <stp>##V3_BQLV12</stp>
        <stp>[MODL_NOW_US1.xlsx]Single Period!R63C10</stp>
        <stp>SEG0000230975 Segment</stp>
        <stp>CB_IS_GROSS_PROFIT/1M</stp>
        <stp>FPR=2021Y</stp>
        <stp>FPT=A</stp>
        <stp>FA_ACT_EST_DATA=E, EST_SOURCE=CMPY</stp>
        <stp>ACT_EST_MAPPING=PRECISE</stp>
        <stp>FS=MRC</stp>
        <stp>CURRENCY=USD</stp>
        <stp>XLFILL=b</stp>
        <tr r="J63" s="2"/>
      </tp>
      <tp t="s">
        <v>#N/A Requesting Data...</v>
        <stp/>
        <stp>##V3_BQLV12</stp>
        <stp>[MODL_NOW_US1.xlsx]Single Period!R9C16</stp>
        <stp>NOW US Equity</stp>
        <stp>IS_BILLINGS/1M</stp>
        <stp>FPR=2021Y</stp>
        <stp>FPT=A</stp>
        <stp>FA_ACT_EST_DATA=E, EST_SOURCE=BCA</stp>
        <stp>ACT_EST_MAPPING=PRECISE</stp>
        <stp>FS=MRC</stp>
        <stp>CURRENCY=USD</stp>
        <stp>XLFILL=b</stp>
        <tr r="P9" s="2"/>
      </tp>
      <tp t="s">
        <v>#N/A Requesting Data...</v>
        <stp/>
        <stp>##V3_BQLV12</stp>
        <stp>[MODL_NOW_US1.xlsx]Single Period!R203C18</stp>
        <stp>NOW US Equity</stp>
        <stp>AMORTIZATN_OF_FINNCNG_COSTS/1M</stp>
        <stp>FPR=2021Y</stp>
        <stp>FPT=A</stp>
        <stp>FA_ACT_EST_DATA=E, EST_SOURCE=SNR</stp>
        <stp>ACT_EST_MAPPING=PRECISE</stp>
        <stp>FS=MRC</stp>
        <stp>CURRENCY=USD</stp>
        <stp>XLFILL=b</stp>
        <tr r="R203" s="2"/>
      </tp>
      <tp t="s">
        <v>#N/A Requesting Data...</v>
        <stp/>
        <stp>##V3_BQLV12</stp>
        <stp>[MODL_NOW_US1.xlsx]Single Period!R203C29</stp>
        <stp>NOW US Equity</stp>
        <stp>AMORTIZATN_OF_FINNCNG_COSTS/1M</stp>
        <stp>FPR=2021Y</stp>
        <stp>FPT=A</stp>
        <stp>FA_ACT_EST_DATA=E, EST_SOURCE=BNS</stp>
        <stp>ACT_EST_MAPPING=PRECISE</stp>
        <stp>FS=MRC</stp>
        <stp>CURRENCY=USD</stp>
        <stp>XLFILL=b</stp>
        <tr r="AC203" s="2"/>
      </tp>
      <tp t="s">
        <v>#N/A Requesting Data...</v>
        <stp/>
        <stp>##V3_BQLV12</stp>
        <stp>[MODL_NOW_US1.xlsx]Single Period!R124C18</stp>
        <stp>NOW US Equity</stp>
        <stp>IS_EBIT_AS_REPORTED/1M</stp>
        <stp>FPR=2021Y</stp>
        <stp>FPT=A</stp>
        <stp>FA_ACT_EST_DATA=E, EST_SOURCE=SNR</stp>
        <stp>ACT_EST_MAPPING=PRECISE</stp>
        <stp>FS=MRC</stp>
        <stp>CURRENCY=USD</stp>
        <stp>XLFILL=b</stp>
        <tr r="R124" s="2"/>
      </tp>
      <tp t="s">
        <v>#N/A Requesting Data...</v>
        <stp/>
        <stp>##V3_BQLV12</stp>
        <stp>[MODL_NOW_US1.xlsx]Single Period!R9C49</stp>
        <stp>NOW US Equity</stp>
        <stp>IS_BILLINGS/1M</stp>
        <stp>FPR=2021Y</stp>
        <stp>FPT=A</stp>
        <stp>FA_ACT_EST_DATA=E, EST_SOURCE=SCB</stp>
        <stp>ACT_EST_MAPPING=PRECISE</stp>
        <stp>FS=MRC</stp>
        <stp>CURRENCY=USD</stp>
        <stp>XLFILL=b</stp>
        <tr r="AW9" s="2"/>
      </tp>
      <tp t="s">
        <v>#N/A Requesting Data...</v>
        <stp/>
        <stp>##V3_BQLV12</stp>
        <stp>[MODL_NOW_US1.xlsx]Single Period!R124C29</stp>
        <stp>NOW US Equity</stp>
        <stp>IS_EBIT_AS_REPORTED/1M</stp>
        <stp>FPR=2021Y</stp>
        <stp>FPT=A</stp>
        <stp>FA_ACT_EST_DATA=E, EST_SOURCE=BNS</stp>
        <stp>ACT_EST_MAPPING=PRECISE</stp>
        <stp>FS=MRC</stp>
        <stp>CURRENCY=USD</stp>
        <stp>XLFILL=b</stp>
        <tr r="AC124" s="2"/>
      </tp>
      <tp t="s">
        <v>#N/A Requesting Data...</v>
        <stp/>
        <stp>##V3_BQLV12</stp>
        <stp>[MODL_NOW_US1.xlsx]Single Period!R139C11</stp>
        <stp>NOW US Equity</stp>
        <stp>IS_SBC_ATTRIB_TO_COGS_PRETX/1M</stp>
        <stp>FPR=2021Y</stp>
        <stp>FPT=A</stp>
        <stp>FA_ACT_EST_DATA=E, EST_SOURCE=JPM</stp>
        <stp>ACT_EST_MAPPING=PRECISE</stp>
        <stp>FS=MRC</stp>
        <stp>CURRENCY=USD</stp>
        <stp>XLFILL=b</stp>
        <tr r="K139" s="2"/>
      </tp>
      <tp t="s">
        <v>#N/A Requesting Data...</v>
        <stp/>
        <stp>##V3_BQLV12</stp>
        <stp>[MODL_NOW_US1.xlsx]Single Period!R230C19</stp>
        <stp>NOW US Equity</stp>
        <stp>CF_EFFECT_FOREIGN_EXCHANGES/1M</stp>
        <stp>FPR=2021Y</stp>
        <stp>FPT=A</stp>
        <stp>FA_ACT_EST_DATA=E, EST_SOURCE=MSV</stp>
        <stp>ACT_EST_MAPPING=PRECISE</stp>
        <stp>FS=MRC</stp>
        <stp>CURRENCY=USD</stp>
        <stp>XLFILL=b</stp>
        <tr r="S230" s="2"/>
      </tp>
      <tp t="s">
        <v>#N/A Requesting Data...</v>
        <stp/>
        <stp>##V3_BQLV12</stp>
        <stp>[MODL_NOW_US1.xlsx]Single Period!R30C46</stp>
        <stp>NOW US Equity</stp>
        <stp>CF_FREE_CASH_FLOW_AS_REPORTED/1M</stp>
        <stp>FPR=2021Y</stp>
        <stp>FPT=A</stp>
        <stp>FA_ACT_EST_DATA=E, EST_SOURCE=MZS</stp>
        <stp>ACT_EST_MAPPING=PRECISE</stp>
        <stp>FS=MRC</stp>
        <stp>CURRENCY=USD</stp>
        <stp>XLFILL=b</stp>
        <tr r="AT30" s="2"/>
      </tp>
      <tp t="s">
        <v>#N/A Requesting Data...</v>
        <stp/>
        <stp>##V3_BQLV12</stp>
        <stp>[MODL_NOW_US1.xlsx]Single Period!R173C35</stp>
        <stp>NOW US Equity</stp>
        <stp>BS_CUR_LIAB/1M</stp>
        <stp>FPR=2021Y</stp>
        <stp>FPT=A</stp>
        <stp>FA_ACT_EST_DATA=E, EST_SOURCE=MSR</stp>
        <stp>ACT_EST_MAPPING=PRECISE</stp>
        <stp>FS=MRC</stp>
        <stp>CURRENCY=USD</stp>
        <stp>XLFILL=b</stp>
        <tr r="AI173" s="2"/>
      </tp>
      <tp t="s">
        <v>#N/A Requesting Data...</v>
        <stp/>
        <stp>##V3_BQLV12</stp>
        <stp>[MODL_NOW_US1.xlsx]Single Period!R173C31</stp>
        <stp>NOW US Equity</stp>
        <stp>BS_CUR_LIAB/1M</stp>
        <stp>FPR=2021Y</stp>
        <stp>FPT=A</stp>
        <stp>FA_ACT_EST_DATA=E, EST_SOURCE=GSR</stp>
        <stp>ACT_EST_MAPPING=PRECISE</stp>
        <stp>FS=MRC</stp>
        <stp>CURRENCY=USD</stp>
        <stp>XLFILL=b</stp>
        <tr r="AE173" s="2"/>
      </tp>
      <tp t="s">
        <v>#N/A Requesting Data...</v>
        <stp/>
        <stp>##V3_BQLV12</stp>
        <stp>[MODL_NOW_US1.xlsx]Single Period!R173C19</stp>
        <stp>NOW US Equity</stp>
        <stp>BS_CUR_LIAB/1M</stp>
        <stp>FPR=2021Y</stp>
        <stp>FPT=A</stp>
        <stp>FA_ACT_EST_DATA=E, EST_SOURCE=MSV</stp>
        <stp>ACT_EST_MAPPING=PRECISE</stp>
        <stp>FS=MRC</stp>
        <stp>CURRENCY=USD</stp>
        <stp>XLFILL=b</stp>
        <tr r="S173" s="2"/>
      </tp>
      <tp t="s">
        <v>#N/A Requesting Data...</v>
        <stp/>
        <stp>##V3_BQLV12</stp>
        <stp>[MODL_NOW_US1.xlsx]Single Period!R154C36</stp>
        <stp>NOW US Equity</stp>
        <stp>BS_CUR_ASSET_REPORT/1M</stp>
        <stp>FPR=2021Y</stp>
        <stp>FPT=A</stp>
        <stp>FA_ACT_EST_DATA=E, EST_SOURCE=JEF</stp>
        <stp>ACT_EST_MAPPING=PRECISE</stp>
        <stp>FS=MRC</stp>
        <stp>CURRENCY=USD</stp>
        <stp>XLFILL=b</stp>
        <tr r="AJ154" s="2"/>
      </tp>
      <tp t="s">
        <v>#N/A Requesting Data...</v>
        <stp/>
        <stp>##V3_BQLV12</stp>
        <stp>[MODL_NOW_US1.xlsx]Single Period!R230C35</stp>
        <stp>NOW US Equity</stp>
        <stp>CF_EFFECT_FOREIGN_EXCHANGES/1M</stp>
        <stp>FPR=2021Y</stp>
        <stp>FPT=A</stp>
        <stp>FA_ACT_EST_DATA=E, EST_SOURCE=MSR</stp>
        <stp>ACT_EST_MAPPING=PRECISE</stp>
        <stp>FS=MRC</stp>
        <stp>CURRENCY=USD</stp>
        <stp>XLFILL=b</stp>
        <tr r="AI230" s="2"/>
      </tp>
      <tp t="s">
        <v>#N/A Requesting Data...</v>
        <stp/>
        <stp>##V3_BQLV12</stp>
        <stp>[MODL_NOW_US1.xlsx]Single Period!R230C31</stp>
        <stp>NOW US Equity</stp>
        <stp>CF_EFFECT_FOREIGN_EXCHANGES/1M</stp>
        <stp>FPR=2021Y</stp>
        <stp>FPT=A</stp>
        <stp>FA_ACT_EST_DATA=E, EST_SOURCE=GSR</stp>
        <stp>ACT_EST_MAPPING=PRECISE</stp>
        <stp>FS=MRC</stp>
        <stp>CURRENCY=USD</stp>
        <stp>XLFILL=b</stp>
        <tr r="AE230" s="2"/>
      </tp>
      <tp t="s">
        <v>#N/A Requesting Data...</v>
        <stp/>
        <stp>##V3_BQLV12</stp>
        <stp>[MODL_NOW_US1.xlsx]Single Period!R154C13</stp>
        <stp>NOW US Equity</stp>
        <stp>BS_CUR_ASSET_REPORT/1M</stp>
        <stp>FPR=2021Y</stp>
        <stp>FPT=A</stp>
        <stp>FA_ACT_EST_DATA=E, EST_SOURCE=KEY</stp>
        <stp>ACT_EST_MAPPING=PRECISE</stp>
        <stp>FS=MRC</stp>
        <stp>CURRENCY=USD</stp>
        <stp>XLFILL=b</stp>
        <tr r="M154" s="2"/>
      </tp>
      <tp t="s">
        <v>#N/A Requesting Data...</v>
        <stp/>
        <stp>##V3_BQLV12</stp>
        <stp>[MODL_NOW_US1.xlsx]Single Period!R167C43</stp>
        <stp>NOW US Equity</stp>
        <stp>BS_GOODWILL/1M</stp>
        <stp>FPR=2021Y</stp>
        <stp>FPT=A</stp>
        <stp>FA_ACT_EST_DATA=E, EST_SOURCE=WFT</stp>
        <stp>ACT_EST_MAPPING=PRECISE</stp>
        <stp>FS=MRC</stp>
        <stp>CURRENCY=USD</stp>
        <stp>XLFILL=b</stp>
        <tr r="AQ167" s="2"/>
      </tp>
      <tp t="s">
        <v>#N/A Requesting Data...</v>
        <stp/>
        <stp>##V3_BQLV12</stp>
        <stp>[MODL_NOW_US1.xlsx]Single Period!R230C34</stp>
        <stp>NOW US Equity</stp>
        <stp>CF_EFFECT_FOREIGN_EXCHANGES/1M</stp>
        <stp>FPR=2021Y</stp>
        <stp>FPT=A</stp>
        <stp>FA_ACT_EST_DATA=E, EST_SOURCE=PSG</stp>
        <stp>ACT_EST_MAPPING=PRECISE</stp>
        <stp>FS=MRC</stp>
        <stp>CURRENCY=USD</stp>
        <stp>XLFILL=b</stp>
        <tr r="AH230" s="2"/>
      </tp>
      <tp t="s">
        <v>#N/A Requesting Data...</v>
        <stp/>
        <stp>##V3_BQLV12</stp>
        <stp>[MODL_NOW_US1.xlsx]Single Period!R27C28</stp>
        <stp>NOW US Equity</stp>
        <stp>IS_REV_INCLUDING_INTERSEG_REV/1M</stp>
        <stp>FPR=2021Y</stp>
        <stp>FPT=A</stp>
        <stp>FA_ACT_EST_DATA=E, EST_SOURCE=EVR</stp>
        <stp>ACT_EST_MAPPING=PRECISE</stp>
        <stp>FS=MRC</stp>
        <stp>CURRENCY=USD</stp>
        <stp>XLFILL=b</stp>
        <tr r="AB27" s="2"/>
      </tp>
      <tp t="s">
        <v>#N/A Requesting Data...</v>
        <stp/>
        <stp>##V3_BQLV12</stp>
        <stp>[MODL_NOW_US1.xlsx]Single Period!R139C15</stp>
        <stp>NOW US Equity</stp>
        <stp>IS_SBC_ATTRIB_TO_COGS_PRETX/1M</stp>
        <stp>FPR=2021Y</stp>
        <stp>FPT=A</stp>
        <stp>FA_ACT_EST_DATA=E, EST_SOURCE=OPY</stp>
        <stp>ACT_EST_MAPPING=PRECISE</stp>
        <stp>FS=MRC</stp>
        <stp>CURRENCY=USD</stp>
        <stp>XLFILL=b</stp>
        <tr r="O139" s="2"/>
      </tp>
      <tp t="s">
        <v>#N/A Requesting Data...</v>
        <stp/>
        <stp>##V3_BQLV12</stp>
        <stp>[MODL_NOW_US1.xlsx]Single Period!R173C34</stp>
        <stp>NOW US Equity</stp>
        <stp>BS_CUR_LIAB/1M</stp>
        <stp>FPR=2021Y</stp>
        <stp>FPT=A</stp>
        <stp>FA_ACT_EST_DATA=E, EST_SOURCE=PSG</stp>
        <stp>ACT_EST_MAPPING=PRECISE</stp>
        <stp>FS=MRC</stp>
        <stp>CURRENCY=USD</stp>
        <stp>XLFILL=b</stp>
        <tr r="AH173" s="2"/>
      </tp>
      <tp t="s">
        <v>#N/A Requesting Data...</v>
        <stp/>
        <stp>##V3_BQLV12</stp>
        <stp>[MODL_NOW_US1.xlsx]Single Period!R80C38</stp>
        <stp>NOW US Equity</stp>
        <stp>IS_COMP_SALES/1M</stp>
        <stp>FPR=2021Y</stp>
        <stp>FPT=A</stp>
        <stp>FA_ACT_EST_DATA=E, EST_SOURCE=RWB</stp>
        <stp>ACT_EST_MAPPING=PRECISE</stp>
        <stp>FS=MRC</stp>
        <stp>CURRENCY=USD</stp>
        <stp>XLFILL=b</stp>
        <tr r="AL80" s="2"/>
      </tp>
      <tp t="s">
        <v>#N/A Requesting Data...</v>
        <stp/>
        <stp>##V3_BQLV12</stp>
        <stp>[MODL_NOW_US1.xlsx]Single Period!R92C46</stp>
        <stp>NOW US Equity</stp>
        <stp>IS_ADJ_GENL_AND_ADMIN_EXPN_AR/1M</stp>
        <stp>FPR=2021Y</stp>
        <stp>FPT=A</stp>
        <stp>FA_ACT_EST_DATA=E, EST_SOURCE=MZS</stp>
        <stp>ACT_EST_MAPPING=PRECISE</stp>
        <stp>FS=MRC</stp>
        <stp>CURRENCY=USD</stp>
        <stp>XLFILL=b</stp>
        <tr r="AT92" s="2"/>
      </tp>
      <tp t="s">
        <v>#N/A Requesting Data...</v>
        <stp/>
        <stp>##V3_BQLV12</stp>
        <stp>[MODL_NOW_US1.xlsx]Single Period!R14C27</stp>
        <stp>SEG0000230975 Segment</stp>
        <stp>SALES_REV_TURN/1M</stp>
        <stp>FPR=2021Y</stp>
        <stp>FPT=A</stp>
        <stp>FA_ACT_EST_DATA=E, EST_SOURCE=RBC</stp>
        <stp>ACT_EST_MAPPING=PRECISE</stp>
        <stp>FS=MRC</stp>
        <stp>CURRENCY=USD</stp>
        <stp>XLFILL=b</stp>
        <tr r="AA14" s="2"/>
      </tp>
      <tp t="s">
        <v>#N/A Requesting Data...</v>
        <stp/>
        <stp>##V3_BQLV12</stp>
        <stp>[MODL_NOW_US1.xlsx]Single Period!R14C32</stp>
        <stp>SEG0000230975 Segment</stp>
        <stp>SALES_REV_TURN/1M</stp>
        <stp>FPR=2021Y</stp>
        <stp>FPT=A</stp>
        <stp>FA_ACT_EST_DATA=E, EST_SOURCE=FBC</stp>
        <stp>ACT_EST_MAPPING=PRECISE</stp>
        <stp>FS=MRC</stp>
        <stp>CURRENCY=USD</stp>
        <stp>XLFILL=b</stp>
        <tr r="AF14" s="2"/>
      </tp>
      <tp t="s">
        <v>#N/A Requesting Data...</v>
        <stp/>
        <stp>##V3_BQLV12</stp>
        <stp>[MODL_NOW_US1.xlsx]Single Period!R16C20</stp>
        <stp>SEG0000230969 Segment</stp>
        <stp>SALES_REV_TURN/1M</stp>
        <stp>FPR=2021Y</stp>
        <stp>FPT=A</stp>
        <stp>FA_ACT_EST_DATA=E, EST_SOURCE=CAN</stp>
        <stp>ACT_EST_MAPPING=PRECISE</stp>
        <stp>FS=MRC</stp>
        <stp>CURRENCY=USD</stp>
        <stp>XLFILL=b</stp>
        <tr r="T16" s="2"/>
      </tp>
      <tp t="s">
        <v>#N/A Requesting Data...</v>
        <stp/>
        <stp>##V3_BQLV12</stp>
        <stp>[MODL_NOW_US1.xlsx]Single Period!R16C30</stp>
        <stp>SEG0000230969 Segment</stp>
        <stp>SALES_REV_TURN/1M</stp>
        <stp>FPR=2021Y</stp>
        <stp>FPT=A</stp>
        <stp>FA_ACT_EST_DATA=E, EST_SOURCE=BAM</stp>
        <stp>ACT_EST_MAPPING=PRECISE</stp>
        <stp>FS=MRC</stp>
        <stp>CURRENCY=USD</stp>
        <stp>XLFILL=b</stp>
        <tr r="AD16" s="2"/>
      </tp>
      <tp t="s">
        <v>#N/A Requesting Data...</v>
        <stp/>
        <stp>##V3_BQLV12</stp>
        <stp>[MODL_NOW_US1.xlsx]Single Period!R61C37</stp>
        <stp>SEG0000230975 Segment</stp>
        <stp>IS_ADJ_GROSS_PROFIT_AS_REPORTED/1M</stp>
        <stp>FPR=2021Y</stp>
        <stp>FPT=A</stp>
        <stp>FA_ACT_EST_DATA=E, EST_SOURCE=TTC</stp>
        <stp>ACT_EST_MAPPING=PRECISE</stp>
        <stp>FS=MRC</stp>
        <stp>CURRENCY=USD</stp>
        <stp>XLFILL=b</stp>
        <tr r="AK61" s="2"/>
      </tp>
      <tp t="s">
        <v>#N/A Requesting Data...</v>
        <stp/>
        <stp>##V3_BQLV12</stp>
        <stp>[MODL_NOW_US1.xlsx]Single Period!R69C38</stp>
        <stp>SEG0000230986 Segment</stp>
        <stp>IS_ADJ_GROSS_PROFIT_AS_REPORTED/1M</stp>
        <stp>FPR=2021Y</stp>
        <stp>FPT=A</stp>
        <stp>FA_ACT_EST_DATA=E, EST_SOURCE=RWB</stp>
        <stp>ACT_EST_MAPPING=PRECISE</stp>
        <stp>FS=MRC</stp>
        <stp>CURRENCY=USD</stp>
        <stp>XLFILL=b</stp>
        <tr r="AL69" s="2"/>
      </tp>
      <tp t="s">
        <v>#N/A Requesting Data...</v>
        <stp/>
        <stp>##V3_BQLV12</stp>
        <stp>[MODL_NOW_US1.xlsx]Single Period!R14C25</stp>
        <stp>SEG0000230975 Segment</stp>
        <stp>SALES_REV_TURN/1M</stp>
        <stp>FPR=2021Y</stp>
        <stp>FPT=A</stp>
        <stp>FA_ACT_EST_DATA=E, EST_SOURCE=DBG</stp>
        <stp>ACT_EST_MAPPING=PRECISE</stp>
        <stp>FS=MRC</stp>
        <stp>CURRENCY=USD</stp>
        <stp>XLFILL=b</stp>
        <tr r="Y14" s="2"/>
      </tp>
      <tp t="s">
        <v>#N/A Requesting Data...</v>
        <stp/>
        <stp>##V3_BQLV12</stp>
        <stp>[MODL_NOW_US1.xlsx]Single Period!R209C47</stp>
        <stp>NOW US Equity</stp>
        <stp>CF_CHANGE_IN_ACCOUNTS_PAYABLE/1M</stp>
        <stp>FPR=2021Y</stp>
        <stp>FPT=A</stp>
        <stp>FA_ACT_EST_DATA=E, EST_SOURCE=SUM</stp>
        <stp>ACT_EST_MAPPING=PRECISE</stp>
        <stp>FS=MRC</stp>
        <stp>CURRENCY=USD</stp>
        <stp>XLFILL=b</stp>
        <tr r="AU209" s="2"/>
      </tp>
      <tp t="s">
        <v>#N/A Requesting Data...</v>
        <stp/>
        <stp>##V3_BQLV12</stp>
        <stp>[MODL_NOW_US1.xlsx]Single Period!R207C13</stp>
        <stp>NOW US Equity</stp>
        <stp>CB_CF_CHANGE_IN_ACCOUNTS_RECEIVABLE/1M</stp>
        <stp>FPR=2021Y</stp>
        <stp>FPT=A</stp>
        <stp>FA_ACT_EST_DATA=E, EST_SOURCE=KEY</stp>
        <stp>ACT_EST_MAPPING=PRECISE</stp>
        <stp>FS=MRC</stp>
        <stp>CURRENCY=USD</stp>
        <stp>XLFILL=b</stp>
        <tr r="M207" s="2"/>
      </tp>
      <tp t="s">
        <v>#N/A Requesting Data...</v>
        <stp/>
        <stp>##V3_BQLV12</stp>
        <stp>[MODL_NOW_US1.xlsx]Single Period!R150C17</stp>
        <stp>NOW US Equity</stp>
        <stp>IS_INC_TAX_EFFECT_NONGAAP_REC/1M</stp>
        <stp>FPR=2021Y</stp>
        <stp>FPT=A</stp>
        <stp>FA_ACT_EST_DATA=E, EST_SOURCE=RHR</stp>
        <stp>ACT_EST_MAPPING=PRECISE</stp>
        <stp>FS=MRC</stp>
        <stp>CURRENCY=USD</stp>
        <stp>XLFILL=b</stp>
        <tr r="Q150" s="2"/>
      </tp>
      <tp t="s">
        <v>#N/A Requesting Data...</v>
        <stp/>
        <stp>##V3_BQLV12</stp>
        <stp>[MODL_NOW_US1.xlsx]Single Period!R15C14</stp>
        <stp>SEG0000230992 Segment</stp>
        <stp>SALES_REV_TURN/1M</stp>
        <stp>FPR=2021Y</stp>
        <stp>FPT=A</stp>
        <stp>FA_ACT_EST_DATA=E, EST_SOURCE=BMO</stp>
        <stp>ACT_EST_MAPPING=PRECISE</stp>
        <stp>FS=MRC</stp>
        <stp>CURRENCY=USD</stp>
        <stp>XLFILL=b</stp>
        <tr r="N15" s="2"/>
      </tp>
      <tp t="s">
        <v>#N/A Requesting Data...</v>
        <stp/>
        <stp>##V3_BQLV12</stp>
        <stp>[MODL_NOW_US1.xlsx]Single Period!R75C14</stp>
        <stp>SEG0000230992 Segment</stp>
        <stp>SALES_REV_TURN/1M</stp>
        <stp>FPR=2021Y</stp>
        <stp>FPT=A</stp>
        <stp>FA_ACT_EST_DATA=E, EST_SOURCE=BMO</stp>
        <stp>ACT_EST_MAPPING=PRECISE</stp>
        <stp>FS=MRC</stp>
        <stp>CURRENCY=USD</stp>
        <stp>XLFILL=b</stp>
        <tr r="N75" s="2"/>
      </tp>
      <tp t="s">
        <v>#N/A Requesting Data...</v>
        <stp/>
        <stp>##V3_BQLV12</stp>
        <stp>[MODL_NOW_US1.xlsx]Single Period!R99C43</stp>
        <stp>NOW US Equity</stp>
        <stp>IS_COMPARABLE_EBITDA/1M</stp>
        <stp>FPR=2021Y</stp>
        <stp>FPT=A</stp>
        <stp>FA_ACT_EST_DATA=E, EST_SOURCE=WFT</stp>
        <stp>ACT_EST_MAPPING=PRECISE</stp>
        <stp>FS=MRC</stp>
        <stp>CURRENCY=USD</stp>
        <stp>XLFILL=b</stp>
        <tr r="AQ99" s="2"/>
      </tp>
      <tp t="s">
        <v>#N/A Requesting Data...</v>
        <stp/>
        <stp>##V3_BQLV12</stp>
        <stp>[MODL_NOW_US1.xlsx]Single Period!R16C33</stp>
        <stp>SEG0000230969 Segment</stp>
        <stp>SALES_REV_TURN/1M</stp>
        <stp>FPR=2021Y</stp>
        <stp>FPT=A</stp>
        <stp>FA_ACT_EST_DATA=E, EST_SOURCE=MAC</stp>
        <stp>ACT_EST_MAPPING=PRECISE</stp>
        <stp>FS=MRC</stp>
        <stp>CURRENCY=USD</stp>
        <stp>XLFILL=b</stp>
        <tr r="AG16" s="2"/>
      </tp>
      <tp t="s">
        <v>#N/A Requesting Data...</v>
        <stp/>
        <stp>##V3_BQLV12</stp>
        <stp>[MODL_NOW_US1.xlsx]Single Period!R131C36</stp>
        <stp>NOW US Equity</stp>
        <stp>IS_AVG_NUM_SH_FOR_EPS/1M</stp>
        <stp>FPR=2021Y</stp>
        <stp>FPT=A</stp>
        <stp>FA_ACT_EST_DATA=E, EST_SOURCE=JEF</stp>
        <stp>ACT_EST_MAPPING=PRECISE</stp>
        <stp>FS=MRC</stp>
        <stp>CURRENCY=USD</stp>
        <stp>XLFILL=b</stp>
        <tr r="AJ131" s="2"/>
      </tp>
      <tp t="s">
        <v>#N/A Requesting Data...</v>
        <stp/>
        <stp>##V3_BQLV12</stp>
        <stp>[MODL_NOW_US1.xlsx]Single Period!R69C24</stp>
        <stp>SEG0000230986 Segment</stp>
        <stp>IS_ADJ_GROSS_PROFIT_AS_REPORTED/1M</stp>
        <stp>FPR=2021Y</stp>
        <stp>FPT=A</stp>
        <stp>FA_ACT_EST_DATA=E, EST_SOURCE=CWN</stp>
        <stp>ACT_EST_MAPPING=PRECISE</stp>
        <stp>FS=MRC</stp>
        <stp>CURRENCY=USD</stp>
        <stp>XLFILL=b</stp>
        <tr r="X69" s="2"/>
      </tp>
      <tp t="s">
        <v>#N/A Requesting Data...</v>
        <stp/>
        <stp>##V3_BQLV12</stp>
        <stp>[MODL_NOW_US1.xlsx]Single Period!R14C12</stp>
        <stp>SEG0000230975 Segment</stp>
        <stp>SALES_REV_TURN/1M</stp>
        <stp>FPR=2021Y</stp>
        <stp>FPT=A</stp>
        <stp>FA_ACT_EST_DATA=E, EST_SOURCE=WBL</stp>
        <stp>ACT_EST_MAPPING=PRECISE</stp>
        <stp>FS=MRC</stp>
        <stp>CURRENCY=USD</stp>
        <stp>XLFILL=b</stp>
        <tr r="L14" s="2"/>
      </tp>
      <tp t="s">
        <v>#N/A Requesting Data...</v>
        <stp/>
        <stp>##V3_BQLV12</stp>
        <stp>[MODL_NOW_US1.xlsx]Single Period!R61C42</stp>
        <stp>SEG0000230975 Segment</stp>
        <stp>IS_ADJ_GROSS_PROFIT_AS_REPORTED/1M</stp>
        <stp>FPR=2021Y</stp>
        <stp>FPT=A</stp>
        <stp>FA_ACT_EST_DATA=E, EST_SOURCE=CTI</stp>
        <stp>ACT_EST_MAPPING=PRECISE</stp>
        <stp>FS=MRC</stp>
        <stp>CURRENCY=USD</stp>
        <stp>XLFILL=b</stp>
        <tr r="AP61" s="2"/>
      </tp>
      <tp t="s">
        <v>#N/A Requesting Data...</v>
        <stp/>
        <stp>##V3_BQLV12</stp>
        <stp>[MODL_NOW_US1.xlsx]Single Period!R69C40</stp>
        <stp>SEG0000230986 Segment</stp>
        <stp>IS_ADJ_GROSS_PROFIT_AS_REPORTED/1M</stp>
        <stp>FPR=2021Y</stp>
        <stp>FPT=A</stp>
        <stp>FA_ACT_EST_DATA=E, EST_SOURCE=DWI</stp>
        <stp>ACT_EST_MAPPING=PRECISE</stp>
        <stp>FS=MRC</stp>
        <stp>CURRENCY=USD</stp>
        <stp>XLFILL=b</stp>
        <tr r="AN69" s="2"/>
      </tp>
      <tp t="s">
        <v>#N/A Requesting Data...</v>
        <stp/>
        <stp>##V3_BQLV12</stp>
        <stp>[MODL_NOW_US1.xlsx]Single Period!R141C5</stp>
        <stp>SEG0000230986 Segment</stp>
        <stp>IS_SBC_ATTRIB_TO_COGS_PRETX/1M</stp>
        <stp>FPR=2021Y</stp>
        <stp>FPT=A</stp>
        <stp>FA_ACT_EST_DATA=E</stp>
        <stp>ACT_EST_MAPPING=PRECISE</stp>
        <stp>FS=MRC</stp>
        <stp>CURRENCY=USD</stp>
        <stp>XLFILL=b</stp>
        <tr r="E141" s="2"/>
      </tp>
      <tp t="s">
        <v>#N/A Requesting Data...</v>
        <stp/>
        <stp>##V3_BQLV12</stp>
        <stp>[MODL_NOW_US1.xlsx]Single Period!R58C29</stp>
        <stp>SEG0000230975 Segment</stp>
        <stp>SALES_REV_TURN/1M</stp>
        <stp>FPR=2021Y</stp>
        <stp>FPT=A</stp>
        <stp>FA_ACT_EST_DATA=E, EST_SOURCE=BNS</stp>
        <stp>ACT_EST_MAPPING=PRECISE</stp>
        <stp>FS=MRC</stp>
        <stp>CURRENCY=USD</stp>
        <stp>XLFILL=b</stp>
        <tr r="AC58" s="2"/>
      </tp>
      <tp t="s">
        <v>#N/A Requesting Data...</v>
        <stp/>
        <stp>##V3_BQLV12</stp>
        <stp>[MODL_NOW_US1.xlsx]Single Period!R14C26</stp>
        <stp>SEG0000230975 Segment</stp>
        <stp>SALES_REV_TURN/1M</stp>
        <stp>FPR=2021Y</stp>
        <stp>FPT=A</stp>
        <stp>FA_ACT_EST_DATA=E, EST_SOURCE=UBS</stp>
        <stp>ACT_EST_MAPPING=PRECISE</stp>
        <stp>FS=MRC</stp>
        <stp>CURRENCY=USD</stp>
        <stp>XLFILL=b</stp>
        <tr r="Z14" s="2"/>
      </tp>
      <tp t="s">
        <v>#N/A Requesting Data...</v>
        <stp/>
        <stp>##V3_BQLV12</stp>
        <stp>[MODL_NOW_US1.xlsx]Single Period!R58C18</stp>
        <stp>SEG0000230975 Segment</stp>
        <stp>SALES_REV_TURN/1M</stp>
        <stp>FPR=2021Y</stp>
        <stp>FPT=A</stp>
        <stp>FA_ACT_EST_DATA=E, EST_SOURCE=SNR</stp>
        <stp>ACT_EST_MAPPING=PRECISE</stp>
        <stp>FS=MRC</stp>
        <stp>CURRENCY=USD</stp>
        <stp>XLFILL=b</stp>
        <tr r="R58" s="2"/>
      </tp>
      <tp t="s">
        <v>#N/A Requesting Data...</v>
        <stp/>
        <stp>##V3_BQLV12</stp>
        <stp>[MODL_NOW_US1.xlsx]Single Period!R99C30</stp>
        <stp>NOW US Equity</stp>
        <stp>IS_COMPARABLE_EBITDA/1M</stp>
        <stp>FPR=2021Y</stp>
        <stp>FPT=A</stp>
        <stp>FA_ACT_EST_DATA=E, EST_SOURCE=BAM</stp>
        <stp>ACT_EST_MAPPING=PRECISE</stp>
        <stp>FS=MRC</stp>
        <stp>CURRENCY=USD</stp>
        <stp>XLFILL=b</stp>
        <tr r="AD99" s="2"/>
      </tp>
      <tp t="s">
        <v>#N/A Requesting Data...</v>
        <stp/>
        <stp>##V3_BQLV12</stp>
        <stp>[MODL_NOW_US1.xlsx]Single Period!R75C21</stp>
        <stp>SEG0000230992 Segment</stp>
        <stp>SALES_REV_TURN/1M</stp>
        <stp>FPR=2021Y</stp>
        <stp>FPT=A</stp>
        <stp>FA_ACT_EST_DATA=E, EST_SOURCE=JMP</stp>
        <stp>ACT_EST_MAPPING=PRECISE</stp>
        <stp>FS=MRC</stp>
        <stp>CURRENCY=USD</stp>
        <stp>XLFILL=b</stp>
        <tr r="U75" s="2"/>
      </tp>
      <tp t="s">
        <v>#N/A Requesting Data...</v>
        <stp/>
        <stp>##V3_BQLV12</stp>
        <stp>[MODL_NOW_US1.xlsx]Single Period!R15C21</stp>
        <stp>SEG0000230992 Segment</stp>
        <stp>SALES_REV_TURN/1M</stp>
        <stp>FPR=2021Y</stp>
        <stp>FPT=A</stp>
        <stp>FA_ACT_EST_DATA=E, EST_SOURCE=JMP</stp>
        <stp>ACT_EST_MAPPING=PRECISE</stp>
        <stp>FS=MRC</stp>
        <stp>CURRENCY=USD</stp>
        <stp>XLFILL=b</stp>
        <tr r="U15" s="2"/>
      </tp>
      <tp t="s">
        <v>#N/A Requesting Data...</v>
        <stp/>
        <stp>##V3_BQLV12</stp>
        <stp>[MODL_NOW_US1.xlsx]Single Period!R207C36</stp>
        <stp>NOW US Equity</stp>
        <stp>CB_CF_CHANGE_IN_ACCOUNTS_RECEIVABLE/1M</stp>
        <stp>FPR=2021Y</stp>
        <stp>FPT=A</stp>
        <stp>FA_ACT_EST_DATA=E, EST_SOURCE=JEF</stp>
        <stp>ACT_EST_MAPPING=PRECISE</stp>
        <stp>FS=MRC</stp>
        <stp>CURRENCY=USD</stp>
        <stp>XLFILL=b</stp>
        <tr r="AJ207" s="2"/>
      </tp>
      <tp t="s">
        <v>#N/A Requesting Data...</v>
        <stp/>
        <stp>##V3_BQLV12</stp>
        <stp>[MODL_NOW_US1.xlsx]Single Period!R209C31</stp>
        <stp>NOW US Equity</stp>
        <stp>CF_CHANGE_IN_ACCOUNTS_PAYABLE/1M</stp>
        <stp>FPR=2021Y</stp>
        <stp>FPT=A</stp>
        <stp>FA_ACT_EST_DATA=E, EST_SOURCE=GSR</stp>
        <stp>ACT_EST_MAPPING=PRECISE</stp>
        <stp>FS=MRC</stp>
        <stp>CURRENCY=USD</stp>
        <stp>XLFILL=b</stp>
        <tr r="AE209" s="2"/>
      </tp>
      <tp t="s">
        <v>#N/A Requesting Data...</v>
        <stp/>
        <stp>##V3_BQLV12</stp>
        <stp>[MODL_NOW_US1.xlsx]Single Period!R102C49</stp>
        <stp>NOW US Equity</stp>
        <stp>IS_COMP_PTP_EX_STK_BASED_COMP/1M</stp>
        <stp>FPR=2021Y</stp>
        <stp>FPT=A</stp>
        <stp>FA_ACT_EST_DATA=E, EST_SOURCE=SCB</stp>
        <stp>ACT_EST_MAPPING=PRECISE</stp>
        <stp>FS=MRC</stp>
        <stp>CURRENCY=USD</stp>
        <stp>XLFILL=b</stp>
        <tr r="AW102" s="2"/>
      </tp>
      <tp t="s">
        <v>#N/A Requesting Data...</v>
        <stp/>
        <stp>##V3_BQLV12</stp>
        <stp>[MODL_NOW_US1.xlsx]Single Period!R99C16</stp>
        <stp>NOW US Equity</stp>
        <stp>IS_COMPARABLE_EBITDA/1M</stp>
        <stp>FPR=2021Y</stp>
        <stp>FPT=A</stp>
        <stp>FA_ACT_EST_DATA=E, EST_SOURCE=BCA</stp>
        <stp>ACT_EST_MAPPING=PRECISE</stp>
        <stp>FS=MRC</stp>
        <stp>CURRENCY=USD</stp>
        <stp>XLFILL=b</stp>
        <tr r="P99" s="2"/>
      </tp>
      <tp t="s">
        <v>#N/A Requesting Data...</v>
        <stp/>
        <stp>##V3_BQLV12</stp>
        <stp>[MODL_NOW_US1.xlsx]Single Period!R150C45</stp>
        <stp>NOW US Equity</stp>
        <stp>IS_INC_TAX_EFFECT_NONGAAP_REC/1M</stp>
        <stp>FPR=2021Y</stp>
        <stp>FPT=A</stp>
        <stp>FA_ACT_EST_DATA=E, EST_SOURCE=PJE</stp>
        <stp>ACT_EST_MAPPING=PRECISE</stp>
        <stp>FS=MRC</stp>
        <stp>CURRENCY=USD</stp>
        <stp>XLFILL=b</stp>
        <tr r="AS150" s="2"/>
      </tp>
      <tp t="s">
        <v>#N/A Requesting Data...</v>
        <stp/>
        <stp>##V3_BQLV12</stp>
        <stp>[MODL_NOW_US1.xlsx]Single Period!R99C33</stp>
        <stp>NOW US Equity</stp>
        <stp>IS_COMPARABLE_EBITDA/1M</stp>
        <stp>FPR=2021Y</stp>
        <stp>FPT=A</stp>
        <stp>FA_ACT_EST_DATA=E, EST_SOURCE=MAC</stp>
        <stp>ACT_EST_MAPPING=PRECISE</stp>
        <stp>FS=MRC</stp>
        <stp>CURRENCY=USD</stp>
        <stp>XLFILL=b</stp>
        <tr r="AG99" s="2"/>
      </tp>
      <tp t="s">
        <v>#N/A Requesting Data...</v>
        <stp/>
        <stp>##V3_BQLV12</stp>
        <stp>[MODL_NOW_US1.xlsx]Single Period!R204C5</stp>
        <stp>NOW US Equity</stp>
        <stp>CF_DEF_INC_TAX/1M</stp>
        <stp>FPR=2021Y</stp>
        <stp>FPT=A</stp>
        <stp>FA_ACT_EST_DATA=E</stp>
        <stp>ACT_EST_MAPPING=PRECISE</stp>
        <stp>FS=MRC</stp>
        <stp>CURRENCY=USD</stp>
        <stp>XLFILL=b</stp>
        <tr r="E204" s="2"/>
      </tp>
      <tp t="s">
        <v>#N/A Requesting Data...</v>
        <stp/>
        <stp>##V3_BQLV12</stp>
        <stp>[MODL_NOW_US1.xlsx]Single Period!R3C11</stp>
        <stp>NOW US Equity</stp>
        <stp>LAST(IS_COMP_SALES(FA_ACT_EST_DATA=E, EST_SOURCE=JPM).firm_name)</stp>
        <stp>FPR=2021Y</stp>
        <stp>FPT=A</stp>
        <stp>ACT_EST_MAPPING=PRECISE</stp>
        <stp>FS=MRC</stp>
        <stp>CURRENCY=USD</stp>
        <stp>XLFILL=b</stp>
        <tr r="K3" s="2"/>
      </tp>
      <tp t="s">
        <v>#N/A Requesting Data...</v>
        <stp/>
        <stp>##V3_BQLV12</stp>
        <stp>[MODL_NOW_US1.xlsx]Single Period!R189C5</stp>
        <stp>NOW US Equity</stp>
        <stp>CUR_RATIO</stp>
        <stp>FPR=2021Y</stp>
        <stp>FPT=A</stp>
        <stp>FA_ACT_EST_DATA=E</stp>
        <stp>ACT_EST_MAPPING=PRECISE</stp>
        <stp>FS=MRC</stp>
        <stp>CURRENCY=USD</stp>
        <stp>XLFILL=b</stp>
        <tr r="E189" s="2"/>
      </tp>
      <tp t="s">
        <v>#N/A Requesting Data...</v>
        <stp/>
        <stp>##V3_BQLV12</stp>
        <stp>[MODL_NOW_US1.xlsx]Single Period!R201C11</stp>
        <stp>NOW US Equity</stp>
        <stp>D_AND_A_TO_SALES</stp>
        <stp>FPR=2021Y</stp>
        <stp>FPT=A</stp>
        <stp>FA_ACT_EST_DATA=E, EST_SOURCE=JPM</stp>
        <stp>ACT_EST_MAPPING=PRECISE</stp>
        <stp>FS=MRC</stp>
        <stp>CURRENCY=USD</stp>
        <stp>XLFILL=b</stp>
        <tr r="K201" s="2"/>
      </tp>
      <tp t="s">
        <v>#N/A Requesting Data...</v>
        <stp/>
        <stp>##V3_BQLV12</stp>
        <stp>[MODL_NOW_US1.xlsx]Single Period!R134C36</stp>
        <stp>NOW US Equity</stp>
        <stp>IS_COMP_EPS_GAAP</stp>
        <stp>FPR=2021Y</stp>
        <stp>FPT=A</stp>
        <stp>FA_ACT_EST_DATA=E, EST_SOURCE=JEF</stp>
        <stp>ACT_EST_MAPPING=PRECISE</stp>
        <stp>FS=MRC</stp>
        <stp>CURRENCY=USD</stp>
        <stp>XLFILL=b</stp>
        <tr r="AJ134" s="2"/>
      </tp>
      <tp t="s">
        <v>#N/A Requesting Data...</v>
        <stp/>
        <stp>##V3_BQLV12</stp>
        <stp>[MODL_NOW_US1.xlsx]Single Period!R3C15</stp>
        <stp>NOW US Equity</stp>
        <stp>LAST(IS_COMP_SALES(FA_ACT_EST_DATA=E, EST_SOURCE=OPY).firm_name)</stp>
        <stp>FPR=2021Y</stp>
        <stp>FPT=A</stp>
        <stp>ACT_EST_MAPPING=PRECISE</stp>
        <stp>FS=MRC</stp>
        <stp>CURRENCY=USD</stp>
        <stp>XLFILL=b</stp>
        <tr r="O3" s="2"/>
      </tp>
      <tp t="s">
        <v>#N/A Requesting Data...</v>
        <stp/>
        <stp>##V3_BQLV12</stp>
        <stp>[MODL_NOW_US1.xlsx]Single Period!R85C36</stp>
        <stp>NOW US Equity</stp>
        <stp>IS_COMP_GROSS_MARGIN_PERCENTAGE</stp>
        <stp>FPR=2021Y</stp>
        <stp>FPT=A</stp>
        <stp>FA_ACT_EST_DATA=E, EST_SOURCE=JEF</stp>
        <stp>ACT_EST_MAPPING=PRECISE</stp>
        <stp>FS=MRC</stp>
        <stp>CURRENCY=USD</stp>
        <stp>XLFILL=b</stp>
        <tr r="AJ85" s="2"/>
      </tp>
      <tp t="s">
        <v>#N/A Requesting Data...</v>
        <stp/>
        <stp>##V3_BQLV12</stp>
        <stp>[MODL_NOW_US1.xlsx]Single Period!R25C22</stp>
        <stp>NOW US Equity</stp>
        <stp>IS_COMP_GROSS_MARGIN_PERCENTAGE</stp>
        <stp>FPR=2021Y</stp>
        <stp>FPT=A</stp>
        <stp>FA_ACT_EST_DATA=E, EST_SOURCE=NDH</stp>
        <stp>ACT_EST_MAPPING=PRECISE</stp>
        <stp>FS=MRC</stp>
        <stp>CURRENCY=USD</stp>
        <stp>XLFILL=b</stp>
        <tr r="V25" s="2"/>
      </tp>
      <tp t="s">
        <v>#N/A Requesting Data...</v>
        <stp/>
        <stp>##V3_BQLV12</stp>
        <stp>[MODL_NOW_US1.xlsx]Single Period!R25C36</stp>
        <stp>NOW US Equity</stp>
        <stp>IS_COMP_GROSS_MARGIN_PERCENTAGE</stp>
        <stp>FPR=2021Y</stp>
        <stp>FPT=A</stp>
        <stp>FA_ACT_EST_DATA=E, EST_SOURCE=JEF</stp>
        <stp>ACT_EST_MAPPING=PRECISE</stp>
        <stp>FS=MRC</stp>
        <stp>CURRENCY=USD</stp>
        <stp>XLFILL=b</stp>
        <tr r="AJ25" s="2"/>
      </tp>
      <tp t="s">
        <v>#N/A Requesting Data...</v>
        <stp/>
        <stp>##V3_BQLV12</stp>
        <stp>[MODL_NOW_US1.xlsx]Single Period!R85C22</stp>
        <stp>NOW US Equity</stp>
        <stp>IS_COMP_GROSS_MARGIN_PERCENTAGE</stp>
        <stp>FPR=2021Y</stp>
        <stp>FPT=A</stp>
        <stp>FA_ACT_EST_DATA=E, EST_SOURCE=NDH</stp>
        <stp>ACT_EST_MAPPING=PRECISE</stp>
        <stp>FS=MRC</stp>
        <stp>CURRENCY=USD</stp>
        <stp>XLFILL=b</stp>
        <tr r="V85" s="2"/>
      </tp>
      <tp t="s">
        <v>#N/A Requesting Data...</v>
        <stp/>
        <stp>##V3_BQLV12</stp>
        <stp>[MODL_NOW_US1.xlsx]Single Period!R18C46</stp>
        <stp>SEG0000230975 Segment</stp>
        <stp>IS_ADJ_GROSS_MARGIN_PCT_AR</stp>
        <stp>FPR=2021Y</stp>
        <stp>FPT=A</stp>
        <stp>FA_ACT_EST_DATA=E, EST_SOURCE=MZS</stp>
        <stp>ACT_EST_MAPPING=PRECISE</stp>
        <stp>FS=MRC</stp>
        <stp>CURRENCY=USD</stp>
        <stp>XLFILL=b</stp>
        <tr r="AT18" s="2"/>
      </tp>
      <tp t="s">
        <v>#N/A Requesting Data...</v>
        <stp/>
        <stp>##V3_BQLV12</stp>
        <stp>[MODL_NOW_US1.xlsx]Single Period!R62C46</stp>
        <stp>SEG0000230975 Segment</stp>
        <stp>IS_ADJ_GROSS_MARGIN_PCT_AR</stp>
        <stp>FPR=2021Y</stp>
        <stp>FPT=A</stp>
        <stp>FA_ACT_EST_DATA=E, EST_SOURCE=MZS</stp>
        <stp>ACT_EST_MAPPING=PRECISE</stp>
        <stp>FS=MRC</stp>
        <stp>CURRENCY=USD</stp>
        <stp>XLFILL=b</stp>
        <tr r="AT62" s="2"/>
      </tp>
      <tp t="s">
        <v>#N/A Requesting Data...</v>
        <stp/>
        <stp>##V3_BQLV12</stp>
        <stp>[MODL_NOW_US1.xlsx]Single Period!R123C44</stp>
        <stp>NOW US Equity</stp>
        <stp>TOTAL_OPERATING_EXPENSES_RATIO/1M</stp>
        <stp>FPR=2021Y</stp>
        <stp>FPT=A</stp>
        <stp>FA_ACT_EST_DATA=E, EST_SOURCE=ARE</stp>
        <stp>ACT_EST_MAPPING=PRECISE</stp>
        <stp>FS=MRC</stp>
        <stp>CURRENCY=USD</stp>
        <stp>XLFILL=b</stp>
        <tr r="AR123" s="2"/>
      </tp>
      <tp t="s">
        <v>#N/A Requesting Data...</v>
        <stp/>
        <stp>##V3_BQLV12</stp>
        <stp>[MODL_NOW_US1.xlsx]Single Period!R195C47</stp>
        <stp>NOW US Equity</stp>
        <stp>CB_BS_DEFERRED_COST_LT/1M</stp>
        <stp>FPR=2021Y</stp>
        <stp>FPT=A</stp>
        <stp>FA_ACT_EST_DATA=E, EST_SOURCE=SUM</stp>
        <stp>ACT_EST_MAPPING=PRECISE</stp>
        <stp>FS=MRC</stp>
        <stp>CURRENCY=USD</stp>
        <stp>XLFILL=b</stp>
        <tr r="AU195" s="2"/>
      </tp>
      <tp t="s">
        <v>#N/A Requesting Data...</v>
        <stp/>
        <stp>##V3_BQLV12</stp>
        <stp>[MODL_NOW_US1.xlsx]Single Period!R123C41</stp>
        <stp>NOW US Equity</stp>
        <stp>TOTAL_OPERATING_EXPENSES_RATIO/1M</stp>
        <stp>FPR=2021Y</stp>
        <stp>FPT=A</stp>
        <stp>FA_ACT_EST_DATA=E, EST_SOURCE=ARG</stp>
        <stp>ACT_EST_MAPPING=PRECISE</stp>
        <stp>FS=MRC</stp>
        <stp>CURRENCY=USD</stp>
        <stp>XLFILL=b</stp>
        <tr r="AO123" s="2"/>
      </tp>
      <tp t="s">
        <v>#N/A Requesting Data...</v>
        <stp/>
        <stp>##V3_BQLV12</stp>
        <stp>[MODL_NOW_US1.xlsx]Single Period!R126C28</stp>
        <stp>NOW US Equity</stp>
        <stp>IS_NON_OPERATING_INC_LOSS_GAAP/1M</stp>
        <stp>FPR=2021Y</stp>
        <stp>FPT=A</stp>
        <stp>FA_ACT_EST_DATA=E, EST_SOURCE=EVR</stp>
        <stp>ACT_EST_MAPPING=PRECISE</stp>
        <stp>FS=MRC</stp>
        <stp>CURRENCY=USD</stp>
        <stp>XLFILL=b</stp>
        <tr r="AB126" s="2"/>
      </tp>
      <tp t="s">
        <v>#N/A Requesting Data...</v>
        <stp/>
        <stp>##V3_BQLV12</stp>
        <stp>[MODL_NOW_US1.xlsx]Single Period!R10C31</stp>
        <stp>NOW US Equity</stp>
        <stp>BILLNG_AMOUNT_GROWTH_PCT</stp>
        <stp>FPR=2021Y</stp>
        <stp>FPT=A</stp>
        <stp>FA_ACT_EST_DATA=E, EST_SOURCE=GSR</stp>
        <stp>ACT_EST_MAPPING=PRECISE</stp>
        <stp>FS=MRC</stp>
        <stp>CURRENCY=USD</stp>
        <stp>XLFILL=b</stp>
        <tr r="AE10" s="2"/>
      </tp>
      <tp t="s">
        <v>#N/A Requesting Data...</v>
        <stp/>
        <stp>##V3_BQLV12</stp>
        <stp>[MODL_NOW_US1.xlsx]Single Period!R123C48</stp>
        <stp>NOW US Equity</stp>
        <stp>TOTAL_OPERATING_EXPENSES_RATIO/1M</stp>
        <stp>FPR=2021Y</stp>
        <stp>FPT=A</stp>
        <stp>FA_ACT_EST_DATA=E, EST_SOURCE=CRC</stp>
        <stp>ACT_EST_MAPPING=PRECISE</stp>
        <stp>FS=MRC</stp>
        <stp>CURRENCY=USD</stp>
        <stp>XLFILL=b</stp>
        <tr r="AV123" s="2"/>
      </tp>
      <tp t="s">
        <v>#N/A Requesting Data...</v>
        <stp/>
        <stp>##V3_BQLV12</stp>
        <stp>[MODL_NOW_US1.xlsx]Single Period!R226C16</stp>
        <stp>NOW US Equity</stp>
        <stp>CF_OTHER_FINANCING_ACT_EXCL_FX/1M</stp>
        <stp>FPR=2021Y</stp>
        <stp>FPT=A</stp>
        <stp>FA_ACT_EST_DATA=E, EST_SOURCE=BCA</stp>
        <stp>ACT_EST_MAPPING=PRECISE</stp>
        <stp>FS=MRC</stp>
        <stp>CURRENCY=USD</stp>
        <stp>XLFILL=b</stp>
        <tr r="P226" s="2"/>
      </tp>
      <tp t="s">
        <v>#N/A Requesting Data...</v>
        <stp/>
        <stp>##V3_BQLV12</stp>
        <stp>[MODL_NOW_US1.xlsx]Single Period!R204C37</stp>
        <stp>NOW US Equity</stp>
        <stp>CF_DEF_INC_TAX/1M</stp>
        <stp>FPR=2021Y</stp>
        <stp>FPT=A</stp>
        <stp>FA_ACT_EST_DATA=E, EST_SOURCE=TTC</stp>
        <stp>ACT_EST_MAPPING=PRECISE</stp>
        <stp>FS=MRC</stp>
        <stp>CURRENCY=USD</stp>
        <stp>XLFILL=b</stp>
        <tr r="AK204" s="2"/>
      </tp>
      <tp t="s">
        <v>#N/A Requesting Data...</v>
        <stp/>
        <stp>##V3_BQLV12</stp>
        <stp>[MODL_NOW_US1.xlsx]Single Period!R226C49</stp>
        <stp>NOW US Equity</stp>
        <stp>CF_OTHER_FINANCING_ACT_EXCL_FX/1M</stp>
        <stp>FPR=2021Y</stp>
        <stp>FPT=A</stp>
        <stp>FA_ACT_EST_DATA=E, EST_SOURCE=SCB</stp>
        <stp>ACT_EST_MAPPING=PRECISE</stp>
        <stp>FS=MRC</stp>
        <stp>CURRENCY=USD</stp>
        <stp>XLFILL=b</stp>
        <tr r="AW226" s="2"/>
      </tp>
      <tp t="s">
        <v>#N/A Requesting Data...</v>
        <stp/>
        <stp>##V3_BQLV12</stp>
        <stp>[MODL_NOW_US1.xlsx]Single Period!R40C34</stp>
        <stp>NOW US Equity</stp>
        <stp>BILLNG_AMOUNT_GROWTH_PCT</stp>
        <stp>FPR=2021Y</stp>
        <stp>FPT=A</stp>
        <stp>FA_ACT_EST_DATA=E, EST_SOURCE=PSG</stp>
        <stp>ACT_EST_MAPPING=PRECISE</stp>
        <stp>FS=MRC</stp>
        <stp>CURRENCY=USD</stp>
        <stp>XLFILL=b</stp>
        <tr r="AH40" s="2"/>
      </tp>
      <tp t="s">
        <v>#N/A Requesting Data...</v>
        <stp/>
        <stp>##V3_BQLV12</stp>
        <stp>[MODL_NOW_US1.xlsx]Single Period!R62C39</stp>
        <stp>SEG0000230975 Segment</stp>
        <stp>IS_ADJ_GROSS_MARGIN_PCT_AR</stp>
        <stp>FPR=2021Y</stp>
        <stp>FPT=A</stp>
        <stp>FA_ACT_EST_DATA=E, EST_SOURCE=DZB</stp>
        <stp>ACT_EST_MAPPING=PRECISE</stp>
        <stp>FS=MRC</stp>
        <stp>CURRENCY=USD</stp>
        <stp>XLFILL=b</stp>
        <tr r="AM62" s="2"/>
      </tp>
      <tp t="s">
        <v>#N/A Requesting Data...</v>
        <stp/>
        <stp>##V3_BQLV12</stp>
        <stp>[MODL_NOW_US1.xlsx]Single Period!R18C39</stp>
        <stp>SEG0000230975 Segment</stp>
        <stp>IS_ADJ_GROSS_MARGIN_PCT_AR</stp>
        <stp>FPR=2021Y</stp>
        <stp>FPT=A</stp>
        <stp>FA_ACT_EST_DATA=E, EST_SOURCE=DZB</stp>
        <stp>ACT_EST_MAPPING=PRECISE</stp>
        <stp>FS=MRC</stp>
        <stp>CURRENCY=USD</stp>
        <stp>XLFILL=b</stp>
        <tr r="AM18" s="2"/>
      </tp>
      <tp t="s">
        <v>#N/A Requesting Data...</v>
        <stp/>
        <stp>##V3_BQLV12</stp>
        <stp>[MODL_NOW_US1.xlsx]Single Period!R10C47</stp>
        <stp>NOW US Equity</stp>
        <stp>BILLNG_AMOUNT_GROWTH_PCT</stp>
        <stp>FPR=2021Y</stp>
        <stp>FPT=A</stp>
        <stp>FA_ACT_EST_DATA=E, EST_SOURCE=SUM</stp>
        <stp>ACT_EST_MAPPING=PRECISE</stp>
        <stp>FS=MRC</stp>
        <stp>CURRENCY=USD</stp>
        <stp>XLFILL=b</stp>
        <tr r="AU10" s="2"/>
      </tp>
      <tp t="s">
        <v>#N/A Requesting Data...</v>
        <stp/>
        <stp>##V3_BQLV12</stp>
        <stp>[MODL_NOW_US1.xlsx]Single Period!R204C42</stp>
        <stp>NOW US Equity</stp>
        <stp>CF_DEF_INC_TAX/1M</stp>
        <stp>FPR=2021Y</stp>
        <stp>FPT=A</stp>
        <stp>FA_ACT_EST_DATA=E, EST_SOURCE=CTI</stp>
        <stp>ACT_EST_MAPPING=PRECISE</stp>
        <stp>FS=MRC</stp>
        <stp>CURRENCY=USD</stp>
        <stp>XLFILL=b</stp>
        <tr r="AP204" s="2"/>
      </tp>
      <tp t="s">
        <v>#N/A Requesting Data...</v>
        <stp/>
        <stp>##V3_BQLV12</stp>
        <stp>[MODL_NOW_US1.xlsx]Single Period!R168C23</stp>
        <stp>NOW US Equity</stp>
        <stp>CB_BS_DEFERRED_COST_LT/1M</stp>
        <stp>FPR=2021Y</stp>
        <stp>FPT=A</stp>
        <stp>FA_ACT_EST_DATA=E, EST_SOURCE=ZXS</stp>
        <stp>ACT_EST_MAPPING=PRECISE</stp>
        <stp>FS=MRC</stp>
        <stp>CURRENCY=USD</stp>
        <stp>XLFILL=b</stp>
        <tr r="W168" s="2"/>
      </tp>
      <tp t="s">
        <v>#N/A Requesting Data...</v>
        <stp/>
        <stp>##V3_BQLV12</stp>
        <stp>[MODL_NOW_US1.xlsx]Single Period!R40C40</stp>
        <stp>NOW US Equity</stp>
        <stp>BILLNG_AMOUNT_GROWTH_PCT</stp>
        <stp>FPR=2021Y</stp>
        <stp>FPT=A</stp>
        <stp>FA_ACT_EST_DATA=E, EST_SOURCE=DWI</stp>
        <stp>ACT_EST_MAPPING=PRECISE</stp>
        <stp>FS=MRC</stp>
        <stp>CURRENCY=USD</stp>
        <stp>XLFILL=b</stp>
        <tr r="AN40" s="2"/>
      </tp>
      <tp t="s">
        <v>#N/A Requesting Data...</v>
        <stp/>
        <stp>##V3_BQLV12</stp>
        <stp>[MODL_NOW_US1.xlsx]Single Period!R231C5</stp>
        <stp>NOW US Equity</stp>
        <stp>CF_NET_CHNG_CASH/1M</stp>
        <stp>FPR=2021Y</stp>
        <stp>FPT=A</stp>
        <stp>FA_ACT_EST_DATA=E</stp>
        <stp>ACT_EST_MAPPING=PRECISE</stp>
        <stp>FS=MRC</stp>
        <stp>CURRENCY=USD</stp>
        <stp>XLFILL=b</stp>
        <tr r="E231" s="2"/>
      </tp>
      <tp t="s">
        <v>#N/A Requesting Data...</v>
        <stp/>
        <stp>##V3_BQLV12</stp>
        <stp>[MODL_NOW_US1.xlsx]Single Period!R98C21</stp>
        <stp>NOW US Equity</stp>
        <stp>CF_DEPR_AMORT/1M</stp>
        <stp>FPR=2021Y</stp>
        <stp>FPT=A</stp>
        <stp>FA_ACT_EST_DATA=E, EST_SOURCE=JMP</stp>
        <stp>ACT_EST_MAPPING=PRECISE</stp>
        <stp>FS=MRC</stp>
        <stp>CURRENCY=USD</stp>
        <stp>XLFILL=b</stp>
        <tr r="U98" s="2"/>
      </tp>
      <tp t="s">
        <v>#N/A Requesting Data...</v>
        <stp/>
        <stp>##V3_BQLV12</stp>
        <stp>[MODL_NOW_US1.xlsx]Single Period!R142C28</stp>
        <stp>NOW US Equity</stp>
        <stp>IS_SBC_ATT_TO_S_AND_M_PRETX/1M</stp>
        <stp>FPR=2021Y</stp>
        <stp>FPT=A</stp>
        <stp>FA_ACT_EST_DATA=E, EST_SOURCE=EVR</stp>
        <stp>ACT_EST_MAPPING=PRECISE</stp>
        <stp>FS=MRC</stp>
        <stp>CURRENCY=USD</stp>
        <stp>XLFILL=b</stp>
        <tr r="AB142" s="2"/>
      </tp>
      <tp t="s">
        <v>#N/A Requesting Data...</v>
        <stp/>
        <stp>##V3_BQLV12</stp>
        <stp>[MODL_NOW_US1.xlsx]Single Period!R89C39</stp>
        <stp>NOW US Equity</stp>
        <stp>IS_REV_INCLUDING_INTERSEG_REV/1M</stp>
        <stp>FPR=2021Y</stp>
        <stp>FPT=A</stp>
        <stp>FA_ACT_EST_DATA=E, EST_SOURCE=DZB</stp>
        <stp>ACT_EST_MAPPING=PRECISE</stp>
        <stp>FS=MRC</stp>
        <stp>CURRENCY=USD</stp>
        <stp>XLFILL=b</stp>
        <tr r="AM89" s="2"/>
      </tp>
      <tp t="s">
        <v>#N/A Requesting Data...</v>
        <stp/>
        <stp>##V3_BQLV12</stp>
        <stp>[MODL_NOW_US1.xlsx]Single Period!R89C37</stp>
        <stp>NOW US Equity</stp>
        <stp>IS_REV_INCLUDING_INTERSEG_REV/1M</stp>
        <stp>FPR=2021Y</stp>
        <stp>FPT=A</stp>
        <stp>FA_ACT_EST_DATA=E, EST_SOURCE=TTC</stp>
        <stp>ACT_EST_MAPPING=PRECISE</stp>
        <stp>FS=MRC</stp>
        <stp>CURRENCY=USD</stp>
        <stp>XLFILL=b</stp>
        <tr r="AK89" s="2"/>
      </tp>
      <tp t="s">
        <v>#N/A Requesting Data...</v>
        <stp/>
        <stp>##V3_BQLV12</stp>
        <stp>[MODL_NOW_US1.xlsx]Single Period!R178C23</stp>
        <stp>NOW US Equity</stp>
        <stp>BS_ADJ_TOTAL_LT_LIABILITIES/1M</stp>
        <stp>FPR=2021Y</stp>
        <stp>FPT=A</stp>
        <stp>FA_ACT_EST_DATA=E, EST_SOURCE=ZXS</stp>
        <stp>ACT_EST_MAPPING=PRECISE</stp>
        <stp>FS=MRC</stp>
        <stp>CURRENCY=USD</stp>
        <stp>XLFILL=b</stp>
        <tr r="W178" s="2"/>
      </tp>
      <tp t="s">
        <v>#N/A Requesting Data...</v>
        <stp/>
        <stp>##V3_BQLV12</stp>
        <stp>[MODL_NOW_US1.xlsx]Single Period!R139C38</stp>
        <stp>NOW US Equity</stp>
        <stp>IS_SBC_ATTRIB_TO_COGS_PRETX/1M</stp>
        <stp>FPR=2021Y</stp>
        <stp>FPT=A</stp>
        <stp>FA_ACT_EST_DATA=E, EST_SOURCE=RWB</stp>
        <stp>ACT_EST_MAPPING=PRECISE</stp>
        <stp>FS=MRC</stp>
        <stp>CURRENCY=USD</stp>
        <stp>XLFILL=b</stp>
        <tr r="AL139" s="2"/>
      </tp>
      <tp t="s">
        <v>#N/A Requesting Data...</v>
        <stp/>
        <stp>##V3_BQLV12</stp>
        <stp>[MODL_NOW_US1.xlsx]Single Period!R167C33</stp>
        <stp>NOW US Equity</stp>
        <stp>BS_GOODWILL/1M</stp>
        <stp>FPR=2021Y</stp>
        <stp>FPT=A</stp>
        <stp>FA_ACT_EST_DATA=E, EST_SOURCE=MAC</stp>
        <stp>ACT_EST_MAPPING=PRECISE</stp>
        <stp>FS=MRC</stp>
        <stp>CURRENCY=USD</stp>
        <stp>XLFILL=b</stp>
        <tr r="AG167" s="2"/>
      </tp>
      <tp t="s">
        <v>#N/A Requesting Data...</v>
        <stp/>
        <stp>##V3_BQLV12</stp>
        <stp>[MODL_NOW_US1.xlsx]Single Period!R154C12</stp>
        <stp>NOW US Equity</stp>
        <stp>BS_CUR_ASSET_REPORT/1M</stp>
        <stp>FPR=2021Y</stp>
        <stp>FPT=A</stp>
        <stp>FA_ACT_EST_DATA=E, EST_SOURCE=WBL</stp>
        <stp>ACT_EST_MAPPING=PRECISE</stp>
        <stp>FS=MRC</stp>
        <stp>CURRENCY=USD</stp>
        <stp>XLFILL=b</stp>
        <tr r="L154" s="2"/>
      </tp>
      <tp t="s">
        <v>#N/A Requesting Data...</v>
        <stp/>
        <stp>##V3_BQLV12</stp>
        <stp>[MODL_NOW_US1.xlsx]Single Period!R89C41</stp>
        <stp>NOW US Equity</stp>
        <stp>IS_REV_INCLUDING_INTERSEG_REV/1M</stp>
        <stp>FPR=2021Y</stp>
        <stp>FPT=A</stp>
        <stp>FA_ACT_EST_DATA=E, EST_SOURCE=ARG</stp>
        <stp>ACT_EST_MAPPING=PRECISE</stp>
        <stp>FS=MRC</stp>
        <stp>CURRENCY=USD</stp>
        <stp>XLFILL=b</stp>
        <tr r="AO89" s="2"/>
      </tp>
      <tp t="s">
        <v>#N/A Requesting Data...</v>
        <stp/>
        <stp>##V3_BQLV12</stp>
        <stp>[MODL_NOW_US1.xlsx]Single Period!R139C24</stp>
        <stp>NOW US Equity</stp>
        <stp>IS_SBC_ATTRIB_TO_COGS_PRETX/1M</stp>
        <stp>FPR=2021Y</stp>
        <stp>FPT=A</stp>
        <stp>FA_ACT_EST_DATA=E, EST_SOURCE=CWN</stp>
        <stp>ACT_EST_MAPPING=PRECISE</stp>
        <stp>FS=MRC</stp>
        <stp>CURRENCY=USD</stp>
        <stp>XLFILL=b</stp>
        <tr r="X139" s="2"/>
      </tp>
      <tp t="s">
        <v>#N/A Requesting Data...</v>
        <stp/>
        <stp>##V3_BQLV12</stp>
        <stp>[MODL_NOW_US1.xlsx]Single Period!R139C40</stp>
        <stp>NOW US Equity</stp>
        <stp>IS_SBC_ATTRIB_TO_COGS_PRETX/1M</stp>
        <stp>FPR=2021Y</stp>
        <stp>FPT=A</stp>
        <stp>FA_ACT_EST_DATA=E, EST_SOURCE=DWI</stp>
        <stp>ACT_EST_MAPPING=PRECISE</stp>
        <stp>FS=MRC</stp>
        <stp>CURRENCY=USD</stp>
        <stp>XLFILL=b</stp>
        <tr r="AN139" s="2"/>
      </tp>
      <tp t="s">
        <v>#N/A Requesting Data...</v>
        <stp/>
        <stp>##V3_BQLV12</stp>
        <stp>[MODL_NOW_US1.xlsx]Single Period!R167C20</stp>
        <stp>NOW US Equity</stp>
        <stp>BS_GOODWILL/1M</stp>
        <stp>FPR=2021Y</stp>
        <stp>FPT=A</stp>
        <stp>FA_ACT_EST_DATA=E, EST_SOURCE=CAN</stp>
        <stp>ACT_EST_MAPPING=PRECISE</stp>
        <stp>FS=MRC</stp>
        <stp>CURRENCY=USD</stp>
        <stp>XLFILL=b</stp>
        <tr r="T167" s="2"/>
      </tp>
      <tp t="s">
        <v>#N/A Requesting Data...</v>
        <stp/>
        <stp>##V3_BQLV12</stp>
        <stp>[MODL_NOW_US1.xlsx]Single Period!R30C23</stp>
        <stp>NOW US Equity</stp>
        <stp>CF_FREE_CASH_FLOW_AS_REPORTED/1M</stp>
        <stp>FPR=2021Y</stp>
        <stp>FPT=A</stp>
        <stp>FA_ACT_EST_DATA=E, EST_SOURCE=ZXS</stp>
        <stp>ACT_EST_MAPPING=PRECISE</stp>
        <stp>FS=MRC</stp>
        <stp>CURRENCY=USD</stp>
        <stp>XLFILL=b</stp>
        <tr r="W30" s="2"/>
      </tp>
      <tp t="s">
        <v>#N/A Requesting Data...</v>
        <stp/>
        <stp>##V3_BQLV12</stp>
        <stp>[MODL_NOW_US1.xlsx]Single Period!R9C22</stp>
        <stp>NOW US Equity</stp>
        <stp>IS_BILLINGS/1M</stp>
        <stp>FPR=2021Y</stp>
        <stp>FPT=A</stp>
        <stp>FA_ACT_EST_DATA=E, EST_SOURCE=NDH</stp>
        <stp>ACT_EST_MAPPING=PRECISE</stp>
        <stp>FS=MRC</stp>
        <stp>CURRENCY=USD</stp>
        <stp>XLFILL=b</stp>
        <tr r="V9" s="2"/>
      </tp>
      <tp t="s">
        <v>#N/A Requesting Data...</v>
        <stp/>
        <stp>##V3_BQLV12</stp>
        <stp>[MODL_NOW_US1.xlsx]Single Period!R154C27</stp>
        <stp>NOW US Equity</stp>
        <stp>BS_CUR_ASSET_REPORT/1M</stp>
        <stp>FPR=2021Y</stp>
        <stp>FPT=A</stp>
        <stp>FA_ACT_EST_DATA=E, EST_SOURCE=RBC</stp>
        <stp>ACT_EST_MAPPING=PRECISE</stp>
        <stp>FS=MRC</stp>
        <stp>CURRENCY=USD</stp>
        <stp>XLFILL=b</stp>
        <tr r="AA154" s="2"/>
      </tp>
      <tp t="s">
        <v>#N/A Requesting Data...</v>
        <stp/>
        <stp>##V3_BQLV12</stp>
        <stp>[MODL_NOW_US1.xlsx]Single Period!R154C32</stp>
        <stp>NOW US Equity</stp>
        <stp>BS_CUR_ASSET_REPORT/1M</stp>
        <stp>FPR=2021Y</stp>
        <stp>FPT=A</stp>
        <stp>FA_ACT_EST_DATA=E, EST_SOURCE=FBC</stp>
        <stp>ACT_EST_MAPPING=PRECISE</stp>
        <stp>FS=MRC</stp>
        <stp>CURRENCY=USD</stp>
        <stp>XLFILL=b</stp>
        <tr r="AF154" s="2"/>
      </tp>
      <tp t="s">
        <v>#N/A Requesting Data...</v>
        <stp/>
        <stp>##V3_BQLV12</stp>
        <stp>[MODL_NOW_US1.xlsx]Single Period!R167C30</stp>
        <stp>NOW US Equity</stp>
        <stp>BS_GOODWILL/1M</stp>
        <stp>FPR=2021Y</stp>
        <stp>FPT=A</stp>
        <stp>FA_ACT_EST_DATA=E, EST_SOURCE=BAM</stp>
        <stp>ACT_EST_MAPPING=PRECISE</stp>
        <stp>FS=MRC</stp>
        <stp>CURRENCY=USD</stp>
        <stp>XLFILL=b</stp>
        <tr r="AD167" s="2"/>
      </tp>
      <tp t="s">
        <v>#N/A Requesting Data...</v>
        <stp/>
        <stp>##V3_BQLV12</stp>
        <stp>[MODL_NOW_US1.xlsx]Single Period!R89C24</stp>
        <stp>NOW US Equity</stp>
        <stp>IS_REV_INCLUDING_INTERSEG_REV/1M</stp>
        <stp>FPR=2021Y</stp>
        <stp>FPT=A</stp>
        <stp>FA_ACT_EST_DATA=E, EST_SOURCE=CWN</stp>
        <stp>ACT_EST_MAPPING=PRECISE</stp>
        <stp>FS=MRC</stp>
        <stp>CURRENCY=USD</stp>
        <stp>XLFILL=b</stp>
        <tr r="X89" s="2"/>
      </tp>
      <tp t="s">
        <v>#N/A Requesting Data...</v>
        <stp/>
        <stp>##V3_BQLV12</stp>
        <stp>[MODL_NOW_US1.xlsx]Single Period!R154C25</stp>
        <stp>NOW US Equity</stp>
        <stp>BS_CUR_ASSET_REPORT/1M</stp>
        <stp>FPR=2021Y</stp>
        <stp>FPT=A</stp>
        <stp>FA_ACT_EST_DATA=E, EST_SOURCE=DBG</stp>
        <stp>ACT_EST_MAPPING=PRECISE</stp>
        <stp>FS=MRC</stp>
        <stp>CURRENCY=USD</stp>
        <stp>XLFILL=b</stp>
        <tr r="Y154" s="2"/>
      </tp>
      <tp t="s">
        <v>#N/A Requesting Data...</v>
        <stp/>
        <stp>##V3_BQLV12</stp>
        <stp>[MODL_NOW_US1.xlsx]Single Period!R230C42</stp>
        <stp>NOW US Equity</stp>
        <stp>CF_EFFECT_FOREIGN_EXCHANGES/1M</stp>
        <stp>FPR=2021Y</stp>
        <stp>FPT=A</stp>
        <stp>FA_ACT_EST_DATA=E, EST_SOURCE=CTI</stp>
        <stp>ACT_EST_MAPPING=PRECISE</stp>
        <stp>FS=MRC</stp>
        <stp>CURRENCY=USD</stp>
        <stp>XLFILL=b</stp>
        <tr r="AP230" s="2"/>
      </tp>
      <tp t="s">
        <v>#N/A Requesting Data...</v>
        <stp/>
        <stp>##V3_BQLV12</stp>
        <stp>[MODL_NOW_US1.xlsx]Single Period!R6C5</stp>
        <stp>NOW US Equity</stp>
        <stp>IS_COMP_EPS_EXCL_STOCK_COMP</stp>
        <stp>FPR=2021Y</stp>
        <stp>FPT=A</stp>
        <stp>FA_ACT_EST_DATA=E</stp>
        <stp>ACT_EST_MAPPING=PRECISE</stp>
        <stp>FS=MRC</stp>
        <stp>CURRENCY=USD</stp>
        <stp>XLFILL=b</stp>
        <tr r="E6" s="2"/>
      </tp>
      <tp t="s">
        <v>#N/A Requesting Data...</v>
        <stp/>
        <stp>##V3_BQLV12</stp>
        <stp>[MODL_NOW_US1.xlsx]Single Period!R189C28</stp>
        <stp>NOW US Equity</stp>
        <stp>CUR_RATIO</stp>
        <stp>FPR=2021Y</stp>
        <stp>FPT=A</stp>
        <stp>FA_ACT_EST_DATA=E, EST_SOURCE=EVR</stp>
        <stp>ACT_EST_MAPPING=PRECISE</stp>
        <stp>FS=MRC</stp>
        <stp>CURRENCY=USD</stp>
        <stp>XLFILL=b</stp>
        <tr r="AB189" s="2"/>
      </tp>
      <tp t="s">
        <v>#N/A Requesting Data...</v>
        <stp/>
        <stp>##V3_BQLV12</stp>
        <stp>[MODL_NOW_US1.xlsx]Single Period!R173C42</stp>
        <stp>NOW US Equity</stp>
        <stp>BS_CUR_LIAB/1M</stp>
        <stp>FPR=2021Y</stp>
        <stp>FPT=A</stp>
        <stp>FA_ACT_EST_DATA=E, EST_SOURCE=CTI</stp>
        <stp>ACT_EST_MAPPING=PRECISE</stp>
        <stp>FS=MRC</stp>
        <stp>CURRENCY=USD</stp>
        <stp>XLFILL=b</stp>
        <tr r="AP173" s="2"/>
      </tp>
      <tp t="s">
        <v>#N/A Requesting Data...</v>
        <stp/>
        <stp>##V3_BQLV12</stp>
        <stp>[MODL_NOW_US1.xlsx]Single Period!R154C26</stp>
        <stp>NOW US Equity</stp>
        <stp>BS_CUR_ASSET_REPORT/1M</stp>
        <stp>FPR=2021Y</stp>
        <stp>FPT=A</stp>
        <stp>FA_ACT_EST_DATA=E, EST_SOURCE=UBS</stp>
        <stp>ACT_EST_MAPPING=PRECISE</stp>
        <stp>FS=MRC</stp>
        <stp>CURRENCY=USD</stp>
        <stp>XLFILL=b</stp>
        <tr r="Z154" s="2"/>
      </tp>
      <tp t="s">
        <v>#N/A Requesting Data...</v>
        <stp/>
        <stp>##V3_BQLV12</stp>
        <stp>[MODL_NOW_US1.xlsx]Single Period!R173C37</stp>
        <stp>NOW US Equity</stp>
        <stp>BS_CUR_LIAB/1M</stp>
        <stp>FPR=2021Y</stp>
        <stp>FPT=A</stp>
        <stp>FA_ACT_EST_DATA=E, EST_SOURCE=TTC</stp>
        <stp>ACT_EST_MAPPING=PRECISE</stp>
        <stp>FS=MRC</stp>
        <stp>CURRENCY=USD</stp>
        <stp>XLFILL=b</stp>
        <tr r="AK173" s="2"/>
      </tp>
      <tp t="s">
        <v>#N/A Requesting Data...</v>
        <stp/>
        <stp>##V3_BQLV12</stp>
        <stp>[MODL_NOW_US1.xlsx]Single Period!R230C37</stp>
        <stp>NOW US Equity</stp>
        <stp>CF_EFFECT_FOREIGN_EXCHANGES/1M</stp>
        <stp>FPR=2021Y</stp>
        <stp>FPT=A</stp>
        <stp>FA_ACT_EST_DATA=E, EST_SOURCE=TTC</stp>
        <stp>ACT_EST_MAPPING=PRECISE</stp>
        <stp>FS=MRC</stp>
        <stp>CURRENCY=USD</stp>
        <stp>XLFILL=b</stp>
        <tr r="AK230" s="2"/>
      </tp>
      <tp t="s">
        <v>#N/A Requesting Data...</v>
        <stp/>
        <stp>##V3_BQLV12</stp>
        <stp>[MODL_NOW_US1.xlsx]Single Period!R92C23</stp>
        <stp>NOW US Equity</stp>
        <stp>IS_ADJ_GENL_AND_ADMIN_EXPN_AR/1M</stp>
        <stp>FPR=2021Y</stp>
        <stp>FPT=A</stp>
        <stp>FA_ACT_EST_DATA=E, EST_SOURCE=ZXS</stp>
        <stp>ACT_EST_MAPPING=PRECISE</stp>
        <stp>FS=MRC</stp>
        <stp>CURRENCY=USD</stp>
        <stp>XLFILL=b</stp>
        <tr r="W92" s="2"/>
      </tp>
      <tp t="s">
        <v>#N/A Requesting Data...</v>
        <stp/>
        <stp>##V3_BQLV12</stp>
        <stp>[MODL_NOW_US1.xlsx]Single Period!R119C21</stp>
        <stp>NOW US Equity</stp>
        <stp>CB_IS_S_AND_M_EXPENSE/1M</stp>
        <stp>FPR=2021Y</stp>
        <stp>FPT=A</stp>
        <stp>FA_ACT_EST_DATA=E, EST_SOURCE=JMP</stp>
        <stp>ACT_EST_MAPPING=PRECISE</stp>
        <stp>FS=MRC</stp>
        <stp>CURRENCY=USD</stp>
        <stp>XLFILL=b</stp>
        <tr r="U119" s="2"/>
      </tp>
      <tp t="s">
        <v>#N/A Requesting Data...</v>
        <stp/>
        <stp>##V3_BQLV12</stp>
        <stp>[MODL_NOW_US1.xlsx]Single Period!R207C26</stp>
        <stp>NOW US Equity</stp>
        <stp>CB_CF_CHANGE_IN_ACCOUNTS_RECEIVABLE/1M</stp>
        <stp>FPR=2021Y</stp>
        <stp>FPT=A</stp>
        <stp>FA_ACT_EST_DATA=E, EST_SOURCE=UBS</stp>
        <stp>ACT_EST_MAPPING=PRECISE</stp>
        <stp>FS=MRC</stp>
        <stp>CURRENCY=USD</stp>
        <stp>XLFILL=b</stp>
        <tr r="Z207" s="2"/>
      </tp>
      <tp t="s">
        <v>#N/A Requesting Data...</v>
        <stp/>
        <stp>##V3_BQLV12</stp>
        <stp>[MODL_NOW_US1.xlsx]Single Period!R235C14</stp>
        <stp>NOW US Equity</stp>
        <stp>CF_FREE_CASH_FLOW_AS_REPORTED/1M</stp>
        <stp>FPR=2021Y</stp>
        <stp>FPT=A</stp>
        <stp>FA_ACT_EST_DATA=E, EST_SOURCE=BMO</stp>
        <stp>ACT_EST_MAPPING=PRECISE</stp>
        <stp>FS=MRC</stp>
        <stp>CURRENCY=USD</stp>
        <stp>XLFILL=b</stp>
        <tr r="N235" s="2"/>
      </tp>
      <tp t="s">
        <v>#N/A Requesting Data...</v>
        <stp/>
        <stp>##V3_BQLV12</stp>
        <stp>[MODL_NOW_US1.xlsx]Single Period!R15C45</stp>
        <stp>SEG0000230992 Segment</stp>
        <stp>SALES_REV_TURN/1M</stp>
        <stp>FPR=2021Y</stp>
        <stp>FPT=A</stp>
        <stp>FA_ACT_EST_DATA=E, EST_SOURCE=PJE</stp>
        <stp>ACT_EST_MAPPING=PRECISE</stp>
        <stp>FS=MRC</stp>
        <stp>CURRENCY=USD</stp>
        <stp>XLFILL=b</stp>
        <tr r="AS15" s="2"/>
      </tp>
      <tp t="s">
        <v>#N/A Requesting Data...</v>
        <stp/>
        <stp>##V3_BQLV12</stp>
        <stp>[MODL_NOW_US1.xlsx]Single Period!R75C45</stp>
        <stp>SEG0000230992 Segment</stp>
        <stp>SALES_REV_TURN/1M</stp>
        <stp>FPR=2021Y</stp>
        <stp>FPT=A</stp>
        <stp>FA_ACT_EST_DATA=E, EST_SOURCE=PJE</stp>
        <stp>ACT_EST_MAPPING=PRECISE</stp>
        <stp>FS=MRC</stp>
        <stp>CURRENCY=USD</stp>
        <stp>XLFILL=b</stp>
        <tr r="AS75" s="2"/>
      </tp>
      <tp t="s">
        <v>#N/A Requesting Data...</v>
        <stp/>
        <stp>##V3_BQLV12</stp>
        <stp>[MODL_NOW_US1.xlsx]Single Period!R200C40</stp>
        <stp>NOW US Equity</stp>
        <stp>CF_DEPR_AMORT/1M</stp>
        <stp>FPR=2021Y</stp>
        <stp>FPT=A</stp>
        <stp>FA_ACT_EST_DATA=E, EST_SOURCE=DWI</stp>
        <stp>ACT_EST_MAPPING=PRECISE</stp>
        <stp>FS=MRC</stp>
        <stp>CURRENCY=USD</stp>
        <stp>XLFILL=b</stp>
        <tr r="AN200" s="2"/>
      </tp>
      <tp t="s">
        <v>#N/A Requesting Data...</v>
        <stp/>
        <stp>##V3_BQLV12</stp>
        <stp>[MODL_NOW_US1.xlsx]Single Period!R81C7</stp>
        <stp>NOW US Equity</stp>
        <stp>CONTRIBUTOR_STATS(IS_ADJ_SALES_YOY_CHG_PCT_CC, MAX)</stp>
        <stp>FPR=2021Y</stp>
        <stp>FPT=A</stp>
        <stp>FA_ACT_EST_DATA=E</stp>
        <stp>ACT_EST_MAPPING=PRECISE</stp>
        <stp>FS=MRC</stp>
        <stp>CURRENCY=USD</stp>
        <stp>XLFILL=b</stp>
        <tr r="G81" s="2"/>
      </tp>
      <tp t="s">
        <v>#N/A Requesting Data...</v>
        <stp/>
        <stp>##V3_BQLV12</stp>
        <stp>[MODL_NOW_US1.xlsx]Single Period!R14C36</stp>
        <stp>SEG0000230975 Segment</stp>
        <stp>SALES_REV_TURN/1M</stp>
        <stp>FPR=2021Y</stp>
        <stp>FPT=A</stp>
        <stp>FA_ACT_EST_DATA=E, EST_SOURCE=JEF</stp>
        <stp>ACT_EST_MAPPING=PRECISE</stp>
        <stp>FS=MRC</stp>
        <stp>CURRENCY=USD</stp>
        <stp>XLFILL=b</stp>
        <tr r="AJ14" s="2"/>
      </tp>
      <tp t="s">
        <v>#N/A Requesting Data...</v>
        <stp/>
        <stp>##V3_BQLV12</stp>
        <stp>[MODL_NOW_US1.xlsx]Single Period!R61C34</stp>
        <stp>SEG0000230975 Segment</stp>
        <stp>IS_ADJ_GROSS_PROFIT_AS_REPORTED/1M</stp>
        <stp>FPR=2021Y</stp>
        <stp>FPT=A</stp>
        <stp>FA_ACT_EST_DATA=E, EST_SOURCE=PSG</stp>
        <stp>ACT_EST_MAPPING=PRECISE</stp>
        <stp>FS=MRC</stp>
        <stp>CURRENCY=USD</stp>
        <stp>XLFILL=b</stp>
        <tr r="AH61" s="2"/>
      </tp>
      <tp t="s">
        <v>#N/A Requesting Data...</v>
        <stp/>
        <stp>##V3_BQLV12</stp>
        <stp>[MODL_NOW_US1.xlsx]Single Period!R71C7</stp>
        <stp>SEG0000230986 Segment</stp>
        <stp>CONTRIBUTOR_STATS(CB_IS_GROSS_PROFIT, MAX)/1M</stp>
        <stp>FPR=2021Y</stp>
        <stp>FPT=A</stp>
        <stp>FA_ACT_EST_DATA=E</stp>
        <stp>ACT_EST_MAPPING=PRECISE</stp>
        <stp>FS=MRC</stp>
        <stp>CURRENCY=USD</stp>
        <stp>XLFILL=b</stp>
        <tr r="G71" s="2"/>
      </tp>
      <tp t="s">
        <v>#N/A Requesting Data...</v>
        <stp/>
        <stp>##V3_BQLV12</stp>
        <stp>[MODL_NOW_US1.xlsx]Single Period!R71C6</stp>
        <stp>SEG0000230986 Segment</stp>
        <stp>CONTRIBUTOR_STATS(CB_IS_GROSS_PROFIT, MIN)/1M</stp>
        <stp>FPR=2021Y</stp>
        <stp>FPT=A</stp>
        <stp>FA_ACT_EST_DATA=E</stp>
        <stp>ACT_EST_MAPPING=PRECISE</stp>
        <stp>FS=MRC</stp>
        <stp>CURRENCY=USD</stp>
        <stp>XLFILL=b</stp>
        <tr r="F71" s="2"/>
      </tp>
      <tp t="s">
        <v>#N/A Requesting Data...</v>
        <stp/>
        <stp>##V3_BQLV12</stp>
        <stp>[MODL_NOW_US1.xlsx]Single Period!R169C17</stp>
        <stp>NOW US Equity</stp>
        <stp>CB_BS_OTHER_NONCURRENT_ASSETS/1M</stp>
        <stp>FPR=2021Y</stp>
        <stp>FPT=A</stp>
        <stp>FA_ACT_EST_DATA=E, EST_SOURCE=RHR</stp>
        <stp>ACT_EST_MAPPING=PRECISE</stp>
        <stp>FS=MRC</stp>
        <stp>CURRENCY=USD</stp>
        <stp>XLFILL=b</stp>
        <tr r="Q169" s="2"/>
      </tp>
      <tp t="s">
        <v>#N/A Requesting Data...</v>
        <stp/>
        <stp>##V3_BQLV12</stp>
        <stp>[MODL_NOW_US1.xlsx]Single Period!R200C34</stp>
        <stp>NOW US Equity</stp>
        <stp>CF_DEPR_AMORT/1M</stp>
        <stp>FPR=2021Y</stp>
        <stp>FPT=A</stp>
        <stp>FA_ACT_EST_DATA=E, EST_SOURCE=PSG</stp>
        <stp>ACT_EST_MAPPING=PRECISE</stp>
        <stp>FS=MRC</stp>
        <stp>CURRENCY=USD</stp>
        <stp>XLFILL=b</stp>
        <tr r="AH200" s="2"/>
      </tp>
      <tp t="s">
        <v>#N/A Requesting Data...</v>
        <stp/>
        <stp>##V3_BQLV12</stp>
        <stp>[MODL_NOW_US1.xlsx]Single Period!R81C6</stp>
        <stp>NOW US Equity</stp>
        <stp>CONTRIBUTOR_STATS(IS_ADJ_SALES_YOY_CHG_PCT_CC, MIN)</stp>
        <stp>FPR=2021Y</stp>
        <stp>FPT=A</stp>
        <stp>FA_ACT_EST_DATA=E</stp>
        <stp>ACT_EST_MAPPING=PRECISE</stp>
        <stp>FS=MRC</stp>
        <stp>CURRENCY=USD</stp>
        <stp>XLFILL=b</stp>
        <tr r="F81" s="2"/>
      </tp>
      <tp t="s">
        <v>#N/A Requesting Data...</v>
        <stp/>
        <stp>##V3_BQLV12</stp>
        <stp>[MODL_NOW_US1.xlsx]Single Period!R69C11</stp>
        <stp>SEG0000230986 Segment</stp>
        <stp>IS_ADJ_GROSS_PROFIT_AS_REPORTED/1M</stp>
        <stp>FPR=2021Y</stp>
        <stp>FPT=A</stp>
        <stp>FA_ACT_EST_DATA=E, EST_SOURCE=JPM</stp>
        <stp>ACT_EST_MAPPING=PRECISE</stp>
        <stp>FS=MRC</stp>
        <stp>CURRENCY=USD</stp>
        <stp>XLFILL=b</stp>
        <tr r="K69" s="2"/>
      </tp>
      <tp t="s">
        <v>#N/A Requesting Data...</v>
        <stp/>
        <stp>##V3_BQLV12</stp>
        <stp>[MODL_NOW_US1.xlsx]Single Period!R133C45</stp>
        <stp>NOW US Equity</stp>
        <stp>IS_SH_FOR_DILUTED_EPS/1M</stp>
        <stp>FPR=2021Y</stp>
        <stp>FPT=A</stp>
        <stp>FA_ACT_EST_DATA=E, EST_SOURCE=PJE</stp>
        <stp>ACT_EST_MAPPING=PRECISE</stp>
        <stp>FS=MRC</stp>
        <stp>CURRENCY=USD</stp>
        <stp>XLFILL=b</stp>
        <tr r="AS133" s="2"/>
      </tp>
      <tp t="s">
        <v>#N/A Requesting Data...</v>
        <stp/>
        <stp>##V3_BQLV12</stp>
        <stp>[MODL_NOW_US1.xlsx]Single Period!R207C27</stp>
        <stp>NOW US Equity</stp>
        <stp>CB_CF_CHANGE_IN_ACCOUNTS_RECEIVABLE/1M</stp>
        <stp>FPR=2021Y</stp>
        <stp>FPT=A</stp>
        <stp>FA_ACT_EST_DATA=E, EST_SOURCE=RBC</stp>
        <stp>ACT_EST_MAPPING=PRECISE</stp>
        <stp>FS=MRC</stp>
        <stp>CURRENCY=USD</stp>
        <stp>XLFILL=b</stp>
        <tr r="AA207" s="2"/>
      </tp>
      <tp t="s">
        <v>#N/A Requesting Data...</v>
        <stp/>
        <stp>##V3_BQLV12</stp>
        <stp>[MODL_NOW_US1.xlsx]Single Period!R207C32</stp>
        <stp>NOW US Equity</stp>
        <stp>CB_CF_CHANGE_IN_ACCOUNTS_RECEIVABLE/1M</stp>
        <stp>FPR=2021Y</stp>
        <stp>FPT=A</stp>
        <stp>FA_ACT_EST_DATA=E, EST_SOURCE=FBC</stp>
        <stp>ACT_EST_MAPPING=PRECISE</stp>
        <stp>FS=MRC</stp>
        <stp>CURRENCY=USD</stp>
        <stp>XLFILL=b</stp>
        <tr r="AF207" s="2"/>
      </tp>
      <tp t="s">
        <v>#N/A Requesting Data...</v>
        <stp/>
        <stp>##V3_BQLV12</stp>
        <stp>[MODL_NOW_US1.xlsx]Single Period!R209C15</stp>
        <stp>NOW US Equity</stp>
        <stp>CF_CHANGE_IN_ACCOUNTS_PAYABLE/1M</stp>
        <stp>FPR=2021Y</stp>
        <stp>FPT=A</stp>
        <stp>FA_ACT_EST_DATA=E, EST_SOURCE=OPY</stp>
        <stp>ACT_EST_MAPPING=PRECISE</stp>
        <stp>FS=MRC</stp>
        <stp>CURRENCY=USD</stp>
        <stp>XLFILL=b</stp>
        <tr r="O209" s="2"/>
      </tp>
      <tp t="s">
        <v>#N/A Requesting Data...</v>
        <stp/>
        <stp>##V3_BQLV12</stp>
        <stp>[MODL_NOW_US1.xlsx]Single Period!R20C18</stp>
        <stp>SEG0000230986 Segment</stp>
        <stp>SALES_REV_TURN/1M</stp>
        <stp>FPR=2021Y</stp>
        <stp>FPT=A</stp>
        <stp>FA_ACT_EST_DATA=E, EST_SOURCE=SNR</stp>
        <stp>ACT_EST_MAPPING=PRECISE</stp>
        <stp>FS=MRC</stp>
        <stp>CURRENCY=USD</stp>
        <stp>XLFILL=b</stp>
        <tr r="R20" s="2"/>
      </tp>
      <tp t="s">
        <v>#N/A Requesting Data...</v>
        <stp/>
        <stp>##V3_BQLV12</stp>
        <stp>[MODL_NOW_US1.xlsx]Single Period!R66C17</stp>
        <stp>SEG0000230986 Segment</stp>
        <stp>SALES_REV_TURN/1M</stp>
        <stp>FPR=2021Y</stp>
        <stp>FPT=A</stp>
        <stp>FA_ACT_EST_DATA=E, EST_SOURCE=RHR</stp>
        <stp>ACT_EST_MAPPING=PRECISE</stp>
        <stp>FS=MRC</stp>
        <stp>CURRENCY=USD</stp>
        <stp>XLFILL=b</stp>
        <tr r="Q66" s="2"/>
      </tp>
      <tp t="s">
        <v>#N/A Requesting Data...</v>
        <stp/>
        <stp>##V3_BQLV12</stp>
        <stp>[MODL_NOW_US1.xlsx]Single Period!R20C29</stp>
        <stp>SEG0000230986 Segment</stp>
        <stp>SALES_REV_TURN/1M</stp>
        <stp>FPR=2021Y</stp>
        <stp>FPT=A</stp>
        <stp>FA_ACT_EST_DATA=E, EST_SOURCE=BNS</stp>
        <stp>ACT_EST_MAPPING=PRECISE</stp>
        <stp>FS=MRC</stp>
        <stp>CURRENCY=USD</stp>
        <stp>XLFILL=b</stp>
        <tr r="AC20" s="2"/>
      </tp>
      <tp t="s">
        <v>#N/A Requesting Data...</v>
        <stp/>
        <stp>##V3_BQLV12</stp>
        <stp>[MODL_NOW_US1.xlsx]Single Period!R61C31</stp>
        <stp>SEG0000230975 Segment</stp>
        <stp>IS_ADJ_GROSS_PROFIT_AS_REPORTED/1M</stp>
        <stp>FPR=2021Y</stp>
        <stp>FPT=A</stp>
        <stp>FA_ACT_EST_DATA=E, EST_SOURCE=GSR</stp>
        <stp>ACT_EST_MAPPING=PRECISE</stp>
        <stp>FS=MRC</stp>
        <stp>CURRENCY=USD</stp>
        <stp>XLFILL=b</stp>
        <tr r="AE61" s="2"/>
      </tp>
      <tp t="s">
        <v>#N/A Requesting Data...</v>
        <stp/>
        <stp>##V3_BQLV12</stp>
        <stp>[MODL_NOW_US1.xlsx]Single Period!R61C35</stp>
        <stp>SEG0000230975 Segment</stp>
        <stp>IS_ADJ_GROSS_PROFIT_AS_REPORTED/1M</stp>
        <stp>FPR=2021Y</stp>
        <stp>FPT=A</stp>
        <stp>FA_ACT_EST_DATA=E, EST_SOURCE=MSR</stp>
        <stp>ACT_EST_MAPPING=PRECISE</stp>
        <stp>FS=MRC</stp>
        <stp>CURRENCY=USD</stp>
        <stp>XLFILL=b</stp>
        <tr r="AI61" s="2"/>
      </tp>
      <tp t="s">
        <v>#N/A Requesting Data...</v>
        <stp/>
        <stp>##V3_BQLV12</stp>
        <stp>[MODL_NOW_US1.xlsx]Single Period!R101C24</stp>
        <stp>NOW US Equity</stp>
        <stp>CB_IS_OTHER_NON_OPER_INC_EXPN/1M</stp>
        <stp>FPR=2021Y</stp>
        <stp>FPT=A</stp>
        <stp>FA_ACT_EST_DATA=E, EST_SOURCE=CWN</stp>
        <stp>ACT_EST_MAPPING=PRECISE</stp>
        <stp>FS=MRC</stp>
        <stp>CURRENCY=USD</stp>
        <stp>XLFILL=b</stp>
        <tr r="X101" s="2"/>
      </tp>
      <tp t="s">
        <v>#N/A Requesting Data...</v>
        <stp/>
        <stp>##V3_BQLV12</stp>
        <stp>[MODL_NOW_US1.xlsx]Single Period!R207C25</stp>
        <stp>NOW US Equity</stp>
        <stp>CB_CF_CHANGE_IN_ACCOUNTS_RECEIVABLE/1M</stp>
        <stp>FPR=2021Y</stp>
        <stp>FPT=A</stp>
        <stp>FA_ACT_EST_DATA=E, EST_SOURCE=DBG</stp>
        <stp>ACT_EST_MAPPING=PRECISE</stp>
        <stp>FS=MRC</stp>
        <stp>CURRENCY=USD</stp>
        <stp>XLFILL=b</stp>
        <tr r="Y207" s="2"/>
      </tp>
      <tp t="s">
        <v>#N/A Requesting Data...</v>
        <stp/>
        <stp>##V3_BQLV12</stp>
        <stp>[MODL_NOW_US1.xlsx]Single Period!R61C19</stp>
        <stp>SEG0000230975 Segment</stp>
        <stp>IS_ADJ_GROSS_PROFIT_AS_REPORTED/1M</stp>
        <stp>FPR=2021Y</stp>
        <stp>FPT=A</stp>
        <stp>FA_ACT_EST_DATA=E, EST_SOURCE=MSV</stp>
        <stp>ACT_EST_MAPPING=PRECISE</stp>
        <stp>FS=MRC</stp>
        <stp>CURRENCY=USD</stp>
        <stp>XLFILL=b</stp>
        <tr r="S61" s="2"/>
      </tp>
      <tp t="s">
        <v>#N/A Requesting Data...</v>
        <stp/>
        <stp>##V3_BQLV12</stp>
        <stp>[MODL_NOW_US1.xlsx]Single Period!R133C17</stp>
        <stp>NOW US Equity</stp>
        <stp>IS_SH_FOR_DILUTED_EPS/1M</stp>
        <stp>FPR=2021Y</stp>
        <stp>FPT=A</stp>
        <stp>FA_ACT_EST_DATA=E, EST_SOURCE=RHR</stp>
        <stp>ACT_EST_MAPPING=PRECISE</stp>
        <stp>FS=MRC</stp>
        <stp>CURRENCY=USD</stp>
        <stp>XLFILL=b</stp>
        <tr r="Q133" s="2"/>
      </tp>
      <tp t="s">
        <v>#N/A Requesting Data...</v>
        <stp/>
        <stp>##V3_BQLV12</stp>
        <stp>[MODL_NOW_US1.xlsx]Single Period!R101C39</stp>
        <stp>NOW US Equity</stp>
        <stp>CB_IS_OTHER_NON_OPER_INC_EXPN/1M</stp>
        <stp>FPR=2021Y</stp>
        <stp>FPT=A</stp>
        <stp>FA_ACT_EST_DATA=E, EST_SOURCE=DZB</stp>
        <stp>ACT_EST_MAPPING=PRECISE</stp>
        <stp>FS=MRC</stp>
        <stp>CURRENCY=USD</stp>
        <stp>XLFILL=b</stp>
        <tr r="AM101" s="2"/>
      </tp>
      <tp t="s">
        <v>#N/A Requesting Data...</v>
        <stp/>
        <stp>##V3_BQLV12</stp>
        <stp>[MODL_NOW_US1.xlsx]Single Period!R71C8</stp>
        <stp>SEG0000230986 Segment</stp>
        <stp>CONTRIBUTOR_STATS(CB_IS_GROSS_PROFIT, STD)/1M</stp>
        <stp>FPR=2021Y</stp>
        <stp>FPT=A</stp>
        <stp>FA_ACT_EST_DATA=E</stp>
        <stp>ACT_EST_MAPPING=PRECISE</stp>
        <stp>FS=MRC</stp>
        <stp>CURRENCY=USD</stp>
        <stp>XLFILL=b</stp>
        <tr r="H71" s="2"/>
      </tp>
      <tp t="s">
        <v>#N/A Requesting Data...</v>
        <stp/>
        <stp>##V3_BQLV12</stp>
        <stp>[MODL_NOW_US1.xlsx]Single Period!R101C37</stp>
        <stp>NOW US Equity</stp>
        <stp>CB_IS_OTHER_NON_OPER_INC_EXPN/1M</stp>
        <stp>FPR=2021Y</stp>
        <stp>FPT=A</stp>
        <stp>FA_ACT_EST_DATA=E, EST_SOURCE=TTC</stp>
        <stp>ACT_EST_MAPPING=PRECISE</stp>
        <stp>FS=MRC</stp>
        <stp>CURRENCY=USD</stp>
        <stp>XLFILL=b</stp>
        <tr r="AK101" s="2"/>
      </tp>
      <tp t="s">
        <v>#N/A Requesting Data...</v>
        <stp/>
        <stp>##V3_BQLV12</stp>
        <stp>[MODL_NOW_US1.xlsx]Single Period!R14C13</stp>
        <stp>SEG0000230975 Segment</stp>
        <stp>SALES_REV_TURN/1M</stp>
        <stp>FPR=2021Y</stp>
        <stp>FPT=A</stp>
        <stp>FA_ACT_EST_DATA=E, EST_SOURCE=KEY</stp>
        <stp>ACT_EST_MAPPING=PRECISE</stp>
        <stp>FS=MRC</stp>
        <stp>CURRENCY=USD</stp>
        <stp>XLFILL=b</stp>
        <tr r="M14" s="2"/>
      </tp>
      <tp t="s">
        <v>#N/A Requesting Data...</v>
        <stp/>
        <stp>##V3_BQLV12</stp>
        <stp>[MODL_NOW_US1.xlsx]Single Period!R69C15</stp>
        <stp>SEG0000230986 Segment</stp>
        <stp>IS_ADJ_GROSS_PROFIT_AS_REPORTED/1M</stp>
        <stp>FPR=2021Y</stp>
        <stp>FPT=A</stp>
        <stp>FA_ACT_EST_DATA=E, EST_SOURCE=OPY</stp>
        <stp>ACT_EST_MAPPING=PRECISE</stp>
        <stp>FS=MRC</stp>
        <stp>CURRENCY=USD</stp>
        <stp>XLFILL=b</stp>
        <tr r="O69" s="2"/>
      </tp>
      <tp t="s">
        <v>#N/A Requesting Data...</v>
        <stp/>
        <stp>##V3_BQLV12</stp>
        <stp>[MODL_NOW_US1.xlsx]Single Period!R131C26</stp>
        <stp>NOW US Equity</stp>
        <stp>IS_AVG_NUM_SH_FOR_EPS/1M</stp>
        <stp>FPR=2021Y</stp>
        <stp>FPT=A</stp>
        <stp>FA_ACT_EST_DATA=E, EST_SOURCE=UBS</stp>
        <stp>ACT_EST_MAPPING=PRECISE</stp>
        <stp>FS=MRC</stp>
        <stp>CURRENCY=USD</stp>
        <stp>XLFILL=b</stp>
        <tr r="Z131" s="2"/>
      </tp>
      <tp t="s">
        <v>#N/A Requesting Data...</v>
        <stp/>
        <stp>##V3_BQLV12</stp>
        <stp>[MODL_NOW_US1.xlsx]Single Period!R16C43</stp>
        <stp>SEG0000230969 Segment</stp>
        <stp>SALES_REV_TURN/1M</stp>
        <stp>FPR=2021Y</stp>
        <stp>FPT=A</stp>
        <stp>FA_ACT_EST_DATA=E, EST_SOURCE=WFT</stp>
        <stp>ACT_EST_MAPPING=PRECISE</stp>
        <stp>FS=MRC</stp>
        <stp>CURRENCY=USD</stp>
        <stp>XLFILL=b</stp>
        <tr r="AQ16" s="2"/>
      </tp>
      <tp t="s">
        <v>#N/A Requesting Data...</v>
        <stp/>
        <stp>##V3_BQLV12</stp>
        <stp>[MODL_NOW_US1.xlsx]Single Period!R207C12</stp>
        <stp>NOW US Equity</stp>
        <stp>CB_CF_CHANGE_IN_ACCOUNTS_RECEIVABLE/1M</stp>
        <stp>FPR=2021Y</stp>
        <stp>FPT=A</stp>
        <stp>FA_ACT_EST_DATA=E, EST_SOURCE=WBL</stp>
        <stp>ACT_EST_MAPPING=PRECISE</stp>
        <stp>FS=MRC</stp>
        <stp>CURRENCY=USD</stp>
        <stp>XLFILL=b</stp>
        <tr r="L207" s="2"/>
      </tp>
      <tp t="s">
        <v>#N/A Requesting Data...</v>
        <stp/>
        <stp>##V3_BQLV12</stp>
        <stp>[MODL_NOW_US1.xlsx]Single Period!R101C41</stp>
        <stp>NOW US Equity</stp>
        <stp>CB_IS_OTHER_NON_OPER_INC_EXPN/1M</stp>
        <stp>FPR=2021Y</stp>
        <stp>FPT=A</stp>
        <stp>FA_ACT_EST_DATA=E, EST_SOURCE=ARG</stp>
        <stp>ACT_EST_MAPPING=PRECISE</stp>
        <stp>FS=MRC</stp>
        <stp>CURRENCY=USD</stp>
        <stp>XLFILL=b</stp>
        <tr r="AO101" s="2"/>
      </tp>
      <tp t="s">
        <v>#N/A Requesting Data...</v>
        <stp/>
        <stp>##V3_BQLV12</stp>
        <stp>[MODL_NOW_US1.xlsx]Single Period!R169C45</stp>
        <stp>NOW US Equity</stp>
        <stp>CB_BS_OTHER_NONCURRENT_ASSETS/1M</stp>
        <stp>FPR=2021Y</stp>
        <stp>FPT=A</stp>
        <stp>FA_ACT_EST_DATA=E, EST_SOURCE=PJE</stp>
        <stp>ACT_EST_MAPPING=PRECISE</stp>
        <stp>FS=MRC</stp>
        <stp>CURRENCY=USD</stp>
        <stp>XLFILL=b</stp>
        <tr r="AS169" s="2"/>
      </tp>
      <tp t="s">
        <v>#N/A Requesting Data...</v>
        <stp/>
        <stp>##V3_BQLV12</stp>
        <stp>[MODL_NOW_US1.xlsx]Single Period!R61C9</stp>
        <stp>SEG0000230975 Segment</stp>
        <stp>CONTRIBUTOR_STATS(IS_ADJ_GROSS_PROFIT_AS_REPORTED, MEDIAN)/1M</stp>
        <stp>FPR=2021Y</stp>
        <stp>FPT=A</stp>
        <stp>FA_ACT_EST_DATA=E</stp>
        <stp>ACT_EST_MAPPING=PRECISE</stp>
        <stp>FS=MRC</stp>
        <stp>CURRENCY=USD</stp>
        <stp>XLFILL=b</stp>
        <tr r="I61" s="2"/>
      </tp>
      <tp t="s">
        <v>#N/A Requesting Data...</v>
        <stp/>
        <stp>##V3_BQLV12</stp>
        <stp>[MODL_NOW_US1.xlsx]Single Period!R146C10</stp>
        <stp>NOW US Equity</stp>
        <stp>IS_AMORT_ACQD_INTANGIBLES_COGS/1M</stp>
        <stp>FPR=2021Y</stp>
        <stp>FPT=A</stp>
        <stp>FA_ACT_EST_DATA=E, EST_SOURCE=CMPY</stp>
        <stp>ACT_EST_MAPPING=PRECISE</stp>
        <stp>FS=MRC</stp>
        <stp>CURRENCY=USD</stp>
        <stp>XLFILL=b</stp>
        <tr r="J146" s="2"/>
      </tp>
      <tp t="s">
        <v>#N/A Requesting Data...</v>
        <stp/>
        <stp>##V3_BQLV12</stp>
        <stp>[MODL_NOW_US1.xlsx]Single Period!R25C49</stp>
        <stp>NOW US Equity</stp>
        <stp>IS_COMP_GROSS_MARGIN_PERCENTAGE</stp>
        <stp>FPR=2021Y</stp>
        <stp>FPT=A</stp>
        <stp>FA_ACT_EST_DATA=E, EST_SOURCE=SCB</stp>
        <stp>ACT_EST_MAPPING=PRECISE</stp>
        <stp>FS=MRC</stp>
        <stp>CURRENCY=USD</stp>
        <stp>XLFILL=b</stp>
        <tr r="AW25" s="2"/>
      </tp>
      <tp t="s">
        <v>#N/A Requesting Data...</v>
        <stp/>
        <stp>##V3_BQLV12</stp>
        <stp>[MODL_NOW_US1.xlsx]Single Period!R134C33</stp>
        <stp>NOW US Equity</stp>
        <stp>IS_COMP_EPS_GAAP</stp>
        <stp>FPR=2021Y</stp>
        <stp>FPT=A</stp>
        <stp>FA_ACT_EST_DATA=E, EST_SOURCE=MAC</stp>
        <stp>ACT_EST_MAPPING=PRECISE</stp>
        <stp>FS=MRC</stp>
        <stp>CURRENCY=USD</stp>
        <stp>XLFILL=b</stp>
        <tr r="AG134" s="2"/>
      </tp>
      <tp t="s">
        <v>#N/A Requesting Data...</v>
        <stp/>
        <stp>##V3_BQLV12</stp>
        <stp>[MODL_NOW_US1.xlsx]Single Period!R85C49</stp>
        <stp>NOW US Equity</stp>
        <stp>IS_COMP_GROSS_MARGIN_PERCENTAGE</stp>
        <stp>FPR=2021Y</stp>
        <stp>FPT=A</stp>
        <stp>FA_ACT_EST_DATA=E, EST_SOURCE=SCB</stp>
        <stp>ACT_EST_MAPPING=PRECISE</stp>
        <stp>FS=MRC</stp>
        <stp>CURRENCY=USD</stp>
        <stp>XLFILL=b</stp>
        <tr r="AW85" s="2"/>
      </tp>
      <tp t="s">
        <v>#N/A Requesting Data...</v>
        <stp/>
        <stp>##V3_BQLV12</stp>
        <stp>[MODL_NOW_US1.xlsx]Single Period!R156C23</stp>
        <stp>NOW US Equity</stp>
        <stp>BS_CASH_NEAR_CASH_ITEM/1M</stp>
        <stp>FPR=2021Y</stp>
        <stp>FPT=A</stp>
        <stp>FA_ACT_EST_DATA=E, EST_SOURCE=ZXS</stp>
        <stp>ACT_EST_MAPPING=PRECISE</stp>
        <stp>FS=MRC</stp>
        <stp>CURRENCY=USD</stp>
        <stp>XLFILL=b</stp>
        <tr r="W156" s="2"/>
      </tp>
      <tp t="s">
        <v>#N/A Requesting Data...</v>
        <stp/>
        <stp>##V3_BQLV12</stp>
        <stp>[MODL_NOW_US1.xlsx]Single Period!R128C46</stp>
        <stp>NOW US Equity</stp>
        <stp>IS_INC_TAX_EXP/1M</stp>
        <stp>FPR=2021Y</stp>
        <stp>FPT=A</stp>
        <stp>FA_ACT_EST_DATA=E, EST_SOURCE=MZS</stp>
        <stp>ACT_EST_MAPPING=PRECISE</stp>
        <stp>FS=MRC</stp>
        <stp>CURRENCY=USD</stp>
        <stp>XLFILL=b</stp>
        <tr r="AT128" s="2"/>
      </tp>
      <tp t="s">
        <v>#N/A Requesting Data...</v>
        <stp/>
        <stp>##V3_BQLV12</stp>
        <stp>[MODL_NOW_US1.xlsx]Single Period!R211C30</stp>
        <stp>NOW US Equity</stp>
        <stp>CF_CHG_IN_DEFER_UNEARND_REV_ST/1M</stp>
        <stp>FPR=2021Y</stp>
        <stp>FPT=A</stp>
        <stp>FA_ACT_EST_DATA=E, EST_SOURCE=BAM</stp>
        <stp>ACT_EST_MAPPING=PRECISE</stp>
        <stp>FS=MRC</stp>
        <stp>CURRENCY=USD</stp>
        <stp>XLFILL=b</stp>
        <tr r="AD211" s="2"/>
      </tp>
      <tp t="s">
        <v>#N/A Requesting Data...</v>
        <stp/>
        <stp>##V3_BQLV12</stp>
        <stp>[MODL_NOW_US1.xlsx]Single Period!R211C20</stp>
        <stp>NOW US Equity</stp>
        <stp>CF_CHG_IN_DEFER_UNEARND_REV_ST/1M</stp>
        <stp>FPR=2021Y</stp>
        <stp>FPT=A</stp>
        <stp>FA_ACT_EST_DATA=E, EST_SOURCE=CAN</stp>
        <stp>ACT_EST_MAPPING=PRECISE</stp>
        <stp>FS=MRC</stp>
        <stp>CURRENCY=USD</stp>
        <stp>XLFILL=b</stp>
        <tr r="T211" s="2"/>
      </tp>
      <tp t="s">
        <v>#N/A Requesting Data...</v>
        <stp/>
        <stp>##V3_BQLV12</stp>
        <stp>[MODL_NOW_US1.xlsx]Single Period!R226C26</stp>
        <stp>NOW US Equity</stp>
        <stp>CF_OTHER_FINANCING_ACT_EXCL_FX/1M</stp>
        <stp>FPR=2021Y</stp>
        <stp>FPT=A</stp>
        <stp>FA_ACT_EST_DATA=E, EST_SOURCE=UBS</stp>
        <stp>ACT_EST_MAPPING=PRECISE</stp>
        <stp>FS=MRC</stp>
        <stp>CURRENCY=USD</stp>
        <stp>XLFILL=b</stp>
        <tr r="Z226" s="2"/>
      </tp>
      <tp t="s">
        <v>#N/A Requesting Data...</v>
        <stp/>
        <stp>##V3_BQLV12</stp>
        <stp>[MODL_NOW_US1.xlsx]Single Period!R123C34</stp>
        <stp>NOW US Equity</stp>
        <stp>TOTAL_OPERATING_EXPENSES_RATIO/1M</stp>
        <stp>FPR=2021Y</stp>
        <stp>FPT=A</stp>
        <stp>FA_ACT_EST_DATA=E, EST_SOURCE=PSG</stp>
        <stp>ACT_EST_MAPPING=PRECISE</stp>
        <stp>FS=MRC</stp>
        <stp>CURRENCY=USD</stp>
        <stp>XLFILL=b</stp>
        <tr r="AH123" s="2"/>
      </tp>
      <tp t="s">
        <v>#N/A Requesting Data...</v>
        <stp/>
        <stp>##V3_BQLV12</stp>
        <stp>[MODL_NOW_US1.xlsx]Single Period!R146C20</stp>
        <stp>NOW US Equity</stp>
        <stp>IS_AMORT_ACQD_INTANGIBLES_COGS/1M</stp>
        <stp>FPR=2021Y</stp>
        <stp>FPT=A</stp>
        <stp>FA_ACT_EST_DATA=E, EST_SOURCE=CAN</stp>
        <stp>ACT_EST_MAPPING=PRECISE</stp>
        <stp>FS=MRC</stp>
        <stp>CURRENCY=USD</stp>
        <stp>XLFILL=b</stp>
        <tr r="T146" s="2"/>
      </tp>
      <tp t="s">
        <v>#N/A Requesting Data...</v>
        <stp/>
        <stp>##V3_BQLV12</stp>
        <stp>[MODL_NOW_US1.xlsx]Single Period!R195C42</stp>
        <stp>NOW US Equity</stp>
        <stp>CB_BS_DEFERRED_COST_LT/1M</stp>
        <stp>FPR=2021Y</stp>
        <stp>FPT=A</stp>
        <stp>FA_ACT_EST_DATA=E, EST_SOURCE=CTI</stp>
        <stp>ACT_EST_MAPPING=PRECISE</stp>
        <stp>FS=MRC</stp>
        <stp>CURRENCY=USD</stp>
        <stp>XLFILL=b</stp>
        <tr r="AP195" s="2"/>
      </tp>
      <tp t="s">
        <v>#N/A Requesting Data...</v>
        <stp/>
        <stp>##V3_BQLV12</stp>
        <stp>[MODL_NOW_US1.xlsx]Single Period!R70C23</stp>
        <stp>SEG0000230986 Segment</stp>
        <stp>IS_ADJ_GROSS_MARGIN_PCT_AR</stp>
        <stp>FPR=2021Y</stp>
        <stp>FPT=A</stp>
        <stp>FA_ACT_EST_DATA=E, EST_SOURCE=ZXS</stp>
        <stp>ACT_EST_MAPPING=PRECISE</stp>
        <stp>FS=MRC</stp>
        <stp>CURRENCY=USD</stp>
        <stp>XLFILL=b</stp>
        <tr r="W70" s="2"/>
      </tp>
      <tp t="s">
        <v>#N/A Requesting Data...</v>
        <stp/>
        <stp>##V3_BQLV12</stp>
        <stp>[MODL_NOW_US1.xlsx]Single Period!R22C23</stp>
        <stp>SEG0000230986 Segment</stp>
        <stp>IS_ADJ_GROSS_MARGIN_PCT_AR</stp>
        <stp>FPR=2021Y</stp>
        <stp>FPT=A</stp>
        <stp>FA_ACT_EST_DATA=E, EST_SOURCE=ZXS</stp>
        <stp>ACT_EST_MAPPING=PRECISE</stp>
        <stp>FS=MRC</stp>
        <stp>CURRENCY=USD</stp>
        <stp>XLFILL=b</stp>
        <tr r="W22" s="2"/>
      </tp>
      <tp t="s">
        <v>#N/A Requesting Data...</v>
        <stp/>
        <stp>##V3_BQLV12</stp>
        <stp>[MODL_NOW_US1.xlsx]Single Period!R146C30</stp>
        <stp>NOW US Equity</stp>
        <stp>IS_AMORT_ACQD_INTANGIBLES_COGS/1M</stp>
        <stp>FPR=2021Y</stp>
        <stp>FPT=A</stp>
        <stp>FA_ACT_EST_DATA=E, EST_SOURCE=BAM</stp>
        <stp>ACT_EST_MAPPING=PRECISE</stp>
        <stp>FS=MRC</stp>
        <stp>CURRENCY=USD</stp>
        <stp>XLFILL=b</stp>
        <tr r="AD146" s="2"/>
      </tp>
      <tp t="s">
        <v>#N/A Requesting Data...</v>
        <stp/>
        <stp>##V3_BQLV12</stp>
        <stp>[MODL_NOW_US1.xlsx]Single Period!R40C35</stp>
        <stp>NOW US Equity</stp>
        <stp>BILLNG_AMOUNT_GROWTH_PCT</stp>
        <stp>FPR=2021Y</stp>
        <stp>FPT=A</stp>
        <stp>FA_ACT_EST_DATA=E, EST_SOURCE=MSR</stp>
        <stp>ACT_EST_MAPPING=PRECISE</stp>
        <stp>FS=MRC</stp>
        <stp>CURRENCY=USD</stp>
        <stp>XLFILL=b</stp>
        <tr r="AI40" s="2"/>
      </tp>
      <tp t="s">
        <v>#N/A Requesting Data...</v>
        <stp/>
        <stp>##V3_BQLV12</stp>
        <stp>[MODL_NOW_US1.xlsx]Single Period!R146C33</stp>
        <stp>NOW US Equity</stp>
        <stp>IS_AMORT_ACQD_INTANGIBLES_COGS/1M</stp>
        <stp>FPR=2021Y</stp>
        <stp>FPT=A</stp>
        <stp>FA_ACT_EST_DATA=E, EST_SOURCE=MAC</stp>
        <stp>ACT_EST_MAPPING=PRECISE</stp>
        <stp>FS=MRC</stp>
        <stp>CURRENCY=USD</stp>
        <stp>XLFILL=b</stp>
        <tr r="AG146" s="2"/>
      </tp>
      <tp t="s">
        <v>#N/A Requesting Data...</v>
        <stp/>
        <stp>##V3_BQLV12</stp>
        <stp>[MODL_NOW_US1.xlsx]Single Period!R195C37</stp>
        <stp>NOW US Equity</stp>
        <stp>CB_BS_DEFERRED_COST_LT/1M</stp>
        <stp>FPR=2021Y</stp>
        <stp>FPT=A</stp>
        <stp>FA_ACT_EST_DATA=E, EST_SOURCE=TTC</stp>
        <stp>ACT_EST_MAPPING=PRECISE</stp>
        <stp>FS=MRC</stp>
        <stp>CURRENCY=USD</stp>
        <stp>XLFILL=b</stp>
        <tr r="AK195" s="2"/>
      </tp>
      <tp t="s">
        <v>#N/A Requesting Data...</v>
        <stp/>
        <stp>##V3_BQLV12</stp>
        <stp>[MODL_NOW_US1.xlsx]Single Period!R233C17</stp>
        <stp>NOW US Equity</stp>
        <stp>CF_CASH_AND_CASH_EQUIV_END_BAL/1M</stp>
        <stp>FPR=2021Y</stp>
        <stp>FPT=A</stp>
        <stp>FA_ACT_EST_DATA=E, EST_SOURCE=RHR</stp>
        <stp>ACT_EST_MAPPING=PRECISE</stp>
        <stp>FS=MRC</stp>
        <stp>CURRENCY=USD</stp>
        <stp>XLFILL=b</stp>
        <tr r="Q233" s="2"/>
      </tp>
      <tp t="s">
        <v>#N/A Requesting Data...</v>
        <stp/>
        <stp>##V3_BQLV12</stp>
        <stp>[MODL_NOW_US1.xlsx]Single Period!R211C33</stp>
        <stp>NOW US Equity</stp>
        <stp>CF_CHG_IN_DEFER_UNEARND_REV_ST/1M</stp>
        <stp>FPR=2021Y</stp>
        <stp>FPT=A</stp>
        <stp>FA_ACT_EST_DATA=E, EST_SOURCE=MAC</stp>
        <stp>ACT_EST_MAPPING=PRECISE</stp>
        <stp>FS=MRC</stp>
        <stp>CURRENCY=USD</stp>
        <stp>XLFILL=b</stp>
        <tr r="AG211" s="2"/>
      </tp>
      <tp t="s">
        <v>#N/A Requesting Data...</v>
        <stp/>
        <stp>##V3_BQLV12</stp>
        <stp>[MODL_NOW_US1.xlsx]Single Period!R128C39</stp>
        <stp>NOW US Equity</stp>
        <stp>IS_INC_TAX_EXP/1M</stp>
        <stp>FPR=2021Y</stp>
        <stp>FPT=A</stp>
        <stp>FA_ACT_EST_DATA=E, EST_SOURCE=DZB</stp>
        <stp>ACT_EST_MAPPING=PRECISE</stp>
        <stp>FS=MRC</stp>
        <stp>CURRENCY=USD</stp>
        <stp>XLFILL=b</stp>
        <tr r="AM128" s="2"/>
      </tp>
      <tp t="s">
        <v>#N/A Requesting Data...</v>
        <stp/>
        <stp>##V3_BQLV12</stp>
        <stp>[MODL_NOW_US1.xlsx]Single Period!R40C44</stp>
        <stp>NOW US Equity</stp>
        <stp>BILLNG_AMOUNT_GROWTH_PCT</stp>
        <stp>FPR=2021Y</stp>
        <stp>FPT=A</stp>
        <stp>FA_ACT_EST_DATA=E, EST_SOURCE=ARE</stp>
        <stp>ACT_EST_MAPPING=PRECISE</stp>
        <stp>FS=MRC</stp>
        <stp>CURRENCY=USD</stp>
        <stp>XLFILL=b</stp>
        <tr r="AR40" s="2"/>
      </tp>
      <tp t="s">
        <v>#N/A Requesting Data...</v>
        <stp/>
        <stp>##V3_BQLV12</stp>
        <stp>[MODL_NOW_US1.xlsx]Single Period!R123C19</stp>
        <stp>NOW US Equity</stp>
        <stp>TOTAL_OPERATING_EXPENSES_RATIO/1M</stp>
        <stp>FPR=2021Y</stp>
        <stp>FPT=A</stp>
        <stp>FA_ACT_EST_DATA=E, EST_SOURCE=MSV</stp>
        <stp>ACT_EST_MAPPING=PRECISE</stp>
        <stp>FS=MRC</stp>
        <stp>CURRENCY=USD</stp>
        <stp>XLFILL=b</stp>
        <tr r="S123" s="2"/>
      </tp>
      <tp t="s">
        <v>#N/A Requesting Data...</v>
        <stp/>
        <stp>##V3_BQLV12</stp>
        <stp>[MODL_NOW_US1.xlsx]Single Period!R226C32</stp>
        <stp>NOW US Equity</stp>
        <stp>CF_OTHER_FINANCING_ACT_EXCL_FX/1M</stp>
        <stp>FPR=2021Y</stp>
        <stp>FPT=A</stp>
        <stp>FA_ACT_EST_DATA=E, EST_SOURCE=FBC</stp>
        <stp>ACT_EST_MAPPING=PRECISE</stp>
        <stp>FS=MRC</stp>
        <stp>CURRENCY=USD</stp>
        <stp>XLFILL=b</stp>
        <tr r="AF226" s="2"/>
      </tp>
      <tp t="s">
        <v>#N/A Requesting Data...</v>
        <stp/>
        <stp>##V3_BQLV12</stp>
        <stp>[MODL_NOW_US1.xlsx]Single Period!R226C27</stp>
        <stp>NOW US Equity</stp>
        <stp>CF_OTHER_FINANCING_ACT_EXCL_FX/1M</stp>
        <stp>FPR=2021Y</stp>
        <stp>FPT=A</stp>
        <stp>FA_ACT_EST_DATA=E, EST_SOURCE=RBC</stp>
        <stp>ACT_EST_MAPPING=PRECISE</stp>
        <stp>FS=MRC</stp>
        <stp>CURRENCY=USD</stp>
        <stp>XLFILL=b</stp>
        <tr r="AA226" s="2"/>
      </tp>
      <tp t="s">
        <v>#N/A Requesting Data...</v>
        <stp/>
        <stp>##V3_BQLV12</stp>
        <stp>[MODL_NOW_US1.xlsx]Single Period!R10C41</stp>
        <stp>NOW US Equity</stp>
        <stp>BILLNG_AMOUNT_GROWTH_PCT</stp>
        <stp>FPR=2021Y</stp>
        <stp>FPT=A</stp>
        <stp>FA_ACT_EST_DATA=E, EST_SOURCE=ARG</stp>
        <stp>ACT_EST_MAPPING=PRECISE</stp>
        <stp>FS=MRC</stp>
        <stp>CURRENCY=USD</stp>
        <stp>XLFILL=b</stp>
        <tr r="AO10" s="2"/>
      </tp>
      <tp t="s">
        <v>#N/A Requesting Data...</v>
        <stp/>
        <stp>##V3_BQLV12</stp>
        <stp>[MODL_NOW_US1.xlsx]Single Period!R126C38</stp>
        <stp>NOW US Equity</stp>
        <stp>IS_NON_OPERATING_INC_LOSS_GAAP/1M</stp>
        <stp>FPR=2021Y</stp>
        <stp>FPT=A</stp>
        <stp>FA_ACT_EST_DATA=E, EST_SOURCE=RWB</stp>
        <stp>ACT_EST_MAPPING=PRECISE</stp>
        <stp>FS=MRC</stp>
        <stp>CURRENCY=USD</stp>
        <stp>XLFILL=b</stp>
        <tr r="AL126" s="2"/>
      </tp>
      <tp t="s">
        <v>#N/A Requesting Data...</v>
        <stp/>
        <stp>##V3_BQLV12</stp>
        <stp>[MODL_NOW_US1.xlsx]Single Period!R123C31</stp>
        <stp>NOW US Equity</stp>
        <stp>TOTAL_OPERATING_EXPENSES_RATIO/1M</stp>
        <stp>FPR=2021Y</stp>
        <stp>FPT=A</stp>
        <stp>FA_ACT_EST_DATA=E, EST_SOURCE=GSR</stp>
        <stp>ACT_EST_MAPPING=PRECISE</stp>
        <stp>FS=MRC</stp>
        <stp>CURRENCY=USD</stp>
        <stp>XLFILL=b</stp>
        <tr r="AE123" s="2"/>
      </tp>
      <tp t="s">
        <v>#N/A Requesting Data...</v>
        <stp/>
        <stp>##V3_BQLV12</stp>
        <stp>[MODL_NOW_US1.xlsx]Single Period!R123C35</stp>
        <stp>NOW US Equity</stp>
        <stp>TOTAL_OPERATING_EXPENSES_RATIO/1M</stp>
        <stp>FPR=2021Y</stp>
        <stp>FPT=A</stp>
        <stp>FA_ACT_EST_DATA=E, EST_SOURCE=MSR</stp>
        <stp>ACT_EST_MAPPING=PRECISE</stp>
        <stp>FS=MRC</stp>
        <stp>CURRENCY=USD</stp>
        <stp>XLFILL=b</stp>
        <tr r="AI123" s="2"/>
      </tp>
      <tp t="s">
        <v>#N/A Requesting Data...</v>
        <stp/>
        <stp>##V3_BQLV12</stp>
        <stp>[MODL_NOW_US1.xlsx]Single Period!R226C25</stp>
        <stp>NOW US Equity</stp>
        <stp>CF_OTHER_FINANCING_ACT_EXCL_FX/1M</stp>
        <stp>FPR=2021Y</stp>
        <stp>FPT=A</stp>
        <stp>FA_ACT_EST_DATA=E, EST_SOURCE=DBG</stp>
        <stp>ACT_EST_MAPPING=PRECISE</stp>
        <stp>FS=MRC</stp>
        <stp>CURRENCY=USD</stp>
        <stp>XLFILL=b</stp>
        <tr r="Y226" s="2"/>
      </tp>
      <tp t="s">
        <v>#N/A Requesting Data...</v>
        <stp/>
        <stp>##V3_BQLV12</stp>
        <stp>[MODL_NOW_US1.xlsx]Single Period!R10C39</stp>
        <stp>NOW US Equity</stp>
        <stp>BILLNG_AMOUNT_GROWTH_PCT</stp>
        <stp>FPR=2021Y</stp>
        <stp>FPT=A</stp>
        <stp>FA_ACT_EST_DATA=E, EST_SOURCE=DZB</stp>
        <stp>ACT_EST_MAPPING=PRECISE</stp>
        <stp>FS=MRC</stp>
        <stp>CURRENCY=USD</stp>
        <stp>XLFILL=b</stp>
        <tr r="AM10" s="2"/>
      </tp>
      <tp t="s">
        <v>#N/A Requesting Data...</v>
        <stp/>
        <stp>##V3_BQLV12</stp>
        <stp>[MODL_NOW_US1.xlsx]Single Period!R10C37</stp>
        <stp>NOW US Equity</stp>
        <stp>BILLNG_AMOUNT_GROWTH_PCT</stp>
        <stp>FPR=2021Y</stp>
        <stp>FPT=A</stp>
        <stp>FA_ACT_EST_DATA=E, EST_SOURCE=TTC</stp>
        <stp>ACT_EST_MAPPING=PRECISE</stp>
        <stp>FS=MRC</stp>
        <stp>CURRENCY=USD</stp>
        <stp>XLFILL=b</stp>
        <tr r="AK10" s="2"/>
      </tp>
      <tp t="s">
        <v>#N/A Requesting Data...</v>
        <stp/>
        <stp>##V3_BQLV12</stp>
        <stp>[MODL_NOW_US1.xlsx]Single Period!R126C24</stp>
        <stp>NOW US Equity</stp>
        <stp>IS_NON_OPERATING_INC_LOSS_GAAP/1M</stp>
        <stp>FPR=2021Y</stp>
        <stp>FPT=A</stp>
        <stp>FA_ACT_EST_DATA=E, EST_SOURCE=CWN</stp>
        <stp>ACT_EST_MAPPING=PRECISE</stp>
        <stp>FS=MRC</stp>
        <stp>CURRENCY=USD</stp>
        <stp>XLFILL=b</stp>
        <tr r="X126" s="2"/>
      </tp>
      <tp t="s">
        <v>#N/A Requesting Data...</v>
        <stp/>
        <stp>##V3_BQLV12</stp>
        <stp>[MODL_NOW_US1.xlsx]Single Period!R232C45</stp>
        <stp>NOW US Equity</stp>
        <stp>CF_CASH_AND_CASH_EQUIV_BEG_BAL/1M</stp>
        <stp>FPR=2021Y</stp>
        <stp>FPT=A</stp>
        <stp>FA_ACT_EST_DATA=E, EST_SOURCE=PJE</stp>
        <stp>ACT_EST_MAPPING=PRECISE</stp>
        <stp>FS=MRC</stp>
        <stp>CURRENCY=USD</stp>
        <stp>XLFILL=b</stp>
        <tr r="AS232" s="2"/>
      </tp>
      <tp t="s">
        <v>#N/A Requesting Data...</v>
        <stp/>
        <stp>##V3_BQLV12</stp>
        <stp>[MODL_NOW_US1.xlsx]Single Period!R64C45</stp>
        <stp>SEG0000230975 Segment</stp>
        <stp>CB_IS_GROSS_MARGIN</stp>
        <stp>FPR=2021Y</stp>
        <stp>FPT=A</stp>
        <stp>FA_ACT_EST_DATA=E, EST_SOURCE=PJE</stp>
        <stp>ACT_EST_MAPPING=PRECISE</stp>
        <stp>FS=MRC</stp>
        <stp>CURRENCY=USD</stp>
        <stp>XLFILL=b</stp>
        <tr r="AS64" s="2"/>
      </tp>
      <tp t="s">
        <v>#N/A Requesting Data...</v>
        <stp/>
        <stp>##V3_BQLV12</stp>
        <stp>[MODL_NOW_US1.xlsx]Single Period!R10C24</stp>
        <stp>NOW US Equity</stp>
        <stp>BILLNG_AMOUNT_GROWTH_PCT</stp>
        <stp>FPR=2021Y</stp>
        <stp>FPT=A</stp>
        <stp>FA_ACT_EST_DATA=E, EST_SOURCE=CWN</stp>
        <stp>ACT_EST_MAPPING=PRECISE</stp>
        <stp>FS=MRC</stp>
        <stp>CURRENCY=USD</stp>
        <stp>XLFILL=b</stp>
        <tr r="X10" s="2"/>
      </tp>
      <tp t="s">
        <v>#N/A Requesting Data...</v>
        <stp/>
        <stp>##V3_BQLV12</stp>
        <stp>[MODL_NOW_US1.xlsx]Single Period!R226C12</stp>
        <stp>NOW US Equity</stp>
        <stp>CF_OTHER_FINANCING_ACT_EXCL_FX/1M</stp>
        <stp>FPR=2021Y</stp>
        <stp>FPT=A</stp>
        <stp>FA_ACT_EST_DATA=E, EST_SOURCE=WBL</stp>
        <stp>ACT_EST_MAPPING=PRECISE</stp>
        <stp>FS=MRC</stp>
        <stp>CURRENCY=USD</stp>
        <stp>XLFILL=b</stp>
        <tr r="L226" s="2"/>
      </tp>
      <tp t="s">
        <v>#N/A Requesting Data...</v>
        <stp/>
        <stp>##V3_BQLV12</stp>
        <stp>[MODL_NOW_US1.xlsx]Single Period!R40C42</stp>
        <stp>NOW US Equity</stp>
        <stp>BILLNG_AMOUNT_GROWTH_PCT</stp>
        <stp>FPR=2021Y</stp>
        <stp>FPT=A</stp>
        <stp>FA_ACT_EST_DATA=E, EST_SOURCE=CTI</stp>
        <stp>ACT_EST_MAPPING=PRECISE</stp>
        <stp>FS=MRC</stp>
        <stp>CURRENCY=USD</stp>
        <stp>XLFILL=b</stp>
        <tr r="AP40" s="2"/>
      </tp>
      <tp t="s">
        <v>#N/A Requesting Data...</v>
        <stp/>
        <stp>##V3_BQLV12</stp>
        <stp>[MODL_NOW_US1.xlsx]Single Period!R126C40</stp>
        <stp>NOW US Equity</stp>
        <stp>IS_NON_OPERATING_INC_LOSS_GAAP/1M</stp>
        <stp>FPR=2021Y</stp>
        <stp>FPT=A</stp>
        <stp>FA_ACT_EST_DATA=E, EST_SOURCE=DWI</stp>
        <stp>ACT_EST_MAPPING=PRECISE</stp>
        <stp>FS=MRC</stp>
        <stp>CURRENCY=USD</stp>
        <stp>XLFILL=b</stp>
        <tr r="AN126" s="2"/>
      </tp>
      <tp t="s">
        <v>#N/A Requesting Data...</v>
        <stp/>
        <stp>##V3_BQLV12</stp>
        <stp>[MODL_NOW_US1.xlsx]Single Period!R204C47</stp>
        <stp>NOW US Equity</stp>
        <stp>CF_DEF_INC_TAX/1M</stp>
        <stp>FPR=2021Y</stp>
        <stp>FPT=A</stp>
        <stp>FA_ACT_EST_DATA=E, EST_SOURCE=SUM</stp>
        <stp>ACT_EST_MAPPING=PRECISE</stp>
        <stp>FS=MRC</stp>
        <stp>CURRENCY=USD</stp>
        <stp>XLFILL=b</stp>
        <tr r="AU204" s="2"/>
      </tp>
      <tp t="s">
        <v>#N/A Requesting Data...</v>
        <stp/>
        <stp>##V3_BQLV12</stp>
        <stp>[MODL_NOW_US1.xlsx]Single Period!R176C39</stp>
        <stp>NOW US Equity</stp>
        <stp>ST_DEFERRED_REVENUE/1M</stp>
        <stp>FPR=2021Y</stp>
        <stp>FPT=A</stp>
        <stp>FA_ACT_EST_DATA=E, EST_SOURCE=DZB</stp>
        <stp>ACT_EST_MAPPING=PRECISE</stp>
        <stp>FS=MRC</stp>
        <stp>CURRENCY=USD</stp>
        <stp>XLFILL=b</stp>
        <tr r="AM176" s="2"/>
      </tp>
      <tp t="s">
        <v>#N/A Requesting Data...</v>
        <stp/>
        <stp>##V3_BQLV12</stp>
        <stp>[MODL_NOW_US1.xlsx]Single Period!R191C39</stp>
        <stp>NOW US Equity</stp>
        <stp>ST_DEFERRED_REVENUE/1M</stp>
        <stp>FPR=2021Y</stp>
        <stp>FPT=A</stp>
        <stp>FA_ACT_EST_DATA=E, EST_SOURCE=DZB</stp>
        <stp>ACT_EST_MAPPING=PRECISE</stp>
        <stp>FS=MRC</stp>
        <stp>CURRENCY=USD</stp>
        <stp>XLFILL=b</stp>
        <tr r="AM191" s="2"/>
      </tp>
      <tp t="s">
        <v>#N/A Requesting Data...</v>
        <stp/>
        <stp>##V3_BQLV12</stp>
        <stp>[MODL_NOW_US1.xlsx]Single Period!R192C39</stp>
        <stp>NOW US Equity</stp>
        <stp>LT_DEFERRED_REVENUE/1M</stp>
        <stp>FPR=2021Y</stp>
        <stp>FPT=A</stp>
        <stp>FA_ACT_EST_DATA=E, EST_SOURCE=DZB</stp>
        <stp>ACT_EST_MAPPING=PRECISE</stp>
        <stp>FS=MRC</stp>
        <stp>CURRENCY=USD</stp>
        <stp>XLFILL=b</stp>
        <tr r="AM192" s="2"/>
      </tp>
      <tp t="s">
        <v>#N/A Requesting Data...</v>
        <stp/>
        <stp>##V3_BQLV12</stp>
        <stp>[MODL_NOW_US1.xlsx]Single Period!R179C39</stp>
        <stp>NOW US Equity</stp>
        <stp>LT_DEFERRED_REVENUE/1M</stp>
        <stp>FPR=2021Y</stp>
        <stp>FPT=A</stp>
        <stp>FA_ACT_EST_DATA=E, EST_SOURCE=DZB</stp>
        <stp>ACT_EST_MAPPING=PRECISE</stp>
        <stp>FS=MRC</stp>
        <stp>CURRENCY=USD</stp>
        <stp>XLFILL=b</stp>
        <tr r="AM179" s="2"/>
      </tp>
      <tp t="s">
        <v>#N/A Requesting Data...</v>
        <stp/>
        <stp>##V3_BQLV12</stp>
        <stp>[MODL_NOW_US1.xlsx]Single Period!R203C17</stp>
        <stp>NOW US Equity</stp>
        <stp>AMORTIZATN_OF_FINNCNG_COSTS/1M</stp>
        <stp>FPR=2021Y</stp>
        <stp>FPT=A</stp>
        <stp>FA_ACT_EST_DATA=E, EST_SOURCE=RHR</stp>
        <stp>ACT_EST_MAPPING=PRECISE</stp>
        <stp>FS=MRC</stp>
        <stp>CURRENCY=USD</stp>
        <stp>XLFILL=b</stp>
        <tr r="Q203" s="2"/>
      </tp>
      <tp t="s">
        <v>#N/A Requesting Data...</v>
        <stp/>
        <stp>##V3_BQLV12</stp>
        <stp>[MODL_NOW_US1.xlsx]Single Period!R124C17</stp>
        <stp>NOW US Equity</stp>
        <stp>IS_EBIT_AS_REPORTED/1M</stp>
        <stp>FPR=2021Y</stp>
        <stp>FPT=A</stp>
        <stp>FA_ACT_EST_DATA=E, EST_SOURCE=RHR</stp>
        <stp>ACT_EST_MAPPING=PRECISE</stp>
        <stp>FS=MRC</stp>
        <stp>CURRENCY=USD</stp>
        <stp>XLFILL=b</stp>
        <tr r="Q124" s="2"/>
      </tp>
      <tp t="s">
        <v>#N/A Requesting Data...</v>
        <stp/>
        <stp>##V3_BQLV12</stp>
        <stp>[MODL_NOW_US1.xlsx]Single Period!R9C36</stp>
        <stp>NOW US Equity</stp>
        <stp>IS_BILLINGS/1M</stp>
        <stp>FPR=2021Y</stp>
        <stp>FPT=A</stp>
        <stp>FA_ACT_EST_DATA=E, EST_SOURCE=JEF</stp>
        <stp>ACT_EST_MAPPING=PRECISE</stp>
        <stp>FS=MRC</stp>
        <stp>CURRENCY=USD</stp>
        <stp>XLFILL=b</stp>
        <tr r="AJ9" s="2"/>
      </tp>
      <tp t="s">
        <v>#N/A Requesting Data...</v>
        <stp/>
        <stp>##V3_BQLV12</stp>
        <stp>[MODL_NOW_US1.xlsx]Single Period!R189C38</stp>
        <stp>NOW US Equity</stp>
        <stp>CUR_RATIO</stp>
        <stp>FPR=2021Y</stp>
        <stp>FPT=A</stp>
        <stp>FA_ACT_EST_DATA=E, EST_SOURCE=RWB</stp>
        <stp>ACT_EST_MAPPING=PRECISE</stp>
        <stp>FS=MRC</stp>
        <stp>CURRENCY=USD</stp>
        <stp>XLFILL=b</stp>
        <tr r="AL189" s="2"/>
      </tp>
      <tp t="s">
        <v>#N/A Requesting Data...</v>
        <stp/>
        <stp>##V3_BQLV12</stp>
        <stp>[MODL_NOW_US1.xlsx]Single Period!R189C24</stp>
        <stp>NOW US Equity</stp>
        <stp>CUR_RATIO</stp>
        <stp>FPR=2021Y</stp>
        <stp>FPT=A</stp>
        <stp>FA_ACT_EST_DATA=E, EST_SOURCE=CWN</stp>
        <stp>ACT_EST_MAPPING=PRECISE</stp>
        <stp>FS=MRC</stp>
        <stp>CURRENCY=USD</stp>
        <stp>XLFILL=b</stp>
        <tr r="X189" s="2"/>
      </tp>
      <tp t="s">
        <v>#N/A Requesting Data...</v>
        <stp/>
        <stp>##V3_BQLV12</stp>
        <stp>[MODL_NOW_US1.xlsx]Single Period!R154C16</stp>
        <stp>NOW US Equity</stp>
        <stp>BS_CUR_ASSET_REPORT/1M</stp>
        <stp>FPR=2021Y</stp>
        <stp>FPT=A</stp>
        <stp>FA_ACT_EST_DATA=E, EST_SOURCE=BCA</stp>
        <stp>ACT_EST_MAPPING=PRECISE</stp>
        <stp>FS=MRC</stp>
        <stp>CURRENCY=USD</stp>
        <stp>XLFILL=b</stp>
        <tr r="P154" s="2"/>
      </tp>
      <tp t="s">
        <v>#N/A Requesting Data...</v>
        <stp/>
        <stp>##V3_BQLV12</stp>
        <stp>[MODL_NOW_US1.xlsx]Single Period!R89C47</stp>
        <stp>NOW US Equity</stp>
        <stp>IS_REV_INCLUDING_INTERSEG_REV/1M</stp>
        <stp>FPR=2021Y</stp>
        <stp>FPT=A</stp>
        <stp>FA_ACT_EST_DATA=E, EST_SOURCE=SUM</stp>
        <stp>ACT_EST_MAPPING=PRECISE</stp>
        <stp>FS=MRC</stp>
        <stp>CURRENCY=USD</stp>
        <stp>XLFILL=b</stp>
        <tr r="AU89" s="2"/>
      </tp>
      <tp t="s">
        <v>#N/A Requesting Data...</v>
        <stp/>
        <stp>##V3_BQLV12</stp>
        <stp>[MODL_NOW_US1.xlsx]Single Period!R154C49</stp>
        <stp>NOW US Equity</stp>
        <stp>BS_CUR_ASSET_REPORT/1M</stp>
        <stp>FPR=2021Y</stp>
        <stp>FPT=A</stp>
        <stp>FA_ACT_EST_DATA=E, EST_SOURCE=SCB</stp>
        <stp>ACT_EST_MAPPING=PRECISE</stp>
        <stp>FS=MRC</stp>
        <stp>CURRENCY=USD</stp>
        <stp>XLFILL=b</stp>
        <tr r="AW154" s="2"/>
      </tp>
      <tp t="s">
        <v>#N/A Requesting Data...</v>
        <stp/>
        <stp>##V3_BQLV12</stp>
        <stp>[MODL_NOW_US1.xlsx]Single Period!R189C40</stp>
        <stp>NOW US Equity</stp>
        <stp>CUR_RATIO</stp>
        <stp>FPR=2021Y</stp>
        <stp>FPT=A</stp>
        <stp>FA_ACT_EST_DATA=E, EST_SOURCE=DWI</stp>
        <stp>ACT_EST_MAPPING=PRECISE</stp>
        <stp>FS=MRC</stp>
        <stp>CURRENCY=USD</stp>
        <stp>XLFILL=b</stp>
        <tr r="AN189" s="2"/>
      </tp>
      <tp t="s">
        <v>#N/A Requesting Data...</v>
        <stp/>
        <stp>##V3_BQLV12</stp>
        <stp>[MODL_NOW_US1.xlsx]Single Period!R30C19</stp>
        <stp>NOW US Equity</stp>
        <stp>CF_FREE_CASH_FLOW_AS_REPORTED/1M</stp>
        <stp>FPR=2021Y</stp>
        <stp>FPT=A</stp>
        <stp>FA_ACT_EST_DATA=E, EST_SOURCE=MSV</stp>
        <stp>ACT_EST_MAPPING=PRECISE</stp>
        <stp>FS=MRC</stp>
        <stp>CURRENCY=USD</stp>
        <stp>XLFILL=b</stp>
        <tr r="S30" s="2"/>
      </tp>
      <tp t="s">
        <v>#N/A Requesting Data...</v>
        <stp/>
        <stp>##V3_BQLV12</stp>
        <stp>[MODL_NOW_US1.xlsx]Single Period!R92C48</stp>
        <stp>NOW US Equity</stp>
        <stp>IS_ADJ_GENL_AND_ADMIN_EXPN_AR/1M</stp>
        <stp>FPR=2021Y</stp>
        <stp>FPT=A</stp>
        <stp>FA_ACT_EST_DATA=E, EST_SOURCE=CRC</stp>
        <stp>ACT_EST_MAPPING=PRECISE</stp>
        <stp>FS=MRC</stp>
        <stp>CURRENCY=USD</stp>
        <stp>XLFILL=b</stp>
        <tr r="AV92" s="2"/>
      </tp>
      <tp t="s">
        <v>#N/A Requesting Data...</v>
        <stp/>
        <stp>##V3_BQLV12</stp>
        <stp>[MODL_NOW_US1.xlsx]Single Period!R142C38</stp>
        <stp>NOW US Equity</stp>
        <stp>IS_SBC_ATT_TO_S_AND_M_PRETX/1M</stp>
        <stp>FPR=2021Y</stp>
        <stp>FPT=A</stp>
        <stp>FA_ACT_EST_DATA=E, EST_SOURCE=RWB</stp>
        <stp>ACT_EST_MAPPING=PRECISE</stp>
        <stp>FS=MRC</stp>
        <stp>CURRENCY=USD</stp>
        <stp>XLFILL=b</stp>
        <tr r="AL142" s="2"/>
      </tp>
      <tp t="s">
        <v>#N/A Requesting Data...</v>
        <stp/>
        <stp>##V3_BQLV12</stp>
        <stp>[MODL_NOW_US1.xlsx]Single Period!R184C45</stp>
        <stp>NOW US Equity</stp>
        <stp>BS_EQTY_BEFORE_MINORITY_INT/1M</stp>
        <stp>FPR=2021Y</stp>
        <stp>FPT=A</stp>
        <stp>FA_ACT_EST_DATA=E, EST_SOURCE=PJE</stp>
        <stp>ACT_EST_MAPPING=PRECISE</stp>
        <stp>FS=MRC</stp>
        <stp>CURRENCY=USD</stp>
        <stp>XLFILL=b</stp>
        <tr r="AS184" s="2"/>
      </tp>
      <tp t="s">
        <v>#N/A Requesting Data...</v>
        <stp/>
        <stp>##V3_BQLV12</stp>
        <stp>[MODL_NOW_US1.xlsx]Single Period!R89C31</stp>
        <stp>NOW US Equity</stp>
        <stp>IS_REV_INCLUDING_INTERSEG_REV/1M</stp>
        <stp>FPR=2021Y</stp>
        <stp>FPT=A</stp>
        <stp>FA_ACT_EST_DATA=E, EST_SOURCE=GSR</stp>
        <stp>ACT_EST_MAPPING=PRECISE</stp>
        <stp>FS=MRC</stp>
        <stp>CURRENCY=USD</stp>
        <stp>XLFILL=b</stp>
        <tr r="AE89" s="2"/>
      </tp>
      <tp t="s">
        <v>#N/A Requesting Data...</v>
        <stp/>
        <stp>##V3_BQLV12</stp>
        <stp>[MODL_NOW_US1.xlsx]Single Period!R173C47</stp>
        <stp>NOW US Equity</stp>
        <stp>BS_CUR_LIAB/1M</stp>
        <stp>FPR=2021Y</stp>
        <stp>FPT=A</stp>
        <stp>FA_ACT_EST_DATA=E, EST_SOURCE=SUM</stp>
        <stp>ACT_EST_MAPPING=PRECISE</stp>
        <stp>FS=MRC</stp>
        <stp>CURRENCY=USD</stp>
        <stp>XLFILL=b</stp>
        <tr r="AU173" s="2"/>
      </tp>
      <tp t="s">
        <v>#N/A Requesting Data...</v>
        <stp/>
        <stp>##V3_BQLV12</stp>
        <stp>[MODL_NOW_US1.xlsx]Single Period!R139C28</stp>
        <stp>NOW US Equity</stp>
        <stp>IS_SBC_ATTRIB_TO_COGS_PRETX/1M</stp>
        <stp>FPR=2021Y</stp>
        <stp>FPT=A</stp>
        <stp>FA_ACT_EST_DATA=E, EST_SOURCE=EVR</stp>
        <stp>ACT_EST_MAPPING=PRECISE</stp>
        <stp>FS=MRC</stp>
        <stp>CURRENCY=USD</stp>
        <stp>XLFILL=b</stp>
        <tr r="AB139" s="2"/>
      </tp>
      <tp t="s">
        <v>#N/A Requesting Data...</v>
        <stp/>
        <stp>##V3_BQLV12</stp>
        <stp>[MODL_NOW_US1.xlsx]Single Period!R191C46</stp>
        <stp>NOW US Equity</stp>
        <stp>ST_DEFERRED_REVENUE/1M</stp>
        <stp>FPR=2021Y</stp>
        <stp>FPT=A</stp>
        <stp>FA_ACT_EST_DATA=E, EST_SOURCE=MZS</stp>
        <stp>ACT_EST_MAPPING=PRECISE</stp>
        <stp>FS=MRC</stp>
        <stp>CURRENCY=USD</stp>
        <stp>XLFILL=b</stp>
        <tr r="AT191" s="2"/>
      </tp>
      <tp t="s">
        <v>#N/A Requesting Data...</v>
        <stp/>
        <stp>##V3_BQLV12</stp>
        <stp>[MODL_NOW_US1.xlsx]Single Period!R176C46</stp>
        <stp>NOW US Equity</stp>
        <stp>ST_DEFERRED_REVENUE/1M</stp>
        <stp>FPR=2021Y</stp>
        <stp>FPT=A</stp>
        <stp>FA_ACT_EST_DATA=E, EST_SOURCE=MZS</stp>
        <stp>ACT_EST_MAPPING=PRECISE</stp>
        <stp>FS=MRC</stp>
        <stp>CURRENCY=USD</stp>
        <stp>XLFILL=b</stp>
        <tr r="AT176" s="2"/>
      </tp>
      <tp t="s">
        <v>#N/A Requesting Data...</v>
        <stp/>
        <stp>##V3_BQLV12</stp>
        <stp>[MODL_NOW_US1.xlsx]Single Period!R179C46</stp>
        <stp>NOW US Equity</stp>
        <stp>LT_DEFERRED_REVENUE/1M</stp>
        <stp>FPR=2021Y</stp>
        <stp>FPT=A</stp>
        <stp>FA_ACT_EST_DATA=E, EST_SOURCE=MZS</stp>
        <stp>ACT_EST_MAPPING=PRECISE</stp>
        <stp>FS=MRC</stp>
        <stp>CURRENCY=USD</stp>
        <stp>XLFILL=b</stp>
        <tr r="AT179" s="2"/>
      </tp>
      <tp t="s">
        <v>#N/A Requesting Data...</v>
        <stp/>
        <stp>##V3_BQLV12</stp>
        <stp>[MODL_NOW_US1.xlsx]Single Period!R192C46</stp>
        <stp>NOW US Equity</stp>
        <stp>LT_DEFERRED_REVENUE/1M</stp>
        <stp>FPR=2021Y</stp>
        <stp>FPT=A</stp>
        <stp>FA_ACT_EST_DATA=E, EST_SOURCE=MZS</stp>
        <stp>ACT_EST_MAPPING=PRECISE</stp>
        <stp>FS=MRC</stp>
        <stp>CURRENCY=USD</stp>
        <stp>XLFILL=b</stp>
        <tr r="AT192" s="2"/>
      </tp>
      <tp t="s">
        <v>#N/A Requesting Data...</v>
        <stp/>
        <stp>##V3_BQLV12</stp>
        <stp>[MODL_NOW_US1.xlsx]Single Period!R230C47</stp>
        <stp>NOW US Equity</stp>
        <stp>CF_EFFECT_FOREIGN_EXCHANGES/1M</stp>
        <stp>FPR=2021Y</stp>
        <stp>FPT=A</stp>
        <stp>FA_ACT_EST_DATA=E, EST_SOURCE=SUM</stp>
        <stp>ACT_EST_MAPPING=PRECISE</stp>
        <stp>FS=MRC</stp>
        <stp>CURRENCY=USD</stp>
        <stp>XLFILL=b</stp>
        <tr r="AU230" s="2"/>
      </tp>
      <tp t="s">
        <v>#N/A Requesting Data...</v>
        <stp/>
        <stp>##V3_BQLV12</stp>
        <stp>[MODL_NOW_US1.xlsx]Single Period!R9C13</stp>
        <stp>NOW US Equity</stp>
        <stp>IS_BILLINGS/1M</stp>
        <stp>FPR=2021Y</stp>
        <stp>FPT=A</stp>
        <stp>FA_ACT_EST_DATA=E, EST_SOURCE=KEY</stp>
        <stp>ACT_EST_MAPPING=PRECISE</stp>
        <stp>FS=MRC</stp>
        <stp>CURRENCY=USD</stp>
        <stp>XLFILL=b</stp>
        <tr r="M9" s="2"/>
      </tp>
      <tp t="s">
        <v>#N/A Requesting Data...</v>
        <stp/>
        <stp>##V3_BQLV12</stp>
        <stp>[MODL_NOW_US1.xlsx]Single Period!R30C48</stp>
        <stp>NOW US Equity</stp>
        <stp>CF_FREE_CASH_FLOW_AS_REPORTED/1M</stp>
        <stp>FPR=2021Y</stp>
        <stp>FPT=A</stp>
        <stp>FA_ACT_EST_DATA=E, EST_SOURCE=CRC</stp>
        <stp>ACT_EST_MAPPING=PRECISE</stp>
        <stp>FS=MRC</stp>
        <stp>CURRENCY=USD</stp>
        <stp>XLFILL=b</stp>
        <tr r="AV30" s="2"/>
      </tp>
      <tp t="s">
        <v>#N/A Requesting Data...</v>
        <stp/>
        <stp>##V3_BQLV12</stp>
        <stp>[MODL_NOW_US1.xlsx]Single Period!R92C19</stp>
        <stp>NOW US Equity</stp>
        <stp>IS_ADJ_GENL_AND_ADMIN_EXPN_AR/1M</stp>
        <stp>FPR=2021Y</stp>
        <stp>FPT=A</stp>
        <stp>FA_ACT_EST_DATA=E, EST_SOURCE=MSV</stp>
        <stp>ACT_EST_MAPPING=PRECISE</stp>
        <stp>FS=MRC</stp>
        <stp>CURRENCY=USD</stp>
        <stp>XLFILL=b</stp>
        <tr r="S92" s="2"/>
      </tp>
      <tp t="s">
        <v>#N/A Requesting Data...</v>
        <stp/>
        <stp>##V3_BQLV12</stp>
        <stp>[MODL_NOW_US1.xlsx]Single Period!R142C40</stp>
        <stp>NOW US Equity</stp>
        <stp>IS_SBC_ATT_TO_S_AND_M_PRETX/1M</stp>
        <stp>FPR=2021Y</stp>
        <stp>FPT=A</stp>
        <stp>FA_ACT_EST_DATA=E, EST_SOURCE=DWI</stp>
        <stp>ACT_EST_MAPPING=PRECISE</stp>
        <stp>FS=MRC</stp>
        <stp>CURRENCY=USD</stp>
        <stp>XLFILL=b</stp>
        <tr r="AN142" s="2"/>
      </tp>
      <tp t="s">
        <v>#N/A Requesting Data...</v>
        <stp/>
        <stp>##V3_BQLV12</stp>
        <stp>[MODL_NOW_US1.xlsx]Single Period!R142C24</stp>
        <stp>NOW US Equity</stp>
        <stp>IS_SBC_ATT_TO_S_AND_M_PRETX/1M</stp>
        <stp>FPR=2021Y</stp>
        <stp>FPT=A</stp>
        <stp>FA_ACT_EST_DATA=E, EST_SOURCE=CWN</stp>
        <stp>ACT_EST_MAPPING=PRECISE</stp>
        <stp>FS=MRC</stp>
        <stp>CURRENCY=USD</stp>
        <stp>XLFILL=b</stp>
        <tr r="X142" s="2"/>
      </tp>
      <tp t="s">
        <v>#N/A Requesting Data...</v>
        <stp/>
        <stp>##V3_BQLV12</stp>
        <stp>[MODL_NOW_US1.xlsx]Single Period!R137C45</stp>
        <stp>NOW US Equity</stp>
        <stp>CF_STOCK_BASED_COMPENSATION/1M</stp>
        <stp>FPR=2021Y</stp>
        <stp>FPT=A</stp>
        <stp>FA_ACT_EST_DATA=E, EST_SOURCE=PJE</stp>
        <stp>ACT_EST_MAPPING=PRECISE</stp>
        <stp>FS=MRC</stp>
        <stp>CURRENCY=USD</stp>
        <stp>XLFILL=b</stp>
        <tr r="AS137" s="2"/>
      </tp>
      <tp t="s">
        <v>#N/A Requesting Data...</v>
        <stp/>
        <stp>##V3_BQLV12</stp>
        <stp>[MODL_NOW_US1.xlsx]Single Period!R61C41</stp>
        <stp>SEG0000230975 Segment</stp>
        <stp>IS_ADJ_GROSS_PROFIT_AS_REPORTED/1M</stp>
        <stp>FPR=2021Y</stp>
        <stp>FPT=A</stp>
        <stp>FA_ACT_EST_DATA=E, EST_SOURCE=ARG</stp>
        <stp>ACT_EST_MAPPING=PRECISE</stp>
        <stp>FS=MRC</stp>
        <stp>CURRENCY=USD</stp>
        <stp>XLFILL=b</stp>
        <tr r="AO61" s="2"/>
      </tp>
      <tp t="s">
        <v>#N/A Requesting Data...</v>
        <stp/>
        <stp>##V3_BQLV12</stp>
        <stp>[MODL_NOW_US1.xlsx]Single Period!R200C42</stp>
        <stp>NOW US Equity</stp>
        <stp>CF_DEPR_AMORT/1M</stp>
        <stp>FPR=2021Y</stp>
        <stp>FPT=A</stp>
        <stp>FA_ACT_EST_DATA=E, EST_SOURCE=CTI</stp>
        <stp>ACT_EST_MAPPING=PRECISE</stp>
        <stp>FS=MRC</stp>
        <stp>CURRENCY=USD</stp>
        <stp>XLFILL=b</stp>
        <tr r="AP200" s="2"/>
      </tp>
      <tp t="s">
        <v>#N/A Requesting Data...</v>
        <stp/>
        <stp>##V3_BQLV12</stp>
        <stp>[MODL_NOW_US1.xlsx]Single Period!R61C44</stp>
        <stp>SEG0000230975 Segment</stp>
        <stp>IS_ADJ_GROSS_PROFIT_AS_REPORTED/1M</stp>
        <stp>FPR=2021Y</stp>
        <stp>FPT=A</stp>
        <stp>FA_ACT_EST_DATA=E, EST_SOURCE=ARE</stp>
        <stp>ACT_EST_MAPPING=PRECISE</stp>
        <stp>FS=MRC</stp>
        <stp>CURRENCY=USD</stp>
        <stp>XLFILL=b</stp>
        <tr r="AR61" s="2"/>
      </tp>
      <tp t="s">
        <v>#N/A Requesting Data...</v>
        <stp/>
        <stp>##V3_BQLV12</stp>
        <stp>[MODL_NOW_US1.xlsx]Single Period!R61C48</stp>
        <stp>SEG0000230975 Segment</stp>
        <stp>IS_ADJ_GROSS_PROFIT_AS_REPORTED/1M</stp>
        <stp>FPR=2021Y</stp>
        <stp>FPT=A</stp>
        <stp>FA_ACT_EST_DATA=E, EST_SOURCE=CRC</stp>
        <stp>ACT_EST_MAPPING=PRECISE</stp>
        <stp>FS=MRC</stp>
        <stp>CURRENCY=USD</stp>
        <stp>XLFILL=b</stp>
        <tr r="AV61" s="2"/>
      </tp>
      <tp t="s">
        <v>#N/A Requesting Data...</v>
        <stp/>
        <stp>##V3_BQLV12</stp>
        <stp>[MODL_NOW_US1.xlsx]Single Period!R99C13</stp>
        <stp>NOW US Equity</stp>
        <stp>IS_COMPARABLE_EBITDA/1M</stp>
        <stp>FPR=2021Y</stp>
        <stp>FPT=A</stp>
        <stp>FA_ACT_EST_DATA=E, EST_SOURCE=KEY</stp>
        <stp>ACT_EST_MAPPING=PRECISE</stp>
        <stp>FS=MRC</stp>
        <stp>CURRENCY=USD</stp>
        <stp>XLFILL=b</stp>
        <tr r="M99" s="2"/>
      </tp>
      <tp t="s">
        <v>#N/A Requesting Data...</v>
        <stp/>
        <stp>##V3_BQLV12</stp>
        <stp>[MODL_NOW_US1.xlsx]Single Period!R101C31</stp>
        <stp>NOW US Equity</stp>
        <stp>CB_IS_OTHER_NON_OPER_INC_EXPN/1M</stp>
        <stp>FPR=2021Y</stp>
        <stp>FPT=A</stp>
        <stp>FA_ACT_EST_DATA=E, EST_SOURCE=GSR</stp>
        <stp>ACT_EST_MAPPING=PRECISE</stp>
        <stp>FS=MRC</stp>
        <stp>CURRENCY=USD</stp>
        <stp>XLFILL=b</stp>
        <tr r="AE101" s="2"/>
      </tp>
      <tp t="s">
        <v>#N/A Requesting Data...</v>
        <stp/>
        <stp>##V3_BQLV12</stp>
        <stp>[MODL_NOW_US1.xlsx]Single Period!R131C16</stp>
        <stp>NOW US Equity</stp>
        <stp>IS_AVG_NUM_SH_FOR_EPS/1M</stp>
        <stp>FPR=2021Y</stp>
        <stp>FPT=A</stp>
        <stp>FA_ACT_EST_DATA=E, EST_SOURCE=BCA</stp>
        <stp>ACT_EST_MAPPING=PRECISE</stp>
        <stp>FS=MRC</stp>
        <stp>CURRENCY=USD</stp>
        <stp>XLFILL=b</stp>
        <tr r="P131" s="2"/>
      </tp>
      <tp t="s">
        <v>#N/A Requesting Data...</v>
        <stp/>
        <stp>##V3_BQLV12</stp>
        <stp>[MODL_NOW_US1.xlsx]Single Period!R102C21</stp>
        <stp>NOW US Equity</stp>
        <stp>IS_COMP_PTP_EX_STK_BASED_COMP/1M</stp>
        <stp>FPR=2021Y</stp>
        <stp>FPT=A</stp>
        <stp>FA_ACT_EST_DATA=E, EST_SOURCE=JMP</stp>
        <stp>ACT_EST_MAPPING=PRECISE</stp>
        <stp>FS=MRC</stp>
        <stp>CURRENCY=USD</stp>
        <stp>XLFILL=b</stp>
        <tr r="U102" s="2"/>
      </tp>
      <tp t="s">
        <v>#N/A Requesting Data...</v>
        <stp/>
        <stp>##V3_BQLV12</stp>
        <stp>[MODL_NOW_US1.xlsx]Single Period!R131C27</stp>
        <stp>NOW US Equity</stp>
        <stp>IS_AVG_NUM_SH_FOR_EPS/1M</stp>
        <stp>FPR=2021Y</stp>
        <stp>FPT=A</stp>
        <stp>FA_ACT_EST_DATA=E, EST_SOURCE=RBC</stp>
        <stp>ACT_EST_MAPPING=PRECISE</stp>
        <stp>FS=MRC</stp>
        <stp>CURRENCY=USD</stp>
        <stp>XLFILL=b</stp>
        <tr r="AA131" s="2"/>
      </tp>
      <tp t="s">
        <v>#N/A Requesting Data...</v>
        <stp/>
        <stp>##V3_BQLV12</stp>
        <stp>[MODL_NOW_US1.xlsx]Single Period!R14C22</stp>
        <stp>SEG0000230975 Segment</stp>
        <stp>SALES_REV_TURN/1M</stp>
        <stp>FPR=2021Y</stp>
        <stp>FPT=A</stp>
        <stp>FA_ACT_EST_DATA=E, EST_SOURCE=NDH</stp>
        <stp>ACT_EST_MAPPING=PRECISE</stp>
        <stp>FS=MRC</stp>
        <stp>CURRENCY=USD</stp>
        <stp>XLFILL=b</stp>
        <tr r="V14" s="2"/>
      </tp>
      <tp t="s">
        <v>#N/A Requesting Data...</v>
        <stp/>
        <stp>##V3_BQLV12</stp>
        <stp>[MODL_NOW_US1.xlsx]Single Period!R168C5</stp>
        <stp>NOW US Equity</stp>
        <stp>CB_BS_DEFERRED_COST_LT/1M</stp>
        <stp>FPR=2021Y</stp>
        <stp>FPT=A</stp>
        <stp>FA_ACT_EST_DATA=E</stp>
        <stp>ACT_EST_MAPPING=PRECISE</stp>
        <stp>FS=MRC</stp>
        <stp>CURRENCY=USD</stp>
        <stp>XLFILL=b</stp>
        <tr r="E168" s="2"/>
      </tp>
      <tp t="s">
        <v>#N/A Requesting Data...</v>
        <stp/>
        <stp>##V3_BQLV12</stp>
        <stp>[MODL_NOW_US1.xlsx]Single Period!R200C44</stp>
        <stp>NOW US Equity</stp>
        <stp>CF_DEPR_AMORT/1M</stp>
        <stp>FPR=2021Y</stp>
        <stp>FPT=A</stp>
        <stp>FA_ACT_EST_DATA=E, EST_SOURCE=ARE</stp>
        <stp>ACT_EST_MAPPING=PRECISE</stp>
        <stp>FS=MRC</stp>
        <stp>CURRENCY=USD</stp>
        <stp>XLFILL=b</stp>
        <tr r="AR200" s="2"/>
      </tp>
      <tp t="s">
        <v>#N/A Requesting Data...</v>
        <stp/>
        <stp>##V3_BQLV12</stp>
        <stp>[MODL_NOW_US1.xlsx]Single Period!R58C17</stp>
        <stp>SEG0000230975 Segment</stp>
        <stp>SALES_REV_TURN/1M</stp>
        <stp>FPR=2021Y</stp>
        <stp>FPT=A</stp>
        <stp>FA_ACT_EST_DATA=E, EST_SOURCE=RHR</stp>
        <stp>ACT_EST_MAPPING=PRECISE</stp>
        <stp>FS=MRC</stp>
        <stp>CURRENCY=USD</stp>
        <stp>XLFILL=b</stp>
        <tr r="Q58" s="2"/>
      </tp>
      <tp t="s">
        <v>#N/A Requesting Data...</v>
        <stp/>
        <stp>##V3_BQLV12</stp>
        <stp>[MODL_NOW_US1.xlsx]Single Period!R207C16</stp>
        <stp>NOW US Equity</stp>
        <stp>CB_CF_CHANGE_IN_ACCOUNTS_RECEIVABLE/1M</stp>
        <stp>FPR=2021Y</stp>
        <stp>FPT=A</stp>
        <stp>FA_ACT_EST_DATA=E, EST_SOURCE=BCA</stp>
        <stp>ACT_EST_MAPPING=PRECISE</stp>
        <stp>FS=MRC</stp>
        <stp>CURRENCY=USD</stp>
        <stp>XLFILL=b</stp>
        <tr r="P207" s="2"/>
      </tp>
      <tp t="s">
        <v>#N/A Requesting Data...</v>
        <stp/>
        <stp>##V3_BQLV12</stp>
        <stp>[MODL_NOW_US1.xlsx]Single Period!R150C14</stp>
        <stp>NOW US Equity</stp>
        <stp>IS_INC_TAX_EFFECT_NONGAAP_REC/1M</stp>
        <stp>FPR=2021Y</stp>
        <stp>FPT=A</stp>
        <stp>FA_ACT_EST_DATA=E, EST_SOURCE=BMO</stp>
        <stp>ACT_EST_MAPPING=PRECISE</stp>
        <stp>FS=MRC</stp>
        <stp>CURRENCY=USD</stp>
        <stp>XLFILL=b</stp>
        <tr r="N150" s="2"/>
      </tp>
      <tp t="s">
        <v>#N/A Requesting Data...</v>
        <stp/>
        <stp>##V3_BQLV12</stp>
        <stp>[MODL_NOW_US1.xlsx]Single Period!R101C47</stp>
        <stp>NOW US Equity</stp>
        <stp>CB_IS_OTHER_NON_OPER_INC_EXPN/1M</stp>
        <stp>FPR=2021Y</stp>
        <stp>FPT=A</stp>
        <stp>FA_ACT_EST_DATA=E, EST_SOURCE=SUM</stp>
        <stp>ACT_EST_MAPPING=PRECISE</stp>
        <stp>FS=MRC</stp>
        <stp>CURRENCY=USD</stp>
        <stp>XLFILL=b</stp>
        <tr r="AU101" s="2"/>
      </tp>
      <tp t="s">
        <v>#N/A Requesting Data...</v>
        <stp/>
        <stp>##V3_BQLV12</stp>
        <stp>[MODL_NOW_US1.xlsx]Single Period!R207C49</stp>
        <stp>NOW US Equity</stp>
        <stp>CB_CF_CHANGE_IN_ACCOUNTS_RECEIVABLE/1M</stp>
        <stp>FPR=2021Y</stp>
        <stp>FPT=A</stp>
        <stp>FA_ACT_EST_DATA=E, EST_SOURCE=SCB</stp>
        <stp>ACT_EST_MAPPING=PRECISE</stp>
        <stp>FS=MRC</stp>
        <stp>CURRENCY=USD</stp>
        <stp>XLFILL=b</stp>
        <tr r="AW207" s="2"/>
      </tp>
      <tp t="s">
        <v>#N/A Requesting Data...</v>
        <stp/>
        <stp>##V3_BQLV12</stp>
        <stp>[MODL_NOW_US1.xlsx]Single Period!R200C35</stp>
        <stp>NOW US Equity</stp>
        <stp>CF_DEPR_AMORT/1M</stp>
        <stp>FPR=2021Y</stp>
        <stp>FPT=A</stp>
        <stp>FA_ACT_EST_DATA=E, EST_SOURCE=MSR</stp>
        <stp>ACT_EST_MAPPING=PRECISE</stp>
        <stp>FS=MRC</stp>
        <stp>CURRENCY=USD</stp>
        <stp>XLFILL=b</stp>
        <tr r="AI200" s="2"/>
      </tp>
      <tp t="s">
        <v>#N/A Requesting Data...</v>
        <stp/>
        <stp>##V3_BQLV12</stp>
        <stp>[MODL_NOW_US1.xlsx]Single Period!R77C43</stp>
        <stp>SEG0000230969 Segment</stp>
        <stp>SALES_REV_TURN/1M</stp>
        <stp>FPR=2021Y</stp>
        <stp>FPT=A</stp>
        <stp>FA_ACT_EST_DATA=E, EST_SOURCE=WFT</stp>
        <stp>ACT_EST_MAPPING=PRECISE</stp>
        <stp>FS=MRC</stp>
        <stp>CURRENCY=USD</stp>
        <stp>XLFILL=b</stp>
        <tr r="AQ77" s="2"/>
      </tp>
      <tp t="s">
        <v>#N/A Requesting Data...</v>
        <stp/>
        <stp>##V3_BQLV12</stp>
        <stp>[MODL_NOW_US1.xlsx]Single Period!R131C43</stp>
        <stp>NOW US Equity</stp>
        <stp>IS_AVG_NUM_SH_FOR_EPS/1M</stp>
        <stp>FPR=2021Y</stp>
        <stp>FPT=A</stp>
        <stp>FA_ACT_EST_DATA=E, EST_SOURCE=WFT</stp>
        <stp>ACT_EST_MAPPING=PRECISE</stp>
        <stp>FS=MRC</stp>
        <stp>CURRENCY=USD</stp>
        <stp>XLFILL=b</stp>
        <tr r="AQ131" s="2"/>
      </tp>
      <tp t="s">
        <v>#N/A Requesting Data...</v>
        <stp/>
        <stp>##V3_BQLV12</stp>
        <stp>[MODL_NOW_US1.xlsx]Single Period!R25C13</stp>
        <stp>NOW US Equity</stp>
        <stp>IS_COMP_GROSS_MARGIN_PERCENTAGE</stp>
        <stp>FPR=2021Y</stp>
        <stp>FPT=A</stp>
        <stp>FA_ACT_EST_DATA=E, EST_SOURCE=KEY</stp>
        <stp>ACT_EST_MAPPING=PRECISE</stp>
        <stp>FS=MRC</stp>
        <stp>CURRENCY=USD</stp>
        <stp>XLFILL=b</stp>
        <tr r="M25" s="2"/>
      </tp>
      <tp t="s">
        <v>#N/A Requesting Data...</v>
        <stp/>
        <stp>##V3_BQLV12</stp>
        <stp>[MODL_NOW_US1.xlsx]Single Period!R3C48</stp>
        <stp>NOW US Equity</stp>
        <stp>LAST(IS_COMP_SALES(FA_ACT_EST_DATA=E, EST_SOURCE=CRC).firm_name)</stp>
        <stp>FPR=2021Y</stp>
        <stp>FPT=A</stp>
        <stp>ACT_EST_MAPPING=PRECISE</stp>
        <stp>FS=MRC</stp>
        <stp>CURRENCY=USD</stp>
        <stp>XLFILL=b</stp>
        <tr r="AV3" s="2"/>
      </tp>
      <tp t="s">
        <v>#N/A Requesting Data...</v>
        <stp/>
        <stp>##V3_BQLV12</stp>
        <stp>[MODL_NOW_US1.xlsx]Single Period!R3C44</stp>
        <stp>NOW US Equity</stp>
        <stp>LAST(IS_COMP_SALES(FA_ACT_EST_DATA=E, EST_SOURCE=ARE).firm_name)</stp>
        <stp>FPR=2021Y</stp>
        <stp>FPT=A</stp>
        <stp>ACT_EST_MAPPING=PRECISE</stp>
        <stp>FS=MRC</stp>
        <stp>CURRENCY=USD</stp>
        <stp>XLFILL=b</stp>
        <tr r="AR3" s="2"/>
      </tp>
      <tp t="s">
        <v>#N/A Requesting Data...</v>
        <stp/>
        <stp>##V3_BQLV12</stp>
        <stp>[MODL_NOW_US1.xlsx]Single Period!R85C13</stp>
        <stp>NOW US Equity</stp>
        <stp>IS_COMP_GROSS_MARGIN_PERCENTAGE</stp>
        <stp>FPR=2021Y</stp>
        <stp>FPT=A</stp>
        <stp>FA_ACT_EST_DATA=E, EST_SOURCE=KEY</stp>
        <stp>ACT_EST_MAPPING=PRECISE</stp>
        <stp>FS=MRC</stp>
        <stp>CURRENCY=USD</stp>
        <stp>XLFILL=b</stp>
        <tr r="M85" s="2"/>
      </tp>
      <tp t="s">
        <v>#N/A Requesting Data...</v>
        <stp/>
        <stp>##V3_BQLV12</stp>
        <stp>[MODL_NOW_US1.xlsx]Single Period!R3C41</stp>
        <stp>NOW US Equity</stp>
        <stp>LAST(IS_COMP_SALES(FA_ACT_EST_DATA=E, EST_SOURCE=ARG).firm_name)</stp>
        <stp>FPR=2021Y</stp>
        <stp>FPT=A</stp>
        <stp>ACT_EST_MAPPING=PRECISE</stp>
        <stp>FS=MRC</stp>
        <stp>CURRENCY=USD</stp>
        <stp>XLFILL=b</stp>
        <tr r="AO3" s="2"/>
      </tp>
      <tp t="s">
        <v>#N/A Requesting Data...</v>
        <stp/>
        <stp>##V3_BQLV12</stp>
        <stp>[MODL_NOW_US1.xlsx]Single Period!R201C24</stp>
        <stp>NOW US Equity</stp>
        <stp>D_AND_A_TO_SALES</stp>
        <stp>FPR=2021Y</stp>
        <stp>FPT=A</stp>
        <stp>FA_ACT_EST_DATA=E, EST_SOURCE=CWN</stp>
        <stp>ACT_EST_MAPPING=PRECISE</stp>
        <stp>FS=MRC</stp>
        <stp>CURRENCY=USD</stp>
        <stp>XLFILL=b</stp>
        <tr r="X201" s="2"/>
      </tp>
      <tp t="s">
        <v>#N/A Requesting Data...</v>
        <stp/>
        <stp>##V3_BQLV12</stp>
        <stp>[MODL_NOW_US1.xlsx]Single Period!R134C30</stp>
        <stp>NOW US Equity</stp>
        <stp>IS_COMP_EPS_GAAP</stp>
        <stp>FPR=2021Y</stp>
        <stp>FPT=A</stp>
        <stp>FA_ACT_EST_DATA=E, EST_SOURCE=BAM</stp>
        <stp>ACT_EST_MAPPING=PRECISE</stp>
        <stp>FS=MRC</stp>
        <stp>CURRENCY=USD</stp>
        <stp>XLFILL=b</stp>
        <tr r="AD134" s="2"/>
      </tp>
      <tp t="s">
        <v>#N/A Requesting Data...</v>
        <stp/>
        <stp>##V3_BQLV12</stp>
        <stp>[MODL_NOW_US1.xlsx]Single Period!R134C20</stp>
        <stp>NOW US Equity</stp>
        <stp>IS_COMP_EPS_GAAP</stp>
        <stp>FPR=2021Y</stp>
        <stp>FPT=A</stp>
        <stp>FA_ACT_EST_DATA=E, EST_SOURCE=CAN</stp>
        <stp>ACT_EST_MAPPING=PRECISE</stp>
        <stp>FS=MRC</stp>
        <stp>CURRENCY=USD</stp>
        <stp>XLFILL=b</stp>
        <tr r="T134" s="2"/>
      </tp>
      <tp t="s">
        <v>#N/A Requesting Data...</v>
        <stp/>
        <stp>##V3_BQLV12</stp>
        <stp>[MODL_NOW_US1.xlsx]Single Period!R201C41</stp>
        <stp>NOW US Equity</stp>
        <stp>D_AND_A_TO_SALES</stp>
        <stp>FPR=2021Y</stp>
        <stp>FPT=A</stp>
        <stp>FA_ACT_EST_DATA=E, EST_SOURCE=ARG</stp>
        <stp>ACT_EST_MAPPING=PRECISE</stp>
        <stp>FS=MRC</stp>
        <stp>CURRENCY=USD</stp>
        <stp>XLFILL=b</stp>
        <tr r="AO201" s="2"/>
      </tp>
      <tp t="s">
        <v>#N/A Requesting Data...</v>
        <stp/>
        <stp>##V3_BQLV12</stp>
        <stp>[MODL_NOW_US1.xlsx]Single Period!R201C37</stp>
        <stp>NOW US Equity</stp>
        <stp>D_AND_A_TO_SALES</stp>
        <stp>FPR=2021Y</stp>
        <stp>FPT=A</stp>
        <stp>FA_ACT_EST_DATA=E, EST_SOURCE=TTC</stp>
        <stp>ACT_EST_MAPPING=PRECISE</stp>
        <stp>FS=MRC</stp>
        <stp>CURRENCY=USD</stp>
        <stp>XLFILL=b</stp>
        <tr r="AK201" s="2"/>
      </tp>
      <tp t="s">
        <v>#N/A Requesting Data...</v>
        <stp/>
        <stp>##V3_BQLV12</stp>
        <stp>[MODL_NOW_US1.xlsx]Single Period!R201C39</stp>
        <stp>NOW US Equity</stp>
        <stp>D_AND_A_TO_SALES</stp>
        <stp>FPR=2021Y</stp>
        <stp>FPT=A</stp>
        <stp>FA_ACT_EST_DATA=E, EST_SOURCE=DZB</stp>
        <stp>ACT_EST_MAPPING=PRECISE</stp>
        <stp>FS=MRC</stp>
        <stp>CURRENCY=USD</stp>
        <stp>XLFILL=b</stp>
        <tr r="AM201" s="2"/>
      </tp>
      <tp t="s">
        <v>#N/A Requesting Data...</v>
        <stp/>
        <stp>##V3_BQLV12</stp>
        <stp>[MODL_NOW_US1.xlsx]Single Period!R204C28</stp>
        <stp>NOW US Equity</stp>
        <stp>CF_DEF_INC_TAX/1M</stp>
        <stp>FPR=2021Y</stp>
        <stp>FPT=A</stp>
        <stp>FA_ACT_EST_DATA=E, EST_SOURCE=EVR</stp>
        <stp>ACT_EST_MAPPING=PRECISE</stp>
        <stp>FS=MRC</stp>
        <stp>CURRENCY=USD</stp>
        <stp>XLFILL=b</stp>
        <tr r="AB204" s="2"/>
      </tp>
      <tp t="s">
        <v>#N/A Requesting Data...</v>
        <stp/>
        <stp>##V3_BQLV12</stp>
        <stp>[MODL_NOW_US1.xlsx]Single Period!R211C12</stp>
        <stp>NOW US Equity</stp>
        <stp>CF_CHG_IN_DEFER_UNEARND_REV_ST/1M</stp>
        <stp>FPR=2021Y</stp>
        <stp>FPT=A</stp>
        <stp>FA_ACT_EST_DATA=E, EST_SOURCE=WBL</stp>
        <stp>ACT_EST_MAPPING=PRECISE</stp>
        <stp>FS=MRC</stp>
        <stp>CURRENCY=USD</stp>
        <stp>XLFILL=b</stp>
        <tr r="L211" s="2"/>
      </tp>
      <tp t="s">
        <v>#N/A Requesting Data...</v>
        <stp/>
        <stp>##V3_BQLV12</stp>
        <stp>[MODL_NOW_US1.xlsx]Single Period!R195C24</stp>
        <stp>NOW US Equity</stp>
        <stp>CB_BS_DEFERRED_COST_LT/1M</stp>
        <stp>FPR=2021Y</stp>
        <stp>FPT=A</stp>
        <stp>FA_ACT_EST_DATA=E, EST_SOURCE=CWN</stp>
        <stp>ACT_EST_MAPPING=PRECISE</stp>
        <stp>FS=MRC</stp>
        <stp>CURRENCY=USD</stp>
        <stp>XLFILL=b</stp>
        <tr r="X195" s="2"/>
      </tp>
      <tp t="s">
        <v>#N/A Requesting Data...</v>
        <stp/>
        <stp>##V3_BQLV12</stp>
        <stp>[MODL_NOW_US1.xlsx]Single Period!R195C40</stp>
        <stp>NOW US Equity</stp>
        <stp>CB_BS_DEFERRED_COST_LT/1M</stp>
        <stp>FPR=2021Y</stp>
        <stp>FPT=A</stp>
        <stp>FA_ACT_EST_DATA=E, EST_SOURCE=DWI</stp>
        <stp>ACT_EST_MAPPING=PRECISE</stp>
        <stp>FS=MRC</stp>
        <stp>CURRENCY=USD</stp>
        <stp>XLFILL=b</stp>
        <tr r="AN195" s="2"/>
      </tp>
      <tp t="s">
        <v>#N/A Requesting Data...</v>
        <stp/>
        <stp>##V3_BQLV12</stp>
        <stp>[MODL_NOW_US1.xlsx]Single Period!R62C23</stp>
        <stp>SEG0000230975 Segment</stp>
        <stp>IS_ADJ_GROSS_MARGIN_PCT_AR</stp>
        <stp>FPR=2021Y</stp>
        <stp>FPT=A</stp>
        <stp>FA_ACT_EST_DATA=E, EST_SOURCE=ZXS</stp>
        <stp>ACT_EST_MAPPING=PRECISE</stp>
        <stp>FS=MRC</stp>
        <stp>CURRENCY=USD</stp>
        <stp>XLFILL=b</stp>
        <tr r="W62" s="2"/>
      </tp>
      <tp t="s">
        <v>#N/A Requesting Data...</v>
        <stp/>
        <stp>##V3_BQLV12</stp>
        <stp>[MODL_NOW_US1.xlsx]Single Period!R18C23</stp>
        <stp>SEG0000230975 Segment</stp>
        <stp>IS_ADJ_GROSS_MARGIN_PCT_AR</stp>
        <stp>FPR=2021Y</stp>
        <stp>FPT=A</stp>
        <stp>FA_ACT_EST_DATA=E, EST_SOURCE=ZXS</stp>
        <stp>ACT_EST_MAPPING=PRECISE</stp>
        <stp>FS=MRC</stp>
        <stp>CURRENCY=USD</stp>
        <stp>XLFILL=b</stp>
        <tr r="W18" s="2"/>
      </tp>
      <tp t="s">
        <v>#N/A Requesting Data...</v>
        <stp/>
        <stp>##V3_BQLV12</stp>
        <stp>[MODL_NOW_US1.xlsx]Single Period!R146C12</stp>
        <stp>NOW US Equity</stp>
        <stp>IS_AMORT_ACQD_INTANGIBLES_COGS/1M</stp>
        <stp>FPR=2021Y</stp>
        <stp>FPT=A</stp>
        <stp>FA_ACT_EST_DATA=E, EST_SOURCE=WBL</stp>
        <stp>ACT_EST_MAPPING=PRECISE</stp>
        <stp>FS=MRC</stp>
        <stp>CURRENCY=USD</stp>
        <stp>XLFILL=b</stp>
        <tr r="L146" s="2"/>
      </tp>
      <tp t="s">
        <v>#N/A Requesting Data...</v>
        <stp/>
        <stp>##V3_BQLV12</stp>
        <stp>[MODL_NOW_US1.xlsx]Single Period!R146C27</stp>
        <stp>NOW US Equity</stp>
        <stp>IS_AMORT_ACQD_INTANGIBLES_COGS/1M</stp>
        <stp>FPR=2021Y</stp>
        <stp>FPT=A</stp>
        <stp>FA_ACT_EST_DATA=E, EST_SOURCE=RBC</stp>
        <stp>ACT_EST_MAPPING=PRECISE</stp>
        <stp>FS=MRC</stp>
        <stp>CURRENCY=USD</stp>
        <stp>XLFILL=b</stp>
        <tr r="AA146" s="2"/>
      </tp>
      <tp t="s">
        <v>#N/A Requesting Data...</v>
        <stp/>
        <stp>##V3_BQLV12</stp>
        <stp>[MODL_NOW_US1.xlsx]Single Period!R146C32</stp>
        <stp>NOW US Equity</stp>
        <stp>IS_AMORT_ACQD_INTANGIBLES_COGS/1M</stp>
        <stp>FPR=2021Y</stp>
        <stp>FPT=A</stp>
        <stp>FA_ACT_EST_DATA=E, EST_SOURCE=FBC</stp>
        <stp>ACT_EST_MAPPING=PRECISE</stp>
        <stp>FS=MRC</stp>
        <stp>CURRENCY=USD</stp>
        <stp>XLFILL=b</stp>
        <tr r="AF146" s="2"/>
      </tp>
      <tp t="s">
        <v>#N/A Requesting Data...</v>
        <stp/>
        <stp>##V3_BQLV12</stp>
        <stp>[MODL_NOW_US1.xlsx]Single Period!R123C11</stp>
        <stp>NOW US Equity</stp>
        <stp>TOTAL_OPERATING_EXPENSES_RATIO/1M</stp>
        <stp>FPR=2021Y</stp>
        <stp>FPT=A</stp>
        <stp>FA_ACT_EST_DATA=E, EST_SOURCE=JPM</stp>
        <stp>ACT_EST_MAPPING=PRECISE</stp>
        <stp>FS=MRC</stp>
        <stp>CURRENCY=USD</stp>
        <stp>XLFILL=b</stp>
        <tr r="K123" s="2"/>
      </tp>
      <tp t="s">
        <v>#N/A Requesting Data...</v>
        <stp/>
        <stp>##V3_BQLV12</stp>
        <stp>[MODL_NOW_US1.xlsx]Single Period!R211C25</stp>
        <stp>NOW US Equity</stp>
        <stp>CF_CHG_IN_DEFER_UNEARND_REV_ST/1M</stp>
        <stp>FPR=2021Y</stp>
        <stp>FPT=A</stp>
        <stp>FA_ACT_EST_DATA=E, EST_SOURCE=DBG</stp>
        <stp>ACT_EST_MAPPING=PRECISE</stp>
        <stp>FS=MRC</stp>
        <stp>CURRENCY=USD</stp>
        <stp>XLFILL=b</stp>
        <tr r="Y211" s="2"/>
      </tp>
      <tp t="s">
        <v>#N/A Requesting Data...</v>
        <stp/>
        <stp>##V3_BQLV12</stp>
        <stp>[MODL_NOW_US1.xlsx]Single Period!R146C25</stp>
        <stp>NOW US Equity</stp>
        <stp>IS_AMORT_ACQD_INTANGIBLES_COGS/1M</stp>
        <stp>FPR=2021Y</stp>
        <stp>FPT=A</stp>
        <stp>FA_ACT_EST_DATA=E, EST_SOURCE=DBG</stp>
        <stp>ACT_EST_MAPPING=PRECISE</stp>
        <stp>FS=MRC</stp>
        <stp>CURRENCY=USD</stp>
        <stp>XLFILL=b</stp>
        <tr r="Y146" s="2"/>
      </tp>
      <tp t="s">
        <v>#N/A Requesting Data...</v>
        <stp/>
        <stp>##V3_BQLV12</stp>
        <stp>[MODL_NOW_US1.xlsx]Single Period!R168C39</stp>
        <stp>NOW US Equity</stp>
        <stp>CB_BS_DEFERRED_COST_LT/1M</stp>
        <stp>FPR=2021Y</stp>
        <stp>FPT=A</stp>
        <stp>FA_ACT_EST_DATA=E, EST_SOURCE=DZB</stp>
        <stp>ACT_EST_MAPPING=PRECISE</stp>
        <stp>FS=MRC</stp>
        <stp>CURRENCY=USD</stp>
        <stp>XLFILL=b</stp>
        <tr r="AM168" s="2"/>
      </tp>
      <tp t="s">
        <v>#N/A Requesting Data...</v>
        <stp/>
        <stp>##V3_BQLV12</stp>
        <stp>[MODL_NOW_US1.xlsx]Single Period!R195C38</stp>
        <stp>NOW US Equity</stp>
        <stp>CB_BS_DEFERRED_COST_LT/1M</stp>
        <stp>FPR=2021Y</stp>
        <stp>FPT=A</stp>
        <stp>FA_ACT_EST_DATA=E, EST_SOURCE=RWB</stp>
        <stp>ACT_EST_MAPPING=PRECISE</stp>
        <stp>FS=MRC</stp>
        <stp>CURRENCY=USD</stp>
        <stp>XLFILL=b</stp>
        <tr r="AL195" s="2"/>
      </tp>
      <tp t="s">
        <v>#N/A Requesting Data...</v>
        <stp/>
        <stp>##V3_BQLV12</stp>
        <stp>[MODL_NOW_US1.xlsx]Single Period!R40C15</stp>
        <stp>NOW US Equity</stp>
        <stp>BILLNG_AMOUNT_GROWTH_PCT</stp>
        <stp>FPR=2021Y</stp>
        <stp>FPT=A</stp>
        <stp>FA_ACT_EST_DATA=E, EST_SOURCE=OPY</stp>
        <stp>ACT_EST_MAPPING=PRECISE</stp>
        <stp>FS=MRC</stp>
        <stp>CURRENCY=USD</stp>
        <stp>XLFILL=b</stp>
        <tr r="O40" s="2"/>
      </tp>
      <tp t="s">
        <v>#N/A Requesting Data...</v>
        <stp/>
        <stp>##V3_BQLV12</stp>
        <stp>[MODL_NOW_US1.xlsx]Single Period!R211C32</stp>
        <stp>NOW US Equity</stp>
        <stp>CF_CHG_IN_DEFER_UNEARND_REV_ST/1M</stp>
        <stp>FPR=2021Y</stp>
        <stp>FPT=A</stp>
        <stp>FA_ACT_EST_DATA=E, EST_SOURCE=FBC</stp>
        <stp>ACT_EST_MAPPING=PRECISE</stp>
        <stp>FS=MRC</stp>
        <stp>CURRENCY=USD</stp>
        <stp>XLFILL=b</stp>
        <tr r="AF211" s="2"/>
      </tp>
      <tp t="s">
        <v>#N/A Requesting Data...</v>
        <stp/>
        <stp>##V3_BQLV12</stp>
        <stp>[MODL_NOW_US1.xlsx]Single Period!R211C27</stp>
        <stp>NOW US Equity</stp>
        <stp>CF_CHG_IN_DEFER_UNEARND_REV_ST/1M</stp>
        <stp>FPR=2021Y</stp>
        <stp>FPT=A</stp>
        <stp>FA_ACT_EST_DATA=E, EST_SOURCE=RBC</stp>
        <stp>ACT_EST_MAPPING=PRECISE</stp>
        <stp>FS=MRC</stp>
        <stp>CURRENCY=USD</stp>
        <stp>XLFILL=b</stp>
        <tr r="AA211" s="2"/>
      </tp>
      <tp t="s">
        <v>#N/A Requesting Data...</v>
        <stp/>
        <stp>##V3_BQLV12</stp>
        <stp>[MODL_NOW_US1.xlsx]Single Period!R226C33</stp>
        <stp>NOW US Equity</stp>
        <stp>CF_OTHER_FINANCING_ACT_EXCL_FX/1M</stp>
        <stp>FPR=2021Y</stp>
        <stp>FPT=A</stp>
        <stp>FA_ACT_EST_DATA=E, EST_SOURCE=MAC</stp>
        <stp>ACT_EST_MAPPING=PRECISE</stp>
        <stp>FS=MRC</stp>
        <stp>CURRENCY=USD</stp>
        <stp>XLFILL=b</stp>
        <tr r="AG226" s="2"/>
      </tp>
      <tp t="s">
        <v>#N/A Requesting Data...</v>
        <stp/>
        <stp>##V3_BQLV12</stp>
        <stp>[MODL_NOW_US1.xlsx]Single Period!R126C37</stp>
        <stp>NOW US Equity</stp>
        <stp>IS_NON_OPERATING_INC_LOSS_GAAP/1M</stp>
        <stp>FPR=2021Y</stp>
        <stp>FPT=A</stp>
        <stp>FA_ACT_EST_DATA=E, EST_SOURCE=TTC</stp>
        <stp>ACT_EST_MAPPING=PRECISE</stp>
        <stp>FS=MRC</stp>
        <stp>CURRENCY=USD</stp>
        <stp>XLFILL=b</stp>
        <tr r="AK126" s="2"/>
      </tp>
      <tp t="s">
        <v>#N/A Requesting Data...</v>
        <stp/>
        <stp>##V3_BQLV12</stp>
        <stp>[MODL_NOW_US1.xlsx]Single Period!R146C26</stp>
        <stp>NOW US Equity</stp>
        <stp>IS_AMORT_ACQD_INTANGIBLES_COGS/1M</stp>
        <stp>FPR=2021Y</stp>
        <stp>FPT=A</stp>
        <stp>FA_ACT_EST_DATA=E, EST_SOURCE=UBS</stp>
        <stp>ACT_EST_MAPPING=PRECISE</stp>
        <stp>FS=MRC</stp>
        <stp>CURRENCY=USD</stp>
        <stp>XLFILL=b</stp>
        <tr r="Z146" s="2"/>
      </tp>
      <tp t="s">
        <v>#N/A Requesting Data...</v>
        <stp/>
        <stp>##V3_BQLV12</stp>
        <stp>[MODL_NOW_US1.xlsx]Single Period!R168C46</stp>
        <stp>NOW US Equity</stp>
        <stp>CB_BS_DEFERRED_COST_LT/1M</stp>
        <stp>FPR=2021Y</stp>
        <stp>FPT=A</stp>
        <stp>FA_ACT_EST_DATA=E, EST_SOURCE=MZS</stp>
        <stp>ACT_EST_MAPPING=PRECISE</stp>
        <stp>FS=MRC</stp>
        <stp>CURRENCY=USD</stp>
        <stp>XLFILL=b</stp>
        <tr r="AT168" s="2"/>
      </tp>
      <tp t="s">
        <v>#N/A Requesting Data...</v>
        <stp/>
        <stp>##V3_BQLV12</stp>
        <stp>[MODL_NOW_US1.xlsx]Single Period!R226C30</stp>
        <stp>NOW US Equity</stp>
        <stp>CF_OTHER_FINANCING_ACT_EXCL_FX/1M</stp>
        <stp>FPR=2021Y</stp>
        <stp>FPT=A</stp>
        <stp>FA_ACT_EST_DATA=E, EST_SOURCE=BAM</stp>
        <stp>ACT_EST_MAPPING=PRECISE</stp>
        <stp>FS=MRC</stp>
        <stp>CURRENCY=USD</stp>
        <stp>XLFILL=b</stp>
        <tr r="AD226" s="2"/>
      </tp>
      <tp t="s">
        <v>#N/A Requesting Data...</v>
        <stp/>
        <stp>##V3_BQLV12</stp>
        <stp>[MODL_NOW_US1.xlsx]Single Period!R123C15</stp>
        <stp>NOW US Equity</stp>
        <stp>TOTAL_OPERATING_EXPENSES_RATIO/1M</stp>
        <stp>FPR=2021Y</stp>
        <stp>FPT=A</stp>
        <stp>FA_ACT_EST_DATA=E, EST_SOURCE=OPY</stp>
        <stp>ACT_EST_MAPPING=PRECISE</stp>
        <stp>FS=MRC</stp>
        <stp>CURRENCY=USD</stp>
        <stp>XLFILL=b</stp>
        <tr r="O123" s="2"/>
      </tp>
      <tp t="s">
        <v>#N/A Requesting Data...</v>
        <stp/>
        <stp>##V3_BQLV12</stp>
        <stp>[MODL_NOW_US1.xlsx]Single Period!R126C42</stp>
        <stp>NOW US Equity</stp>
        <stp>IS_NON_OPERATING_INC_LOSS_GAAP/1M</stp>
        <stp>FPR=2021Y</stp>
        <stp>FPT=A</stp>
        <stp>FA_ACT_EST_DATA=E, EST_SOURCE=CTI</stp>
        <stp>ACT_EST_MAPPING=PRECISE</stp>
        <stp>FS=MRC</stp>
        <stp>CURRENCY=USD</stp>
        <stp>XLFILL=b</stp>
        <tr r="AP126" s="2"/>
      </tp>
      <tp t="s">
        <v>#N/A Requesting Data...</v>
        <stp/>
        <stp>##V3_BQLV12</stp>
        <stp>[MODL_NOW_US1.xlsx]Single Period!R211C26</stp>
        <stp>NOW US Equity</stp>
        <stp>CF_CHG_IN_DEFER_UNEARND_REV_ST/1M</stp>
        <stp>FPR=2021Y</stp>
        <stp>FPT=A</stp>
        <stp>FA_ACT_EST_DATA=E, EST_SOURCE=UBS</stp>
        <stp>ACT_EST_MAPPING=PRECISE</stp>
        <stp>FS=MRC</stp>
        <stp>CURRENCY=USD</stp>
        <stp>XLFILL=b</stp>
        <tr r="Z211" s="2"/>
      </tp>
      <tp t="s">
        <v>#N/A Requesting Data...</v>
        <stp/>
        <stp>##V3_BQLV12</stp>
        <stp>[MODL_NOW_US1.xlsx]Single Period!R226C20</stp>
        <stp>NOW US Equity</stp>
        <stp>CF_OTHER_FINANCING_ACT_EXCL_FX/1M</stp>
        <stp>FPR=2021Y</stp>
        <stp>FPT=A</stp>
        <stp>FA_ACT_EST_DATA=E, EST_SOURCE=CAN</stp>
        <stp>ACT_EST_MAPPING=PRECISE</stp>
        <stp>FS=MRC</stp>
        <stp>CURRENCY=USD</stp>
        <stp>XLFILL=b</stp>
        <tr r="T226" s="2"/>
      </tp>
      <tp t="s">
        <v>#N/A Requesting Data...</v>
        <stp/>
        <stp>##V3_BQLV12</stp>
        <stp>[MODL_NOW_US1.xlsx]Single Period!R178C46</stp>
        <stp>NOW US Equity</stp>
        <stp>BS_ADJ_TOTAL_LT_LIABILITIES/1M</stp>
        <stp>FPR=2021Y</stp>
        <stp>FPT=A</stp>
        <stp>FA_ACT_EST_DATA=E, EST_SOURCE=MZS</stp>
        <stp>ACT_EST_MAPPING=PRECISE</stp>
        <stp>FS=MRC</stp>
        <stp>CURRENCY=USD</stp>
        <stp>XLFILL=b</stp>
        <tr r="AT178" s="2"/>
      </tp>
      <tp t="s">
        <v>#N/A Requesting Data...</v>
        <stp/>
        <stp>##V3_BQLV12</stp>
        <stp>[MODL_NOW_US1.xlsx]Single Period!R167C49</stp>
        <stp>NOW US Equity</stp>
        <stp>BS_GOODWILL/1M</stp>
        <stp>FPR=2021Y</stp>
        <stp>FPT=A</stp>
        <stp>FA_ACT_EST_DATA=E, EST_SOURCE=SCB</stp>
        <stp>ACT_EST_MAPPING=PRECISE</stp>
        <stp>FS=MRC</stp>
        <stp>CURRENCY=USD</stp>
        <stp>XLFILL=b</stp>
        <tr r="AW167" s="2"/>
      </tp>
      <tp t="s">
        <v>#N/A Requesting Data...</v>
        <stp/>
        <stp>##V3_BQLV12</stp>
        <stp>[MODL_NOW_US1.xlsx]Single Period!R167C16</stp>
        <stp>NOW US Equity</stp>
        <stp>BS_GOODWILL/1M</stp>
        <stp>FPR=2021Y</stp>
        <stp>FPT=A</stp>
        <stp>FA_ACT_EST_DATA=E, EST_SOURCE=BCA</stp>
        <stp>ACT_EST_MAPPING=PRECISE</stp>
        <stp>FS=MRC</stp>
        <stp>CURRENCY=USD</stp>
        <stp>XLFILL=b</stp>
        <tr r="P167" s="2"/>
      </tp>
      <tp t="s">
        <v>#N/A Requesting Data...</v>
        <stp/>
        <stp>##V3_BQLV12</stp>
        <stp>[MODL_NOW_US1.xlsx]Single Period!R189C37</stp>
        <stp>NOW US Equity</stp>
        <stp>CUR_RATIO</stp>
        <stp>FPR=2021Y</stp>
        <stp>FPT=A</stp>
        <stp>FA_ACT_EST_DATA=E, EST_SOURCE=TTC</stp>
        <stp>ACT_EST_MAPPING=PRECISE</stp>
        <stp>FS=MRC</stp>
        <stp>CURRENCY=USD</stp>
        <stp>XLFILL=b</stp>
        <tr r="AK189" s="2"/>
      </tp>
      <tp t="s">
        <v>#N/A Requesting Data...</v>
        <stp/>
        <stp>##V3_BQLV12</stp>
        <stp>[MODL_NOW_US1.xlsx]Single Period!R173C28</stp>
        <stp>NOW US Equity</stp>
        <stp>BS_CUR_LIAB/1M</stp>
        <stp>FPR=2021Y</stp>
        <stp>FPT=A</stp>
        <stp>FA_ACT_EST_DATA=E, EST_SOURCE=EVR</stp>
        <stp>ACT_EST_MAPPING=PRECISE</stp>
        <stp>FS=MRC</stp>
        <stp>CURRENCY=USD</stp>
        <stp>XLFILL=b</stp>
        <tr r="AB173" s="2"/>
      </tp>
      <tp t="s">
        <v>#N/A Requesting Data...</v>
        <stp/>
        <stp>##V3_BQLV12</stp>
        <stp>[MODL_NOW_US1.xlsx]Single Period!R80C19</stp>
        <stp>NOW US Equity</stp>
        <stp>IS_COMP_SALES/1M</stp>
        <stp>FPR=2021Y</stp>
        <stp>FPT=A</stp>
        <stp>FA_ACT_EST_DATA=E, EST_SOURCE=MSV</stp>
        <stp>ACT_EST_MAPPING=PRECISE</stp>
        <stp>FS=MRC</stp>
        <stp>CURRENCY=USD</stp>
        <stp>XLFILL=b</stp>
        <tr r="S80" s="2"/>
      </tp>
      <tp t="s">
        <v>#N/A Requesting Data...</v>
        <stp/>
        <stp>##V3_BQLV12</stp>
        <stp>[MODL_NOW_US1.xlsx]Single Period!R89C11</stp>
        <stp>NOW US Equity</stp>
        <stp>IS_REV_INCLUDING_INTERSEG_REV/1M</stp>
        <stp>FPR=2021Y</stp>
        <stp>FPT=A</stp>
        <stp>FA_ACT_EST_DATA=E, EST_SOURCE=JPM</stp>
        <stp>ACT_EST_MAPPING=PRECISE</stp>
        <stp>FS=MRC</stp>
        <stp>CURRENCY=USD</stp>
        <stp>XLFILL=b</stp>
        <tr r="K89" s="2"/>
      </tp>
      <tp t="s">
        <v>#N/A Requesting Data...</v>
        <stp/>
        <stp>##V3_BQLV12</stp>
        <stp>[MODL_NOW_US1.xlsx]Single Period!R139C47</stp>
        <stp>NOW US Equity</stp>
        <stp>IS_SBC_ATTRIB_TO_COGS_PRETX/1M</stp>
        <stp>FPR=2021Y</stp>
        <stp>FPT=A</stp>
        <stp>FA_ACT_EST_DATA=E, EST_SOURCE=SUM</stp>
        <stp>ACT_EST_MAPPING=PRECISE</stp>
        <stp>FS=MRC</stp>
        <stp>CURRENCY=USD</stp>
        <stp>XLFILL=b</stp>
        <tr r="AU139" s="2"/>
      </tp>
      <tp t="s">
        <v>#N/A Requesting Data...</v>
        <stp/>
        <stp>##V3_BQLV12</stp>
        <stp>[MODL_NOW_US1.xlsx]Single Period!R189C42</stp>
        <stp>NOW US Equity</stp>
        <stp>CUR_RATIO</stp>
        <stp>FPR=2021Y</stp>
        <stp>FPT=A</stp>
        <stp>FA_ACT_EST_DATA=E, EST_SOURCE=CTI</stp>
        <stp>ACT_EST_MAPPING=PRECISE</stp>
        <stp>FS=MRC</stp>
        <stp>CURRENCY=USD</stp>
        <stp>XLFILL=b</stp>
        <tr r="AP189" s="2"/>
      </tp>
      <tp t="s">
        <v>#N/A Requesting Data...</v>
        <stp/>
        <stp>##V3_BQLV12</stp>
        <stp>[MODL_NOW_US1.xlsx]Single Period!R230C28</stp>
        <stp>NOW US Equity</stp>
        <stp>CF_EFFECT_FOREIGN_EXCHANGES/1M</stp>
        <stp>FPR=2021Y</stp>
        <stp>FPT=A</stp>
        <stp>FA_ACT_EST_DATA=E, EST_SOURCE=EVR</stp>
        <stp>ACT_EST_MAPPING=PRECISE</stp>
        <stp>FS=MRC</stp>
        <stp>CURRENCY=USD</stp>
        <stp>XLFILL=b</stp>
        <tr r="AB230" s="2"/>
      </tp>
      <tp t="s">
        <v>#N/A Requesting Data...</v>
        <stp/>
        <stp>##V3_BQLV12</stp>
        <stp>[MODL_NOW_US1.xlsx]Single Period!R9C43</stp>
        <stp>NOW US Equity</stp>
        <stp>IS_BILLINGS/1M</stp>
        <stp>FPR=2021Y</stp>
        <stp>FPT=A</stp>
        <stp>FA_ACT_EST_DATA=E, EST_SOURCE=WFT</stp>
        <stp>ACT_EST_MAPPING=PRECISE</stp>
        <stp>FS=MRC</stp>
        <stp>CURRENCY=USD</stp>
        <stp>XLFILL=b</stp>
        <tr r="AQ9" s="2"/>
      </tp>
      <tp t="s">
        <v>#N/A Requesting Data...</v>
        <stp/>
        <stp>##V3_BQLV12</stp>
        <stp>[MODL_NOW_US1.xlsx]Single Period!R142C37</stp>
        <stp>NOW US Equity</stp>
        <stp>IS_SBC_ATT_TO_S_AND_M_PRETX/1M</stp>
        <stp>FPR=2021Y</stp>
        <stp>FPT=A</stp>
        <stp>FA_ACT_EST_DATA=E, EST_SOURCE=TTC</stp>
        <stp>ACT_EST_MAPPING=PRECISE</stp>
        <stp>FS=MRC</stp>
        <stp>CURRENCY=USD</stp>
        <stp>XLFILL=b</stp>
        <tr r="AK142" s="2"/>
      </tp>
      <tp t="s">
        <v>#N/A Requesting Data...</v>
        <stp/>
        <stp>##V3_BQLV12</stp>
        <stp>[MODL_NOW_US1.xlsx]Single Period!R178C39</stp>
        <stp>NOW US Equity</stp>
        <stp>BS_ADJ_TOTAL_LT_LIABILITIES/1M</stp>
        <stp>FPR=2021Y</stp>
        <stp>FPT=A</stp>
        <stp>FA_ACT_EST_DATA=E, EST_SOURCE=DZB</stp>
        <stp>ACT_EST_MAPPING=PRECISE</stp>
        <stp>FS=MRC</stp>
        <stp>CURRENCY=USD</stp>
        <stp>XLFILL=b</stp>
        <tr r="AM178" s="2"/>
      </tp>
      <tp t="s">
        <v>#N/A Requesting Data...</v>
        <stp/>
        <stp>##V3_BQLV12</stp>
        <stp>[MODL_NOW_US1.xlsx]Single Period!R148C10</stp>
        <stp>NOW US Equity</stp>
        <stp>IS_AMORT_ACQD_INTANGIBLES_R_AND_D/1M</stp>
        <stp>FPR=2021Y</stp>
        <stp>FPT=A</stp>
        <stp>FA_ACT_EST_DATA=E, EST_SOURCE=CMPY</stp>
        <stp>ACT_EST_MAPPING=PRECISE</stp>
        <stp>FS=MRC</stp>
        <stp>CURRENCY=USD</stp>
        <stp>XLFILL=b</stp>
        <tr r="J148" s="2"/>
      </tp>
      <tp t="s">
        <v>#N/A Requesting Data...</v>
        <stp/>
        <stp>##V3_BQLV12</stp>
        <stp>[MODL_NOW_US1.xlsx]Single Period!R142C42</stp>
        <stp>NOW US Equity</stp>
        <stp>IS_SBC_ATT_TO_S_AND_M_PRETX/1M</stp>
        <stp>FPR=2021Y</stp>
        <stp>FPT=A</stp>
        <stp>FA_ACT_EST_DATA=E, EST_SOURCE=CTI</stp>
        <stp>ACT_EST_MAPPING=PRECISE</stp>
        <stp>FS=MRC</stp>
        <stp>CURRENCY=USD</stp>
        <stp>XLFILL=b</stp>
        <tr r="AP142" s="2"/>
      </tp>
      <tp t="s">
        <v>#N/A Requesting Data...</v>
        <stp/>
        <stp>##V3_BQLV12</stp>
        <stp>[MODL_NOW_US1.xlsx]Single Period!R27C23</stp>
        <stp>NOW US Equity</stp>
        <stp>IS_REV_INCLUDING_INTERSEG_REV/1M</stp>
        <stp>FPR=2021Y</stp>
        <stp>FPT=A</stp>
        <stp>FA_ACT_EST_DATA=E, EST_SOURCE=ZXS</stp>
        <stp>ACT_EST_MAPPING=PRECISE</stp>
        <stp>FS=MRC</stp>
        <stp>CURRENCY=USD</stp>
        <stp>XLFILL=b</stp>
        <tr r="W27" s="2"/>
      </tp>
      <tp t="s">
        <v>#N/A Requesting Data...</v>
        <stp/>
        <stp>##V3_BQLV12</stp>
        <stp>[MODL_NOW_US1.xlsx]Single Period!R80C48</stp>
        <stp>NOW US Equity</stp>
        <stp>IS_COMP_SALES/1M</stp>
        <stp>FPR=2021Y</stp>
        <stp>FPT=A</stp>
        <stp>FA_ACT_EST_DATA=E, EST_SOURCE=CRC</stp>
        <stp>ACT_EST_MAPPING=PRECISE</stp>
        <stp>FS=MRC</stp>
        <stp>CURRENCY=USD</stp>
        <stp>XLFILL=b</stp>
        <tr r="AV80" s="2"/>
      </tp>
      <tp t="s">
        <v>#N/A Requesting Data...</v>
        <stp/>
        <stp>##V3_BQLV12</stp>
        <stp>[MODL_NOW_US1.xlsx]Single Period!R131C22</stp>
        <stp>NOW US Equity</stp>
        <stp>IS_AVG_NUM_SH_FOR_EPS/1M</stp>
        <stp>FPR=2021Y</stp>
        <stp>FPT=A</stp>
        <stp>FA_ACT_EST_DATA=E, EST_SOURCE=NDH</stp>
        <stp>ACT_EST_MAPPING=PRECISE</stp>
        <stp>FS=MRC</stp>
        <stp>CURRENCY=USD</stp>
        <stp>XLFILL=b</stp>
        <tr r="V131" s="2"/>
      </tp>
      <tp t="s">
        <v>#N/A Requesting Data...</v>
        <stp/>
        <stp>##V3_BQLV12</stp>
        <stp>[MODL_NOW_US1.xlsx]Single Period!R69C41</stp>
        <stp>SEG0000230986 Segment</stp>
        <stp>IS_ADJ_GROSS_PROFIT_AS_REPORTED/1M</stp>
        <stp>FPR=2021Y</stp>
        <stp>FPT=A</stp>
        <stp>FA_ACT_EST_DATA=E, EST_SOURCE=ARG</stp>
        <stp>ACT_EST_MAPPING=PRECISE</stp>
        <stp>FS=MRC</stp>
        <stp>CURRENCY=USD</stp>
        <stp>XLFILL=b</stp>
        <tr r="AO69" s="2"/>
      </tp>
      <tp t="s">
        <v>#N/A Requesting Data...</v>
        <stp/>
        <stp>##V3_BQLV12</stp>
        <stp>[MODL_NOW_US1.xlsx]Single Period!R209C40</stp>
        <stp>NOW US Equity</stp>
        <stp>CF_CHANGE_IN_ACCOUNTS_PAYABLE/1M</stp>
        <stp>FPR=2021Y</stp>
        <stp>FPT=A</stp>
        <stp>FA_ACT_EST_DATA=E, EST_SOURCE=DWI</stp>
        <stp>ACT_EST_MAPPING=PRECISE</stp>
        <stp>FS=MRC</stp>
        <stp>CURRENCY=USD</stp>
        <stp>XLFILL=b</stp>
        <tr r="AN209" s="2"/>
      </tp>
      <tp t="s">
        <v>#N/A Requesting Data...</v>
        <stp/>
        <stp>##V3_BQLV12</stp>
        <stp>[MODL_NOW_US1.xlsx]Single Period!R69C44</stp>
        <stp>SEG0000230986 Segment</stp>
        <stp>IS_ADJ_GROSS_PROFIT_AS_REPORTED/1M</stp>
        <stp>FPR=2021Y</stp>
        <stp>FPT=A</stp>
        <stp>FA_ACT_EST_DATA=E, EST_SOURCE=ARE</stp>
        <stp>ACT_EST_MAPPING=PRECISE</stp>
        <stp>FS=MRC</stp>
        <stp>CURRENCY=USD</stp>
        <stp>XLFILL=b</stp>
        <tr r="AR69" s="2"/>
      </tp>
      <tp t="s">
        <v>#N/A Requesting Data...</v>
        <stp/>
        <stp>##V3_BQLV12</stp>
        <stp>[MODL_NOW_US1.xlsx]Single Period!R66C45</stp>
        <stp>SEG0000230986 Segment</stp>
        <stp>SALES_REV_TURN/1M</stp>
        <stp>FPR=2021Y</stp>
        <stp>FPT=A</stp>
        <stp>FA_ACT_EST_DATA=E, EST_SOURCE=PJE</stp>
        <stp>ACT_EST_MAPPING=PRECISE</stp>
        <stp>FS=MRC</stp>
        <stp>CURRENCY=USD</stp>
        <stp>XLFILL=b</stp>
        <tr r="AS66" s="2"/>
      </tp>
      <tp t="s">
        <v>#N/A Requesting Data...</v>
        <stp/>
        <stp>##V3_BQLV12</stp>
        <stp>[MODL_NOW_US1.xlsx]Single Period!R69C48</stp>
        <stp>SEG0000230986 Segment</stp>
        <stp>IS_ADJ_GROSS_PROFIT_AS_REPORTED/1M</stp>
        <stp>FPR=2021Y</stp>
        <stp>FPT=A</stp>
        <stp>FA_ACT_EST_DATA=E, EST_SOURCE=CRC</stp>
        <stp>ACT_EST_MAPPING=PRECISE</stp>
        <stp>FS=MRC</stp>
        <stp>CURRENCY=USD</stp>
        <stp>XLFILL=b</stp>
        <tr r="AV69" s="2"/>
      </tp>
      <tp t="s">
        <v>#N/A Requesting Data...</v>
        <stp/>
        <stp>##V3_BQLV12</stp>
        <stp>[MODL_NOW_US1.xlsx]Single Period!R16C22</stp>
        <stp>SEG0000230969 Segment</stp>
        <stp>SALES_REV_TURN/1M</stp>
        <stp>FPR=2021Y</stp>
        <stp>FPT=A</stp>
        <stp>FA_ACT_EST_DATA=E, EST_SOURCE=NDH</stp>
        <stp>ACT_EST_MAPPING=PRECISE</stp>
        <stp>FS=MRC</stp>
        <stp>CURRENCY=USD</stp>
        <stp>XLFILL=b</stp>
        <tr r="V16" s="2"/>
      </tp>
      <tp t="s">
        <v>#N/A Requesting Data...</v>
        <stp/>
        <stp>##V3_BQLV12</stp>
        <stp>[MODL_NOW_US1.xlsx]Single Period!R102C17</stp>
        <stp>NOW US Equity</stp>
        <stp>IS_COMP_PTP_EX_STK_BASED_COMP/1M</stp>
        <stp>FPR=2021Y</stp>
        <stp>FPT=A</stp>
        <stp>FA_ACT_EST_DATA=E, EST_SOURCE=RHR</stp>
        <stp>ACT_EST_MAPPING=PRECISE</stp>
        <stp>FS=MRC</stp>
        <stp>CURRENCY=USD</stp>
        <stp>XLFILL=b</stp>
        <tr r="Q102" s="2"/>
      </tp>
      <tp t="s">
        <v>#N/A Requesting Data...</v>
        <stp/>
        <stp>##V3_BQLV12</stp>
        <stp>[MODL_NOW_US1.xlsx]Single Period!R77C36</stp>
        <stp>SEG0000230969 Segment</stp>
        <stp>SALES_REV_TURN/1M</stp>
        <stp>FPR=2021Y</stp>
        <stp>FPT=A</stp>
        <stp>FA_ACT_EST_DATA=E, EST_SOURCE=JEF</stp>
        <stp>ACT_EST_MAPPING=PRECISE</stp>
        <stp>FS=MRC</stp>
        <stp>CURRENCY=USD</stp>
        <stp>XLFILL=b</stp>
        <tr r="AJ77" s="2"/>
      </tp>
      <tp t="s">
        <v>#N/A Requesting Data...</v>
        <stp/>
        <stp>##V3_BQLV12</stp>
        <stp>[MODL_NOW_US1.xlsx]Single Period!R209C34</stp>
        <stp>NOW US Equity</stp>
        <stp>CF_CHANGE_IN_ACCOUNTS_PAYABLE/1M</stp>
        <stp>FPR=2021Y</stp>
        <stp>FPT=A</stp>
        <stp>FA_ACT_EST_DATA=E, EST_SOURCE=PSG</stp>
        <stp>ACT_EST_MAPPING=PRECISE</stp>
        <stp>FS=MRC</stp>
        <stp>CURRENCY=USD</stp>
        <stp>XLFILL=b</stp>
        <tr r="AH209" s="2"/>
      </tp>
      <tp t="s">
        <v>#N/A Requesting Data...</v>
        <stp/>
        <stp>##V3_BQLV12</stp>
        <stp>[MODL_NOW_US1.xlsx]Single Period!R131C13</stp>
        <stp>NOW US Equity</stp>
        <stp>IS_AVG_NUM_SH_FOR_EPS/1M</stp>
        <stp>FPR=2021Y</stp>
        <stp>FPT=A</stp>
        <stp>FA_ACT_EST_DATA=E, EST_SOURCE=KEY</stp>
        <stp>ACT_EST_MAPPING=PRECISE</stp>
        <stp>FS=MRC</stp>
        <stp>CURRENCY=USD</stp>
        <stp>XLFILL=b</stp>
        <tr r="M131" s="2"/>
      </tp>
      <tp t="s">
        <v>#N/A Requesting Data...</v>
        <stp/>
        <stp>##V3_BQLV12</stp>
        <stp>[MODL_NOW_US1.xlsx]Single Period!R200C15</stp>
        <stp>NOW US Equity</stp>
        <stp>CF_DEPR_AMORT/1M</stp>
        <stp>FPR=2021Y</stp>
        <stp>FPT=A</stp>
        <stp>FA_ACT_EST_DATA=E, EST_SOURCE=OPY</stp>
        <stp>ACT_EST_MAPPING=PRECISE</stp>
        <stp>FS=MRC</stp>
        <stp>CURRENCY=USD</stp>
        <stp>XLFILL=b</stp>
        <tr r="O200" s="2"/>
      </tp>
      <tp t="s">
        <v>#N/A Requesting Data...</v>
        <stp/>
        <stp>##V3_BQLV12</stp>
        <stp>[MODL_NOW_US1.xlsx]Single Period!R77C13</stp>
        <stp>SEG0000230969 Segment</stp>
        <stp>SALES_REV_TURN/1M</stp>
        <stp>FPR=2021Y</stp>
        <stp>FPT=A</stp>
        <stp>FA_ACT_EST_DATA=E, EST_SOURCE=KEY</stp>
        <stp>ACT_EST_MAPPING=PRECISE</stp>
        <stp>FS=MRC</stp>
        <stp>CURRENCY=USD</stp>
        <stp>XLFILL=b</stp>
        <tr r="M77" s="2"/>
      </tp>
      <tp t="s">
        <v>#N/A Requesting Data...</v>
        <stp/>
        <stp>##V3_BQLV12</stp>
        <stp>[MODL_NOW_US1.xlsx]Single Period!R15C17</stp>
        <stp>SEG0000230992 Segment</stp>
        <stp>SALES_REV_TURN/1M</stp>
        <stp>FPR=2021Y</stp>
        <stp>FPT=A</stp>
        <stp>FA_ACT_EST_DATA=E, EST_SOURCE=RHR</stp>
        <stp>ACT_EST_MAPPING=PRECISE</stp>
        <stp>FS=MRC</stp>
        <stp>CURRENCY=USD</stp>
        <stp>XLFILL=b</stp>
        <tr r="Q15" s="2"/>
      </tp>
      <tp t="s">
        <v>#N/A Requesting Data...</v>
        <stp/>
        <stp>##V3_BQLV12</stp>
        <stp>[MODL_NOW_US1.xlsx]Single Period!R75C17</stp>
        <stp>SEG0000230992 Segment</stp>
        <stp>SALES_REV_TURN/1M</stp>
        <stp>FPR=2021Y</stp>
        <stp>FPT=A</stp>
        <stp>FA_ACT_EST_DATA=E, EST_SOURCE=RHR</stp>
        <stp>ACT_EST_MAPPING=PRECISE</stp>
        <stp>FS=MRC</stp>
        <stp>CURRENCY=USD</stp>
        <stp>XLFILL=b</stp>
        <tr r="Q75" s="2"/>
      </tp>
      <tp t="s">
        <v>#N/A Requesting Data...</v>
        <stp/>
        <stp>##V3_BQLV12</stp>
        <stp>[MODL_NOW_US1.xlsx]Single Period!R101C11</stp>
        <stp>NOW US Equity</stp>
        <stp>CB_IS_OTHER_NON_OPER_INC_EXPN/1M</stp>
        <stp>FPR=2021Y</stp>
        <stp>FPT=A</stp>
        <stp>FA_ACT_EST_DATA=E, EST_SOURCE=JPM</stp>
        <stp>ACT_EST_MAPPING=PRECISE</stp>
        <stp>FS=MRC</stp>
        <stp>CURRENCY=USD</stp>
        <stp>XLFILL=b</stp>
        <tr r="K101" s="2"/>
      </tp>
      <tp t="s">
        <v>#N/A Requesting Data...</v>
        <stp/>
        <stp>##V3_BQLV12</stp>
        <stp>[MODL_NOW_US1.xlsx]Single Period!R99C49</stp>
        <stp>NOW US Equity</stp>
        <stp>IS_COMPARABLE_EBITDA/1M</stp>
        <stp>FPR=2021Y</stp>
        <stp>FPT=A</stp>
        <stp>FA_ACT_EST_DATA=E, EST_SOURCE=SCB</stp>
        <stp>ACT_EST_MAPPING=PRECISE</stp>
        <stp>FS=MRC</stp>
        <stp>CURRENCY=USD</stp>
        <stp>XLFILL=b</stp>
        <tr r="AW99" s="2"/>
      </tp>
      <tp t="s">
        <v>#N/A Requesting Data...</v>
        <stp/>
        <stp>##V3_BQLV12</stp>
        <stp>[MODL_NOW_US1.xlsx]Single Period!R143C46</stp>
        <stp>NOW US Equity</stp>
        <stp>IS_SBC_ATTRIBUTABLE_TO_R_AND_D_PRETX/1M</stp>
        <stp>FPR=2021Y</stp>
        <stp>FPT=A</stp>
        <stp>FA_ACT_EST_DATA=E, EST_SOURCE=MZS</stp>
        <stp>ACT_EST_MAPPING=PRECISE</stp>
        <stp>FS=MRC</stp>
        <stp>CURRENCY=USD</stp>
        <stp>XLFILL=b</stp>
        <tr r="AT143" s="2"/>
      </tp>
      <tp t="s">
        <v>#N/A Requesting Data...</v>
        <stp/>
        <stp>##V3_BQLV12</stp>
        <stp>[MODL_NOW_US1.xlsx]Single Period!R131C18</stp>
        <stp>NOW US Equity</stp>
        <stp>IS_AVG_NUM_SH_FOR_EPS/1M</stp>
        <stp>FPR=2021Y</stp>
        <stp>FPT=A</stp>
        <stp>FA_ACT_EST_DATA=E, EST_SOURCE=SNR</stp>
        <stp>ACT_EST_MAPPING=PRECISE</stp>
        <stp>FS=MRC</stp>
        <stp>CURRENCY=USD</stp>
        <stp>XLFILL=b</stp>
        <tr r="R131" s="2"/>
      </tp>
      <tp t="s">
        <v>#N/A Requesting Data...</v>
        <stp/>
        <stp>##V3_BQLV12</stp>
        <stp>[MODL_NOW_US1.xlsx]Single Period!R150C49</stp>
        <stp>NOW US Equity</stp>
        <stp>IS_INC_TAX_EFFECT_NONGAAP_REC/1M</stp>
        <stp>FPR=2021Y</stp>
        <stp>FPT=A</stp>
        <stp>FA_ACT_EST_DATA=E, EST_SOURCE=SCB</stp>
        <stp>ACT_EST_MAPPING=PRECISE</stp>
        <stp>FS=MRC</stp>
        <stp>CURRENCY=USD</stp>
        <stp>XLFILL=b</stp>
        <tr r="AW150" s="2"/>
      </tp>
      <tp t="s">
        <v>#N/A Requesting Data...</v>
        <stp/>
        <stp>##V3_BQLV12</stp>
        <stp>[MODL_NOW_US1.xlsx]Single Period!R102C45</stp>
        <stp>NOW US Equity</stp>
        <stp>IS_COMP_PTP_EX_STK_BASED_COMP/1M</stp>
        <stp>FPR=2021Y</stp>
        <stp>FPT=A</stp>
        <stp>FA_ACT_EST_DATA=E, EST_SOURCE=PJE</stp>
        <stp>ACT_EST_MAPPING=PRECISE</stp>
        <stp>FS=MRC</stp>
        <stp>CURRENCY=USD</stp>
        <stp>XLFILL=b</stp>
        <tr r="AS102" s="2"/>
      </tp>
      <tp t="s">
        <v>#N/A Requesting Data...</v>
        <stp/>
        <stp>##V3_BQLV12</stp>
        <stp>[MODL_NOW_US1.xlsx]Single Period!R3C34</stp>
        <stp>NOW US Equity</stp>
        <stp>LAST(IS_COMP_SALES(FA_ACT_EST_DATA=E, EST_SOURCE=PSG).firm_name)</stp>
        <stp>FPR=2021Y</stp>
        <stp>FPT=A</stp>
        <stp>ACT_EST_MAPPING=PRECISE</stp>
        <stp>FS=MRC</stp>
        <stp>CURRENCY=USD</stp>
        <stp>XLFILL=b</stp>
        <tr r="AH3" s="2"/>
      </tp>
      <tp t="s">
        <v>#N/A Requesting Data...</v>
        <stp/>
        <stp>##V3_BQLV12</stp>
        <stp>[MODL_NOW_US1.xlsx]Single Period!R201C31</stp>
        <stp>NOW US Equity</stp>
        <stp>D_AND_A_TO_SALES</stp>
        <stp>FPR=2021Y</stp>
        <stp>FPT=A</stp>
        <stp>FA_ACT_EST_DATA=E, EST_SOURCE=GSR</stp>
        <stp>ACT_EST_MAPPING=PRECISE</stp>
        <stp>FS=MRC</stp>
        <stp>CURRENCY=USD</stp>
        <stp>XLFILL=b</stp>
        <tr r="AE201" s="2"/>
      </tp>
      <tp t="s">
        <v>#N/A Requesting Data...</v>
        <stp/>
        <stp>##V3_BQLV12</stp>
        <stp>[MODL_NOW_US1.xlsx]Single Period!R201C47</stp>
        <stp>NOW US Equity</stp>
        <stp>D_AND_A_TO_SALES</stp>
        <stp>FPR=2021Y</stp>
        <stp>FPT=A</stp>
        <stp>FA_ACT_EST_DATA=E, EST_SOURCE=SUM</stp>
        <stp>ACT_EST_MAPPING=PRECISE</stp>
        <stp>FS=MRC</stp>
        <stp>CURRENCY=USD</stp>
        <stp>XLFILL=b</stp>
        <tr r="AU201" s="2"/>
      </tp>
      <tp t="s">
        <v>#N/A Requesting Data...</v>
        <stp/>
        <stp>##V3_BQLV12</stp>
        <stp>[MODL_NOW_US1.xlsx]Single Period!R155C10</stp>
        <stp>NOW US Equity</stp>
        <stp>BS_CASH_CASH_EQUIVALENTS_AND_STI/1M</stp>
        <stp>FPR=2021Y</stp>
        <stp>FPT=A</stp>
        <stp>FA_ACT_EST_DATA=E, EST_SOURCE=CMPY</stp>
        <stp>ACT_EST_MAPPING=PRECISE</stp>
        <stp>FS=MRC</stp>
        <stp>CURRENCY=USD</stp>
        <stp>XLFILL=b</stp>
        <tr r="J155" s="2"/>
      </tp>
      <tp t="s">
        <v>#N/A Requesting Data...</v>
        <stp/>
        <stp>##V3_BQLV12</stp>
        <stp>[MODL_NOW_US1.xlsx]Single Period!R134C32</stp>
        <stp>NOW US Equity</stp>
        <stp>IS_COMP_EPS_GAAP</stp>
        <stp>FPR=2021Y</stp>
        <stp>FPT=A</stp>
        <stp>FA_ACT_EST_DATA=E, EST_SOURCE=FBC</stp>
        <stp>ACT_EST_MAPPING=PRECISE</stp>
        <stp>FS=MRC</stp>
        <stp>CURRENCY=USD</stp>
        <stp>XLFILL=b</stp>
        <tr r="AF134" s="2"/>
      </tp>
      <tp t="s">
        <v>#N/A Requesting Data...</v>
        <stp/>
        <stp>##V3_BQLV12</stp>
        <stp>[MODL_NOW_US1.xlsx]Single Period!R134C12</stp>
        <stp>NOW US Equity</stp>
        <stp>IS_COMP_EPS_GAAP</stp>
        <stp>FPR=2021Y</stp>
        <stp>FPT=A</stp>
        <stp>FA_ACT_EST_DATA=E, EST_SOURCE=WBL</stp>
        <stp>ACT_EST_MAPPING=PRECISE</stp>
        <stp>FS=MRC</stp>
        <stp>CURRENCY=USD</stp>
        <stp>XLFILL=b</stp>
        <tr r="L134" s="2"/>
      </tp>
      <tp t="s">
        <v>#N/A Requesting Data...</v>
        <stp/>
        <stp>##V3_BQLV12</stp>
        <stp>[MODL_NOW_US1.xlsx]Single Period!R3C19</stp>
        <stp>NOW US Equity</stp>
        <stp>LAST(IS_COMP_SALES(FA_ACT_EST_DATA=E, EST_SOURCE=MSV).firm_name)</stp>
        <stp>FPR=2021Y</stp>
        <stp>FPT=A</stp>
        <stp>ACT_EST_MAPPING=PRECISE</stp>
        <stp>FS=MRC</stp>
        <stp>CURRENCY=USD</stp>
        <stp>XLFILL=b</stp>
        <tr r="S3" s="2"/>
      </tp>
      <tp t="s">
        <v>#N/A Requesting Data...</v>
        <stp/>
        <stp>##V3_BQLV12</stp>
        <stp>[MODL_NOW_US1.xlsx]Single Period!R3C31</stp>
        <stp>NOW US Equity</stp>
        <stp>LAST(IS_COMP_SALES(FA_ACT_EST_DATA=E, EST_SOURCE=GSR).firm_name)</stp>
        <stp>FPR=2021Y</stp>
        <stp>FPT=A</stp>
        <stp>ACT_EST_MAPPING=PRECISE</stp>
        <stp>FS=MRC</stp>
        <stp>CURRENCY=USD</stp>
        <stp>XLFILL=b</stp>
        <tr r="AE3" s="2"/>
      </tp>
      <tp t="s">
        <v>#N/A Requesting Data...</v>
        <stp/>
        <stp>##V3_BQLV12</stp>
        <stp>[MODL_NOW_US1.xlsx]Single Period!R3C35</stp>
        <stp>NOW US Equity</stp>
        <stp>LAST(IS_COMP_SALES(FA_ACT_EST_DATA=E, EST_SOURCE=MSR).firm_name)</stp>
        <stp>FPR=2021Y</stp>
        <stp>FPT=A</stp>
        <stp>ACT_EST_MAPPING=PRECISE</stp>
        <stp>FS=MRC</stp>
        <stp>CURRENCY=USD</stp>
        <stp>XLFILL=b</stp>
        <tr r="AI3" s="2"/>
      </tp>
      <tp t="s">
        <v>#N/A Requesting Data...</v>
        <stp/>
        <stp>##V3_BQLV12</stp>
        <stp>[MODL_NOW_US1.xlsx]Single Period!R156C46</stp>
        <stp>NOW US Equity</stp>
        <stp>BS_CASH_NEAR_CASH_ITEM/1M</stp>
        <stp>FPR=2021Y</stp>
        <stp>FPT=A</stp>
        <stp>FA_ACT_EST_DATA=E, EST_SOURCE=MZS</stp>
        <stp>ACT_EST_MAPPING=PRECISE</stp>
        <stp>FS=MRC</stp>
        <stp>CURRENCY=USD</stp>
        <stp>XLFILL=b</stp>
        <tr r="AT156" s="2"/>
      </tp>
      <tp t="s">
        <v>#N/A Requesting Data...</v>
        <stp/>
        <stp>##V3_BQLV12</stp>
        <stp>[MODL_NOW_US1.xlsx]Single Period!R22C46</stp>
        <stp>SEG0000230986 Segment</stp>
        <stp>IS_ADJ_GROSS_MARGIN_PCT_AR</stp>
        <stp>FPR=2021Y</stp>
        <stp>FPT=A</stp>
        <stp>FA_ACT_EST_DATA=E, EST_SOURCE=MZS</stp>
        <stp>ACT_EST_MAPPING=PRECISE</stp>
        <stp>FS=MRC</stp>
        <stp>CURRENCY=USD</stp>
        <stp>XLFILL=b</stp>
        <tr r="AT22" s="2"/>
      </tp>
      <tp t="s">
        <v>#N/A Requesting Data...</v>
        <stp/>
        <stp>##V3_BQLV12</stp>
        <stp>[MODL_NOW_US1.xlsx]Single Period!R70C46</stp>
        <stp>SEG0000230986 Segment</stp>
        <stp>IS_ADJ_GROSS_MARGIN_PCT_AR</stp>
        <stp>FPR=2021Y</stp>
        <stp>FPT=A</stp>
        <stp>FA_ACT_EST_DATA=E, EST_SOURCE=MZS</stp>
        <stp>ACT_EST_MAPPING=PRECISE</stp>
        <stp>FS=MRC</stp>
        <stp>CURRENCY=USD</stp>
        <stp>XLFILL=b</stp>
        <tr r="AT70" s="2"/>
      </tp>
      <tp t="s">
        <v>#N/A Requesting Data...</v>
        <stp/>
        <stp>##V3_BQLV12</stp>
        <stp>[MODL_NOW_US1.xlsx]Single Period!R128C23</stp>
        <stp>NOW US Equity</stp>
        <stp>IS_INC_TAX_EXP/1M</stp>
        <stp>FPR=2021Y</stp>
        <stp>FPT=A</stp>
        <stp>FA_ACT_EST_DATA=E, EST_SOURCE=ZXS</stp>
        <stp>ACT_EST_MAPPING=PRECISE</stp>
        <stp>FS=MRC</stp>
        <stp>CURRENCY=USD</stp>
        <stp>XLFILL=b</stp>
        <tr r="W128" s="2"/>
      </tp>
      <tp t="s">
        <v>#N/A Requesting Data...</v>
        <stp/>
        <stp>##V3_BQLV12</stp>
        <stp>[MODL_NOW_US1.xlsx]Single Period!R64C17</stp>
        <stp>SEG0000230975 Segment</stp>
        <stp>CB_IS_GROSS_MARGIN</stp>
        <stp>FPR=2021Y</stp>
        <stp>FPT=A</stp>
        <stp>FA_ACT_EST_DATA=E, EST_SOURCE=RHR</stp>
        <stp>ACT_EST_MAPPING=PRECISE</stp>
        <stp>FS=MRC</stp>
        <stp>CURRENCY=USD</stp>
        <stp>XLFILL=b</stp>
        <tr r="Q64" s="2"/>
      </tp>
      <tp t="s">
        <v>#N/A Requesting Data...</v>
        <stp/>
        <stp>##V3_BQLV12</stp>
        <stp>[MODL_NOW_US1.xlsx]Single Period!R146C49</stp>
        <stp>NOW US Equity</stp>
        <stp>IS_AMORT_ACQD_INTANGIBLES_COGS/1M</stp>
        <stp>FPR=2021Y</stp>
        <stp>FPT=A</stp>
        <stp>FA_ACT_EST_DATA=E, EST_SOURCE=SCB</stp>
        <stp>ACT_EST_MAPPING=PRECISE</stp>
        <stp>FS=MRC</stp>
        <stp>CURRENCY=USD</stp>
        <stp>XLFILL=b</stp>
        <tr r="AW146" s="2"/>
      </tp>
      <tp t="s">
        <v>#N/A Requesting Data...</v>
        <stp/>
        <stp>##V3_BQLV12</stp>
        <stp>[MODL_NOW_US1.xlsx]Single Period!R146C16</stp>
        <stp>NOW US Equity</stp>
        <stp>IS_AMORT_ACQD_INTANGIBLES_COGS/1M</stp>
        <stp>FPR=2021Y</stp>
        <stp>FPT=A</stp>
        <stp>FA_ACT_EST_DATA=E, EST_SOURCE=BCA</stp>
        <stp>ACT_EST_MAPPING=PRECISE</stp>
        <stp>FS=MRC</stp>
        <stp>CURRENCY=USD</stp>
        <stp>XLFILL=b</stp>
        <tr r="P146" s="2"/>
      </tp>
      <tp t="s">
        <v>#N/A Requesting Data...</v>
        <stp/>
        <stp>##V3_BQLV12</stp>
        <stp>[MODL_NOW_US1.xlsx]Single Period!R211C16</stp>
        <stp>NOW US Equity</stp>
        <stp>CF_CHG_IN_DEFER_UNEARND_REV_ST/1M</stp>
        <stp>FPR=2021Y</stp>
        <stp>FPT=A</stp>
        <stp>FA_ACT_EST_DATA=E, EST_SOURCE=BCA</stp>
        <stp>ACT_EST_MAPPING=PRECISE</stp>
        <stp>FS=MRC</stp>
        <stp>CURRENCY=USD</stp>
        <stp>XLFILL=b</stp>
        <tr r="P211" s="2"/>
      </tp>
      <tp t="s">
        <v>#N/A Requesting Data...</v>
        <stp/>
        <stp>##V3_BQLV12</stp>
        <stp>[MODL_NOW_US1.xlsx]Single Period!R211C49</stp>
        <stp>NOW US Equity</stp>
        <stp>CF_CHG_IN_DEFER_UNEARND_REV_ST/1M</stp>
        <stp>FPR=2021Y</stp>
        <stp>FPT=A</stp>
        <stp>FA_ACT_EST_DATA=E, EST_SOURCE=SCB</stp>
        <stp>ACT_EST_MAPPING=PRECISE</stp>
        <stp>FS=MRC</stp>
        <stp>CURRENCY=USD</stp>
        <stp>XLFILL=b</stp>
        <tr r="AW211" s="2"/>
      </tp>
      <tp t="s">
        <v>#N/A Requesting Data...</v>
        <stp/>
        <stp>##V3_BQLV12</stp>
        <stp>[MODL_NOW_US1.xlsx]Single Period!R232C17</stp>
        <stp>NOW US Equity</stp>
        <stp>CF_CASH_AND_CASH_EQUIV_BEG_BAL/1M</stp>
        <stp>FPR=2021Y</stp>
        <stp>FPT=A</stp>
        <stp>FA_ACT_EST_DATA=E, EST_SOURCE=RHR</stp>
        <stp>ACT_EST_MAPPING=PRECISE</stp>
        <stp>FS=MRC</stp>
        <stp>CURRENCY=USD</stp>
        <stp>XLFILL=b</stp>
        <tr r="Q232" s="2"/>
      </tp>
      <tp t="s">
        <v>#N/A Requesting Data...</v>
        <stp/>
        <stp>##V3_BQLV12</stp>
        <stp>[MODL_NOW_US1.xlsx]Single Period!R204C38</stp>
        <stp>NOW US Equity</stp>
        <stp>CF_DEF_INC_TAX/1M</stp>
        <stp>FPR=2021Y</stp>
        <stp>FPT=A</stp>
        <stp>FA_ACT_EST_DATA=E, EST_SOURCE=RWB</stp>
        <stp>ACT_EST_MAPPING=PRECISE</stp>
        <stp>FS=MRC</stp>
        <stp>CURRENCY=USD</stp>
        <stp>XLFILL=b</stp>
        <tr r="AL204" s="2"/>
      </tp>
      <tp t="s">
        <v>#N/A Requesting Data...</v>
        <stp/>
        <stp>##V3_BQLV12</stp>
        <stp>[MODL_NOW_US1.xlsx]Single Period!R156C39</stp>
        <stp>NOW US Equity</stp>
        <stp>BS_CASH_NEAR_CASH_ITEM/1M</stp>
        <stp>FPR=2021Y</stp>
        <stp>FPT=A</stp>
        <stp>FA_ACT_EST_DATA=E, EST_SOURCE=DZB</stp>
        <stp>ACT_EST_MAPPING=PRECISE</stp>
        <stp>FS=MRC</stp>
        <stp>CURRENCY=USD</stp>
        <stp>XLFILL=b</stp>
        <tr r="AM156" s="2"/>
      </tp>
      <tp t="s">
        <v>#N/A Requesting Data...</v>
        <stp/>
        <stp>##V3_BQLV12</stp>
        <stp>[MODL_NOW_US1.xlsx]Single Period!R70C39</stp>
        <stp>SEG0000230986 Segment</stp>
        <stp>IS_ADJ_GROSS_MARGIN_PCT_AR</stp>
        <stp>FPR=2021Y</stp>
        <stp>FPT=A</stp>
        <stp>FA_ACT_EST_DATA=E, EST_SOURCE=DZB</stp>
        <stp>ACT_EST_MAPPING=PRECISE</stp>
        <stp>FS=MRC</stp>
        <stp>CURRENCY=USD</stp>
        <stp>XLFILL=b</stp>
        <tr r="AM70" s="2"/>
      </tp>
      <tp t="s">
        <v>#N/A Requesting Data...</v>
        <stp/>
        <stp>##V3_BQLV12</stp>
        <stp>[MODL_NOW_US1.xlsx]Single Period!R22C39</stp>
        <stp>SEG0000230986 Segment</stp>
        <stp>IS_ADJ_GROSS_MARGIN_PCT_AR</stp>
        <stp>FPR=2021Y</stp>
        <stp>FPT=A</stp>
        <stp>FA_ACT_EST_DATA=E, EST_SOURCE=DZB</stp>
        <stp>ACT_EST_MAPPING=PRECISE</stp>
        <stp>FS=MRC</stp>
        <stp>CURRENCY=USD</stp>
        <stp>XLFILL=b</stp>
        <tr r="AM22" s="2"/>
      </tp>
      <tp t="s">
        <v>#N/A Requesting Data...</v>
        <stp/>
        <stp>##V3_BQLV12</stp>
        <stp>[MODL_NOW_US1.xlsx]Single Period!R233C45</stp>
        <stp>NOW US Equity</stp>
        <stp>CF_CASH_AND_CASH_EQUIV_END_BAL/1M</stp>
        <stp>FPR=2021Y</stp>
        <stp>FPT=A</stp>
        <stp>FA_ACT_EST_DATA=E, EST_SOURCE=PJE</stp>
        <stp>ACT_EST_MAPPING=PRECISE</stp>
        <stp>FS=MRC</stp>
        <stp>CURRENCY=USD</stp>
        <stp>XLFILL=b</stp>
        <tr r="AS233" s="2"/>
      </tp>
      <tp t="s">
        <v>#N/A Requesting Data...</v>
        <stp/>
        <stp>##V3_BQLV12</stp>
        <stp>[MODL_NOW_US1.xlsx]Single Period!R10C11</stp>
        <stp>NOW US Equity</stp>
        <stp>BILLNG_AMOUNT_GROWTH_PCT</stp>
        <stp>FPR=2021Y</stp>
        <stp>FPT=A</stp>
        <stp>FA_ACT_EST_DATA=E, EST_SOURCE=JPM</stp>
        <stp>ACT_EST_MAPPING=PRECISE</stp>
        <stp>FS=MRC</stp>
        <stp>CURRENCY=USD</stp>
        <stp>XLFILL=b</stp>
        <tr r="K10" s="2"/>
      </tp>
      <tp t="s">
        <v>#N/A Requesting Data...</v>
        <stp/>
        <stp>##V3_BQLV12</stp>
        <stp>[MODL_NOW_US1.xlsx]Single Period!R126C47</stp>
        <stp>NOW US Equity</stp>
        <stp>IS_NON_OPERATING_INC_LOSS_GAAP/1M</stp>
        <stp>FPR=2021Y</stp>
        <stp>FPT=A</stp>
        <stp>FA_ACT_EST_DATA=E, EST_SOURCE=SUM</stp>
        <stp>ACT_EST_MAPPING=PRECISE</stp>
        <stp>FS=MRC</stp>
        <stp>CURRENCY=USD</stp>
        <stp>XLFILL=b</stp>
        <tr r="AU126" s="2"/>
      </tp>
      <tp t="s">
        <v>#N/A Requesting Data...</v>
        <stp/>
        <stp>##V3_BQLV12</stp>
        <stp>[MODL_NOW_US1.xlsx]Single Period!R204C40</stp>
        <stp>NOW US Equity</stp>
        <stp>CF_DEF_INC_TAX/1M</stp>
        <stp>FPR=2021Y</stp>
        <stp>FPT=A</stp>
        <stp>FA_ACT_EST_DATA=E, EST_SOURCE=DWI</stp>
        <stp>ACT_EST_MAPPING=PRECISE</stp>
        <stp>FS=MRC</stp>
        <stp>CURRENCY=USD</stp>
        <stp>XLFILL=b</stp>
        <tr r="AN204" s="2"/>
      </tp>
      <tp t="s">
        <v>#N/A Requesting Data...</v>
        <stp/>
        <stp>##V3_BQLV12</stp>
        <stp>[MODL_NOW_US1.xlsx]Single Period!R204C24</stp>
        <stp>NOW US Equity</stp>
        <stp>CF_DEF_INC_TAX/1M</stp>
        <stp>FPR=2021Y</stp>
        <stp>FPT=A</stp>
        <stp>FA_ACT_EST_DATA=E, EST_SOURCE=CWN</stp>
        <stp>ACT_EST_MAPPING=PRECISE</stp>
        <stp>FS=MRC</stp>
        <stp>CURRENCY=USD</stp>
        <stp>XLFILL=b</stp>
        <tr r="X204" s="2"/>
      </tp>
      <tp t="s">
        <v>#N/A Requesting Data...</v>
        <stp/>
        <stp>##V3_BQLV12</stp>
        <stp>[MODL_NOW_US1.xlsx]Single Period!R195C28</stp>
        <stp>NOW US Equity</stp>
        <stp>CB_BS_DEFERRED_COST_LT/1M</stp>
        <stp>FPR=2021Y</stp>
        <stp>FPT=A</stp>
        <stp>FA_ACT_EST_DATA=E, EST_SOURCE=EVR</stp>
        <stp>ACT_EST_MAPPING=PRECISE</stp>
        <stp>FS=MRC</stp>
        <stp>CURRENCY=USD</stp>
        <stp>XLFILL=b</stp>
        <tr r="AB195" s="2"/>
      </tp>
      <tp t="s">
        <v>#N/A Requesting Data...</v>
        <stp/>
        <stp>##V3_BQLV12</stp>
        <stp>[MODL_NOW_US1.xlsx]Single Period!R167C25</stp>
        <stp>NOW US Equity</stp>
        <stp>BS_GOODWILL/1M</stp>
        <stp>FPR=2021Y</stp>
        <stp>FPT=A</stp>
        <stp>FA_ACT_EST_DATA=E, EST_SOURCE=DBG</stp>
        <stp>ACT_EST_MAPPING=PRECISE</stp>
        <stp>FS=MRC</stp>
        <stp>CURRENCY=USD</stp>
        <stp>XLFILL=b</stp>
        <tr r="Y167" s="2"/>
      </tp>
      <tp t="s">
        <v>#N/A Requesting Data...</v>
        <stp/>
        <stp>##V3_BQLV12</stp>
        <stp>[MODL_NOW_US1.xlsx]Single Period!R98C17</stp>
        <stp>NOW US Equity</stp>
        <stp>CF_DEPR_AMORT/1M</stp>
        <stp>FPR=2021Y</stp>
        <stp>FPT=A</stp>
        <stp>FA_ACT_EST_DATA=E, EST_SOURCE=RHR</stp>
        <stp>ACT_EST_MAPPING=PRECISE</stp>
        <stp>FS=MRC</stp>
        <stp>CURRENCY=USD</stp>
        <stp>XLFILL=b</stp>
        <tr r="Q98" s="2"/>
      </tp>
      <tp t="s">
        <v>#N/A Requesting Data...</v>
        <stp/>
        <stp>##V3_BQLV12</stp>
        <stp>[MODL_NOW_US1.xlsx]Single Period!R184C17</stp>
        <stp>NOW US Equity</stp>
        <stp>BS_EQTY_BEFORE_MINORITY_INT/1M</stp>
        <stp>FPR=2021Y</stp>
        <stp>FPT=A</stp>
        <stp>FA_ACT_EST_DATA=E, EST_SOURCE=RHR</stp>
        <stp>ACT_EST_MAPPING=PRECISE</stp>
        <stp>FS=MRC</stp>
        <stp>CURRENCY=USD</stp>
        <stp>XLFILL=b</stp>
        <tr r="Q184" s="2"/>
      </tp>
      <tp t="s">
        <v>#N/A Requesting Data...</v>
        <stp/>
        <stp>##V3_BQLV12</stp>
        <stp>[MODL_NOW_US1.xlsx]Single Period!R139C37</stp>
        <stp>NOW US Equity</stp>
        <stp>IS_SBC_ATTRIB_TO_COGS_PRETX/1M</stp>
        <stp>FPR=2021Y</stp>
        <stp>FPT=A</stp>
        <stp>FA_ACT_EST_DATA=E, EST_SOURCE=TTC</stp>
        <stp>ACT_EST_MAPPING=PRECISE</stp>
        <stp>FS=MRC</stp>
        <stp>CURRENCY=USD</stp>
        <stp>XLFILL=b</stp>
        <tr r="AK139" s="2"/>
      </tp>
      <tp t="s">
        <v>#N/A Requesting Data...</v>
        <stp/>
        <stp>##V3_BQLV12</stp>
        <stp>[MODL_NOW_US1.xlsx]Single Period!R167C27</stp>
        <stp>NOW US Equity</stp>
        <stp>BS_GOODWILL/1M</stp>
        <stp>FPR=2021Y</stp>
        <stp>FPT=A</stp>
        <stp>FA_ACT_EST_DATA=E, EST_SOURCE=RBC</stp>
        <stp>ACT_EST_MAPPING=PRECISE</stp>
        <stp>FS=MRC</stp>
        <stp>CURRENCY=USD</stp>
        <stp>XLFILL=b</stp>
        <tr r="AA167" s="2"/>
      </tp>
      <tp t="s">
        <v>#N/A Requesting Data...</v>
        <stp/>
        <stp>##V3_BQLV12</stp>
        <stp>[MODL_NOW_US1.xlsx]Single Period!R154C30</stp>
        <stp>NOW US Equity</stp>
        <stp>BS_CUR_ASSET_REPORT/1M</stp>
        <stp>FPR=2021Y</stp>
        <stp>FPT=A</stp>
        <stp>FA_ACT_EST_DATA=E, EST_SOURCE=BAM</stp>
        <stp>ACT_EST_MAPPING=PRECISE</stp>
        <stp>FS=MRC</stp>
        <stp>CURRENCY=USD</stp>
        <stp>XLFILL=b</stp>
        <tr r="AD154" s="2"/>
      </tp>
      <tp t="s">
        <v>#N/A Requesting Data...</v>
        <stp/>
        <stp>##V3_BQLV12</stp>
        <stp>[MODL_NOW_US1.xlsx]Single Period!R167C32</stp>
        <stp>NOW US Equity</stp>
        <stp>BS_GOODWILL/1M</stp>
        <stp>FPR=2021Y</stp>
        <stp>FPT=A</stp>
        <stp>FA_ACT_EST_DATA=E, EST_SOURCE=FBC</stp>
        <stp>ACT_EST_MAPPING=PRECISE</stp>
        <stp>FS=MRC</stp>
        <stp>CURRENCY=USD</stp>
        <stp>XLFILL=b</stp>
        <tr r="AF167" s="2"/>
      </tp>
      <tp t="s">
        <v>#N/A Requesting Data...</v>
        <stp/>
        <stp>##V3_BQLV12</stp>
        <stp>[MODL_NOW_US1.xlsx]Single Period!R154C20</stp>
        <stp>NOW US Equity</stp>
        <stp>BS_CUR_ASSET_REPORT/1M</stp>
        <stp>FPR=2021Y</stp>
        <stp>FPT=A</stp>
        <stp>FA_ACT_EST_DATA=E, EST_SOURCE=CAN</stp>
        <stp>ACT_EST_MAPPING=PRECISE</stp>
        <stp>FS=MRC</stp>
        <stp>CURRENCY=USD</stp>
        <stp>XLFILL=b</stp>
        <tr r="T154" s="2"/>
      </tp>
      <tp t="s">
        <v>#N/A Requesting Data...</v>
        <stp/>
        <stp>##V3_BQLV12</stp>
        <stp>[MODL_NOW_US1.xlsx]Single Period!R167C12</stp>
        <stp>NOW US Equity</stp>
        <stp>BS_GOODWILL/1M</stp>
        <stp>FPR=2021Y</stp>
        <stp>FPT=A</stp>
        <stp>FA_ACT_EST_DATA=E, EST_SOURCE=WBL</stp>
        <stp>ACT_EST_MAPPING=PRECISE</stp>
        <stp>FS=MRC</stp>
        <stp>CURRENCY=USD</stp>
        <stp>XLFILL=b</stp>
        <tr r="L167" s="2"/>
      </tp>
      <tp t="s">
        <v>#N/A Requesting Data...</v>
        <stp/>
        <stp>##V3_BQLV12</stp>
        <stp>[MODL_NOW_US1.xlsx]Single Period!R139C42</stp>
        <stp>NOW US Equity</stp>
        <stp>IS_SBC_ATTRIB_TO_COGS_PRETX/1M</stp>
        <stp>FPR=2021Y</stp>
        <stp>FPT=A</stp>
        <stp>FA_ACT_EST_DATA=E, EST_SOURCE=CTI</stp>
        <stp>ACT_EST_MAPPING=PRECISE</stp>
        <stp>FS=MRC</stp>
        <stp>CURRENCY=USD</stp>
        <stp>XLFILL=b</stp>
        <tr r="AP139" s="2"/>
      </tp>
      <tp t="s">
        <v>#N/A Requesting Data...</v>
        <stp/>
        <stp>##V3_BQLV12</stp>
        <stp>[MODL_NOW_US1.xlsx]Single Period!R189C47</stp>
        <stp>NOW US Equity</stp>
        <stp>CUR_RATIO</stp>
        <stp>FPR=2021Y</stp>
        <stp>FPT=A</stp>
        <stp>FA_ACT_EST_DATA=E, EST_SOURCE=SUM</stp>
        <stp>ACT_EST_MAPPING=PRECISE</stp>
        <stp>FS=MRC</stp>
        <stp>CURRENCY=USD</stp>
        <stp>XLFILL=b</stp>
        <tr r="AU189" s="2"/>
      </tp>
      <tp t="s">
        <v>#N/A Requesting Data...</v>
        <stp/>
        <stp>##V3_BQLV12</stp>
        <stp>[MODL_NOW_US1.xlsx]Single Period!R154C33</stp>
        <stp>NOW US Equity</stp>
        <stp>BS_CUR_ASSET_REPORT/1M</stp>
        <stp>FPR=2021Y</stp>
        <stp>FPT=A</stp>
        <stp>FA_ACT_EST_DATA=E, EST_SOURCE=MAC</stp>
        <stp>ACT_EST_MAPPING=PRECISE</stp>
        <stp>FS=MRC</stp>
        <stp>CURRENCY=USD</stp>
        <stp>XLFILL=b</stp>
        <tr r="AG154" s="2"/>
      </tp>
      <tp t="s">
        <v>#N/A Requesting Data...</v>
        <stp/>
        <stp>##V3_BQLV12</stp>
        <stp>[MODL_NOW_US1.xlsx]Single Period!R27C48</stp>
        <stp>NOW US Equity</stp>
        <stp>IS_REV_INCLUDING_INTERSEG_REV/1M</stp>
        <stp>FPR=2021Y</stp>
        <stp>FPT=A</stp>
        <stp>FA_ACT_EST_DATA=E, EST_SOURCE=CRC</stp>
        <stp>ACT_EST_MAPPING=PRECISE</stp>
        <stp>FS=MRC</stp>
        <stp>CURRENCY=USD</stp>
        <stp>XLFILL=b</stp>
        <tr r="AV27" s="2"/>
      </tp>
      <tp t="s">
        <v>#N/A Requesting Data...</v>
        <stp/>
        <stp>##V3_BQLV12</stp>
        <stp>[MODL_NOW_US1.xlsx]Single Period!R80C23</stp>
        <stp>NOW US Equity</stp>
        <stp>IS_COMP_SALES/1M</stp>
        <stp>FPR=2021Y</stp>
        <stp>FPT=A</stp>
        <stp>FA_ACT_EST_DATA=E, EST_SOURCE=ZXS</stp>
        <stp>ACT_EST_MAPPING=PRECISE</stp>
        <stp>FS=MRC</stp>
        <stp>CURRENCY=USD</stp>
        <stp>XLFILL=b</stp>
        <tr r="W80" s="2"/>
      </tp>
      <tp t="s">
        <v>#N/A Requesting Data...</v>
        <stp/>
        <stp>##V3_BQLV12</stp>
        <stp>[MODL_NOW_US1.xlsx]Single Period!R137C17</stp>
        <stp>NOW US Equity</stp>
        <stp>CF_STOCK_BASED_COMPENSATION/1M</stp>
        <stp>FPR=2021Y</stp>
        <stp>FPT=A</stp>
        <stp>FA_ACT_EST_DATA=E, EST_SOURCE=RHR</stp>
        <stp>ACT_EST_MAPPING=PRECISE</stp>
        <stp>FS=MRC</stp>
        <stp>CURRENCY=USD</stp>
        <stp>XLFILL=b</stp>
        <tr r="Q137" s="2"/>
      </tp>
      <tp t="s">
        <v>#N/A Requesting Data...</v>
        <stp/>
        <stp>##V3_BQLV12</stp>
        <stp>[MODL_NOW_US1.xlsx]Single Period!R191C23</stp>
        <stp>NOW US Equity</stp>
        <stp>ST_DEFERRED_REVENUE/1M</stp>
        <stp>FPR=2021Y</stp>
        <stp>FPT=A</stp>
        <stp>FA_ACT_EST_DATA=E, EST_SOURCE=ZXS</stp>
        <stp>ACT_EST_MAPPING=PRECISE</stp>
        <stp>FS=MRC</stp>
        <stp>CURRENCY=USD</stp>
        <stp>XLFILL=b</stp>
        <tr r="W191" s="2"/>
      </tp>
      <tp t="s">
        <v>#N/A Requesting Data...</v>
        <stp/>
        <stp>##V3_BQLV12</stp>
        <stp>[MODL_NOW_US1.xlsx]Single Period!R176C23</stp>
        <stp>NOW US Equity</stp>
        <stp>ST_DEFERRED_REVENUE/1M</stp>
        <stp>FPR=2021Y</stp>
        <stp>FPT=A</stp>
        <stp>FA_ACT_EST_DATA=E, EST_SOURCE=ZXS</stp>
        <stp>ACT_EST_MAPPING=PRECISE</stp>
        <stp>FS=MRC</stp>
        <stp>CURRENCY=USD</stp>
        <stp>XLFILL=b</stp>
        <tr r="W176" s="2"/>
      </tp>
      <tp t="s">
        <v>#N/A Requesting Data...</v>
        <stp/>
        <stp>##V3_BQLV12</stp>
        <stp>[MODL_NOW_US1.xlsx]Single Period!R179C23</stp>
        <stp>NOW US Equity</stp>
        <stp>LT_DEFERRED_REVENUE/1M</stp>
        <stp>FPR=2021Y</stp>
        <stp>FPT=A</stp>
        <stp>FA_ACT_EST_DATA=E, EST_SOURCE=ZXS</stp>
        <stp>ACT_EST_MAPPING=PRECISE</stp>
        <stp>FS=MRC</stp>
        <stp>CURRENCY=USD</stp>
        <stp>XLFILL=b</stp>
        <tr r="W179" s="2"/>
      </tp>
      <tp t="s">
        <v>#N/A Requesting Data...</v>
        <stp/>
        <stp>##V3_BQLV12</stp>
        <stp>[MODL_NOW_US1.xlsx]Single Period!R192C23</stp>
        <stp>NOW US Equity</stp>
        <stp>LT_DEFERRED_REVENUE/1M</stp>
        <stp>FPR=2021Y</stp>
        <stp>FPT=A</stp>
        <stp>FA_ACT_EST_DATA=E, EST_SOURCE=ZXS</stp>
        <stp>ACT_EST_MAPPING=PRECISE</stp>
        <stp>FS=MRC</stp>
        <stp>CURRENCY=USD</stp>
        <stp>XLFILL=b</stp>
        <tr r="W192" s="2"/>
      </tp>
      <tp t="s">
        <v>#N/A Requesting Data...</v>
        <stp/>
        <stp>##V3_BQLV12</stp>
        <stp>[MODL_NOW_US1.xlsx]Single Period!R230C24</stp>
        <stp>NOW US Equity</stp>
        <stp>CF_EFFECT_FOREIGN_EXCHANGES/1M</stp>
        <stp>FPR=2021Y</stp>
        <stp>FPT=A</stp>
        <stp>FA_ACT_EST_DATA=E, EST_SOURCE=CWN</stp>
        <stp>ACT_EST_MAPPING=PRECISE</stp>
        <stp>FS=MRC</stp>
        <stp>CURRENCY=USD</stp>
        <stp>XLFILL=b</stp>
        <tr r="X230" s="2"/>
      </tp>
      <tp t="s">
        <v>#N/A Requesting Data...</v>
        <stp/>
        <stp>##V3_BQLV12</stp>
        <stp>[MODL_NOW_US1.xlsx]Single Period!R203C45</stp>
        <stp>NOW US Equity</stp>
        <stp>AMORTIZATN_OF_FINNCNG_COSTS/1M</stp>
        <stp>FPR=2021Y</stp>
        <stp>FPT=A</stp>
        <stp>FA_ACT_EST_DATA=E, EST_SOURCE=PJE</stp>
        <stp>ACT_EST_MAPPING=PRECISE</stp>
        <stp>FS=MRC</stp>
        <stp>CURRENCY=USD</stp>
        <stp>XLFILL=b</stp>
        <tr r="AS203" s="2"/>
      </tp>
      <tp t="s">
        <v>#N/A Requesting Data...</v>
        <stp/>
        <stp>##V3_BQLV12</stp>
        <stp>[MODL_NOW_US1.xlsx]Single Period!R230C40</stp>
        <stp>NOW US Equity</stp>
        <stp>CF_EFFECT_FOREIGN_EXCHANGES/1M</stp>
        <stp>FPR=2021Y</stp>
        <stp>FPT=A</stp>
        <stp>FA_ACT_EST_DATA=E, EST_SOURCE=DWI</stp>
        <stp>ACT_EST_MAPPING=PRECISE</stp>
        <stp>FS=MRC</stp>
        <stp>CURRENCY=USD</stp>
        <stp>XLFILL=b</stp>
        <tr r="AN230" s="2"/>
      </tp>
      <tp t="s">
        <v>#N/A Requesting Data...</v>
        <stp/>
        <stp>##V3_BQLV12</stp>
        <stp>[MODL_NOW_US1.xlsx]Single Period!R98C45</stp>
        <stp>NOW US Equity</stp>
        <stp>CF_DEPR_AMORT/1M</stp>
        <stp>FPR=2021Y</stp>
        <stp>FPT=A</stp>
        <stp>FA_ACT_EST_DATA=E, EST_SOURCE=PJE</stp>
        <stp>ACT_EST_MAPPING=PRECISE</stp>
        <stp>FS=MRC</stp>
        <stp>CURRENCY=USD</stp>
        <stp>XLFILL=b</stp>
        <tr r="AS98" s="2"/>
      </tp>
      <tp t="s">
        <v>#N/A Requesting Data...</v>
        <stp/>
        <stp>##V3_BQLV12</stp>
        <stp>[MODL_NOW_US1.xlsx]Single Period!R167C26</stp>
        <stp>NOW US Equity</stp>
        <stp>BS_GOODWILL/1M</stp>
        <stp>FPR=2021Y</stp>
        <stp>FPT=A</stp>
        <stp>FA_ACT_EST_DATA=E, EST_SOURCE=UBS</stp>
        <stp>ACT_EST_MAPPING=PRECISE</stp>
        <stp>FS=MRC</stp>
        <stp>CURRENCY=USD</stp>
        <stp>XLFILL=b</stp>
        <tr r="Z167" s="2"/>
      </tp>
      <tp t="s">
        <v>#N/A Requesting Data...</v>
        <stp/>
        <stp>##V3_BQLV12</stp>
        <stp>[MODL_NOW_US1.xlsx]Single Period!R124C45</stp>
        <stp>NOW US Equity</stp>
        <stp>IS_EBIT_AS_REPORTED/1M</stp>
        <stp>FPR=2021Y</stp>
        <stp>FPT=A</stp>
        <stp>FA_ACT_EST_DATA=E, EST_SOURCE=PJE</stp>
        <stp>ACT_EST_MAPPING=PRECISE</stp>
        <stp>FS=MRC</stp>
        <stp>CURRENCY=USD</stp>
        <stp>XLFILL=b</stp>
        <tr r="AS124" s="2"/>
      </tp>
      <tp t="s">
        <v>#N/A Requesting Data...</v>
        <stp/>
        <stp>##V3_BQLV12</stp>
        <stp>[MODL_NOW_US1.xlsx]Single Period!R173C24</stp>
        <stp>NOW US Equity</stp>
        <stp>BS_CUR_LIAB/1M</stp>
        <stp>FPR=2021Y</stp>
        <stp>FPT=A</stp>
        <stp>FA_ACT_EST_DATA=E, EST_SOURCE=CWN</stp>
        <stp>ACT_EST_MAPPING=PRECISE</stp>
        <stp>FS=MRC</stp>
        <stp>CURRENCY=USD</stp>
        <stp>XLFILL=b</stp>
        <tr r="X173" s="2"/>
      </tp>
      <tp t="s">
        <v>#N/A Requesting Data...</v>
        <stp/>
        <stp>##V3_BQLV12</stp>
        <stp>[MODL_NOW_US1.xlsx]Single Period!R173C40</stp>
        <stp>NOW US Equity</stp>
        <stp>BS_CUR_LIAB/1M</stp>
        <stp>FPR=2021Y</stp>
        <stp>FPT=A</stp>
        <stp>FA_ACT_EST_DATA=E, EST_SOURCE=DWI</stp>
        <stp>ACT_EST_MAPPING=PRECISE</stp>
        <stp>FS=MRC</stp>
        <stp>CURRENCY=USD</stp>
        <stp>XLFILL=b</stp>
        <tr r="AN173" s="2"/>
      </tp>
      <tp t="s">
        <v>#N/A Requesting Data...</v>
        <stp/>
        <stp>##V3_BQLV12</stp>
        <stp>[MODL_NOW_US1.xlsx]Single Period!R27C19</stp>
        <stp>NOW US Equity</stp>
        <stp>IS_REV_INCLUDING_INTERSEG_REV/1M</stp>
        <stp>FPR=2021Y</stp>
        <stp>FPT=A</stp>
        <stp>FA_ACT_EST_DATA=E, EST_SOURCE=MSV</stp>
        <stp>ACT_EST_MAPPING=PRECISE</stp>
        <stp>FS=MRC</stp>
        <stp>CURRENCY=USD</stp>
        <stp>XLFILL=b</stp>
        <tr r="S27" s="2"/>
      </tp>
      <tp t="s">
        <v>#N/A Requesting Data...</v>
        <stp/>
        <stp>##V3_BQLV12</stp>
        <stp>[MODL_NOW_US1.xlsx]Single Period!R142C47</stp>
        <stp>NOW US Equity</stp>
        <stp>IS_SBC_ATT_TO_S_AND_M_PRETX/1M</stp>
        <stp>FPR=2021Y</stp>
        <stp>FPT=A</stp>
        <stp>FA_ACT_EST_DATA=E, EST_SOURCE=SUM</stp>
        <stp>ACT_EST_MAPPING=PRECISE</stp>
        <stp>FS=MRC</stp>
        <stp>CURRENCY=USD</stp>
        <stp>XLFILL=b</stp>
        <tr r="AU142" s="2"/>
      </tp>
      <tp t="s">
        <v>#N/A Requesting Data...</v>
        <stp/>
        <stp>##V3_BQLV12</stp>
        <stp>[MODL_NOW_US1.xlsx]Single Period!R173C38</stp>
        <stp>NOW US Equity</stp>
        <stp>BS_CUR_LIAB/1M</stp>
        <stp>FPR=2021Y</stp>
        <stp>FPT=A</stp>
        <stp>FA_ACT_EST_DATA=E, EST_SOURCE=RWB</stp>
        <stp>ACT_EST_MAPPING=PRECISE</stp>
        <stp>FS=MRC</stp>
        <stp>CURRENCY=USD</stp>
        <stp>XLFILL=b</stp>
        <tr r="AL173" s="2"/>
      </tp>
      <tp t="s">
        <v>#N/A Requesting Data...</v>
        <stp/>
        <stp>##V3_BQLV12</stp>
        <stp>[MODL_NOW_US1.xlsx]Single Period!R230C38</stp>
        <stp>NOW US Equity</stp>
        <stp>CF_EFFECT_FOREIGN_EXCHANGES/1M</stp>
        <stp>FPR=2021Y</stp>
        <stp>FPT=A</stp>
        <stp>FA_ACT_EST_DATA=E, EST_SOURCE=RWB</stp>
        <stp>ACT_EST_MAPPING=PRECISE</stp>
        <stp>FS=MRC</stp>
        <stp>CURRENCY=USD</stp>
        <stp>XLFILL=b</stp>
        <tr r="AL230" s="2"/>
      </tp>
      <tp t="s">
        <v>#N/A Requesting Data...</v>
        <stp/>
        <stp>##V3_BQLV12</stp>
        <stp>[MODL_NOW_US1.xlsx]Single Period!R209C42</stp>
        <stp>NOW US Equity</stp>
        <stp>CF_CHANGE_IN_ACCOUNTS_PAYABLE/1M</stp>
        <stp>FPR=2021Y</stp>
        <stp>FPT=A</stp>
        <stp>FA_ACT_EST_DATA=E, EST_SOURCE=CTI</stp>
        <stp>ACT_EST_MAPPING=PRECISE</stp>
        <stp>FS=MRC</stp>
        <stp>CURRENCY=USD</stp>
        <stp>XLFILL=b</stp>
        <tr r="AP209" s="2"/>
      </tp>
      <tp t="s">
        <v>#N/A Requesting Data...</v>
        <stp/>
        <stp>##V3_BQLV12</stp>
        <stp>[MODL_NOW_US1.xlsx]Single Period!R119C17</stp>
        <stp>NOW US Equity</stp>
        <stp>CB_IS_S_AND_M_EXPENSE/1M</stp>
        <stp>FPR=2021Y</stp>
        <stp>FPT=A</stp>
        <stp>FA_ACT_EST_DATA=E, EST_SOURCE=RHR</stp>
        <stp>ACT_EST_MAPPING=PRECISE</stp>
        <stp>FS=MRC</stp>
        <stp>CURRENCY=USD</stp>
        <stp>XLFILL=b</stp>
        <tr r="Q119" s="2"/>
      </tp>
      <tp t="s">
        <v>#N/A Requesting Data...</v>
        <stp/>
        <stp>##V3_BQLV12</stp>
        <stp>[MODL_NOW_US1.xlsx]Single Period!R58C45</stp>
        <stp>SEG0000230975 Segment</stp>
        <stp>SALES_REV_TURN/1M</stp>
        <stp>FPR=2021Y</stp>
        <stp>FPT=A</stp>
        <stp>FA_ACT_EST_DATA=E, EST_SOURCE=PJE</stp>
        <stp>ACT_EST_MAPPING=PRECISE</stp>
        <stp>FS=MRC</stp>
        <stp>CURRENCY=USD</stp>
        <stp>XLFILL=b</stp>
        <tr r="AS58" s="2"/>
      </tp>
      <tp t="s">
        <v>#N/A Requesting Data...</v>
        <stp/>
        <stp>##V3_BQLV12</stp>
        <stp>[MODL_NOW_US1.xlsx]Single Period!R69C34</stp>
        <stp>SEG0000230986 Segment</stp>
        <stp>IS_ADJ_GROSS_PROFIT_AS_REPORTED/1M</stp>
        <stp>FPR=2021Y</stp>
        <stp>FPT=A</stp>
        <stp>FA_ACT_EST_DATA=E, EST_SOURCE=PSG</stp>
        <stp>ACT_EST_MAPPING=PRECISE</stp>
        <stp>FS=MRC</stp>
        <stp>CURRENCY=USD</stp>
        <stp>XLFILL=b</stp>
        <tr r="AH69" s="2"/>
      </tp>
      <tp t="s">
        <v>#N/A Requesting Data...</v>
        <stp/>
        <stp>##V3_BQLV12</stp>
        <stp>[MODL_NOW_US1.xlsx]Single Period!R77C22</stp>
        <stp>SEG0000230969 Segment</stp>
        <stp>SALES_REV_TURN/1M</stp>
        <stp>FPR=2021Y</stp>
        <stp>FPT=A</stp>
        <stp>FA_ACT_EST_DATA=E, EST_SOURCE=NDH</stp>
        <stp>ACT_EST_MAPPING=PRECISE</stp>
        <stp>FS=MRC</stp>
        <stp>CURRENCY=USD</stp>
        <stp>XLFILL=b</stp>
        <tr r="V77" s="2"/>
      </tp>
      <tp t="s">
        <v>#N/A Requesting Data...</v>
        <stp/>
        <stp>##V3_BQLV12</stp>
        <stp>[MODL_NOW_US1.xlsx]Single Period!R16C36</stp>
        <stp>SEG0000230969 Segment</stp>
        <stp>SALES_REV_TURN/1M</stp>
        <stp>FPR=2021Y</stp>
        <stp>FPT=A</stp>
        <stp>FA_ACT_EST_DATA=E, EST_SOURCE=JEF</stp>
        <stp>ACT_EST_MAPPING=PRECISE</stp>
        <stp>FS=MRC</stp>
        <stp>CURRENCY=USD</stp>
        <stp>XLFILL=b</stp>
        <tr r="AJ16" s="2"/>
      </tp>
      <tp t="s">
        <v>#N/A Requesting Data...</v>
        <stp/>
        <stp>##V3_BQLV12</stp>
        <stp>[MODL_NOW_US1.xlsx]Single Period!R169C21</stp>
        <stp>NOW US Equity</stp>
        <stp>CB_BS_OTHER_NONCURRENT_ASSETS/1M</stp>
        <stp>FPR=2021Y</stp>
        <stp>FPT=A</stp>
        <stp>FA_ACT_EST_DATA=E, EST_SOURCE=JMP</stp>
        <stp>ACT_EST_MAPPING=PRECISE</stp>
        <stp>FS=MRC</stp>
        <stp>CURRENCY=USD</stp>
        <stp>XLFILL=b</stp>
        <tr r="U169" s="2"/>
      </tp>
      <tp t="s">
        <v>#N/A Requesting Data...</v>
        <stp/>
        <stp>##V3_BQLV12</stp>
        <stp>[MODL_NOW_US1.xlsx]Single Period!R235C49</stp>
        <stp>NOW US Equity</stp>
        <stp>CF_FREE_CASH_FLOW_AS_REPORTED/1M</stp>
        <stp>FPR=2021Y</stp>
        <stp>FPT=A</stp>
        <stp>FA_ACT_EST_DATA=E, EST_SOURCE=SCB</stp>
        <stp>ACT_EST_MAPPING=PRECISE</stp>
        <stp>FS=MRC</stp>
        <stp>CURRENCY=USD</stp>
        <stp>XLFILL=b</stp>
        <tr r="AW235" s="2"/>
      </tp>
      <tp t="s">
        <v>#N/A Requesting Data...</v>
        <stp/>
        <stp>##V3_BQLV12</stp>
        <stp>[MODL_NOW_US1.xlsx]Single Period!R209C44</stp>
        <stp>NOW US Equity</stp>
        <stp>CF_CHANGE_IN_ACCOUNTS_PAYABLE/1M</stp>
        <stp>FPR=2021Y</stp>
        <stp>FPT=A</stp>
        <stp>FA_ACT_EST_DATA=E, EST_SOURCE=ARE</stp>
        <stp>ACT_EST_MAPPING=PRECISE</stp>
        <stp>FS=MRC</stp>
        <stp>CURRENCY=USD</stp>
        <stp>XLFILL=b</stp>
        <tr r="AR209" s="2"/>
      </tp>
      <tp t="s">
        <v>#N/A Requesting Data...</v>
        <stp/>
        <stp>##V3_BQLV12</stp>
        <stp>[MODL_NOW_US1.xlsx]Single Period!R61C11</stp>
        <stp>SEG0000230975 Segment</stp>
        <stp>IS_ADJ_GROSS_PROFIT_AS_REPORTED/1M</stp>
        <stp>FPR=2021Y</stp>
        <stp>FPT=A</stp>
        <stp>FA_ACT_EST_DATA=E, EST_SOURCE=JPM</stp>
        <stp>ACT_EST_MAPPING=PRECISE</stp>
        <stp>FS=MRC</stp>
        <stp>CURRENCY=USD</stp>
        <stp>XLFILL=b</stp>
        <tr r="K61" s="2"/>
      </tp>
      <tp t="s">
        <v>#N/A Requesting Data...</v>
        <stp/>
        <stp>##V3_BQLV12</stp>
        <stp>[MODL_NOW_US1.xlsx]Single Period!R131C25</stp>
        <stp>NOW US Equity</stp>
        <stp>IS_AVG_NUM_SH_FOR_EPS/1M</stp>
        <stp>FPR=2021Y</stp>
        <stp>FPT=A</stp>
        <stp>FA_ACT_EST_DATA=E, EST_SOURCE=DBG</stp>
        <stp>ACT_EST_MAPPING=PRECISE</stp>
        <stp>FS=MRC</stp>
        <stp>CURRENCY=USD</stp>
        <stp>XLFILL=b</stp>
        <tr r="Y131" s="2"/>
      </tp>
      <tp t="s">
        <v>#N/A Requesting Data...</v>
        <stp/>
        <stp>##V3_BQLV12</stp>
        <stp>[MODL_NOW_US1.xlsx]Single Period!R20C14</stp>
        <stp>SEG0000230986 Segment</stp>
        <stp>SALES_REV_TURN/1M</stp>
        <stp>FPR=2021Y</stp>
        <stp>FPT=A</stp>
        <stp>FA_ACT_EST_DATA=E, EST_SOURCE=BMO</stp>
        <stp>ACT_EST_MAPPING=PRECISE</stp>
        <stp>FS=MRC</stp>
        <stp>CURRENCY=USD</stp>
        <stp>XLFILL=b</stp>
        <tr r="N20" s="2"/>
      </tp>
      <tp t="s">
        <v>#N/A Requesting Data...</v>
        <stp/>
        <stp>##V3_BQLV12</stp>
        <stp>[MODL_NOW_US1.xlsx]Single Period!R20C21</stp>
        <stp>SEG0000230986 Segment</stp>
        <stp>SALES_REV_TURN/1M</stp>
        <stp>FPR=2021Y</stp>
        <stp>FPT=A</stp>
        <stp>FA_ACT_EST_DATA=E, EST_SOURCE=JMP</stp>
        <stp>ACT_EST_MAPPING=PRECISE</stp>
        <stp>FS=MRC</stp>
        <stp>CURRENCY=USD</stp>
        <stp>XLFILL=b</stp>
        <tr r="U20" s="2"/>
      </tp>
      <tp t="s">
        <v>#N/A Requesting Data...</v>
        <stp/>
        <stp>##V3_BQLV12</stp>
        <stp>[MODL_NOW_US1.xlsx]Single Period!R207C33</stp>
        <stp>NOW US Equity</stp>
        <stp>CB_CF_CHANGE_IN_ACCOUNTS_RECEIVABLE/1M</stp>
        <stp>FPR=2021Y</stp>
        <stp>FPT=A</stp>
        <stp>FA_ACT_EST_DATA=E, EST_SOURCE=MAC</stp>
        <stp>ACT_EST_MAPPING=PRECISE</stp>
        <stp>FS=MRC</stp>
        <stp>CURRENCY=USD</stp>
        <stp>XLFILL=b</stp>
        <tr r="AG207" s="2"/>
      </tp>
      <tp t="s">
        <v>#N/A Requesting Data...</v>
        <stp/>
        <stp>##V3_BQLV12</stp>
        <stp>[MODL_NOW_US1.xlsx]Single Period!R69C31</stp>
        <stp>SEG0000230986 Segment</stp>
        <stp>IS_ADJ_GROSS_PROFIT_AS_REPORTED/1M</stp>
        <stp>FPR=2021Y</stp>
        <stp>FPT=A</stp>
        <stp>FA_ACT_EST_DATA=E, EST_SOURCE=GSR</stp>
        <stp>ACT_EST_MAPPING=PRECISE</stp>
        <stp>FS=MRC</stp>
        <stp>CURRENCY=USD</stp>
        <stp>XLFILL=b</stp>
        <tr r="AE69" s="2"/>
      </tp>
      <tp t="s">
        <v>#N/A Requesting Data...</v>
        <stp/>
        <stp>##V3_BQLV12</stp>
        <stp>[MODL_NOW_US1.xlsx]Single Period!R69C35</stp>
        <stp>SEG0000230986 Segment</stp>
        <stp>IS_ADJ_GROSS_PROFIT_AS_REPORTED/1M</stp>
        <stp>FPR=2021Y</stp>
        <stp>FPT=A</stp>
        <stp>FA_ACT_EST_DATA=E, EST_SOURCE=MSR</stp>
        <stp>ACT_EST_MAPPING=PRECISE</stp>
        <stp>FS=MRC</stp>
        <stp>CURRENCY=USD</stp>
        <stp>XLFILL=b</stp>
        <tr r="AI69" s="2"/>
      </tp>
      <tp t="s">
        <v>#N/A Requesting Data...</v>
        <stp/>
        <stp>##V3_BQLV12</stp>
        <stp>[MODL_NOW_US1.xlsx]Single Period!R119C45</stp>
        <stp>NOW US Equity</stp>
        <stp>CB_IS_S_AND_M_EXPENSE/1M</stp>
        <stp>FPR=2021Y</stp>
        <stp>FPT=A</stp>
        <stp>FA_ACT_EST_DATA=E, EST_SOURCE=PJE</stp>
        <stp>ACT_EST_MAPPING=PRECISE</stp>
        <stp>FS=MRC</stp>
        <stp>CURRENCY=USD</stp>
        <stp>XLFILL=b</stp>
        <tr r="AS119" s="2"/>
      </tp>
      <tp t="s">
        <v>#N/A Requesting Data...</v>
        <stp/>
        <stp>##V3_BQLV12</stp>
        <stp>[MODL_NOW_US1.xlsx]Single Period!R83C17</stp>
        <stp>NOW US Equity</stp>
        <stp>IS_ADJUSTED_COGS_AS_REPORTED/1M</stp>
        <stp>FPR=2021Y</stp>
        <stp>FPT=A</stp>
        <stp>FA_ACT_EST_DATA=E, EST_SOURCE=RHR</stp>
        <stp>ACT_EST_MAPPING=PRECISE</stp>
        <stp>FS=MRC</stp>
        <stp>CURRENCY=USD</stp>
        <stp>XLFILL=b</stp>
        <tr r="Q83" s="2"/>
      </tp>
      <tp t="s">
        <v>#N/A Requesting Data...</v>
        <stp/>
        <stp>##V3_BQLV12</stp>
        <stp>[MODL_NOW_US1.xlsx]Single Period!R69C19</stp>
        <stp>SEG0000230986 Segment</stp>
        <stp>IS_ADJ_GROSS_PROFIT_AS_REPORTED/1M</stp>
        <stp>FPR=2021Y</stp>
        <stp>FPT=A</stp>
        <stp>FA_ACT_EST_DATA=E, EST_SOURCE=MSV</stp>
        <stp>ACT_EST_MAPPING=PRECISE</stp>
        <stp>FS=MRC</stp>
        <stp>CURRENCY=USD</stp>
        <stp>XLFILL=b</stp>
        <tr r="S69" s="2"/>
      </tp>
      <tp t="s">
        <v>#N/A Requesting Data...</v>
        <stp/>
        <stp>##V3_BQLV12</stp>
        <stp>[MODL_NOW_US1.xlsx]Single Period!R16C13</stp>
        <stp>SEG0000230969 Segment</stp>
        <stp>SALES_REV_TURN/1M</stp>
        <stp>FPR=2021Y</stp>
        <stp>FPT=A</stp>
        <stp>FA_ACT_EST_DATA=E, EST_SOURCE=KEY</stp>
        <stp>ACT_EST_MAPPING=PRECISE</stp>
        <stp>FS=MRC</stp>
        <stp>CURRENCY=USD</stp>
        <stp>XLFILL=b</stp>
        <tr r="M16" s="2"/>
      </tp>
      <tp t="s">
        <v>#N/A Requesting Data...</v>
        <stp/>
        <stp>##V3_BQLV12</stp>
        <stp>[MODL_NOW_US1.xlsx]Single Period!R99C22</stp>
        <stp>NOW US Equity</stp>
        <stp>IS_COMPARABLE_EBITDA/1M</stp>
        <stp>FPR=2021Y</stp>
        <stp>FPT=A</stp>
        <stp>FA_ACT_EST_DATA=E, EST_SOURCE=NDH</stp>
        <stp>ACT_EST_MAPPING=PRECISE</stp>
        <stp>FS=MRC</stp>
        <stp>CURRENCY=USD</stp>
        <stp>XLFILL=b</stp>
        <tr r="V99" s="2"/>
      </tp>
      <tp t="s">
        <v>#N/A Requesting Data...</v>
        <stp/>
        <stp>##V3_BQLV12</stp>
        <stp>[MODL_NOW_US1.xlsx]Single Period!R14C43</stp>
        <stp>SEG0000230975 Segment</stp>
        <stp>SALES_REV_TURN/1M</stp>
        <stp>FPR=2021Y</stp>
        <stp>FPT=A</stp>
        <stp>FA_ACT_EST_DATA=E, EST_SOURCE=WFT</stp>
        <stp>ACT_EST_MAPPING=PRECISE</stp>
        <stp>FS=MRC</stp>
        <stp>CURRENCY=USD</stp>
        <stp>XLFILL=b</stp>
        <tr r="AQ14" s="2"/>
      </tp>
      <tp t="s">
        <v>#N/A Requesting Data...</v>
        <stp/>
        <stp>##V3_BQLV12</stp>
        <stp>[MODL_NOW_US1.xlsx]Single Period!R209C35</stp>
        <stp>NOW US Equity</stp>
        <stp>CF_CHANGE_IN_ACCOUNTS_PAYABLE/1M</stp>
        <stp>FPR=2021Y</stp>
        <stp>FPT=A</stp>
        <stp>FA_ACT_EST_DATA=E, EST_SOURCE=MSR</stp>
        <stp>ACT_EST_MAPPING=PRECISE</stp>
        <stp>FS=MRC</stp>
        <stp>CURRENCY=USD</stp>
        <stp>XLFILL=b</stp>
        <tr r="AI209" s="2"/>
      </tp>
      <tp t="s">
        <v>#N/A Requesting Data...</v>
        <stp/>
        <stp>##V3_BQLV12</stp>
        <stp>[MODL_NOW_US1.xlsx]Single Period!R133C21</stp>
        <stp>NOW US Equity</stp>
        <stp>IS_SH_FOR_DILUTED_EPS/1M</stp>
        <stp>FPR=2021Y</stp>
        <stp>FPT=A</stp>
        <stp>FA_ACT_EST_DATA=E, EST_SOURCE=JMP</stp>
        <stp>ACT_EST_MAPPING=PRECISE</stp>
        <stp>FS=MRC</stp>
        <stp>CURRENCY=USD</stp>
        <stp>XLFILL=b</stp>
        <tr r="U133" s="2"/>
      </tp>
      <tp t="s">
        <v>#N/A Requesting Data...</v>
        <stp/>
        <stp>##V3_BQLV12</stp>
        <stp>[MODL_NOW_US1.xlsx]Single Period!R61C15</stp>
        <stp>SEG0000230975 Segment</stp>
        <stp>IS_ADJ_GROSS_PROFIT_AS_REPORTED/1M</stp>
        <stp>FPR=2021Y</stp>
        <stp>FPT=A</stp>
        <stp>FA_ACT_EST_DATA=E, EST_SOURCE=OPY</stp>
        <stp>ACT_EST_MAPPING=PRECISE</stp>
        <stp>FS=MRC</stp>
        <stp>CURRENCY=USD</stp>
        <stp>XLFILL=b</stp>
        <tr r="O61" s="2"/>
      </tp>
      <tp t="s">
        <v>#N/A Requesting Data...</v>
        <stp/>
        <stp>##V3_BQLV12</stp>
        <stp>[MODL_NOW_US1.xlsx]Single Period!R30C9</stp>
        <stp>NOW US Equity</stp>
        <stp>CONTRIBUTOR_STATS(CF_FREE_CASH_FLOW_AS_REPORTED, MEDIAN)/1M</stp>
        <stp>FPR=2021Y</stp>
        <stp>FPT=A</stp>
        <stp>FA_ACT_EST_DATA=E</stp>
        <stp>ACT_EST_MAPPING=PRECISE</stp>
        <stp>FS=MRC</stp>
        <stp>CURRENCY=USD</stp>
        <stp>XLFILL=b</stp>
        <tr r="I30" s="2"/>
      </tp>
      <tp t="s">
        <v>#N/A Requesting Data...</v>
        <stp/>
        <stp>##V3_BQLV12</stp>
        <stp>[MODL_NOW_US1.xlsx]Single Period!R131C29</stp>
        <stp>NOW US Equity</stp>
        <stp>IS_AVG_NUM_SH_FOR_EPS/1M</stp>
        <stp>FPR=2021Y</stp>
        <stp>FPT=A</stp>
        <stp>FA_ACT_EST_DATA=E, EST_SOURCE=BNS</stp>
        <stp>ACT_EST_MAPPING=PRECISE</stp>
        <stp>FS=MRC</stp>
        <stp>CURRENCY=USD</stp>
        <stp>XLFILL=b</stp>
        <tr r="AC131" s="2"/>
      </tp>
      <tp t="s">
        <v>#N/A Requesting Data...</v>
        <stp/>
        <stp>##V3_BQLV12</stp>
        <stp>[MODL_NOW_US1.xlsx]Single Period!R54C17</stp>
        <stp>NOW US Equity</stp>
        <stp>IS_FOREIGN_CURRENCY_TURNOVER/1M</stp>
        <stp>FPR=2021Y</stp>
        <stp>FPT=A</stp>
        <stp>FA_ACT_EST_DATA=E, EST_SOURCE=RHR</stp>
        <stp>ACT_EST_MAPPING=PRECISE</stp>
        <stp>FS=MRC</stp>
        <stp>CURRENCY=USD</stp>
        <stp>XLFILL=b</stp>
        <tr r="Q54" s="2"/>
      </tp>
      <tp t="s">
        <v>#N/A Requesting Data...</v>
        <stp/>
        <stp>##V3_BQLV12</stp>
        <stp>[MODL_NOW_US1.xlsx]Single Period!R99C36</stp>
        <stp>NOW US Equity</stp>
        <stp>IS_COMPARABLE_EBITDA/1M</stp>
        <stp>FPR=2021Y</stp>
        <stp>FPT=A</stp>
        <stp>FA_ACT_EST_DATA=E, EST_SOURCE=JEF</stp>
        <stp>ACT_EST_MAPPING=PRECISE</stp>
        <stp>FS=MRC</stp>
        <stp>CURRENCY=USD</stp>
        <stp>XLFILL=b</stp>
        <tr r="AJ99" s="2"/>
      </tp>
      <tp t="s">
        <v>#N/A Requesting Data...</v>
        <stp/>
        <stp>##V3_BQLV12</stp>
        <stp>[MODL_NOW_US1.xlsx]Single Period!R207C20</stp>
        <stp>NOW US Equity</stp>
        <stp>CB_CF_CHANGE_IN_ACCOUNTS_RECEIVABLE/1M</stp>
        <stp>FPR=2021Y</stp>
        <stp>FPT=A</stp>
        <stp>FA_ACT_EST_DATA=E, EST_SOURCE=CAN</stp>
        <stp>ACT_EST_MAPPING=PRECISE</stp>
        <stp>FS=MRC</stp>
        <stp>CURRENCY=USD</stp>
        <stp>XLFILL=b</stp>
        <tr r="T207" s="2"/>
      </tp>
      <tp t="s">
        <v>#N/A Requesting Data...</v>
        <stp/>
        <stp>##V3_BQLV12</stp>
        <stp>[MODL_NOW_US1.xlsx]Single Period!R207C30</stp>
        <stp>NOW US Equity</stp>
        <stp>CB_CF_CHANGE_IN_ACCOUNTS_RECEIVABLE/1M</stp>
        <stp>FPR=2021Y</stp>
        <stp>FPT=A</stp>
        <stp>FA_ACT_EST_DATA=E, EST_SOURCE=BAM</stp>
        <stp>ACT_EST_MAPPING=PRECISE</stp>
        <stp>FS=MRC</stp>
        <stp>CURRENCY=USD</stp>
        <stp>XLFILL=b</stp>
        <tr r="AD207" s="2"/>
      </tp>
      <tp t="s">
        <v>#N/A Requesting Data...</v>
        <stp/>
        <stp>##V3_BQLV12</stp>
        <stp>[MODL_NOW_US1.xlsx]Single Period!R134C17</stp>
        <stp>NOW US Equity</stp>
        <stp>IS_COMP_EPS_GAAP</stp>
        <stp>FPR=2021Y</stp>
        <stp>FPT=A</stp>
        <stp>FA_ACT_EST_DATA=E, EST_SOURCE=RHR</stp>
        <stp>ACT_EST_MAPPING=PRECISE</stp>
        <stp>FS=MRC</stp>
        <stp>CURRENCY=USD</stp>
        <stp>XLFILL=b</stp>
        <tr r="Q134" s="2"/>
      </tp>
      <tp t="s">
        <v>#N/A Requesting Data...</v>
        <stp/>
        <stp>##V3_BQLV12</stp>
        <stp>[MODL_NOW_US1.xlsx]Single Period!R105C5</stp>
        <stp>NOW US Equity</stp>
        <stp>ADJ_PROFIT_MARGIN</stp>
        <stp>FPR=2021Y</stp>
        <stp>FPT=A</stp>
        <stp>FA_ACT_EST_DATA=E</stp>
        <stp>ACT_EST_MAPPING=PRECISE</stp>
        <stp>FS=MRC</stp>
        <stp>CURRENCY=USD</stp>
        <stp>XLFILL=b</stp>
        <tr r="E105" s="2"/>
      </tp>
      <tp t="s">
        <v>#N/A Requesting Data...</v>
        <stp/>
        <stp>##V3_BQLV12</stp>
        <stp>[MODL_NOW_US1.xlsx]Single Period!R134C45</stp>
        <stp>NOW US Equity</stp>
        <stp>IS_COMP_EPS_GAAP</stp>
        <stp>FPR=2021Y</stp>
        <stp>FPT=A</stp>
        <stp>FA_ACT_EST_DATA=E, EST_SOURCE=PJE</stp>
        <stp>ACT_EST_MAPPING=PRECISE</stp>
        <stp>FS=MRC</stp>
        <stp>CURRENCY=USD</stp>
        <stp>XLFILL=b</stp>
        <tr r="AS134" s="2"/>
      </tp>
      <tp t="s">
        <v>#N/A Requesting Data...</v>
        <stp/>
        <stp>##V3_BQLV12</stp>
        <stp>[MODL_NOW_US1.xlsx]Single Period!R204C23</stp>
        <stp>NOW US Equity</stp>
        <stp>CF_DEF_INC_TAX/1M</stp>
        <stp>FPR=2021Y</stp>
        <stp>FPT=A</stp>
        <stp>FA_ACT_EST_DATA=E, EST_SOURCE=ZXS</stp>
        <stp>ACT_EST_MAPPING=PRECISE</stp>
        <stp>FS=MRC</stp>
        <stp>CURRENCY=USD</stp>
        <stp>XLFILL=b</stp>
        <tr r="W204" s="2"/>
      </tp>
      <tp t="s">
        <v>#N/A Requesting Data...</v>
        <stp/>
        <stp>##V3_BQLV12</stp>
        <stp>[MODL_NOW_US1.xlsx]Single Period!R126C46</stp>
        <stp>NOW US Equity</stp>
        <stp>IS_NON_OPERATING_INC_LOSS_GAAP/1M</stp>
        <stp>FPR=2021Y</stp>
        <stp>FPT=A</stp>
        <stp>FA_ACT_EST_DATA=E, EST_SOURCE=MZS</stp>
        <stp>ACT_EST_MAPPING=PRECISE</stp>
        <stp>FS=MRC</stp>
        <stp>CURRENCY=USD</stp>
        <stp>XLFILL=b</stp>
        <tr r="AT126" s="2"/>
      </tp>
      <tp t="s">
        <v>#N/A Requesting Data...</v>
        <stp/>
        <stp>##V3_BQLV12</stp>
        <stp>[MODL_NOW_US1.xlsx]Single Period!R233C13</stp>
        <stp>NOW US Equity</stp>
        <stp>CF_CASH_AND_CASH_EQUIV_END_BAL/1M</stp>
        <stp>FPR=2021Y</stp>
        <stp>FPT=A</stp>
        <stp>FA_ACT_EST_DATA=E, EST_SOURCE=KEY</stp>
        <stp>ACT_EST_MAPPING=PRECISE</stp>
        <stp>FS=MRC</stp>
        <stp>CURRENCY=USD</stp>
        <stp>XLFILL=b</stp>
        <tr r="M233" s="2"/>
      </tp>
      <tp t="s">
        <v>#N/A Requesting Data...</v>
        <stp/>
        <stp>##V3_BQLV12</stp>
        <stp>[MODL_NOW_US1.xlsx]Single Period!R168C42</stp>
        <stp>NOW US Equity</stp>
        <stp>CB_BS_DEFERRED_COST_LT/1M</stp>
        <stp>FPR=2021Y</stp>
        <stp>FPT=A</stp>
        <stp>FA_ACT_EST_DATA=E, EST_SOURCE=CTI</stp>
        <stp>ACT_EST_MAPPING=PRECISE</stp>
        <stp>FS=MRC</stp>
        <stp>CURRENCY=USD</stp>
        <stp>XLFILL=b</stp>
        <tr r="AP168" s="2"/>
      </tp>
      <tp t="s">
        <v>#N/A Requesting Data...</v>
        <stp/>
        <stp>##V3_BQLV12</stp>
        <stp>[MODL_NOW_US1.xlsx]Single Period!R10C28</stp>
        <stp>NOW US Equity</stp>
        <stp>BILLNG_AMOUNT_GROWTH_PCT</stp>
        <stp>FPR=2021Y</stp>
        <stp>FPT=A</stp>
        <stp>FA_ACT_EST_DATA=E, EST_SOURCE=EVR</stp>
        <stp>ACT_EST_MAPPING=PRECISE</stp>
        <stp>FS=MRC</stp>
        <stp>CURRENCY=USD</stp>
        <stp>XLFILL=b</stp>
        <tr r="AB10" s="2"/>
      </tp>
      <tp t="s">
        <v>#N/A Requesting Data...</v>
        <stp/>
        <stp>##V3_BQLV12</stp>
        <stp>[MODL_NOW_US1.xlsx]Single Period!R62C28</stp>
        <stp>SEG0000230975 Segment</stp>
        <stp>IS_ADJ_GROSS_MARGIN_PCT_AR</stp>
        <stp>FPR=2021Y</stp>
        <stp>FPT=A</stp>
        <stp>FA_ACT_EST_DATA=E, EST_SOURCE=EVR</stp>
        <stp>ACT_EST_MAPPING=PRECISE</stp>
        <stp>FS=MRC</stp>
        <stp>CURRENCY=USD</stp>
        <stp>XLFILL=b</stp>
        <tr r="AB62" s="2"/>
      </tp>
      <tp t="s">
        <v>#N/A Requesting Data...</v>
        <stp/>
        <stp>##V3_BQLV12</stp>
        <stp>[MODL_NOW_US1.xlsx]Single Period!R18C28</stp>
        <stp>SEG0000230975 Segment</stp>
        <stp>IS_ADJ_GROSS_MARGIN_PCT_AR</stp>
        <stp>FPR=2021Y</stp>
        <stp>FPT=A</stp>
        <stp>FA_ACT_EST_DATA=E, EST_SOURCE=EVR</stp>
        <stp>ACT_EST_MAPPING=PRECISE</stp>
        <stp>FS=MRC</stp>
        <stp>CURRENCY=USD</stp>
        <stp>XLFILL=b</stp>
        <tr r="AB18" s="2"/>
      </tp>
      <tp t="s">
        <v>#N/A Requesting Data...</v>
        <stp/>
        <stp>##V3_BQLV12</stp>
        <stp>[MODL_NOW_US1.xlsx]Single Period!R40C23</stp>
        <stp>NOW US Equity</stp>
        <stp>BILLNG_AMOUNT_GROWTH_PCT</stp>
        <stp>FPR=2021Y</stp>
        <stp>FPT=A</stp>
        <stp>FA_ACT_EST_DATA=E, EST_SOURCE=ZXS</stp>
        <stp>ACT_EST_MAPPING=PRECISE</stp>
        <stp>FS=MRC</stp>
        <stp>CURRENCY=USD</stp>
        <stp>XLFILL=b</stp>
        <tr r="W40" s="2"/>
      </tp>
      <tp t="s">
        <v>#N/A Requesting Data...</v>
        <stp/>
        <stp>##V3_BQLV12</stp>
        <stp>[MODL_NOW_US1.xlsx]Single Period!R168C37</stp>
        <stp>NOW US Equity</stp>
        <stp>CB_BS_DEFERRED_COST_LT/1M</stp>
        <stp>FPR=2021Y</stp>
        <stp>FPT=A</stp>
        <stp>FA_ACT_EST_DATA=E, EST_SOURCE=TTC</stp>
        <stp>ACT_EST_MAPPING=PRECISE</stp>
        <stp>FS=MRC</stp>
        <stp>CURRENCY=USD</stp>
        <stp>XLFILL=b</stp>
        <tr r="AK168" s="2"/>
      </tp>
      <tp t="s">
        <v>#N/A Requesting Data...</v>
        <stp/>
        <stp>##V3_BQLV12</stp>
        <stp>[MODL_NOW_US1.xlsx]Single Period!R128C38</stp>
        <stp>NOW US Equity</stp>
        <stp>IS_INC_TAX_EXP/1M</stp>
        <stp>FPR=2021Y</stp>
        <stp>FPT=A</stp>
        <stp>FA_ACT_EST_DATA=E, EST_SOURCE=RWB</stp>
        <stp>ACT_EST_MAPPING=PRECISE</stp>
        <stp>FS=MRC</stp>
        <stp>CURRENCY=USD</stp>
        <stp>XLFILL=b</stp>
        <tr r="AL128" s="2"/>
      </tp>
      <tp t="s">
        <v>#N/A Requesting Data...</v>
        <stp/>
        <stp>##V3_BQLV12</stp>
        <stp>[MODL_NOW_US1.xlsx]Single Period!R126C39</stp>
        <stp>NOW US Equity</stp>
        <stp>IS_NON_OPERATING_INC_LOSS_GAAP/1M</stp>
        <stp>FPR=2021Y</stp>
        <stp>FPT=A</stp>
        <stp>FA_ACT_EST_DATA=E, EST_SOURCE=DZB</stp>
        <stp>ACT_EST_MAPPING=PRECISE</stp>
        <stp>FS=MRC</stp>
        <stp>CURRENCY=USD</stp>
        <stp>XLFILL=b</stp>
        <tr r="AM126" s="2"/>
      </tp>
      <tp t="s">
        <v>#N/A Requesting Data...</v>
        <stp/>
        <stp>##V3_BQLV12</stp>
        <stp>[MODL_NOW_US1.xlsx]Single Period!R233C36</stp>
        <stp>NOW US Equity</stp>
        <stp>CF_CASH_AND_CASH_EQUIV_END_BAL/1M</stp>
        <stp>FPR=2021Y</stp>
        <stp>FPT=A</stp>
        <stp>FA_ACT_EST_DATA=E, EST_SOURCE=JEF</stp>
        <stp>ACT_EST_MAPPING=PRECISE</stp>
        <stp>FS=MRC</stp>
        <stp>CURRENCY=USD</stp>
        <stp>XLFILL=b</stp>
        <tr r="AJ233" s="2"/>
      </tp>
      <tp t="s">
        <v>#N/A Requesting Data...</v>
        <stp/>
        <stp>##V3_BQLV12</stp>
        <stp>[MODL_NOW_US1.xlsx]Single Period!R128C40</stp>
        <stp>NOW US Equity</stp>
        <stp>IS_INC_TAX_EXP/1M</stp>
        <stp>FPR=2021Y</stp>
        <stp>FPT=A</stp>
        <stp>FA_ACT_EST_DATA=E, EST_SOURCE=DWI</stp>
        <stp>ACT_EST_MAPPING=PRECISE</stp>
        <stp>FS=MRC</stp>
        <stp>CURRENCY=USD</stp>
        <stp>XLFILL=b</stp>
        <tr r="AN128" s="2"/>
      </tp>
      <tp t="s">
        <v>#N/A Requesting Data...</v>
        <stp/>
        <stp>##V3_BQLV12</stp>
        <stp>[MODL_NOW_US1.xlsx]Single Period!R128C24</stp>
        <stp>NOW US Equity</stp>
        <stp>IS_INC_TAX_EXP/1M</stp>
        <stp>FPR=2021Y</stp>
        <stp>FPT=A</stp>
        <stp>FA_ACT_EST_DATA=E, EST_SOURCE=CWN</stp>
        <stp>ACT_EST_MAPPING=PRECISE</stp>
        <stp>FS=MRC</stp>
        <stp>CURRENCY=USD</stp>
        <stp>XLFILL=b</stp>
        <tr r="X128" s="2"/>
      </tp>
      <tp t="s">
        <v>#N/A Requesting Data...</v>
        <stp/>
        <stp>##V3_BQLV12</stp>
        <stp>[MODL_NOW_US1.xlsx]Single Period!R156C47</stp>
        <stp>NOW US Equity</stp>
        <stp>BS_CASH_NEAR_CASH_ITEM/1M</stp>
        <stp>FPR=2021Y</stp>
        <stp>FPT=A</stp>
        <stp>FA_ACT_EST_DATA=E, EST_SOURCE=SUM</stp>
        <stp>ACT_EST_MAPPING=PRECISE</stp>
        <stp>FS=MRC</stp>
        <stp>CURRENCY=USD</stp>
        <stp>XLFILL=b</stp>
        <tr r="AU156" s="2"/>
      </tp>
      <tp t="s">
        <v>#N/A Requesting Data...</v>
        <stp/>
        <stp>##V3_BQLV12</stp>
        <stp>[MODL_NOW_US1.xlsx]Single Period!R22C47</stp>
        <stp>SEG0000230986 Segment</stp>
        <stp>IS_ADJ_GROSS_MARGIN_PCT_AR</stp>
        <stp>FPR=2021Y</stp>
        <stp>FPT=A</stp>
        <stp>FA_ACT_EST_DATA=E, EST_SOURCE=SUM</stp>
        <stp>ACT_EST_MAPPING=PRECISE</stp>
        <stp>FS=MRC</stp>
        <stp>CURRENCY=USD</stp>
        <stp>XLFILL=b</stp>
        <tr r="AU22" s="2"/>
      </tp>
      <tp t="s">
        <v>#N/A Requesting Data...</v>
        <stp/>
        <stp>##V3_BQLV12</stp>
        <stp>[MODL_NOW_US1.xlsx]Single Period!R70C47</stp>
        <stp>SEG0000230986 Segment</stp>
        <stp>IS_ADJ_GROSS_MARGIN_PCT_AR</stp>
        <stp>FPR=2021Y</stp>
        <stp>FPT=A</stp>
        <stp>FA_ACT_EST_DATA=E, EST_SOURCE=SUM</stp>
        <stp>ACT_EST_MAPPING=PRECISE</stp>
        <stp>FS=MRC</stp>
        <stp>CURRENCY=USD</stp>
        <stp>XLFILL=b</stp>
        <tr r="AU70" s="2"/>
      </tp>
      <tp t="s">
        <v>#N/A Requesting Data...</v>
        <stp/>
        <stp>##V3_BQLV12</stp>
        <stp>[MODL_NOW_US1.xlsx]Single Period!R176C38</stp>
        <stp>NOW US Equity</stp>
        <stp>ST_DEFERRED_REVENUE/1M</stp>
        <stp>FPR=2021Y</stp>
        <stp>FPT=A</stp>
        <stp>FA_ACT_EST_DATA=E, EST_SOURCE=RWB</stp>
        <stp>ACT_EST_MAPPING=PRECISE</stp>
        <stp>FS=MRC</stp>
        <stp>CURRENCY=USD</stp>
        <stp>XLFILL=b</stp>
        <tr r="AL176" s="2"/>
      </tp>
      <tp t="s">
        <v>#N/A Requesting Data...</v>
        <stp/>
        <stp>##V3_BQLV12</stp>
        <stp>[MODL_NOW_US1.xlsx]Single Period!R191C38</stp>
        <stp>NOW US Equity</stp>
        <stp>ST_DEFERRED_REVENUE/1M</stp>
        <stp>FPR=2021Y</stp>
        <stp>FPT=A</stp>
        <stp>FA_ACT_EST_DATA=E, EST_SOURCE=RWB</stp>
        <stp>ACT_EST_MAPPING=PRECISE</stp>
        <stp>FS=MRC</stp>
        <stp>CURRENCY=USD</stp>
        <stp>XLFILL=b</stp>
        <tr r="AL191" s="2"/>
      </tp>
      <tp t="s">
        <v>#N/A Requesting Data...</v>
        <stp/>
        <stp>##V3_BQLV12</stp>
        <stp>[MODL_NOW_US1.xlsx]Single Period!R158C48</stp>
        <stp>NOW US Equity</stp>
        <stp>BS_ACCTS_REC_EXCL_NOTES_REC/1M</stp>
        <stp>FPR=2021Y</stp>
        <stp>FPT=A</stp>
        <stp>FA_ACT_EST_DATA=E, EST_SOURCE=CRC</stp>
        <stp>ACT_EST_MAPPING=PRECISE</stp>
        <stp>FS=MRC</stp>
        <stp>CURRENCY=USD</stp>
        <stp>XLFILL=b</stp>
        <tr r="AV158" s="2"/>
      </tp>
      <tp t="s">
        <v>#N/A Requesting Data...</v>
        <stp/>
        <stp>##V3_BQLV12</stp>
        <stp>[MODL_NOW_US1.xlsx]Single Period!R192C38</stp>
        <stp>NOW US Equity</stp>
        <stp>LT_DEFERRED_REVENUE/1M</stp>
        <stp>FPR=2021Y</stp>
        <stp>FPT=A</stp>
        <stp>FA_ACT_EST_DATA=E, EST_SOURCE=RWB</stp>
        <stp>ACT_EST_MAPPING=PRECISE</stp>
        <stp>FS=MRC</stp>
        <stp>CURRENCY=USD</stp>
        <stp>XLFILL=b</stp>
        <tr r="AL192" s="2"/>
      </tp>
      <tp t="s">
        <v>#N/A Requesting Data...</v>
        <stp/>
        <stp>##V3_BQLV12</stp>
        <stp>[MODL_NOW_US1.xlsx]Single Period!R179C38</stp>
        <stp>NOW US Equity</stp>
        <stp>LT_DEFERRED_REVENUE/1M</stp>
        <stp>FPR=2021Y</stp>
        <stp>FPT=A</stp>
        <stp>FA_ACT_EST_DATA=E, EST_SOURCE=RWB</stp>
        <stp>ACT_EST_MAPPING=PRECISE</stp>
        <stp>FS=MRC</stp>
        <stp>CURRENCY=USD</stp>
        <stp>XLFILL=b</stp>
        <tr r="AL179" s="2"/>
      </tp>
      <tp t="s">
        <v>#N/A Requesting Data...</v>
        <stp/>
        <stp>##V3_BQLV12</stp>
        <stp>[MODL_NOW_US1.xlsx]Single Period!R89C38</stp>
        <stp>NOW US Equity</stp>
        <stp>IS_REV_INCLUDING_INTERSEG_REV/1M</stp>
        <stp>FPR=2021Y</stp>
        <stp>FPT=A</stp>
        <stp>FA_ACT_EST_DATA=E, EST_SOURCE=RWB</stp>
        <stp>ACT_EST_MAPPING=PRECISE</stp>
        <stp>FS=MRC</stp>
        <stp>CURRENCY=USD</stp>
        <stp>XLFILL=b</stp>
        <tr r="AL89" s="2"/>
      </tp>
      <tp t="s">
        <v>#N/A Requesting Data...</v>
        <stp/>
        <stp>##V3_BQLV12</stp>
        <stp>[MODL_NOW_US1.xlsx]Single Period!R92C5</stp>
        <stp>NOW US Equity</stp>
        <stp>IS_ADJ_GENL_AND_ADMIN_EXPN_AR/1M</stp>
        <stp>FPR=2021Y</stp>
        <stp>FPT=A</stp>
        <stp>FA_ACT_EST_DATA=E</stp>
        <stp>ACT_EST_MAPPING=PRECISE</stp>
        <stp>FS=MRC</stp>
        <stp>CURRENCY=USD</stp>
        <stp>XLFILL=b</stp>
        <tr r="E92" s="2"/>
      </tp>
      <tp t="s">
        <v>#N/A Requesting Data...</v>
        <stp/>
        <stp>##V3_BQLV12</stp>
        <stp>[MODL_NOW_US1.xlsx]Single Period!R158C41</stp>
        <stp>NOW US Equity</stp>
        <stp>BS_ACCTS_REC_EXCL_NOTES_REC/1M</stp>
        <stp>FPR=2021Y</stp>
        <stp>FPT=A</stp>
        <stp>FA_ACT_EST_DATA=E, EST_SOURCE=ARG</stp>
        <stp>ACT_EST_MAPPING=PRECISE</stp>
        <stp>FS=MRC</stp>
        <stp>CURRENCY=USD</stp>
        <stp>XLFILL=b</stp>
        <tr r="AO158" s="2"/>
      </tp>
      <tp t="s">
        <v>#N/A Requesting Data...</v>
        <stp/>
        <stp>##V3_BQLV12</stp>
        <stp>[MODL_NOW_US1.xlsx]Single Period!R92C40</stp>
        <stp>NOW US Equity</stp>
        <stp>IS_ADJ_GENL_AND_ADMIN_EXPN_AR/1M</stp>
        <stp>FPR=2021Y</stp>
        <stp>FPT=A</stp>
        <stp>FA_ACT_EST_DATA=E, EST_SOURCE=DWI</stp>
        <stp>ACT_EST_MAPPING=PRECISE</stp>
        <stp>FS=MRC</stp>
        <stp>CURRENCY=USD</stp>
        <stp>XLFILL=b</stp>
        <tr r="AN92" s="2"/>
      </tp>
      <tp t="s">
        <v>#N/A Requesting Data...</v>
        <stp/>
        <stp>##V3_BQLV12</stp>
        <stp>[MODL_NOW_US1.xlsx]Single Period!R142C46</stp>
        <stp>NOW US Equity</stp>
        <stp>IS_SBC_ATT_TO_S_AND_M_PRETX/1M</stp>
        <stp>FPR=2021Y</stp>
        <stp>FPT=A</stp>
        <stp>FA_ACT_EST_DATA=E, EST_SOURCE=MZS</stp>
        <stp>ACT_EST_MAPPING=PRECISE</stp>
        <stp>FS=MRC</stp>
        <stp>CURRENCY=USD</stp>
        <stp>XLFILL=b</stp>
        <tr r="AT142" s="2"/>
      </tp>
      <tp t="s">
        <v>#N/A Requesting Data...</v>
        <stp/>
        <stp>##V3_BQLV12</stp>
        <stp>[MODL_NOW_US1.xlsx]Single Period!R158C44</stp>
        <stp>NOW US Equity</stp>
        <stp>BS_ACCTS_REC_EXCL_NOTES_REC/1M</stp>
        <stp>FPR=2021Y</stp>
        <stp>FPT=A</stp>
        <stp>FA_ACT_EST_DATA=E, EST_SOURCE=ARE</stp>
        <stp>ACT_EST_MAPPING=PRECISE</stp>
        <stp>FS=MRC</stp>
        <stp>CURRENCY=USD</stp>
        <stp>XLFILL=b</stp>
        <tr r="AR158" s="2"/>
      </tp>
      <tp t="s">
        <v>#N/A Requesting Data...</v>
        <stp/>
        <stp>##V3_BQLV12</stp>
        <stp>[MODL_NOW_US1.xlsx]Single Period!R189C39</stp>
        <stp>NOW US Equity</stp>
        <stp>CUR_RATIO</stp>
        <stp>FPR=2021Y</stp>
        <stp>FPT=A</stp>
        <stp>FA_ACT_EST_DATA=E, EST_SOURCE=DZB</stp>
        <stp>ACT_EST_MAPPING=PRECISE</stp>
        <stp>FS=MRC</stp>
        <stp>CURRENCY=USD</stp>
        <stp>XLFILL=b</stp>
        <tr r="AM189" s="2"/>
      </tp>
      <tp t="s">
        <v>#N/A Requesting Data...</v>
        <stp/>
        <stp>##V3_BQLV12</stp>
        <stp>[MODL_NOW_US1.xlsx]Single Period!R180C44</stp>
        <stp>NOW US Equity</stp>
        <stp>BS_LT_OPERATING_LEASE_LIABS/1M</stp>
        <stp>FPR=2021Y</stp>
        <stp>FPT=A</stp>
        <stp>FA_ACT_EST_DATA=E, EST_SOURCE=ARE</stp>
        <stp>ACT_EST_MAPPING=PRECISE</stp>
        <stp>FS=MRC</stp>
        <stp>CURRENCY=USD</stp>
        <stp>XLFILL=b</stp>
        <tr r="AR180" s="2"/>
      </tp>
      <tp t="s">
        <v>#N/A Requesting Data...</v>
        <stp/>
        <stp>##V3_BQLV12</stp>
        <stp>[MODL_NOW_US1.xlsx]Single Period!R203C13</stp>
        <stp>NOW US Equity</stp>
        <stp>AMORTIZATN_OF_FINNCNG_COSTS/1M</stp>
        <stp>FPR=2021Y</stp>
        <stp>FPT=A</stp>
        <stp>FA_ACT_EST_DATA=E, EST_SOURCE=KEY</stp>
        <stp>ACT_EST_MAPPING=PRECISE</stp>
        <stp>FS=MRC</stp>
        <stp>CURRENCY=USD</stp>
        <stp>XLFILL=b</stp>
        <tr r="M203" s="2"/>
      </tp>
      <tp t="s">
        <v>#N/A Requesting Data...</v>
        <stp/>
        <stp>##V3_BQLV12</stp>
        <stp>[MODL_NOW_US1.xlsx]Single Period!R161C11</stp>
        <stp>NOW US Equity</stp>
        <stp>BS_TOTAL_NON_CURRENT_ASSETS/1M</stp>
        <stp>FPR=2021Y</stp>
        <stp>FPT=A</stp>
        <stp>FA_ACT_EST_DATA=E, EST_SOURCE=JPM</stp>
        <stp>ACT_EST_MAPPING=PRECISE</stp>
        <stp>FS=MRC</stp>
        <stp>CURRENCY=USD</stp>
        <stp>XLFILL=b</stp>
        <tr r="K161" s="2"/>
      </tp>
      <tp t="s">
        <v>#N/A Requesting Data...</v>
        <stp/>
        <stp>##V3_BQLV12</stp>
        <stp>[MODL_NOW_US1.xlsx]Single Period!R92C34</stp>
        <stp>NOW US Equity</stp>
        <stp>IS_ADJ_GENL_AND_ADMIN_EXPN_AR/1M</stp>
        <stp>FPR=2021Y</stp>
        <stp>FPT=A</stp>
        <stp>FA_ACT_EST_DATA=E, EST_SOURCE=PSG</stp>
        <stp>ACT_EST_MAPPING=PRECISE</stp>
        <stp>FS=MRC</stp>
        <stp>CURRENCY=USD</stp>
        <stp>XLFILL=b</stp>
        <tr r="AH92" s="2"/>
      </tp>
      <tp t="s">
        <v>#N/A Requesting Data...</v>
        <stp/>
        <stp>##V3_BQLV12</stp>
        <stp>[MODL_NOW_US1.xlsx]Single Period!R173C23</stp>
        <stp>NOW US Equity</stp>
        <stp>BS_CUR_LIAB/1M</stp>
        <stp>FPR=2021Y</stp>
        <stp>FPT=A</stp>
        <stp>FA_ACT_EST_DATA=E, EST_SOURCE=ZXS</stp>
        <stp>ACT_EST_MAPPING=PRECISE</stp>
        <stp>FS=MRC</stp>
        <stp>CURRENCY=USD</stp>
        <stp>XLFILL=b</stp>
        <tr r="W173" s="2"/>
      </tp>
      <tp t="s">
        <v>#N/A Requesting Data...</v>
        <stp/>
        <stp>##V3_BQLV12</stp>
        <stp>[MODL_NOW_US1.xlsx]Single Period!R180C41</stp>
        <stp>NOW US Equity</stp>
        <stp>BS_LT_OPERATING_LEASE_LIABS/1M</stp>
        <stp>FPR=2021Y</stp>
        <stp>FPT=A</stp>
        <stp>FA_ACT_EST_DATA=E, EST_SOURCE=ARG</stp>
        <stp>ACT_EST_MAPPING=PRECISE</stp>
        <stp>FS=MRC</stp>
        <stp>CURRENCY=USD</stp>
        <stp>XLFILL=b</stp>
        <tr r="AO180" s="2"/>
      </tp>
      <tp t="s">
        <v>#N/A Requesting Data...</v>
        <stp/>
        <stp>##V3_BQLV12</stp>
        <stp>[MODL_NOW_US1.xlsx]Single Period!R167C14</stp>
        <stp>NOW US Equity</stp>
        <stp>BS_GOODWILL/1M</stp>
        <stp>FPR=2021Y</stp>
        <stp>FPT=A</stp>
        <stp>FA_ACT_EST_DATA=E, EST_SOURCE=BMO</stp>
        <stp>ACT_EST_MAPPING=PRECISE</stp>
        <stp>FS=MRC</stp>
        <stp>CURRENCY=USD</stp>
        <stp>XLFILL=b</stp>
        <tr r="N167" s="2"/>
      </tp>
      <tp t="s">
        <v>#N/A Requesting Data...</v>
        <stp/>
        <stp>##V3_BQLV12</stp>
        <stp>[MODL_NOW_US1.xlsx]Single Period!R191C40</stp>
        <stp>NOW US Equity</stp>
        <stp>ST_DEFERRED_REVENUE/1M</stp>
        <stp>FPR=2021Y</stp>
        <stp>FPT=A</stp>
        <stp>FA_ACT_EST_DATA=E, EST_SOURCE=DWI</stp>
        <stp>ACT_EST_MAPPING=PRECISE</stp>
        <stp>FS=MRC</stp>
        <stp>CURRENCY=USD</stp>
        <stp>XLFILL=b</stp>
        <tr r="AN191" s="2"/>
      </tp>
      <tp t="s">
        <v>#N/A Requesting Data...</v>
        <stp/>
        <stp>##V3_BQLV12</stp>
        <stp>[MODL_NOW_US1.xlsx]Single Period!R176C40</stp>
        <stp>NOW US Equity</stp>
        <stp>ST_DEFERRED_REVENUE/1M</stp>
        <stp>FPR=2021Y</stp>
        <stp>FPT=A</stp>
        <stp>FA_ACT_EST_DATA=E, EST_SOURCE=DWI</stp>
        <stp>ACT_EST_MAPPING=PRECISE</stp>
        <stp>FS=MRC</stp>
        <stp>CURRENCY=USD</stp>
        <stp>XLFILL=b</stp>
        <tr r="AN176" s="2"/>
      </tp>
      <tp t="s">
        <v>#N/A Requesting Data...</v>
        <stp/>
        <stp>##V3_BQLV12</stp>
        <stp>[MODL_NOW_US1.xlsx]Single Period!R179C40</stp>
        <stp>NOW US Equity</stp>
        <stp>LT_DEFERRED_REVENUE/1M</stp>
        <stp>FPR=2021Y</stp>
        <stp>FPT=A</stp>
        <stp>FA_ACT_EST_DATA=E, EST_SOURCE=DWI</stp>
        <stp>ACT_EST_MAPPING=PRECISE</stp>
        <stp>FS=MRC</stp>
        <stp>CURRENCY=USD</stp>
        <stp>XLFILL=b</stp>
        <tr r="AN179" s="2"/>
      </tp>
      <tp t="s">
        <v>#N/A Requesting Data...</v>
        <stp/>
        <stp>##V3_BQLV12</stp>
        <stp>[MODL_NOW_US1.xlsx]Single Period!R192C40</stp>
        <stp>NOW US Equity</stp>
        <stp>LT_DEFERRED_REVENUE/1M</stp>
        <stp>FPR=2021Y</stp>
        <stp>FPT=A</stp>
        <stp>FA_ACT_EST_DATA=E, EST_SOURCE=DWI</stp>
        <stp>ACT_EST_MAPPING=PRECISE</stp>
        <stp>FS=MRC</stp>
        <stp>CURRENCY=USD</stp>
        <stp>XLFILL=b</stp>
        <tr r="AN192" s="2"/>
      </tp>
      <tp t="s">
        <v>#N/A Requesting Data...</v>
        <stp/>
        <stp>##V3_BQLV12</stp>
        <stp>[MODL_NOW_US1.xlsx]Single Period!R191C24</stp>
        <stp>NOW US Equity</stp>
        <stp>ST_DEFERRED_REVENUE/1M</stp>
        <stp>FPR=2021Y</stp>
        <stp>FPT=A</stp>
        <stp>FA_ACT_EST_DATA=E, EST_SOURCE=CWN</stp>
        <stp>ACT_EST_MAPPING=PRECISE</stp>
        <stp>FS=MRC</stp>
        <stp>CURRENCY=USD</stp>
        <stp>XLFILL=b</stp>
        <tr r="X191" s="2"/>
      </tp>
      <tp t="s">
        <v>#N/A Requesting Data...</v>
        <stp/>
        <stp>##V3_BQLV12</stp>
        <stp>[MODL_NOW_US1.xlsx]Single Period!R176C24</stp>
        <stp>NOW US Equity</stp>
        <stp>ST_DEFERRED_REVENUE/1M</stp>
        <stp>FPR=2021Y</stp>
        <stp>FPT=A</stp>
        <stp>FA_ACT_EST_DATA=E, EST_SOURCE=CWN</stp>
        <stp>ACT_EST_MAPPING=PRECISE</stp>
        <stp>FS=MRC</stp>
        <stp>CURRENCY=USD</stp>
        <stp>XLFILL=b</stp>
        <tr r="X176" s="2"/>
      </tp>
      <tp t="s">
        <v>#N/A Requesting Data...</v>
        <stp/>
        <stp>##V3_BQLV12</stp>
        <stp>[MODL_NOW_US1.xlsx]Single Period!R179C24</stp>
        <stp>NOW US Equity</stp>
        <stp>LT_DEFERRED_REVENUE/1M</stp>
        <stp>FPR=2021Y</stp>
        <stp>FPT=A</stp>
        <stp>FA_ACT_EST_DATA=E, EST_SOURCE=CWN</stp>
        <stp>ACT_EST_MAPPING=PRECISE</stp>
        <stp>FS=MRC</stp>
        <stp>CURRENCY=USD</stp>
        <stp>XLFILL=b</stp>
        <tr r="X179" s="2"/>
      </tp>
      <tp t="s">
        <v>#N/A Requesting Data...</v>
        <stp/>
        <stp>##V3_BQLV12</stp>
        <stp>[MODL_NOW_US1.xlsx]Single Period!R192C24</stp>
        <stp>NOW US Equity</stp>
        <stp>LT_DEFERRED_REVENUE/1M</stp>
        <stp>FPR=2021Y</stp>
        <stp>FPT=A</stp>
        <stp>FA_ACT_EST_DATA=E, EST_SOURCE=CWN</stp>
        <stp>ACT_EST_MAPPING=PRECISE</stp>
        <stp>FS=MRC</stp>
        <stp>CURRENCY=USD</stp>
        <stp>XLFILL=b</stp>
        <tr r="X192" s="2"/>
      </tp>
      <tp t="s">
        <v>#N/A Requesting Data...</v>
        <stp/>
        <stp>##V3_BQLV12</stp>
        <stp>[MODL_NOW_US1.xlsx]Single Period!R180C48</stp>
        <stp>NOW US Equity</stp>
        <stp>BS_LT_OPERATING_LEASE_LIABS/1M</stp>
        <stp>FPR=2021Y</stp>
        <stp>FPT=A</stp>
        <stp>FA_ACT_EST_DATA=E, EST_SOURCE=CRC</stp>
        <stp>ACT_EST_MAPPING=PRECISE</stp>
        <stp>FS=MRC</stp>
        <stp>CURRENCY=USD</stp>
        <stp>XLFILL=b</stp>
        <tr r="AV180" s="2"/>
      </tp>
      <tp t="s">
        <v>#N/A Requesting Data...</v>
        <stp/>
        <stp>##V3_BQLV12</stp>
        <stp>[MODL_NOW_US1.xlsx]Single Period!R124C13</stp>
        <stp>NOW US Equity</stp>
        <stp>IS_EBIT_AS_REPORTED/1M</stp>
        <stp>FPR=2021Y</stp>
        <stp>FPT=A</stp>
        <stp>FA_ACT_EST_DATA=E, EST_SOURCE=KEY</stp>
        <stp>ACT_EST_MAPPING=PRECISE</stp>
        <stp>FS=MRC</stp>
        <stp>CURRENCY=USD</stp>
        <stp>XLFILL=b</stp>
        <tr r="M124" s="2"/>
      </tp>
      <tp t="s">
        <v>#N/A Requesting Data...</v>
        <stp/>
        <stp>##V3_BQLV12</stp>
        <stp>[MODL_NOW_US1.xlsx]Single Period!R230C23</stp>
        <stp>NOW US Equity</stp>
        <stp>CF_EFFECT_FOREIGN_EXCHANGES/1M</stp>
        <stp>FPR=2021Y</stp>
        <stp>FPT=A</stp>
        <stp>FA_ACT_EST_DATA=E, EST_SOURCE=ZXS</stp>
        <stp>ACT_EST_MAPPING=PRECISE</stp>
        <stp>FS=MRC</stp>
        <stp>CURRENCY=USD</stp>
        <stp>XLFILL=b</stp>
        <tr r="W230" s="2"/>
      </tp>
      <tp t="s">
        <v>#N/A Requesting Data...</v>
        <stp/>
        <stp>##V3_BQLV12</stp>
        <stp>[MODL_NOW_US1.xlsx]Single Period!R30C40</stp>
        <stp>NOW US Equity</stp>
        <stp>CF_FREE_CASH_FLOW_AS_REPORTED/1M</stp>
        <stp>FPR=2021Y</stp>
        <stp>FPT=A</stp>
        <stp>FA_ACT_EST_DATA=E, EST_SOURCE=DWI</stp>
        <stp>ACT_EST_MAPPING=PRECISE</stp>
        <stp>FS=MRC</stp>
        <stp>CURRENCY=USD</stp>
        <stp>XLFILL=b</stp>
        <tr r="AN30" s="2"/>
      </tp>
      <tp t="s">
        <v>#N/A Requesting Data...</v>
        <stp/>
        <stp>##V3_BQLV12</stp>
        <stp>[MODL_NOW_US1.xlsx]Single Period!R142C39</stp>
        <stp>NOW US Equity</stp>
        <stp>IS_SBC_ATT_TO_S_AND_M_PRETX/1M</stp>
        <stp>FPR=2021Y</stp>
        <stp>FPT=A</stp>
        <stp>FA_ACT_EST_DATA=E, EST_SOURCE=DZB</stp>
        <stp>ACT_EST_MAPPING=PRECISE</stp>
        <stp>FS=MRC</stp>
        <stp>CURRENCY=USD</stp>
        <stp>XLFILL=b</stp>
        <tr r="AM142" s="2"/>
      </tp>
      <tp t="s">
        <v>#N/A Requesting Data...</v>
        <stp/>
        <stp>##V3_BQLV12</stp>
        <stp>[MODL_NOW_US1.xlsx]Single Period!R32C5</stp>
        <stp>NOW US Equity</stp>
        <stp>BS_REMAINING_PERFORMANCE_OBLIG/1M</stp>
        <stp>FPR=2021Y</stp>
        <stp>FPT=A</stp>
        <stp>FA_ACT_EST_DATA=E</stp>
        <stp>ACT_EST_MAPPING=PRECISE</stp>
        <stp>FS=MRC</stp>
        <stp>CURRENCY=USD</stp>
        <stp>XLFILL=b</stp>
        <tr r="E32" s="2"/>
      </tp>
      <tp t="s">
        <v>#N/A Requesting Data...</v>
        <stp/>
        <stp>##V3_BQLV12</stp>
        <stp>[MODL_NOW_US1.xlsx]Single Period!R98C32</stp>
        <stp>NOW US Equity</stp>
        <stp>CF_DEPR_AMORT/1M</stp>
        <stp>FPR=2021Y</stp>
        <stp>FPT=A</stp>
        <stp>FA_ACT_EST_DATA=E, EST_SOURCE=FBC</stp>
        <stp>ACT_EST_MAPPING=PRECISE</stp>
        <stp>FS=MRC</stp>
        <stp>CURRENCY=USD</stp>
        <stp>XLFILL=b</stp>
        <tr r="AF98" s="2"/>
      </tp>
      <tp t="s">
        <v>#N/A Requesting Data...</v>
        <stp/>
        <stp>##V3_BQLV12</stp>
        <stp>[MODL_NOW_US1.xlsx]Single Period!R124C36</stp>
        <stp>NOW US Equity</stp>
        <stp>IS_EBIT_AS_REPORTED/1M</stp>
        <stp>FPR=2021Y</stp>
        <stp>FPT=A</stp>
        <stp>FA_ACT_EST_DATA=E, EST_SOURCE=JEF</stp>
        <stp>ACT_EST_MAPPING=PRECISE</stp>
        <stp>FS=MRC</stp>
        <stp>CURRENCY=USD</stp>
        <stp>XLFILL=b</stp>
        <tr r="AJ124" s="2"/>
      </tp>
      <tp t="s">
        <v>#N/A Requesting Data...</v>
        <stp/>
        <stp>##V3_BQLV12</stp>
        <stp>[MODL_NOW_US1.xlsx]Single Period!R9C17</stp>
        <stp>NOW US Equity</stp>
        <stp>IS_BILLINGS/1M</stp>
        <stp>FPR=2021Y</stp>
        <stp>FPT=A</stp>
        <stp>FA_ACT_EST_DATA=E, EST_SOURCE=RHR</stp>
        <stp>ACT_EST_MAPPING=PRECISE</stp>
        <stp>FS=MRC</stp>
        <stp>CURRENCY=USD</stp>
        <stp>XLFILL=b</stp>
        <tr r="Q9" s="2"/>
      </tp>
      <tp t="s">
        <v>#N/A Requesting Data...</v>
        <stp/>
        <stp>##V3_BQLV12</stp>
        <stp>[MODL_NOW_US1.xlsx]Single Period!R37C5</stp>
        <stp>NOW US Equity</stp>
        <stp>BS_REMAINING_PERFORMANCE_OBLIG/1M</stp>
        <stp>FPR=2021Y</stp>
        <stp>FPT=A</stp>
        <stp>FA_ACT_EST_DATA=E</stp>
        <stp>ACT_EST_MAPPING=PRECISE</stp>
        <stp>FS=MRC</stp>
        <stp>CURRENCY=USD</stp>
        <stp>XLFILL=b</stp>
        <tr r="E37" s="2"/>
      </tp>
      <tp t="s">
        <v>#N/A Requesting Data...</v>
        <stp/>
        <stp>##V3_BQLV12</stp>
        <stp>[MODL_NOW_US1.xlsx]Single Period!R178C37</stp>
        <stp>NOW US Equity</stp>
        <stp>BS_ADJ_TOTAL_LT_LIABILITIES/1M</stp>
        <stp>FPR=2021Y</stp>
        <stp>FPT=A</stp>
        <stp>FA_ACT_EST_DATA=E, EST_SOURCE=TTC</stp>
        <stp>ACT_EST_MAPPING=PRECISE</stp>
        <stp>FS=MRC</stp>
        <stp>CURRENCY=USD</stp>
        <stp>XLFILL=b</stp>
        <tr r="AK178" s="2"/>
      </tp>
      <tp t="s">
        <v>#N/A Requesting Data...</v>
        <stp/>
        <stp>##V3_BQLV12</stp>
        <stp>[MODL_NOW_US1.xlsx]Single Period!R27C15</stp>
        <stp>NOW US Equity</stp>
        <stp>IS_REV_INCLUDING_INTERSEG_REV/1M</stp>
        <stp>FPR=2021Y</stp>
        <stp>FPT=A</stp>
        <stp>FA_ACT_EST_DATA=E, EST_SOURCE=OPY</stp>
        <stp>ACT_EST_MAPPING=PRECISE</stp>
        <stp>FS=MRC</stp>
        <stp>CURRENCY=USD</stp>
        <stp>XLFILL=b</stp>
        <tr r="O27" s="2"/>
      </tp>
      <tp t="s">
        <v>#N/A Requesting Data...</v>
        <stp/>
        <stp>##V3_BQLV12</stp>
        <stp>[MODL_NOW_US1.xlsx]Single Period!R203C36</stp>
        <stp>NOW US Equity</stp>
        <stp>AMORTIZATN_OF_FINNCNG_COSTS/1M</stp>
        <stp>FPR=2021Y</stp>
        <stp>FPT=A</stp>
        <stp>FA_ACT_EST_DATA=E, EST_SOURCE=JEF</stp>
        <stp>ACT_EST_MAPPING=PRECISE</stp>
        <stp>FS=MRC</stp>
        <stp>CURRENCY=USD</stp>
        <stp>XLFILL=b</stp>
        <tr r="AJ203" s="2"/>
      </tp>
      <tp t="s">
        <v>#N/A Requesting Data...</v>
        <stp/>
        <stp>##V3_BQLV12</stp>
        <stp>[MODL_NOW_US1.xlsx]Single Period!R167C21</stp>
        <stp>NOW US Equity</stp>
        <stp>BS_GOODWILL/1M</stp>
        <stp>FPR=2021Y</stp>
        <stp>FPT=A</stp>
        <stp>FA_ACT_EST_DATA=E, EST_SOURCE=JMP</stp>
        <stp>ACT_EST_MAPPING=PRECISE</stp>
        <stp>FS=MRC</stp>
        <stp>CURRENCY=USD</stp>
        <stp>XLFILL=b</stp>
        <tr r="U167" s="2"/>
      </tp>
      <tp t="s">
        <v>#N/A Requesting Data...</v>
        <stp/>
        <stp>##V3_BQLV12</stp>
        <stp>[MODL_NOW_US1.xlsx]Single Period!R189C46</stp>
        <stp>NOW US Equity</stp>
        <stp>CUR_RATIO</stp>
        <stp>FPR=2021Y</stp>
        <stp>FPT=A</stp>
        <stp>FA_ACT_EST_DATA=E, EST_SOURCE=MZS</stp>
        <stp>ACT_EST_MAPPING=PRECISE</stp>
        <stp>FS=MRC</stp>
        <stp>CURRENCY=USD</stp>
        <stp>XLFILL=b</stp>
        <tr r="AT189" s="2"/>
      </tp>
      <tp t="s">
        <v>#N/A Requesting Data...</v>
        <stp/>
        <stp>##V3_BQLV12</stp>
        <stp>[MODL_NOW_US1.xlsx]Single Period!R178C42</stp>
        <stp>NOW US Equity</stp>
        <stp>BS_ADJ_TOTAL_LT_LIABILITIES/1M</stp>
        <stp>FPR=2021Y</stp>
        <stp>FPT=A</stp>
        <stp>FA_ACT_EST_DATA=E, EST_SOURCE=CTI</stp>
        <stp>ACT_EST_MAPPING=PRECISE</stp>
        <stp>FS=MRC</stp>
        <stp>CURRENCY=USD</stp>
        <stp>XLFILL=b</stp>
        <tr r="AP178" s="2"/>
      </tp>
      <tp t="s">
        <v>#N/A Requesting Data...</v>
        <stp/>
        <stp>##V3_BQLV12</stp>
        <stp>[MODL_NOW_US1.xlsx]Single Period!R105C41</stp>
        <stp>NOW US Equity</stp>
        <stp>ADJ_PROFIT_MARGIN</stp>
        <stp>FPR=2021Y</stp>
        <stp>FPT=A</stp>
        <stp>FA_ACT_EST_DATA=E, EST_SOURCE=ARG</stp>
        <stp>ACT_EST_MAPPING=PRECISE</stp>
        <stp>FS=MRC</stp>
        <stp>CURRENCY=USD</stp>
        <stp>XLFILL=b</stp>
        <tr r="AO105" s="2"/>
      </tp>
      <tp t="s">
        <v>#N/A Requesting Data...</v>
        <stp/>
        <stp>##V3_BQLV12</stp>
        <stp>[MODL_NOW_US1.xlsx]Single Period!R154C18</stp>
        <stp>NOW US Equity</stp>
        <stp>BS_CUR_ASSET_REPORT/1M</stp>
        <stp>FPR=2021Y</stp>
        <stp>FPT=A</stp>
        <stp>FA_ACT_EST_DATA=E, EST_SOURCE=SNR</stp>
        <stp>ACT_EST_MAPPING=PRECISE</stp>
        <stp>FS=MRC</stp>
        <stp>CURRENCY=USD</stp>
        <stp>XLFILL=b</stp>
        <tr r="R154" s="2"/>
      </tp>
      <tp t="s">
        <v>#N/A Requesting Data...</v>
        <stp/>
        <stp>##V3_BQLV12</stp>
        <stp>[MODL_NOW_US1.xlsx]Single Period!R105C44</stp>
        <stp>NOW US Equity</stp>
        <stp>ADJ_PROFIT_MARGIN</stp>
        <stp>FPR=2021Y</stp>
        <stp>FPT=A</stp>
        <stp>FA_ACT_EST_DATA=E, EST_SOURCE=ARE</stp>
        <stp>ACT_EST_MAPPING=PRECISE</stp>
        <stp>FS=MRC</stp>
        <stp>CURRENCY=USD</stp>
        <stp>XLFILL=b</stp>
        <tr r="AR105" s="2"/>
      </tp>
      <tp t="s">
        <v>#N/A Requesting Data...</v>
        <stp/>
        <stp>##V3_BQLV12</stp>
        <stp>[MODL_NOW_US1.xlsx]Single Period!R154C29</stp>
        <stp>NOW US Equity</stp>
        <stp>BS_CUR_ASSET_REPORT/1M</stp>
        <stp>FPR=2021Y</stp>
        <stp>FPT=A</stp>
        <stp>FA_ACT_EST_DATA=E, EST_SOURCE=BNS</stp>
        <stp>ACT_EST_MAPPING=PRECISE</stp>
        <stp>FS=MRC</stp>
        <stp>CURRENCY=USD</stp>
        <stp>XLFILL=b</stp>
        <tr r="AC154" s="2"/>
      </tp>
      <tp t="s">
        <v>#N/A Requesting Data...</v>
        <stp/>
        <stp>##V3_BQLV12</stp>
        <stp>[MODL_NOW_US1.xlsx]Single Period!R210C48</stp>
        <stp>NOW US Equity</stp>
        <stp>CF_CHANGE_IN_PREPAID_EXPNSS/1M</stp>
        <stp>FPR=2021Y</stp>
        <stp>FPT=A</stp>
        <stp>FA_ACT_EST_DATA=E, EST_SOURCE=CRC</stp>
        <stp>ACT_EST_MAPPING=PRECISE</stp>
        <stp>FS=MRC</stp>
        <stp>CURRENCY=USD</stp>
        <stp>XLFILL=b</stp>
        <tr r="AV210" s="2"/>
      </tp>
      <tp t="s">
        <v>#N/A Requesting Data...</v>
        <stp/>
        <stp>##V3_BQLV12</stp>
        <stp>[MODL_NOW_US1.xlsx]Single Period!R210C44</stp>
        <stp>NOW US Equity</stp>
        <stp>CF_CHANGE_IN_PREPAID_EXPNSS/1M</stp>
        <stp>FPR=2021Y</stp>
        <stp>FPT=A</stp>
        <stp>FA_ACT_EST_DATA=E, EST_SOURCE=ARE</stp>
        <stp>ACT_EST_MAPPING=PRECISE</stp>
        <stp>FS=MRC</stp>
        <stp>CURRENCY=USD</stp>
        <stp>XLFILL=b</stp>
        <tr r="AR210" s="2"/>
      </tp>
      <tp t="s">
        <v>#N/A Requesting Data...</v>
        <stp/>
        <stp>##V3_BQLV12</stp>
        <stp>[MODL_NOW_US1.xlsx]Single Period!R105C48</stp>
        <stp>NOW US Equity</stp>
        <stp>ADJ_PROFIT_MARGIN</stp>
        <stp>FPR=2021Y</stp>
        <stp>FPT=A</stp>
        <stp>FA_ACT_EST_DATA=E, EST_SOURCE=CRC</stp>
        <stp>ACT_EST_MAPPING=PRECISE</stp>
        <stp>FS=MRC</stp>
        <stp>CURRENCY=USD</stp>
        <stp>XLFILL=b</stp>
        <tr r="AV105" s="2"/>
      </tp>
      <tp t="s">
        <v>#N/A Requesting Data...</v>
        <stp/>
        <stp>##V3_BQLV12</stp>
        <stp>[MODL_NOW_US1.xlsx]Single Period!R98C12</stp>
        <stp>NOW US Equity</stp>
        <stp>CF_DEPR_AMORT/1M</stp>
        <stp>FPR=2021Y</stp>
        <stp>FPT=A</stp>
        <stp>FA_ACT_EST_DATA=E, EST_SOURCE=WBL</stp>
        <stp>ACT_EST_MAPPING=PRECISE</stp>
        <stp>FS=MRC</stp>
        <stp>CURRENCY=USD</stp>
        <stp>XLFILL=b</stp>
        <tr r="L98" s="2"/>
      </tp>
      <tp t="s">
        <v>#N/A Requesting Data...</v>
        <stp/>
        <stp>##V3_BQLV12</stp>
        <stp>[MODL_NOW_US1.xlsx]Single Period!R30C34</stp>
        <stp>NOW US Equity</stp>
        <stp>CF_FREE_CASH_FLOW_AS_REPORTED/1M</stp>
        <stp>FPR=2021Y</stp>
        <stp>FPT=A</stp>
        <stp>FA_ACT_EST_DATA=E, EST_SOURCE=PSG</stp>
        <stp>ACT_EST_MAPPING=PRECISE</stp>
        <stp>FS=MRC</stp>
        <stp>CURRENCY=USD</stp>
        <stp>XLFILL=b</stp>
        <tr r="AH30" s="2"/>
      </tp>
      <tp t="s">
        <v>#N/A Requesting Data...</v>
        <stp/>
        <stp>##V3_BQLV12</stp>
        <stp>[MODL_NOW_US1.xlsx]Single Period!R210C41</stp>
        <stp>NOW US Equity</stp>
        <stp>CF_CHANGE_IN_PREPAID_EXPNSS/1M</stp>
        <stp>FPR=2021Y</stp>
        <stp>FPT=A</stp>
        <stp>FA_ACT_EST_DATA=E, EST_SOURCE=ARG</stp>
        <stp>ACT_EST_MAPPING=PRECISE</stp>
        <stp>FS=MRC</stp>
        <stp>CURRENCY=USD</stp>
        <stp>XLFILL=b</stp>
        <tr r="AO210" s="2"/>
      </tp>
      <tp t="s">
        <v>#N/A Requesting Data...</v>
        <stp/>
        <stp>##V3_BQLV12</stp>
        <stp>[MODL_NOW_US1.xlsx]Single Period!R161C15</stp>
        <stp>NOW US Equity</stp>
        <stp>BS_TOTAL_NON_CURRENT_ASSETS/1M</stp>
        <stp>FPR=2021Y</stp>
        <stp>FPT=A</stp>
        <stp>FA_ACT_EST_DATA=E, EST_SOURCE=OPY</stp>
        <stp>ACT_EST_MAPPING=PRECISE</stp>
        <stp>FS=MRC</stp>
        <stp>CURRENCY=USD</stp>
        <stp>XLFILL=b</stp>
        <tr r="O161" s="2"/>
      </tp>
      <tp t="s">
        <v>#N/A Requesting Data...</v>
        <stp/>
        <stp>##V3_BQLV12</stp>
        <stp>[MODL_NOW_US1.xlsx]Single Period!R83C36</stp>
        <stp>NOW US Equity</stp>
        <stp>IS_ADJUSTED_COGS_AS_REPORTED/1M</stp>
        <stp>FPR=2021Y</stp>
        <stp>FPT=A</stp>
        <stp>FA_ACT_EST_DATA=E, EST_SOURCE=JEF</stp>
        <stp>ACT_EST_MAPPING=PRECISE</stp>
        <stp>FS=MRC</stp>
        <stp>CURRENCY=USD</stp>
        <stp>XLFILL=b</stp>
        <tr r="AJ83" s="2"/>
      </tp>
      <tp t="s">
        <v>#N/A Requesting Data...</v>
        <stp/>
        <stp>##V3_BQLV12</stp>
        <stp>[MODL_NOW_US1.xlsx]Single Period!R207C29</stp>
        <stp>NOW US Equity</stp>
        <stp>CB_CF_CHANGE_IN_ACCOUNTS_RECEIVABLE/1M</stp>
        <stp>FPR=2021Y</stp>
        <stp>FPT=A</stp>
        <stp>FA_ACT_EST_DATA=E, EST_SOURCE=BNS</stp>
        <stp>ACT_EST_MAPPING=PRECISE</stp>
        <stp>FS=MRC</stp>
        <stp>CURRENCY=USD</stp>
        <stp>XLFILL=b</stp>
        <tr r="AC207" s="2"/>
      </tp>
      <tp t="s">
        <v>#N/A Requesting Data...</v>
        <stp/>
        <stp>##V3_BQLV12</stp>
        <stp>[MODL_NOW_US1.xlsx]Single Period!R143C34</stp>
        <stp>NOW US Equity</stp>
        <stp>IS_SBC_ATTRIBUTABLE_TO_R_AND_D_PRETX/1M</stp>
        <stp>FPR=2021Y</stp>
        <stp>FPT=A</stp>
        <stp>FA_ACT_EST_DATA=E, EST_SOURCE=PSG</stp>
        <stp>ACT_EST_MAPPING=PRECISE</stp>
        <stp>FS=MRC</stp>
        <stp>CURRENCY=USD</stp>
        <stp>XLFILL=b</stp>
        <tr r="AH143" s="2"/>
      </tp>
      <tp t="s">
        <v>#N/A Requesting Data...</v>
        <stp/>
        <stp>##V3_BQLV12</stp>
        <stp>[MODL_NOW_US1.xlsx]Single Period!R207C18</stp>
        <stp>NOW US Equity</stp>
        <stp>CB_CF_CHANGE_IN_ACCOUNTS_RECEIVABLE/1M</stp>
        <stp>FPR=2021Y</stp>
        <stp>FPT=A</stp>
        <stp>FA_ACT_EST_DATA=E, EST_SOURCE=SNR</stp>
        <stp>ACT_EST_MAPPING=PRECISE</stp>
        <stp>FS=MRC</stp>
        <stp>CURRENCY=USD</stp>
        <stp>XLFILL=b</stp>
        <tr r="R207" s="2"/>
      </tp>
      <tp t="s">
        <v>#N/A Requesting Data...</v>
        <stp/>
        <stp>##V3_BQLV12</stp>
        <stp>[MODL_NOW_US1.xlsx]Single Period!R20C27</stp>
        <stp>SEG0000230986 Segment</stp>
        <stp>SALES_REV_TURN/1M</stp>
        <stp>FPR=2021Y</stp>
        <stp>FPT=A</stp>
        <stp>FA_ACT_EST_DATA=E, EST_SOURCE=RBC</stp>
        <stp>ACT_EST_MAPPING=PRECISE</stp>
        <stp>FS=MRC</stp>
        <stp>CURRENCY=USD</stp>
        <stp>XLFILL=b</stp>
        <tr r="AA20" s="2"/>
      </tp>
      <tp t="s">
        <v>#N/A Requesting Data...</v>
        <stp/>
        <stp>##V3_BQLV12</stp>
        <stp>[MODL_NOW_US1.xlsx]Single Period!R20C32</stp>
        <stp>SEG0000230986 Segment</stp>
        <stp>SALES_REV_TURN/1M</stp>
        <stp>FPR=2021Y</stp>
        <stp>FPT=A</stp>
        <stp>FA_ACT_EST_DATA=E, EST_SOURCE=FBC</stp>
        <stp>ACT_EST_MAPPING=PRECISE</stp>
        <stp>FS=MRC</stp>
        <stp>CURRENCY=USD</stp>
        <stp>XLFILL=b</stp>
        <tr r="AF20" s="2"/>
      </tp>
      <tp t="s">
        <v>#N/A Requesting Data...</v>
        <stp/>
        <stp>##V3_BQLV12</stp>
        <stp>[MODL_NOW_US1.xlsx]Single Period!R54C22</stp>
        <stp>NOW US Equity</stp>
        <stp>IS_FOREIGN_CURRENCY_TURNOVER/1M</stp>
        <stp>FPR=2021Y</stp>
        <stp>FPT=A</stp>
        <stp>FA_ACT_EST_DATA=E, EST_SOURCE=NDH</stp>
        <stp>ACT_EST_MAPPING=PRECISE</stp>
        <stp>FS=MRC</stp>
        <stp>CURRENCY=USD</stp>
        <stp>XLFILL=b</stp>
        <tr r="V54" s="2"/>
      </tp>
      <tp t="s">
        <v>#N/A Requesting Data...</v>
        <stp/>
        <stp>##V3_BQLV12</stp>
        <stp>[MODL_NOW_US1.xlsx]Single Period!R58C36</stp>
        <stp>SEG0000230975 Segment</stp>
        <stp>SALES_REV_TURN/1M</stp>
        <stp>FPR=2021Y</stp>
        <stp>FPT=A</stp>
        <stp>FA_ACT_EST_DATA=E, EST_SOURCE=JEF</stp>
        <stp>ACT_EST_MAPPING=PRECISE</stp>
        <stp>FS=MRC</stp>
        <stp>CURRENCY=USD</stp>
        <stp>XLFILL=b</stp>
        <tr r="AJ58" s="2"/>
      </tp>
      <tp t="s">
        <v>#N/A Requesting Data...</v>
        <stp/>
        <stp>##V3_BQLV12</stp>
        <stp>[MODL_NOW_US1.xlsx]Single Period!R20C25</stp>
        <stp>SEG0000230986 Segment</stp>
        <stp>SALES_REV_TURN/1M</stp>
        <stp>FPR=2021Y</stp>
        <stp>FPT=A</stp>
        <stp>FA_ACT_EST_DATA=E, EST_SOURCE=DBG</stp>
        <stp>ACT_EST_MAPPING=PRECISE</stp>
        <stp>FS=MRC</stp>
        <stp>CURRENCY=USD</stp>
        <stp>XLFILL=b</stp>
        <tr r="Y20" s="2"/>
      </tp>
      <tp t="s">
        <v>#N/A Requesting Data...</v>
        <stp/>
        <stp>##V3_BQLV12</stp>
        <stp>[MODL_NOW_US1.xlsx]Single Period!R66C22</stp>
        <stp>SEG0000230986 Segment</stp>
        <stp>SALES_REV_TURN/1M</stp>
        <stp>FPR=2021Y</stp>
        <stp>FPT=A</stp>
        <stp>FA_ACT_EST_DATA=E, EST_SOURCE=NDH</stp>
        <stp>ACT_EST_MAPPING=PRECISE</stp>
        <stp>FS=MRC</stp>
        <stp>CURRENCY=USD</stp>
        <stp>XLFILL=b</stp>
        <tr r="V66" s="2"/>
      </tp>
      <tp t="s">
        <v>#N/A Requesting Data...</v>
        <stp/>
        <stp>##V3_BQLV12</stp>
        <stp>[MODL_NOW_US1.xlsx]Single Period!R54C36</stp>
        <stp>NOW US Equity</stp>
        <stp>IS_FOREIGN_CURRENCY_TURNOVER/1M</stp>
        <stp>FPR=2021Y</stp>
        <stp>FPT=A</stp>
        <stp>FA_ACT_EST_DATA=E, EST_SOURCE=JEF</stp>
        <stp>ACT_EST_MAPPING=PRECISE</stp>
        <stp>FS=MRC</stp>
        <stp>CURRENCY=USD</stp>
        <stp>XLFILL=b</stp>
        <tr r="AJ54" s="2"/>
      </tp>
      <tp t="s">
        <v>#N/A Requesting Data...</v>
        <stp/>
        <stp>##V3_BQLV12</stp>
        <stp>[MODL_NOW_US1.xlsx]Single Period!R99C17</stp>
        <stp>NOW US Equity</stp>
        <stp>IS_COMPARABLE_EBITDA/1M</stp>
        <stp>FPR=2021Y</stp>
        <stp>FPT=A</stp>
        <stp>FA_ACT_EST_DATA=E, EST_SOURCE=RHR</stp>
        <stp>ACT_EST_MAPPING=PRECISE</stp>
        <stp>FS=MRC</stp>
        <stp>CURRENCY=USD</stp>
        <stp>XLFILL=b</stp>
        <tr r="Q99" s="2"/>
      </tp>
      <tp t="s">
        <v>#N/A Requesting Data...</v>
        <stp/>
        <stp>##V3_BQLV12</stp>
        <stp>[MODL_NOW_US1.xlsx]Single Period!R143C42</stp>
        <stp>NOW US Equity</stp>
        <stp>IS_SBC_ATTRIBUTABLE_TO_R_AND_D_PRETX/1M</stp>
        <stp>FPR=2021Y</stp>
        <stp>FPT=A</stp>
        <stp>FA_ACT_EST_DATA=E, EST_SOURCE=CTI</stp>
        <stp>ACT_EST_MAPPING=PRECISE</stp>
        <stp>FS=MRC</stp>
        <stp>CURRENCY=USD</stp>
        <stp>XLFILL=b</stp>
        <tr r="AP143" s="2"/>
      </tp>
      <tp t="s">
        <v>#N/A Requesting Data...</v>
        <stp/>
        <stp>##V3_BQLV12</stp>
        <stp>[MODL_NOW_US1.xlsx]Single Period!R150C26</stp>
        <stp>NOW US Equity</stp>
        <stp>IS_INC_TAX_EFFECT_NONGAAP_REC/1M</stp>
        <stp>FPR=2021Y</stp>
        <stp>FPT=A</stp>
        <stp>FA_ACT_EST_DATA=E, EST_SOURCE=UBS</stp>
        <stp>ACT_EST_MAPPING=PRECISE</stp>
        <stp>FS=MRC</stp>
        <stp>CURRENCY=USD</stp>
        <stp>XLFILL=b</stp>
        <tr r="Z150" s="2"/>
      </tp>
      <tp t="s">
        <v>#N/A Requesting Data...</v>
        <stp/>
        <stp>##V3_BQLV12</stp>
        <stp>[MODL_NOW_US1.xlsx]Single Period!R83C22</stp>
        <stp>NOW US Equity</stp>
        <stp>IS_ADJUSTED_COGS_AS_REPORTED/1M</stp>
        <stp>FPR=2021Y</stp>
        <stp>FPT=A</stp>
        <stp>FA_ACT_EST_DATA=E, EST_SOURCE=NDH</stp>
        <stp>ACT_EST_MAPPING=PRECISE</stp>
        <stp>FS=MRC</stp>
        <stp>CURRENCY=USD</stp>
        <stp>XLFILL=b</stp>
        <tr r="V83" s="2"/>
      </tp>
      <tp t="s">
        <v>#N/A Requesting Data...</v>
        <stp/>
        <stp>##V3_BQLV12</stp>
        <stp>[MODL_NOW_US1.xlsx]Single Period!R16C45</stp>
        <stp>SEG0000230969 Segment</stp>
        <stp>SALES_REV_TURN/1M</stp>
        <stp>FPR=2021Y</stp>
        <stp>FPT=A</stp>
        <stp>FA_ACT_EST_DATA=E, EST_SOURCE=PJE</stp>
        <stp>ACT_EST_MAPPING=PRECISE</stp>
        <stp>FS=MRC</stp>
        <stp>CURRENCY=USD</stp>
        <stp>XLFILL=b</stp>
        <tr r="AS16" s="2"/>
      </tp>
      <tp t="s">
        <v>#N/A Requesting Data...</v>
        <stp/>
        <stp>##V3_BQLV12</stp>
        <stp>[MODL_NOW_US1.xlsx]Single Period!R133C36</stp>
        <stp>NOW US Equity</stp>
        <stp>IS_SH_FOR_DILUTED_EPS/1M</stp>
        <stp>FPR=2021Y</stp>
        <stp>FPT=A</stp>
        <stp>FA_ACT_EST_DATA=E, EST_SOURCE=JEF</stp>
        <stp>ACT_EST_MAPPING=PRECISE</stp>
        <stp>FS=MRC</stp>
        <stp>CURRENCY=USD</stp>
        <stp>XLFILL=b</stp>
        <tr r="AJ133" s="2"/>
      </tp>
      <tp t="s">
        <v>#N/A Requesting Data...</v>
        <stp/>
        <stp>##V3_BQLV12</stp>
        <stp>[MODL_NOW_US1.xlsx]Single Period!R20C12</stp>
        <stp>SEG0000230986 Segment</stp>
        <stp>SALES_REV_TURN/1M</stp>
        <stp>FPR=2021Y</stp>
        <stp>FPT=A</stp>
        <stp>FA_ACT_EST_DATA=E, EST_SOURCE=WBL</stp>
        <stp>ACT_EST_MAPPING=PRECISE</stp>
        <stp>FS=MRC</stp>
        <stp>CURRENCY=USD</stp>
        <stp>XLFILL=b</stp>
        <tr r="L20" s="2"/>
      </tp>
      <tp t="s">
        <v>#N/A Requesting Data...</v>
        <stp/>
        <stp>##V3_BQLV12</stp>
        <stp>[MODL_NOW_US1.xlsx]Single Period!R235C27</stp>
        <stp>NOW US Equity</stp>
        <stp>CF_FREE_CASH_FLOW_AS_REPORTED/1M</stp>
        <stp>FPR=2021Y</stp>
        <stp>FPT=A</stp>
        <stp>FA_ACT_EST_DATA=E, EST_SOURCE=RBC</stp>
        <stp>ACT_EST_MAPPING=PRECISE</stp>
        <stp>FS=MRC</stp>
        <stp>CURRENCY=USD</stp>
        <stp>XLFILL=b</stp>
        <tr r="AA235" s="2"/>
      </tp>
      <tp t="s">
        <v>#N/A Requesting Data...</v>
        <stp/>
        <stp>##V3_BQLV12</stp>
        <stp>[MODL_NOW_US1.xlsx]Single Period!R235C16</stp>
        <stp>NOW US Equity</stp>
        <stp>CF_FREE_CASH_FLOW_AS_REPORTED/1M</stp>
        <stp>FPR=2021Y</stp>
        <stp>FPT=A</stp>
        <stp>FA_ACT_EST_DATA=E, EST_SOURCE=BCA</stp>
        <stp>ACT_EST_MAPPING=PRECISE</stp>
        <stp>FS=MRC</stp>
        <stp>CURRENCY=USD</stp>
        <stp>XLFILL=b</stp>
        <tr r="P235" s="2"/>
      </tp>
      <tp t="s">
        <v>#N/A Requesting Data...</v>
        <stp/>
        <stp>##V3_BQLV12</stp>
        <stp>[MODL_NOW_US1.xlsx]Single Period!R15C43</stp>
        <stp>SEG0000230992 Segment</stp>
        <stp>SALES_REV_TURN/1M</stp>
        <stp>FPR=2021Y</stp>
        <stp>FPT=A</stp>
        <stp>FA_ACT_EST_DATA=E, EST_SOURCE=WFT</stp>
        <stp>ACT_EST_MAPPING=PRECISE</stp>
        <stp>FS=MRC</stp>
        <stp>CURRENCY=USD</stp>
        <stp>XLFILL=b</stp>
        <tr r="AQ15" s="2"/>
      </tp>
      <tp t="s">
        <v>#N/A Requesting Data...</v>
        <stp/>
        <stp>##V3_BQLV12</stp>
        <stp>[MODL_NOW_US1.xlsx]Single Period!R75C43</stp>
        <stp>SEG0000230992 Segment</stp>
        <stp>SALES_REV_TURN/1M</stp>
        <stp>FPR=2021Y</stp>
        <stp>FPT=A</stp>
        <stp>FA_ACT_EST_DATA=E, EST_SOURCE=WFT</stp>
        <stp>ACT_EST_MAPPING=PRECISE</stp>
        <stp>FS=MRC</stp>
        <stp>CURRENCY=USD</stp>
        <stp>XLFILL=b</stp>
        <tr r="AQ75" s="2"/>
      </tp>
      <tp t="s">
        <v>#N/A Requesting Data...</v>
        <stp/>
        <stp>##V3_BQLV12</stp>
        <stp>[MODL_NOW_US1.xlsx]Single Period!R143C31</stp>
        <stp>NOW US Equity</stp>
        <stp>IS_SBC_ATTRIBUTABLE_TO_R_AND_D_PRETX/1M</stp>
        <stp>FPR=2021Y</stp>
        <stp>FPT=A</stp>
        <stp>FA_ACT_EST_DATA=E, EST_SOURCE=GSR</stp>
        <stp>ACT_EST_MAPPING=PRECISE</stp>
        <stp>FS=MRC</stp>
        <stp>CURRENCY=USD</stp>
        <stp>XLFILL=b</stp>
        <tr r="AE143" s="2"/>
      </tp>
      <tp t="s">
        <v>#N/A Requesting Data...</v>
        <stp/>
        <stp>##V3_BQLV12</stp>
        <stp>[MODL_NOW_US1.xlsx]Single Period!R119C32</stp>
        <stp>NOW US Equity</stp>
        <stp>CB_IS_S_AND_M_EXPENSE/1M</stp>
        <stp>FPR=2021Y</stp>
        <stp>FPT=A</stp>
        <stp>FA_ACT_EST_DATA=E, EST_SOURCE=FBC</stp>
        <stp>ACT_EST_MAPPING=PRECISE</stp>
        <stp>FS=MRC</stp>
        <stp>CURRENCY=USD</stp>
        <stp>XLFILL=b</stp>
        <tr r="AF119" s="2"/>
      </tp>
      <tp t="s">
        <v>#N/A Requesting Data...</v>
        <stp/>
        <stp>##V3_BQLV12</stp>
        <stp>[MODL_NOW_US1.xlsx]Single Period!R20C26</stp>
        <stp>SEG0000230986 Segment</stp>
        <stp>SALES_REV_TURN/1M</stp>
        <stp>FPR=2021Y</stp>
        <stp>FPT=A</stp>
        <stp>FA_ACT_EST_DATA=E, EST_SOURCE=UBS</stp>
        <stp>ACT_EST_MAPPING=PRECISE</stp>
        <stp>FS=MRC</stp>
        <stp>CURRENCY=USD</stp>
        <stp>XLFILL=b</stp>
        <tr r="Z20" s="2"/>
      </tp>
      <tp t="s">
        <v>#N/A Requesting Data...</v>
        <stp/>
        <stp>##V3_BQLV12</stp>
        <stp>[MODL_NOW_US1.xlsx]Single Period!R102C20</stp>
        <stp>NOW US Equity</stp>
        <stp>IS_COMP_PTP_EX_STK_BASED_COMP/1M</stp>
        <stp>FPR=2021Y</stp>
        <stp>FPT=A</stp>
        <stp>FA_ACT_EST_DATA=E, EST_SOURCE=CAN</stp>
        <stp>ACT_EST_MAPPING=PRECISE</stp>
        <stp>FS=MRC</stp>
        <stp>CURRENCY=USD</stp>
        <stp>XLFILL=b</stp>
        <tr r="T102" s="2"/>
      </tp>
      <tp t="s">
        <v>#N/A Requesting Data...</v>
        <stp/>
        <stp>##V3_BQLV12</stp>
        <stp>[MODL_NOW_US1.xlsx]Single Period!R143C35</stp>
        <stp>NOW US Equity</stp>
        <stp>IS_SBC_ATTRIBUTABLE_TO_R_AND_D_PRETX/1M</stp>
        <stp>FPR=2021Y</stp>
        <stp>FPT=A</stp>
        <stp>FA_ACT_EST_DATA=E, EST_SOURCE=MSR</stp>
        <stp>ACT_EST_MAPPING=PRECISE</stp>
        <stp>FS=MRC</stp>
        <stp>CURRENCY=USD</stp>
        <stp>XLFILL=b</stp>
        <tr r="AI143" s="2"/>
      </tp>
      <tp t="s">
        <v>#N/A Requesting Data...</v>
        <stp/>
        <stp>##V3_BQLV12</stp>
        <stp>[MODL_NOW_US1.xlsx]Single Period!R102C30</stp>
        <stp>NOW US Equity</stp>
        <stp>IS_COMP_PTP_EX_STK_BASED_COMP/1M</stp>
        <stp>FPR=2021Y</stp>
        <stp>FPT=A</stp>
        <stp>FA_ACT_EST_DATA=E, EST_SOURCE=BAM</stp>
        <stp>ACT_EST_MAPPING=PRECISE</stp>
        <stp>FS=MRC</stp>
        <stp>CURRENCY=USD</stp>
        <stp>XLFILL=b</stp>
        <tr r="AD102" s="2"/>
      </tp>
      <tp t="s">
        <v>#N/A Requesting Data...</v>
        <stp/>
        <stp>##V3_BQLV12</stp>
        <stp>[MODL_NOW_US1.xlsx]Single Period!R200C23</stp>
        <stp>NOW US Equity</stp>
        <stp>CF_DEPR_AMORT/1M</stp>
        <stp>FPR=2021Y</stp>
        <stp>FPT=A</stp>
        <stp>FA_ACT_EST_DATA=E, EST_SOURCE=ZXS</stp>
        <stp>ACT_EST_MAPPING=PRECISE</stp>
        <stp>FS=MRC</stp>
        <stp>CURRENCY=USD</stp>
        <stp>XLFILL=b</stp>
        <tr r="W200" s="2"/>
      </tp>
      <tp t="s">
        <v>#N/A Requesting Data...</v>
        <stp/>
        <stp>##V3_BQLV12</stp>
        <stp>[MODL_NOW_US1.xlsx]Single Period!R101C38</stp>
        <stp>NOW US Equity</stp>
        <stp>CB_IS_OTHER_NON_OPER_INC_EXPN/1M</stp>
        <stp>FPR=2021Y</stp>
        <stp>FPT=A</stp>
        <stp>FA_ACT_EST_DATA=E, EST_SOURCE=RWB</stp>
        <stp>ACT_EST_MAPPING=PRECISE</stp>
        <stp>FS=MRC</stp>
        <stp>CURRENCY=USD</stp>
        <stp>XLFILL=b</stp>
        <tr r="AL101" s="2"/>
      </tp>
      <tp t="s">
        <v>#N/A Requesting Data...</v>
        <stp/>
        <stp>##V3_BQLV12</stp>
        <stp>[MODL_NOW_US1.xlsx]Single Period!R235C43</stp>
        <stp>NOW US Equity</stp>
        <stp>CF_FREE_CASH_FLOW_AS_REPORTED/1M</stp>
        <stp>FPR=2021Y</stp>
        <stp>FPT=A</stp>
        <stp>FA_ACT_EST_DATA=E, EST_SOURCE=WFT</stp>
        <stp>ACT_EST_MAPPING=PRECISE</stp>
        <stp>FS=MRC</stp>
        <stp>CURRENCY=USD</stp>
        <stp>XLFILL=b</stp>
        <tr r="AQ235" s="2"/>
      </tp>
      <tp t="s">
        <v>#N/A Requesting Data...</v>
        <stp/>
        <stp>##V3_BQLV12</stp>
        <stp>[MODL_NOW_US1.xlsx]Single Period!R58C13</stp>
        <stp>SEG0000230975 Segment</stp>
        <stp>SALES_REV_TURN/1M</stp>
        <stp>FPR=2021Y</stp>
        <stp>FPT=A</stp>
        <stp>FA_ACT_EST_DATA=E, EST_SOURCE=KEY</stp>
        <stp>ACT_EST_MAPPING=PRECISE</stp>
        <stp>FS=MRC</stp>
        <stp>CURRENCY=USD</stp>
        <stp>XLFILL=b</stp>
        <tr r="M58" s="2"/>
      </tp>
      <tp t="s">
        <v>#N/A Requesting Data...</v>
        <stp/>
        <stp>##V3_BQLV12</stp>
        <stp>[MODL_NOW_US1.xlsx]Single Period!R119C12</stp>
        <stp>NOW US Equity</stp>
        <stp>CB_IS_S_AND_M_EXPENSE/1M</stp>
        <stp>FPR=2021Y</stp>
        <stp>FPT=A</stp>
        <stp>FA_ACT_EST_DATA=E, EST_SOURCE=WBL</stp>
        <stp>ACT_EST_MAPPING=PRECISE</stp>
        <stp>FS=MRC</stp>
        <stp>CURRENCY=USD</stp>
        <stp>XLFILL=b</stp>
        <tr r="L119" s="2"/>
      </tp>
      <tp t="s">
        <v>#N/A Requesting Data...</v>
        <stp/>
        <stp>##V3_BQLV12</stp>
        <stp>[MODL_NOW_US1.xlsx]Single Period!R169C36</stp>
        <stp>NOW US Equity</stp>
        <stp>CB_BS_OTHER_NONCURRENT_ASSETS/1M</stp>
        <stp>FPR=2021Y</stp>
        <stp>FPT=A</stp>
        <stp>FA_ACT_EST_DATA=E, EST_SOURCE=JEF</stp>
        <stp>ACT_EST_MAPPING=PRECISE</stp>
        <stp>FS=MRC</stp>
        <stp>CURRENCY=USD</stp>
        <stp>XLFILL=b</stp>
        <tr r="AJ169" s="2"/>
      </tp>
      <tp t="s">
        <v>#N/A Requesting Data...</v>
        <stp/>
        <stp>##V3_BQLV12</stp>
        <stp>[MODL_NOW_US1.xlsx]Single Period!R216C10</stp>
        <stp>NOW US Equity</stp>
        <stp>CF_PURCHASE_OF_FIXED_PROD_ASSETS/1M</stp>
        <stp>FPR=2021Y</stp>
        <stp>FPT=A</stp>
        <stp>FA_ACT_EST_DATA=E, EST_SOURCE=CMPY</stp>
        <stp>ACT_EST_MAPPING=PRECISE</stp>
        <stp>FS=MRC</stp>
        <stp>CURRENCY=USD</stp>
        <stp>XLFILL=b</stp>
        <tr r="J216" s="2"/>
      </tp>
      <tp t="s">
        <v>#N/A Requesting Data...</v>
        <stp/>
        <stp>##V3_BQLV12</stp>
        <stp>[MODL_NOW_US1.xlsx]Single Period!R201C46</stp>
        <stp>NOW US Equity</stp>
        <stp>D_AND_A_TO_SALES</stp>
        <stp>FPR=2021Y</stp>
        <stp>FPT=A</stp>
        <stp>FA_ACT_EST_DATA=E, EST_SOURCE=MZS</stp>
        <stp>ACT_EST_MAPPING=PRECISE</stp>
        <stp>FS=MRC</stp>
        <stp>CURRENCY=USD</stp>
        <stp>XLFILL=b</stp>
        <tr r="AT201" s="2"/>
      </tp>
      <tp t="s">
        <v>#N/A Requesting Data...</v>
        <stp/>
        <stp>##V3_BQLV12</stp>
        <stp>[MODL_NOW_US1.xlsx]Single Period!R128C28</stp>
        <stp>NOW US Equity</stp>
        <stp>IS_INC_TAX_EXP/1M</stp>
        <stp>FPR=2021Y</stp>
        <stp>FPT=A</stp>
        <stp>FA_ACT_EST_DATA=E, EST_SOURCE=EVR</stp>
        <stp>ACT_EST_MAPPING=PRECISE</stp>
        <stp>FS=MRC</stp>
        <stp>CURRENCY=USD</stp>
        <stp>XLFILL=b</stp>
        <tr r="AB128" s="2"/>
      </tp>
      <tp t="s">
        <v>#N/A Requesting Data...</v>
        <stp/>
        <stp>##V3_BQLV12</stp>
        <stp>[MODL_NOW_US1.xlsx]Single Period!R168C47</stp>
        <stp>NOW US Equity</stp>
        <stp>CB_BS_DEFERRED_COST_LT/1M</stp>
        <stp>FPR=2021Y</stp>
        <stp>FPT=A</stp>
        <stp>FA_ACT_EST_DATA=E, EST_SOURCE=SUM</stp>
        <stp>ACT_EST_MAPPING=PRECISE</stp>
        <stp>FS=MRC</stp>
        <stp>CURRENCY=USD</stp>
        <stp>XLFILL=b</stp>
        <tr r="AU168" s="2"/>
      </tp>
      <tp t="s">
        <v>#N/A Requesting Data...</v>
        <stp/>
        <stp>##V3_BQLV12</stp>
        <stp>[MODL_NOW_US1.xlsx]Single Period!R226C29</stp>
        <stp>NOW US Equity</stp>
        <stp>CF_OTHER_FINANCING_ACT_EXCL_FX/1M</stp>
        <stp>FPR=2021Y</stp>
        <stp>FPT=A</stp>
        <stp>FA_ACT_EST_DATA=E, EST_SOURCE=BNS</stp>
        <stp>ACT_EST_MAPPING=PRECISE</stp>
        <stp>FS=MRC</stp>
        <stp>CURRENCY=USD</stp>
        <stp>XLFILL=b</stp>
        <tr r="AC226" s="2"/>
      </tp>
      <tp t="s">
        <v>#N/A Requesting Data...</v>
        <stp/>
        <stp>##V3_BQLV12</stp>
        <stp>[MODL_NOW_US1.xlsx]Single Period!R40C19</stp>
        <stp>NOW US Equity</stp>
        <stp>BILLNG_AMOUNT_GROWTH_PCT</stp>
        <stp>FPR=2021Y</stp>
        <stp>FPT=A</stp>
        <stp>FA_ACT_EST_DATA=E, EST_SOURCE=MSV</stp>
        <stp>ACT_EST_MAPPING=PRECISE</stp>
        <stp>FS=MRC</stp>
        <stp>CURRENCY=USD</stp>
        <stp>XLFILL=b</stp>
        <tr r="S40" s="2"/>
      </tp>
      <tp t="s">
        <v>#N/A Requesting Data...</v>
        <stp/>
        <stp>##V3_BQLV12</stp>
        <stp>[MODL_NOW_US1.xlsx]Single Period!R211C14</stp>
        <stp>NOW US Equity</stp>
        <stp>CF_CHG_IN_DEFER_UNEARND_REV_ST/1M</stp>
        <stp>FPR=2021Y</stp>
        <stp>FPT=A</stp>
        <stp>FA_ACT_EST_DATA=E, EST_SOURCE=BMO</stp>
        <stp>ACT_EST_MAPPING=PRECISE</stp>
        <stp>FS=MRC</stp>
        <stp>CURRENCY=USD</stp>
        <stp>XLFILL=b</stp>
        <tr r="N211" s="2"/>
      </tp>
      <tp t="s">
        <v>#N/A Requesting Data...</v>
        <stp/>
        <stp>##V3_BQLV12</stp>
        <stp>[MODL_NOW_US1.xlsx]Single Period!R226C18</stp>
        <stp>NOW US Equity</stp>
        <stp>CF_OTHER_FINANCING_ACT_EXCL_FX/1M</stp>
        <stp>FPR=2021Y</stp>
        <stp>FPT=A</stp>
        <stp>FA_ACT_EST_DATA=E, EST_SOURCE=SNR</stp>
        <stp>ACT_EST_MAPPING=PRECISE</stp>
        <stp>FS=MRC</stp>
        <stp>CURRENCY=USD</stp>
        <stp>XLFILL=b</stp>
        <tr r="R226" s="2"/>
      </tp>
      <tp t="s">
        <v>#N/A Requesting Data...</v>
        <stp/>
        <stp>##V3_BQLV12</stp>
        <stp>[MODL_NOW_US1.xlsx]Single Period!R146C14</stp>
        <stp>NOW US Equity</stp>
        <stp>IS_AMORT_ACQD_INTANGIBLES_COGS/1M</stp>
        <stp>FPR=2021Y</stp>
        <stp>FPT=A</stp>
        <stp>FA_ACT_EST_DATA=E, EST_SOURCE=BMO</stp>
        <stp>ACT_EST_MAPPING=PRECISE</stp>
        <stp>FS=MRC</stp>
        <stp>CURRENCY=USD</stp>
        <stp>XLFILL=b</stp>
        <tr r="N146" s="2"/>
      </tp>
      <tp t="s">
        <v>#N/A Requesting Data...</v>
        <stp/>
        <stp>##V3_BQLV12</stp>
        <stp>[MODL_NOW_US1.xlsx]Single Period!R232C43</stp>
        <stp>NOW US Equity</stp>
        <stp>CF_CASH_AND_CASH_EQUIV_BEG_BAL/1M</stp>
        <stp>FPR=2021Y</stp>
        <stp>FPT=A</stp>
        <stp>FA_ACT_EST_DATA=E, EST_SOURCE=WFT</stp>
        <stp>ACT_EST_MAPPING=PRECISE</stp>
        <stp>FS=MRC</stp>
        <stp>CURRENCY=USD</stp>
        <stp>XLFILL=b</stp>
        <tr r="AQ232" s="2"/>
      </tp>
      <tp t="s">
        <v>#N/A Requesting Data...</v>
        <stp/>
        <stp>##V3_BQLV12</stp>
        <stp>[MODL_NOW_US1.xlsx]Single Period!R64C43</stp>
        <stp>SEG0000230975 Segment</stp>
        <stp>CB_IS_GROSS_MARGIN</stp>
        <stp>FPR=2021Y</stp>
        <stp>FPT=A</stp>
        <stp>FA_ACT_EST_DATA=E, EST_SOURCE=WFT</stp>
        <stp>ACT_EST_MAPPING=PRECISE</stp>
        <stp>FS=MRC</stp>
        <stp>CURRENCY=USD</stp>
        <stp>XLFILL=b</stp>
        <tr r="AQ64" s="2"/>
      </tp>
      <tp t="s">
        <v>#N/A Requesting Data...</v>
        <stp/>
        <stp>##V3_BQLV12</stp>
        <stp>[MODL_NOW_US1.xlsx]Single Period!R156C37</stp>
        <stp>NOW US Equity</stp>
        <stp>BS_CASH_NEAR_CASH_ITEM/1M</stp>
        <stp>FPR=2021Y</stp>
        <stp>FPT=A</stp>
        <stp>FA_ACT_EST_DATA=E, EST_SOURCE=TTC</stp>
        <stp>ACT_EST_MAPPING=PRECISE</stp>
        <stp>FS=MRC</stp>
        <stp>CURRENCY=USD</stp>
        <stp>XLFILL=b</stp>
        <tr r="AK156" s="2"/>
      </tp>
      <tp t="s">
        <v>#N/A Requesting Data...</v>
        <stp/>
        <stp>##V3_BQLV12</stp>
        <stp>[MODL_NOW_US1.xlsx]Single Period!R10C5</stp>
        <stp>NOW US Equity</stp>
        <stp>BILLNG_AMOUNT_GROWTH_PCT</stp>
        <stp>FPR=2021Y</stp>
        <stp>FPT=A</stp>
        <stp>FA_ACT_EST_DATA=E</stp>
        <stp>ACT_EST_MAPPING=PRECISE</stp>
        <stp>FS=MRC</stp>
        <stp>CURRENCY=USD</stp>
        <stp>XLFILL=b</stp>
        <tr r="E10" s="2"/>
      </tp>
      <tp t="s">
        <v>#N/A Requesting Data...</v>
        <stp/>
        <stp>##V3_BQLV12</stp>
        <stp>[MODL_NOW_US1.xlsx]Single Period!R233C22</stp>
        <stp>NOW US Equity</stp>
        <stp>CF_CASH_AND_CASH_EQUIV_END_BAL/1M</stp>
        <stp>FPR=2021Y</stp>
        <stp>FPT=A</stp>
        <stp>FA_ACT_EST_DATA=E, EST_SOURCE=NDH</stp>
        <stp>ACT_EST_MAPPING=PRECISE</stp>
        <stp>FS=MRC</stp>
        <stp>CURRENCY=USD</stp>
        <stp>XLFILL=b</stp>
        <tr r="V233" s="2"/>
      </tp>
      <tp t="s">
        <v>#N/A Requesting Data...</v>
        <stp/>
        <stp>##V3_BQLV12</stp>
        <stp>[MODL_NOW_US1.xlsx]Single Period!R40C5</stp>
        <stp>NOW US Equity</stp>
        <stp>BILLNG_AMOUNT_GROWTH_PCT</stp>
        <stp>FPR=2021Y</stp>
        <stp>FPT=A</stp>
        <stp>FA_ACT_EST_DATA=E</stp>
        <stp>ACT_EST_MAPPING=PRECISE</stp>
        <stp>FS=MRC</stp>
        <stp>CURRENCY=USD</stp>
        <stp>XLFILL=b</stp>
        <tr r="E40" s="2"/>
      </tp>
      <tp t="s">
        <v>#N/A Requesting Data...</v>
        <stp/>
        <stp>##V3_BQLV12</stp>
        <stp>[MODL_NOW_US1.xlsx]Single Period!R62C38</stp>
        <stp>SEG0000230975 Segment</stp>
        <stp>IS_ADJ_GROSS_MARGIN_PCT_AR</stp>
        <stp>FPR=2021Y</stp>
        <stp>FPT=A</stp>
        <stp>FA_ACT_EST_DATA=E, EST_SOURCE=RWB</stp>
        <stp>ACT_EST_MAPPING=PRECISE</stp>
        <stp>FS=MRC</stp>
        <stp>CURRENCY=USD</stp>
        <stp>XLFILL=b</stp>
        <tr r="AL62" s="2"/>
      </tp>
      <tp t="s">
        <v>#N/A Requesting Data...</v>
        <stp/>
        <stp>##V3_BQLV12</stp>
        <stp>[MODL_NOW_US1.xlsx]Single Period!R18C38</stp>
        <stp>SEG0000230975 Segment</stp>
        <stp>IS_ADJ_GROSS_MARGIN_PCT_AR</stp>
        <stp>FPR=2021Y</stp>
        <stp>FPT=A</stp>
        <stp>FA_ACT_EST_DATA=E, EST_SOURCE=RWB</stp>
        <stp>ACT_EST_MAPPING=PRECISE</stp>
        <stp>FS=MRC</stp>
        <stp>CURRENCY=USD</stp>
        <stp>XLFILL=b</stp>
        <tr r="AL18" s="2"/>
      </tp>
      <tp t="s">
        <v>#N/A Requesting Data...</v>
        <stp/>
        <stp>##V3_BQLV12</stp>
        <stp>[MODL_NOW_US1.xlsx]Single Period!R10C38</stp>
        <stp>NOW US Equity</stp>
        <stp>BILLNG_AMOUNT_GROWTH_PCT</stp>
        <stp>FPR=2021Y</stp>
        <stp>FPT=A</stp>
        <stp>FA_ACT_EST_DATA=E, EST_SOURCE=RWB</stp>
        <stp>ACT_EST_MAPPING=PRECISE</stp>
        <stp>FS=MRC</stp>
        <stp>CURRENCY=USD</stp>
        <stp>XLFILL=b</stp>
        <tr r="AL10" s="2"/>
      </tp>
      <tp t="s">
        <v>#N/A Requesting Data...</v>
        <stp/>
        <stp>##V3_BQLV12</stp>
        <stp>[MODL_NOW_US1.xlsx]Single Period!R22C37</stp>
        <stp>SEG0000230986 Segment</stp>
        <stp>IS_ADJ_GROSS_MARGIN_PCT_AR</stp>
        <stp>FPR=2021Y</stp>
        <stp>FPT=A</stp>
        <stp>FA_ACT_EST_DATA=E, EST_SOURCE=TTC</stp>
        <stp>ACT_EST_MAPPING=PRECISE</stp>
        <stp>FS=MRC</stp>
        <stp>CURRENCY=USD</stp>
        <stp>XLFILL=b</stp>
        <tr r="AK22" s="2"/>
      </tp>
      <tp t="s">
        <v>#N/A Requesting Data...</v>
        <stp/>
        <stp>##V3_BQLV12</stp>
        <stp>[MODL_NOW_US1.xlsx]Single Period!R70C37</stp>
        <stp>SEG0000230986 Segment</stp>
        <stp>IS_ADJ_GROSS_MARGIN_PCT_AR</stp>
        <stp>FPR=2021Y</stp>
        <stp>FPT=A</stp>
        <stp>FA_ACT_EST_DATA=E, EST_SOURCE=TTC</stp>
        <stp>ACT_EST_MAPPING=PRECISE</stp>
        <stp>FS=MRC</stp>
        <stp>CURRENCY=USD</stp>
        <stp>XLFILL=b</stp>
        <tr r="AK70" s="2"/>
      </tp>
      <tp t="s">
        <v>#N/A Requesting Data...</v>
        <stp/>
        <stp>##V3_BQLV12</stp>
        <stp>[MODL_NOW_US1.xlsx]Single Period!R40C48</stp>
        <stp>NOW US Equity</stp>
        <stp>BILLNG_AMOUNT_GROWTH_PCT</stp>
        <stp>FPR=2021Y</stp>
        <stp>FPT=A</stp>
        <stp>FA_ACT_EST_DATA=E, EST_SOURCE=CRC</stp>
        <stp>ACT_EST_MAPPING=PRECISE</stp>
        <stp>FS=MRC</stp>
        <stp>CURRENCY=USD</stp>
        <stp>XLFILL=b</stp>
        <tr r="AV40" s="2"/>
      </tp>
      <tp t="s">
        <v>#N/A Requesting Data...</v>
        <stp/>
        <stp>##V3_BQLV12</stp>
        <stp>[MODL_NOW_US1.xlsx]Single Period!R156C42</stp>
        <stp>NOW US Equity</stp>
        <stp>BS_CASH_NEAR_CASH_ITEM/1M</stp>
        <stp>FPR=2021Y</stp>
        <stp>FPT=A</stp>
        <stp>FA_ACT_EST_DATA=E, EST_SOURCE=CTI</stp>
        <stp>ACT_EST_MAPPING=PRECISE</stp>
        <stp>FS=MRC</stp>
        <stp>CURRENCY=USD</stp>
        <stp>XLFILL=b</stp>
        <tr r="AP156" s="2"/>
      </tp>
      <tp t="s">
        <v>#N/A Requesting Data...</v>
        <stp/>
        <stp>##V3_BQLV12</stp>
        <stp>[MODL_NOW_US1.xlsx]Single Period!R70C42</stp>
        <stp>SEG0000230986 Segment</stp>
        <stp>IS_ADJ_GROSS_MARGIN_PCT_AR</stp>
        <stp>FPR=2021Y</stp>
        <stp>FPT=A</stp>
        <stp>FA_ACT_EST_DATA=E, EST_SOURCE=CTI</stp>
        <stp>ACT_EST_MAPPING=PRECISE</stp>
        <stp>FS=MRC</stp>
        <stp>CURRENCY=USD</stp>
        <stp>XLFILL=b</stp>
        <tr r="AP70" s="2"/>
      </tp>
      <tp t="s">
        <v>#N/A Requesting Data...</v>
        <stp/>
        <stp>##V3_BQLV12</stp>
        <stp>[MODL_NOW_US1.xlsx]Single Period!R62C40</stp>
        <stp>SEG0000230975 Segment</stp>
        <stp>IS_ADJ_GROSS_MARGIN_PCT_AR</stp>
        <stp>FPR=2021Y</stp>
        <stp>FPT=A</stp>
        <stp>FA_ACT_EST_DATA=E, EST_SOURCE=DWI</stp>
        <stp>ACT_EST_MAPPING=PRECISE</stp>
        <stp>FS=MRC</stp>
        <stp>CURRENCY=USD</stp>
        <stp>XLFILL=b</stp>
        <tr r="AN62" s="2"/>
      </tp>
      <tp t="s">
        <v>#N/A Requesting Data...</v>
        <stp/>
        <stp>##V3_BQLV12</stp>
        <stp>[MODL_NOW_US1.xlsx]Single Period!R18C40</stp>
        <stp>SEG0000230975 Segment</stp>
        <stp>IS_ADJ_GROSS_MARGIN_PCT_AR</stp>
        <stp>FPR=2021Y</stp>
        <stp>FPT=A</stp>
        <stp>FA_ACT_EST_DATA=E, EST_SOURCE=DWI</stp>
        <stp>ACT_EST_MAPPING=PRECISE</stp>
        <stp>FS=MRC</stp>
        <stp>CURRENCY=USD</stp>
        <stp>XLFILL=b</stp>
        <tr r="AN18" s="2"/>
      </tp>
      <tp t="s">
        <v>#N/A Requesting Data...</v>
        <stp/>
        <stp>##V3_BQLV12</stp>
        <stp>[MODL_NOW_US1.xlsx]Single Period!R22C42</stp>
        <stp>SEG0000230986 Segment</stp>
        <stp>IS_ADJ_GROSS_MARGIN_PCT_AR</stp>
        <stp>FPR=2021Y</stp>
        <stp>FPT=A</stp>
        <stp>FA_ACT_EST_DATA=E, EST_SOURCE=CTI</stp>
        <stp>ACT_EST_MAPPING=PRECISE</stp>
        <stp>FS=MRC</stp>
        <stp>CURRENCY=USD</stp>
        <stp>XLFILL=b</stp>
        <tr r="AP22" s="2"/>
      </tp>
      <tp t="s">
        <v>#N/A Requesting Data...</v>
        <stp/>
        <stp>##V3_BQLV12</stp>
        <stp>[MODL_NOW_US1.xlsx]Single Period!R18C24</stp>
        <stp>SEG0000230975 Segment</stp>
        <stp>IS_ADJ_GROSS_MARGIN_PCT_AR</stp>
        <stp>FPR=2021Y</stp>
        <stp>FPT=A</stp>
        <stp>FA_ACT_EST_DATA=E, EST_SOURCE=CWN</stp>
        <stp>ACT_EST_MAPPING=PRECISE</stp>
        <stp>FS=MRC</stp>
        <stp>CURRENCY=USD</stp>
        <stp>XLFILL=b</stp>
        <tr r="X18" s="2"/>
      </tp>
      <tp t="s">
        <v>#N/A Requesting Data...</v>
        <stp/>
        <stp>##V3_BQLV12</stp>
        <stp>[MODL_NOW_US1.xlsx]Single Period!R62C24</stp>
        <stp>SEG0000230975 Segment</stp>
        <stp>IS_ADJ_GROSS_MARGIN_PCT_AR</stp>
        <stp>FPR=2021Y</stp>
        <stp>FPT=A</stp>
        <stp>FA_ACT_EST_DATA=E, EST_SOURCE=CWN</stp>
        <stp>ACT_EST_MAPPING=PRECISE</stp>
        <stp>FS=MRC</stp>
        <stp>CURRENCY=USD</stp>
        <stp>XLFILL=b</stp>
        <tr r="X62" s="2"/>
      </tp>
      <tp t="s">
        <v>#N/A Requesting Data...</v>
        <stp/>
        <stp>##V3_BQLV12</stp>
        <stp>[MODL_NOW_US1.xlsx]Single Period!R146C21</stp>
        <stp>NOW US Equity</stp>
        <stp>IS_AMORT_ACQD_INTANGIBLES_COGS/1M</stp>
        <stp>FPR=2021Y</stp>
        <stp>FPT=A</stp>
        <stp>FA_ACT_EST_DATA=E, EST_SOURCE=JMP</stp>
        <stp>ACT_EST_MAPPING=PRECISE</stp>
        <stp>FS=MRC</stp>
        <stp>CURRENCY=USD</stp>
        <stp>XLFILL=b</stp>
        <tr r="U146" s="2"/>
      </tp>
      <tp t="s">
        <v>#N/A Requesting Data...</v>
        <stp/>
        <stp>##V3_BQLV12</stp>
        <stp>[MODL_NOW_US1.xlsx]Single Period!R195C23</stp>
        <stp>NOW US Equity</stp>
        <stp>CB_BS_DEFERRED_COST_LT/1M</stp>
        <stp>FPR=2021Y</stp>
        <stp>FPT=A</stp>
        <stp>FA_ACT_EST_DATA=E, EST_SOURCE=ZXS</stp>
        <stp>ACT_EST_MAPPING=PRECISE</stp>
        <stp>FS=MRC</stp>
        <stp>CURRENCY=USD</stp>
        <stp>XLFILL=b</stp>
        <tr r="W195" s="2"/>
      </tp>
      <tp t="s">
        <v>#N/A Requesting Data...</v>
        <stp/>
        <stp>##V3_BQLV12</stp>
        <stp>[MODL_NOW_US1.xlsx]Single Period!R211C21</stp>
        <stp>NOW US Equity</stp>
        <stp>CF_CHG_IN_DEFER_UNEARND_REV_ST/1M</stp>
        <stp>FPR=2021Y</stp>
        <stp>FPT=A</stp>
        <stp>FA_ACT_EST_DATA=E, EST_SOURCE=JMP</stp>
        <stp>ACT_EST_MAPPING=PRECISE</stp>
        <stp>FS=MRC</stp>
        <stp>CURRENCY=USD</stp>
        <stp>XLFILL=b</stp>
        <tr r="U211" s="2"/>
      </tp>
      <tp t="s">
        <v>#N/A Requesting Data...</v>
        <stp/>
        <stp>##V3_BQLV12</stp>
        <stp>[MODL_NOW_US1.xlsx]Single Period!R184C43</stp>
        <stp>NOW US Equity</stp>
        <stp>BS_EQTY_BEFORE_MINORITY_INT/1M</stp>
        <stp>FPR=2021Y</stp>
        <stp>FPT=A</stp>
        <stp>FA_ACT_EST_DATA=E, EST_SOURCE=WFT</stp>
        <stp>ACT_EST_MAPPING=PRECISE</stp>
        <stp>FS=MRC</stp>
        <stp>CURRENCY=USD</stp>
        <stp>XLFILL=b</stp>
        <tr r="AQ184" s="2"/>
      </tp>
      <tp t="s">
        <v>#N/A Requesting Data...</v>
        <stp/>
        <stp>##V3_BQLV12</stp>
        <stp>[MODL_NOW_US1.xlsx]Single Period!R158C34</stp>
        <stp>NOW US Equity</stp>
        <stp>BS_ACCTS_REC_EXCL_NOTES_REC/1M</stp>
        <stp>FPR=2021Y</stp>
        <stp>FPT=A</stp>
        <stp>FA_ACT_EST_DATA=E, EST_SOURCE=PSG</stp>
        <stp>ACT_EST_MAPPING=PRECISE</stp>
        <stp>FS=MRC</stp>
        <stp>CURRENCY=USD</stp>
        <stp>XLFILL=b</stp>
        <tr r="AH158" s="2"/>
      </tp>
      <tp t="s">
        <v>#N/A Requesting Data...</v>
        <stp/>
        <stp>##V3_BQLV12</stp>
        <stp>[MODL_NOW_US1.xlsx]Single Period!R80C15</stp>
        <stp>NOW US Equity</stp>
        <stp>IS_COMP_SALES/1M</stp>
        <stp>FPR=2021Y</stp>
        <stp>FPT=A</stp>
        <stp>FA_ACT_EST_DATA=E, EST_SOURCE=OPY</stp>
        <stp>ACT_EST_MAPPING=PRECISE</stp>
        <stp>FS=MRC</stp>
        <stp>CURRENCY=USD</stp>
        <stp>XLFILL=b</stp>
        <tr r="O80" s="2"/>
      </tp>
      <tp t="s">
        <v>#N/A Requesting Data...</v>
        <stp/>
        <stp>##V3_BQLV12</stp>
        <stp>[MODL_NOW_US1.xlsx]Single Period!R92C42</stp>
        <stp>NOW US Equity</stp>
        <stp>IS_ADJ_GENL_AND_ADMIN_EXPN_AR/1M</stp>
        <stp>FPR=2021Y</stp>
        <stp>FPT=A</stp>
        <stp>FA_ACT_EST_DATA=E, EST_SOURCE=CTI</stp>
        <stp>ACT_EST_MAPPING=PRECISE</stp>
        <stp>FS=MRC</stp>
        <stp>CURRENCY=USD</stp>
        <stp>XLFILL=b</stp>
        <tr r="AP92" s="2"/>
      </tp>
      <tp t="s">
        <v>#N/A Requesting Data...</v>
        <stp/>
        <stp>##V3_BQLV12</stp>
        <stp>[MODL_NOW_US1.xlsx]Single Period!R139C39</stp>
        <stp>NOW US Equity</stp>
        <stp>IS_SBC_ATTRIB_TO_COGS_PRETX/1M</stp>
        <stp>FPR=2021Y</stp>
        <stp>FPT=A</stp>
        <stp>FA_ACT_EST_DATA=E, EST_SOURCE=DZB</stp>
        <stp>ACT_EST_MAPPING=PRECISE</stp>
        <stp>FS=MRC</stp>
        <stp>CURRENCY=USD</stp>
        <stp>XLFILL=b</stp>
        <tr r="AM139" s="2"/>
      </tp>
      <tp t="s">
        <v>#N/A Requesting Data...</v>
        <stp/>
        <stp>##V3_BQLV12</stp>
        <stp>[MODL_NOW_US1.xlsx]Single Period!R92C44</stp>
        <stp>NOW US Equity</stp>
        <stp>IS_ADJ_GENL_AND_ADMIN_EXPN_AR/1M</stp>
        <stp>FPR=2021Y</stp>
        <stp>FPT=A</stp>
        <stp>FA_ACT_EST_DATA=E, EST_SOURCE=ARE</stp>
        <stp>ACT_EST_MAPPING=PRECISE</stp>
        <stp>FS=MRC</stp>
        <stp>CURRENCY=USD</stp>
        <stp>XLFILL=b</stp>
        <tr r="AR92" s="2"/>
      </tp>
      <tp t="s">
        <v>#N/A Requesting Data...</v>
        <stp/>
        <stp>##V3_BQLV12</stp>
        <stp>[MODL_NOW_US1.xlsx]Single Period!R105C19</stp>
        <stp>NOW US Equity</stp>
        <stp>ADJ_PROFIT_MARGIN</stp>
        <stp>FPR=2021Y</stp>
        <stp>FPT=A</stp>
        <stp>FA_ACT_EST_DATA=E, EST_SOURCE=MSV</stp>
        <stp>ACT_EST_MAPPING=PRECISE</stp>
        <stp>FS=MRC</stp>
        <stp>CURRENCY=USD</stp>
        <stp>XLFILL=b</stp>
        <tr r="S105" s="2"/>
      </tp>
      <tp t="s">
        <v>#N/A Requesting Data...</v>
        <stp/>
        <stp>##V3_BQLV12</stp>
        <stp>[MODL_NOW_US1.xlsx]Single Period!R210C19</stp>
        <stp>NOW US Equity</stp>
        <stp>CF_CHANGE_IN_PREPAID_EXPNSS/1M</stp>
        <stp>FPR=2021Y</stp>
        <stp>FPT=A</stp>
        <stp>FA_ACT_EST_DATA=E, EST_SOURCE=MSV</stp>
        <stp>ACT_EST_MAPPING=PRECISE</stp>
        <stp>FS=MRC</stp>
        <stp>CURRENCY=USD</stp>
        <stp>XLFILL=b</stp>
        <tr r="S210" s="2"/>
      </tp>
      <tp t="s">
        <v>#N/A Requesting Data...</v>
        <stp/>
        <stp>##V3_BQLV12</stp>
        <stp>[MODL_NOW_US1.xlsx]Single Period!R30C35</stp>
        <stp>NOW US Equity</stp>
        <stp>CF_FREE_CASH_FLOW_AS_REPORTED/1M</stp>
        <stp>FPR=2021Y</stp>
        <stp>FPT=A</stp>
        <stp>FA_ACT_EST_DATA=E, EST_SOURCE=MSR</stp>
        <stp>ACT_EST_MAPPING=PRECISE</stp>
        <stp>FS=MRC</stp>
        <stp>CURRENCY=USD</stp>
        <stp>XLFILL=b</stp>
        <tr r="AI30" s="2"/>
      </tp>
      <tp t="s">
        <v>#N/A Requesting Data...</v>
        <stp/>
        <stp>##V3_BQLV12</stp>
        <stp>[MODL_NOW_US1.xlsx]Single Period!R210C35</stp>
        <stp>NOW US Equity</stp>
        <stp>CF_CHANGE_IN_PREPAID_EXPNSS/1M</stp>
        <stp>FPR=2021Y</stp>
        <stp>FPT=A</stp>
        <stp>FA_ACT_EST_DATA=E, EST_SOURCE=MSR</stp>
        <stp>ACT_EST_MAPPING=PRECISE</stp>
        <stp>FS=MRC</stp>
        <stp>CURRENCY=USD</stp>
        <stp>XLFILL=b</stp>
        <tr r="AI210" s="2"/>
      </tp>
      <tp t="s">
        <v>#N/A Requesting Data...</v>
        <stp/>
        <stp>##V3_BQLV12</stp>
        <stp>[MODL_NOW_US1.xlsx]Single Period!R210C31</stp>
        <stp>NOW US Equity</stp>
        <stp>CF_CHANGE_IN_PREPAID_EXPNSS/1M</stp>
        <stp>FPR=2021Y</stp>
        <stp>FPT=A</stp>
        <stp>FA_ACT_EST_DATA=E, EST_SOURCE=GSR</stp>
        <stp>ACT_EST_MAPPING=PRECISE</stp>
        <stp>FS=MRC</stp>
        <stp>CURRENCY=USD</stp>
        <stp>XLFILL=b</stp>
        <tr r="AE210" s="2"/>
      </tp>
      <tp t="s">
        <v>#N/A Requesting Data...</v>
        <stp/>
        <stp>##V3_BQLV12</stp>
        <stp>[MODL_NOW_US1.xlsx]Single Period!R180C34</stp>
        <stp>NOW US Equity</stp>
        <stp>BS_LT_OPERATING_LEASE_LIABS/1M</stp>
        <stp>FPR=2021Y</stp>
        <stp>FPT=A</stp>
        <stp>FA_ACT_EST_DATA=E, EST_SOURCE=PSG</stp>
        <stp>ACT_EST_MAPPING=PRECISE</stp>
        <stp>FS=MRC</stp>
        <stp>CURRENCY=USD</stp>
        <stp>XLFILL=b</stp>
        <tr r="AH180" s="2"/>
      </tp>
      <tp t="s">
        <v>#N/A Requesting Data...</v>
        <stp/>
        <stp>##V3_BQLV12</stp>
        <stp>[MODL_NOW_US1.xlsx]Single Period!R137C43</stp>
        <stp>NOW US Equity</stp>
        <stp>CF_STOCK_BASED_COMPENSATION/1M</stp>
        <stp>FPR=2021Y</stp>
        <stp>FPT=A</stp>
        <stp>FA_ACT_EST_DATA=E, EST_SOURCE=WFT</stp>
        <stp>ACT_EST_MAPPING=PRECISE</stp>
        <stp>FS=MRC</stp>
        <stp>CURRENCY=USD</stp>
        <stp>XLFILL=b</stp>
        <tr r="AQ137" s="2"/>
      </tp>
      <tp t="s">
        <v>#N/A Requesting Data...</v>
        <stp/>
        <stp>##V3_BQLV12</stp>
        <stp>[MODL_NOW_US1.xlsx]Single Period!R105C31</stp>
        <stp>NOW US Equity</stp>
        <stp>ADJ_PROFIT_MARGIN</stp>
        <stp>FPR=2021Y</stp>
        <stp>FPT=A</stp>
        <stp>FA_ACT_EST_DATA=E, EST_SOURCE=GSR</stp>
        <stp>ACT_EST_MAPPING=PRECISE</stp>
        <stp>FS=MRC</stp>
        <stp>CURRENCY=USD</stp>
        <stp>XLFILL=b</stp>
        <tr r="AE105" s="2"/>
      </tp>
      <tp t="s">
        <v>#N/A Requesting Data...</v>
        <stp/>
        <stp>##V3_BQLV12</stp>
        <stp>[MODL_NOW_US1.xlsx]Single Period!R105C35</stp>
        <stp>NOW US Equity</stp>
        <stp>ADJ_PROFIT_MARGIN</stp>
        <stp>FPR=2021Y</stp>
        <stp>FPT=A</stp>
        <stp>FA_ACT_EST_DATA=E, EST_SOURCE=MSR</stp>
        <stp>ACT_EST_MAPPING=PRECISE</stp>
        <stp>FS=MRC</stp>
        <stp>CURRENCY=USD</stp>
        <stp>XLFILL=b</stp>
        <tr r="AI105" s="2"/>
      </tp>
      <tp t="s">
        <v>#N/A Requesting Data...</v>
        <stp/>
        <stp>##V3_BQLV12</stp>
        <stp>[MODL_NOW_US1.xlsx]Single Period!R30C42</stp>
        <stp>NOW US Equity</stp>
        <stp>CF_FREE_CASH_FLOW_AS_REPORTED/1M</stp>
        <stp>FPR=2021Y</stp>
        <stp>FPT=A</stp>
        <stp>FA_ACT_EST_DATA=E, EST_SOURCE=CTI</stp>
        <stp>ACT_EST_MAPPING=PRECISE</stp>
        <stp>FS=MRC</stp>
        <stp>CURRENCY=USD</stp>
        <stp>XLFILL=b</stp>
        <tr r="AP30" s="2"/>
      </tp>
      <tp t="s">
        <v>#N/A Requesting Data...</v>
        <stp/>
        <stp>##V3_BQLV12</stp>
        <stp>[MODL_NOW_US1.xlsx]Single Period!R158C19</stp>
        <stp>NOW US Equity</stp>
        <stp>BS_ACCTS_REC_EXCL_NOTES_REC/1M</stp>
        <stp>FPR=2021Y</stp>
        <stp>FPT=A</stp>
        <stp>FA_ACT_EST_DATA=E, EST_SOURCE=MSV</stp>
        <stp>ACT_EST_MAPPING=PRECISE</stp>
        <stp>FS=MRC</stp>
        <stp>CURRENCY=USD</stp>
        <stp>XLFILL=b</stp>
        <tr r="S158" s="2"/>
      </tp>
      <tp t="s">
        <v>#N/A Requesting Data...</v>
        <stp/>
        <stp>##V3_BQLV12</stp>
        <stp>[MODL_NOW_US1.xlsx]Single Period!R176C28</stp>
        <stp>NOW US Equity</stp>
        <stp>ST_DEFERRED_REVENUE/1M</stp>
        <stp>FPR=2021Y</stp>
        <stp>FPT=A</stp>
        <stp>FA_ACT_EST_DATA=E, EST_SOURCE=EVR</stp>
        <stp>ACT_EST_MAPPING=PRECISE</stp>
        <stp>FS=MRC</stp>
        <stp>CURRENCY=USD</stp>
        <stp>XLFILL=b</stp>
        <tr r="AB176" s="2"/>
      </tp>
      <tp t="s">
        <v>#N/A Requesting Data...</v>
        <stp/>
        <stp>##V3_BQLV12</stp>
        <stp>[MODL_NOW_US1.xlsx]Single Period!R191C28</stp>
        <stp>NOW US Equity</stp>
        <stp>ST_DEFERRED_REVENUE/1M</stp>
        <stp>FPR=2021Y</stp>
        <stp>FPT=A</stp>
        <stp>FA_ACT_EST_DATA=E, EST_SOURCE=EVR</stp>
        <stp>ACT_EST_MAPPING=PRECISE</stp>
        <stp>FS=MRC</stp>
        <stp>CURRENCY=USD</stp>
        <stp>XLFILL=b</stp>
        <tr r="AB191" s="2"/>
      </tp>
      <tp t="s">
        <v>#N/A Requesting Data...</v>
        <stp/>
        <stp>##V3_BQLV12</stp>
        <stp>[MODL_NOW_US1.xlsx]Single Period!R192C28</stp>
        <stp>NOW US Equity</stp>
        <stp>LT_DEFERRED_REVENUE/1M</stp>
        <stp>FPR=2021Y</stp>
        <stp>FPT=A</stp>
        <stp>FA_ACT_EST_DATA=E, EST_SOURCE=EVR</stp>
        <stp>ACT_EST_MAPPING=PRECISE</stp>
        <stp>FS=MRC</stp>
        <stp>CURRENCY=USD</stp>
        <stp>XLFILL=b</stp>
        <tr r="AB192" s="2"/>
      </tp>
      <tp t="s">
        <v>#N/A Requesting Data...</v>
        <stp/>
        <stp>##V3_BQLV12</stp>
        <stp>[MODL_NOW_US1.xlsx]Single Period!R179C28</stp>
        <stp>NOW US Equity</stp>
        <stp>LT_DEFERRED_REVENUE/1M</stp>
        <stp>FPR=2021Y</stp>
        <stp>FPT=A</stp>
        <stp>FA_ACT_EST_DATA=E, EST_SOURCE=EVR</stp>
        <stp>ACT_EST_MAPPING=PRECISE</stp>
        <stp>FS=MRC</stp>
        <stp>CURRENCY=USD</stp>
        <stp>XLFILL=b</stp>
        <tr r="AB179" s="2"/>
      </tp>
      <tp t="s">
        <v>#N/A Requesting Data...</v>
        <stp/>
        <stp>##V3_BQLV12</stp>
        <stp>[MODL_NOW_US1.xlsx]Single Period!R89C28</stp>
        <stp>NOW US Equity</stp>
        <stp>IS_REV_INCLUDING_INTERSEG_REV/1M</stp>
        <stp>FPR=2021Y</stp>
        <stp>FPT=A</stp>
        <stp>FA_ACT_EST_DATA=E, EST_SOURCE=EVR</stp>
        <stp>ACT_EST_MAPPING=PRECISE</stp>
        <stp>FS=MRC</stp>
        <stp>CURRENCY=USD</stp>
        <stp>XLFILL=b</stp>
        <tr r="AB89" s="2"/>
      </tp>
      <tp t="s">
        <v>#N/A Requesting Data...</v>
        <stp/>
        <stp>##V3_BQLV12</stp>
        <stp>[MODL_NOW_US1.xlsx]Single Period!R139C46</stp>
        <stp>NOW US Equity</stp>
        <stp>IS_SBC_ATTRIB_TO_COGS_PRETX/1M</stp>
        <stp>FPR=2021Y</stp>
        <stp>FPT=A</stp>
        <stp>FA_ACT_EST_DATA=E, EST_SOURCE=MZS</stp>
        <stp>ACT_EST_MAPPING=PRECISE</stp>
        <stp>FS=MRC</stp>
        <stp>CURRENCY=USD</stp>
        <stp>XLFILL=b</stp>
        <tr r="AT139" s="2"/>
      </tp>
      <tp t="s">
        <v>#N/A Requesting Data...</v>
        <stp/>
        <stp>##V3_BQLV12</stp>
        <stp>[MODL_NOW_US1.xlsx]Single Period!R158C31</stp>
        <stp>NOW US Equity</stp>
        <stp>BS_ACCTS_REC_EXCL_NOTES_REC/1M</stp>
        <stp>FPR=2021Y</stp>
        <stp>FPT=A</stp>
        <stp>FA_ACT_EST_DATA=E, EST_SOURCE=GSR</stp>
        <stp>ACT_EST_MAPPING=PRECISE</stp>
        <stp>FS=MRC</stp>
        <stp>CURRENCY=USD</stp>
        <stp>XLFILL=b</stp>
        <tr r="AE158" s="2"/>
      </tp>
      <tp t="s">
        <v>#N/A Requesting Data...</v>
        <stp/>
        <stp>##V3_BQLV12</stp>
        <stp>[MODL_NOW_US1.xlsx]Single Period!R158C35</stp>
        <stp>NOW US Equity</stp>
        <stp>BS_ACCTS_REC_EXCL_NOTES_REC/1M</stp>
        <stp>FPR=2021Y</stp>
        <stp>FPT=A</stp>
        <stp>FA_ACT_EST_DATA=E, EST_SOURCE=MSR</stp>
        <stp>ACT_EST_MAPPING=PRECISE</stp>
        <stp>FS=MRC</stp>
        <stp>CURRENCY=USD</stp>
        <stp>XLFILL=b</stp>
        <tr r="AI158" s="2"/>
      </tp>
      <tp t="s">
        <v>#N/A Requesting Data...</v>
        <stp/>
        <stp>##V3_BQLV12</stp>
        <stp>[MODL_NOW_US1.xlsx]Single Period!R203C22</stp>
        <stp>NOW US Equity</stp>
        <stp>AMORTIZATN_OF_FINNCNG_COSTS/1M</stp>
        <stp>FPR=2021Y</stp>
        <stp>FPT=A</stp>
        <stp>FA_ACT_EST_DATA=E, EST_SOURCE=NDH</stp>
        <stp>ACT_EST_MAPPING=PRECISE</stp>
        <stp>FS=MRC</stp>
        <stp>CURRENCY=USD</stp>
        <stp>XLFILL=b</stp>
        <tr r="V203" s="2"/>
      </tp>
      <tp t="s">
        <v>#N/A Requesting Data...</v>
        <stp/>
        <stp>##V3_BQLV12</stp>
        <stp>[MODL_NOW_US1.xlsx]Single Period!R105C34</stp>
        <stp>NOW US Equity</stp>
        <stp>ADJ_PROFIT_MARGIN</stp>
        <stp>FPR=2021Y</stp>
        <stp>FPT=A</stp>
        <stp>FA_ACT_EST_DATA=E, EST_SOURCE=PSG</stp>
        <stp>ACT_EST_MAPPING=PRECISE</stp>
        <stp>FS=MRC</stp>
        <stp>CURRENCY=USD</stp>
        <stp>XLFILL=b</stp>
        <tr r="AH105" s="2"/>
      </tp>
      <tp t="s">
        <v>#N/A Requesting Data...</v>
        <stp/>
        <stp>##V3_BQLV12</stp>
        <stp>[MODL_NOW_US1.xlsx]Single Period!R210C34</stp>
        <stp>NOW US Equity</stp>
        <stp>CF_CHANGE_IN_PREPAID_EXPNSS/1M</stp>
        <stp>FPR=2021Y</stp>
        <stp>FPT=A</stp>
        <stp>FA_ACT_EST_DATA=E, EST_SOURCE=PSG</stp>
        <stp>ACT_EST_MAPPING=PRECISE</stp>
        <stp>FS=MRC</stp>
        <stp>CURRENCY=USD</stp>
        <stp>XLFILL=b</stp>
        <tr r="AH210" s="2"/>
      </tp>
      <tp t="s">
        <v>#N/A Requesting Data...</v>
        <stp/>
        <stp>##V3_BQLV12</stp>
        <stp>[MODL_NOW_US1.xlsx]Single Period!R180C35</stp>
        <stp>NOW US Equity</stp>
        <stp>BS_LT_OPERATING_LEASE_LIABS/1M</stp>
        <stp>FPR=2021Y</stp>
        <stp>FPT=A</stp>
        <stp>FA_ACT_EST_DATA=E, EST_SOURCE=MSR</stp>
        <stp>ACT_EST_MAPPING=PRECISE</stp>
        <stp>FS=MRC</stp>
        <stp>CURRENCY=USD</stp>
        <stp>XLFILL=b</stp>
        <tr r="AI180" s="2"/>
      </tp>
      <tp t="s">
        <v>#N/A Requesting Data...</v>
        <stp/>
        <stp>##V3_BQLV12</stp>
        <stp>[MODL_NOW_US1.xlsx]Single Period!R180C31</stp>
        <stp>NOW US Equity</stp>
        <stp>BS_LT_OPERATING_LEASE_LIABS/1M</stp>
        <stp>FPR=2021Y</stp>
        <stp>FPT=A</stp>
        <stp>FA_ACT_EST_DATA=E, EST_SOURCE=GSR</stp>
        <stp>ACT_EST_MAPPING=PRECISE</stp>
        <stp>FS=MRC</stp>
        <stp>CURRENCY=USD</stp>
        <stp>XLFILL=b</stp>
        <tr r="AE180" s="2"/>
      </tp>
      <tp t="s">
        <v>#N/A Requesting Data...</v>
        <stp/>
        <stp>##V3_BQLV12</stp>
        <stp>[MODL_NOW_US1.xlsx]Single Period!R98C30</stp>
        <stp>NOW US Equity</stp>
        <stp>CF_DEPR_AMORT/1M</stp>
        <stp>FPR=2021Y</stp>
        <stp>FPT=A</stp>
        <stp>FA_ACT_EST_DATA=E, EST_SOURCE=BAM</stp>
        <stp>ACT_EST_MAPPING=PRECISE</stp>
        <stp>FS=MRC</stp>
        <stp>CURRENCY=USD</stp>
        <stp>XLFILL=b</stp>
        <tr r="AD98" s="2"/>
      </tp>
      <tp t="s">
        <v>#N/A Requesting Data...</v>
        <stp/>
        <stp>##V3_BQLV12</stp>
        <stp>[MODL_NOW_US1.xlsx]Single Period!R30C44</stp>
        <stp>NOW US Equity</stp>
        <stp>CF_FREE_CASH_FLOW_AS_REPORTED/1M</stp>
        <stp>FPR=2021Y</stp>
        <stp>FPT=A</stp>
        <stp>FA_ACT_EST_DATA=E, EST_SOURCE=ARE</stp>
        <stp>ACT_EST_MAPPING=PRECISE</stp>
        <stp>FS=MRC</stp>
        <stp>CURRENCY=USD</stp>
        <stp>XLFILL=b</stp>
        <tr r="AR30" s="2"/>
      </tp>
      <tp t="s">
        <v>#N/A Requesting Data...</v>
        <stp/>
        <stp>##V3_BQLV12</stp>
        <stp>[MODL_NOW_US1.xlsx]Single Period!R178C47</stp>
        <stp>NOW US Equity</stp>
        <stp>BS_ADJ_TOTAL_LT_LIABILITIES/1M</stp>
        <stp>FPR=2021Y</stp>
        <stp>FPT=A</stp>
        <stp>FA_ACT_EST_DATA=E, EST_SOURCE=SUM</stp>
        <stp>ACT_EST_MAPPING=PRECISE</stp>
        <stp>FS=MRC</stp>
        <stp>CURRENCY=USD</stp>
        <stp>XLFILL=b</stp>
        <tr r="AU178" s="2"/>
      </tp>
      <tp t="s">
        <v>#N/A Requesting Data...</v>
        <stp/>
        <stp>##V3_BQLV12</stp>
        <stp>[MODL_NOW_US1.xlsx]Single Period!R124C22</stp>
        <stp>NOW US Equity</stp>
        <stp>IS_EBIT_AS_REPORTED/1M</stp>
        <stp>FPR=2021Y</stp>
        <stp>FPT=A</stp>
        <stp>FA_ACT_EST_DATA=E, EST_SOURCE=NDH</stp>
        <stp>ACT_EST_MAPPING=PRECISE</stp>
        <stp>FS=MRC</stp>
        <stp>CURRENCY=USD</stp>
        <stp>XLFILL=b</stp>
        <tr r="V124" s="2"/>
      </tp>
      <tp t="s">
        <v>#N/A Requesting Data...</v>
        <stp/>
        <stp>##V3_BQLV12</stp>
        <stp>[MODL_NOW_US1.xlsx]Single Period!R92C35</stp>
        <stp>NOW US Equity</stp>
        <stp>IS_ADJ_GENL_AND_ADMIN_EXPN_AR/1M</stp>
        <stp>FPR=2021Y</stp>
        <stp>FPT=A</stp>
        <stp>FA_ACT_EST_DATA=E, EST_SOURCE=MSR</stp>
        <stp>ACT_EST_MAPPING=PRECISE</stp>
        <stp>FS=MRC</stp>
        <stp>CURRENCY=USD</stp>
        <stp>XLFILL=b</stp>
        <tr r="AI92" s="2"/>
      </tp>
      <tp t="s">
        <v>#N/A Requesting Data...</v>
        <stp/>
        <stp>##V3_BQLV12</stp>
        <stp>[MODL_NOW_US1.xlsx]Single Period!R98C20</stp>
        <stp>NOW US Equity</stp>
        <stp>CF_DEPR_AMORT/1M</stp>
        <stp>FPR=2021Y</stp>
        <stp>FPT=A</stp>
        <stp>FA_ACT_EST_DATA=E, EST_SOURCE=CAN</stp>
        <stp>ACT_EST_MAPPING=PRECISE</stp>
        <stp>FS=MRC</stp>
        <stp>CURRENCY=USD</stp>
        <stp>XLFILL=b</stp>
        <tr r="T98" s="2"/>
      </tp>
      <tp t="s">
        <v>#N/A Requesting Data...</v>
        <stp/>
        <stp>##V3_BQLV12</stp>
        <stp>[MODL_NOW_US1.xlsx]Single Period!R180C19</stp>
        <stp>NOW US Equity</stp>
        <stp>BS_LT_OPERATING_LEASE_LIABS/1M</stp>
        <stp>FPR=2021Y</stp>
        <stp>FPT=A</stp>
        <stp>FA_ACT_EST_DATA=E, EST_SOURCE=MSV</stp>
        <stp>ACT_EST_MAPPING=PRECISE</stp>
        <stp>FS=MRC</stp>
        <stp>CURRENCY=USD</stp>
        <stp>XLFILL=b</stp>
        <tr r="S180" s="2"/>
      </tp>
      <tp t="s">
        <v>#N/A Requesting Data...</v>
        <stp/>
        <stp>##V3_BQLV12</stp>
        <stp>[MODL_NOW_US1.xlsx]Single Period!R20C16</stp>
        <stp>SEG0000230986 Segment</stp>
        <stp>SALES_REV_TURN/1M</stp>
        <stp>FPR=2021Y</stp>
        <stp>FPT=A</stp>
        <stp>FA_ACT_EST_DATA=E, EST_SOURCE=BCA</stp>
        <stp>ACT_EST_MAPPING=PRECISE</stp>
        <stp>FS=MRC</stp>
        <stp>CURRENCY=USD</stp>
        <stp>XLFILL=b</stp>
        <tr r="P20" s="2"/>
      </tp>
      <tp t="s">
        <v>#N/A Requesting Data...</v>
        <stp/>
        <stp>##V3_BQLV12</stp>
        <stp>[MODL_NOW_US1.xlsx]Single Period!R20C49</stp>
        <stp>SEG0000230986 Segment</stp>
        <stp>SALES_REV_TURN/1M</stp>
        <stp>FPR=2021Y</stp>
        <stp>FPT=A</stp>
        <stp>FA_ACT_EST_DATA=E, EST_SOURCE=SCB</stp>
        <stp>ACT_EST_MAPPING=PRECISE</stp>
        <stp>FS=MRC</stp>
        <stp>CURRENCY=USD</stp>
        <stp>XLFILL=b</stp>
        <tr r="AW20" s="2"/>
      </tp>
      <tp t="s">
        <v>#N/A Requesting Data...</v>
        <stp/>
        <stp>##V3_BQLV12</stp>
        <stp>[MODL_NOW_US1.xlsx]Single Period!R54C49</stp>
        <stp>NOW US Equity</stp>
        <stp>IS_FOREIGN_CURRENCY_TURNOVER/1M</stp>
        <stp>FPR=2021Y</stp>
        <stp>FPT=A</stp>
        <stp>FA_ACT_EST_DATA=E, EST_SOURCE=SCB</stp>
        <stp>ACT_EST_MAPPING=PRECISE</stp>
        <stp>FS=MRC</stp>
        <stp>CURRENCY=USD</stp>
        <stp>XLFILL=b</stp>
        <tr r="AW54" s="2"/>
      </tp>
      <tp t="s">
        <v>#N/A Requesting Data...</v>
        <stp/>
        <stp>##V3_BQLV12</stp>
        <stp>[MODL_NOW_US1.xlsx]Single Period!R66C36</stp>
        <stp>SEG0000230986 Segment</stp>
        <stp>SALES_REV_TURN/1M</stp>
        <stp>FPR=2021Y</stp>
        <stp>FPT=A</stp>
        <stp>FA_ACT_EST_DATA=E, EST_SOURCE=JEF</stp>
        <stp>ACT_EST_MAPPING=PRECISE</stp>
        <stp>FS=MRC</stp>
        <stp>CURRENCY=USD</stp>
        <stp>XLFILL=b</stp>
        <tr r="AJ66" s="2"/>
      </tp>
      <tp t="s">
        <v>#N/A Requesting Data...</v>
        <stp/>
        <stp>##V3_BQLV12</stp>
        <stp>[MODL_NOW_US1.xlsx]Single Period!R131C14</stp>
        <stp>NOW US Equity</stp>
        <stp>IS_AVG_NUM_SH_FOR_EPS/1M</stp>
        <stp>FPR=2021Y</stp>
        <stp>FPT=A</stp>
        <stp>FA_ACT_EST_DATA=E, EST_SOURCE=BMO</stp>
        <stp>ACT_EST_MAPPING=PRECISE</stp>
        <stp>FS=MRC</stp>
        <stp>CURRENCY=USD</stp>
        <stp>XLFILL=b</stp>
        <tr r="N131" s="2"/>
      </tp>
      <tp t="s">
        <v>#N/A Requesting Data...</v>
        <stp/>
        <stp>##V3_BQLV12</stp>
        <stp>[MODL_NOW_US1.xlsx]Single Period!R200C48</stp>
        <stp>NOW US Equity</stp>
        <stp>CF_DEPR_AMORT/1M</stp>
        <stp>FPR=2021Y</stp>
        <stp>FPT=A</stp>
        <stp>FA_ACT_EST_DATA=E, EST_SOURCE=CRC</stp>
        <stp>ACT_EST_MAPPING=PRECISE</stp>
        <stp>FS=MRC</stp>
        <stp>CURRENCY=USD</stp>
        <stp>XLFILL=b</stp>
        <tr r="AV200" s="2"/>
      </tp>
      <tp t="s">
        <v>#N/A Requesting Data...</v>
        <stp/>
        <stp>##V3_BQLV12</stp>
        <stp>[MODL_NOW_US1.xlsx]Single Period!R101C28</stp>
        <stp>NOW US Equity</stp>
        <stp>CB_IS_OTHER_NON_OPER_INC_EXPN/1M</stp>
        <stp>FPR=2021Y</stp>
        <stp>FPT=A</stp>
        <stp>FA_ACT_EST_DATA=E, EST_SOURCE=EVR</stp>
        <stp>ACT_EST_MAPPING=PRECISE</stp>
        <stp>FS=MRC</stp>
        <stp>CURRENCY=USD</stp>
        <stp>XLFILL=b</stp>
        <tr r="AB101" s="2"/>
      </tp>
      <tp t="s">
        <v>#N/A Requesting Data...</v>
        <stp/>
        <stp>##V3_BQLV12</stp>
        <stp>[MODL_NOW_US1.xlsx]Single Period!R143C47</stp>
        <stp>NOW US Equity</stp>
        <stp>IS_SBC_ATTRIBUTABLE_TO_R_AND_D_PRETX/1M</stp>
        <stp>FPR=2021Y</stp>
        <stp>FPT=A</stp>
        <stp>FA_ACT_EST_DATA=E, EST_SOURCE=SUM</stp>
        <stp>ACT_EST_MAPPING=PRECISE</stp>
        <stp>FS=MRC</stp>
        <stp>CURRENCY=USD</stp>
        <stp>XLFILL=b</stp>
        <tr r="AU143" s="2"/>
      </tp>
      <tp t="s">
        <v>#N/A Requesting Data...</v>
        <stp/>
        <stp>##V3_BQLV12</stp>
        <stp>[MODL_NOW_US1.xlsx]Single Period!R133C33</stp>
        <stp>NOW US Equity</stp>
        <stp>IS_SH_FOR_DILUTED_EPS/1M</stp>
        <stp>FPR=2021Y</stp>
        <stp>FPT=A</stp>
        <stp>FA_ACT_EST_DATA=E, EST_SOURCE=MAC</stp>
        <stp>ACT_EST_MAPPING=PRECISE</stp>
        <stp>FS=MRC</stp>
        <stp>CURRENCY=USD</stp>
        <stp>XLFILL=b</stp>
        <tr r="AG133" s="2"/>
      </tp>
      <tp t="s">
        <v>#N/A Requesting Data...</v>
        <stp/>
        <stp>##V3_BQLV12</stp>
        <stp>[MODL_NOW_US1.xlsx]Single Period!R77C45</stp>
        <stp>SEG0000230969 Segment</stp>
        <stp>SALES_REV_TURN/1M</stp>
        <stp>FPR=2021Y</stp>
        <stp>FPT=A</stp>
        <stp>FA_ACT_EST_DATA=E, EST_SOURCE=PJE</stp>
        <stp>ACT_EST_MAPPING=PRECISE</stp>
        <stp>FS=MRC</stp>
        <stp>CURRENCY=USD</stp>
        <stp>XLFILL=b</stp>
        <tr r="AS77" s="2"/>
      </tp>
      <tp t="s">
        <v>#N/A Requesting Data...</v>
        <stp/>
        <stp>##V3_BQLV12</stp>
        <stp>[MODL_NOW_US1.xlsx]Single Period!R58C22</stp>
        <stp>SEG0000230975 Segment</stp>
        <stp>SALES_REV_TURN/1M</stp>
        <stp>FPR=2021Y</stp>
        <stp>FPT=A</stp>
        <stp>FA_ACT_EST_DATA=E, EST_SOURCE=NDH</stp>
        <stp>ACT_EST_MAPPING=PRECISE</stp>
        <stp>FS=MRC</stp>
        <stp>CURRENCY=USD</stp>
        <stp>XLFILL=b</stp>
        <tr r="V58" s="2"/>
      </tp>
      <tp t="s">
        <v>#N/A Requesting Data...</v>
        <stp/>
        <stp>##V3_BQLV12</stp>
        <stp>[MODL_NOW_US1.xlsx]Single Period!R83C49</stp>
        <stp>NOW US Equity</stp>
        <stp>IS_ADJUSTED_COGS_AS_REPORTED/1M</stp>
        <stp>FPR=2021Y</stp>
        <stp>FPT=A</stp>
        <stp>FA_ACT_EST_DATA=E, EST_SOURCE=SCB</stp>
        <stp>ACT_EST_MAPPING=PRECISE</stp>
        <stp>FS=MRC</stp>
        <stp>CURRENCY=USD</stp>
        <stp>XLFILL=b</stp>
        <tr r="AW83" s="2"/>
      </tp>
      <tp t="s">
        <v>#N/A Requesting Data...</v>
        <stp/>
        <stp>##V3_BQLV12</stp>
        <stp>[MODL_NOW_US1.xlsx]Single Period!R150C43</stp>
        <stp>NOW US Equity</stp>
        <stp>IS_INC_TAX_EFFECT_NONGAAP_REC/1M</stp>
        <stp>FPR=2021Y</stp>
        <stp>FPT=A</stp>
        <stp>FA_ACT_EST_DATA=E, EST_SOURCE=WFT</stp>
        <stp>ACT_EST_MAPPING=PRECISE</stp>
        <stp>FS=MRC</stp>
        <stp>CURRENCY=USD</stp>
        <stp>XLFILL=b</stp>
        <tr r="AQ150" s="2"/>
      </tp>
      <tp t="s">
        <v>#N/A Requesting Data...</v>
        <stp/>
        <stp>##V3_BQLV12</stp>
        <stp>[MODL_NOW_US1.xlsx]Single Period!R143C11</stp>
        <stp>NOW US Equity</stp>
        <stp>IS_SBC_ATTRIBUTABLE_TO_R_AND_D_PRETX/1M</stp>
        <stp>FPR=2021Y</stp>
        <stp>FPT=A</stp>
        <stp>FA_ACT_EST_DATA=E, EST_SOURCE=JPM</stp>
        <stp>ACT_EST_MAPPING=PRECISE</stp>
        <stp>FS=MRC</stp>
        <stp>CURRENCY=USD</stp>
        <stp>XLFILL=b</stp>
        <tr r="K143" s="2"/>
      </tp>
      <tp t="s">
        <v>#N/A Requesting Data...</v>
        <stp/>
        <stp>##V3_BQLV12</stp>
        <stp>[MODL_NOW_US1.xlsx]Single Period!R14C17</stp>
        <stp>SEG0000230975 Segment</stp>
        <stp>SALES_REV_TURN/1M</stp>
        <stp>FPR=2021Y</stp>
        <stp>FPT=A</stp>
        <stp>FA_ACT_EST_DATA=E, EST_SOURCE=RHR</stp>
        <stp>ACT_EST_MAPPING=PRECISE</stp>
        <stp>FS=MRC</stp>
        <stp>CURRENCY=USD</stp>
        <stp>XLFILL=b</stp>
        <tr r="Q14" s="2"/>
      </tp>
      <tp t="s">
        <v>#N/A Requesting Data...</v>
        <stp/>
        <stp>##V3_BQLV12</stp>
        <stp>[MODL_NOW_US1.xlsx]Single Period!R102C12</stp>
        <stp>NOW US Equity</stp>
        <stp>IS_COMP_PTP_EX_STK_BASED_COMP/1M</stp>
        <stp>FPR=2021Y</stp>
        <stp>FPT=A</stp>
        <stp>FA_ACT_EST_DATA=E, EST_SOURCE=WBL</stp>
        <stp>ACT_EST_MAPPING=PRECISE</stp>
        <stp>FS=MRC</stp>
        <stp>CURRENCY=USD</stp>
        <stp>XLFILL=b</stp>
        <tr r="L102" s="2"/>
      </tp>
      <tp t="s">
        <v>#N/A Requesting Data...</v>
        <stp/>
        <stp>##V3_BQLV12</stp>
        <stp>[MODL_NOW_US1.xlsx]Single Period!R169C33</stp>
        <stp>NOW US Equity</stp>
        <stp>CB_BS_OTHER_NONCURRENT_ASSETS/1M</stp>
        <stp>FPR=2021Y</stp>
        <stp>FPT=A</stp>
        <stp>FA_ACT_EST_DATA=E, EST_SOURCE=MAC</stp>
        <stp>ACT_EST_MAPPING=PRECISE</stp>
        <stp>FS=MRC</stp>
        <stp>CURRENCY=USD</stp>
        <stp>XLFILL=b</stp>
        <tr r="AG169" s="2"/>
      </tp>
      <tp t="s">
        <v>#N/A Requesting Data...</v>
        <stp/>
        <stp>##V3_BQLV12</stp>
        <stp>[MODL_NOW_US1.xlsx]Single Period!R150C16</stp>
        <stp>NOW US Equity</stp>
        <stp>IS_INC_TAX_EFFECT_NONGAAP_REC/1M</stp>
        <stp>FPR=2021Y</stp>
        <stp>FPT=A</stp>
        <stp>FA_ACT_EST_DATA=E, EST_SOURCE=BCA</stp>
        <stp>ACT_EST_MAPPING=PRECISE</stp>
        <stp>FS=MRC</stp>
        <stp>CURRENCY=USD</stp>
        <stp>XLFILL=b</stp>
        <tr r="P150" s="2"/>
      </tp>
      <tp t="s">
        <v>#N/A Requesting Data...</v>
        <stp/>
        <stp>##V3_BQLV12</stp>
        <stp>[MODL_NOW_US1.xlsx]Single Period!R102C32</stp>
        <stp>NOW US Equity</stp>
        <stp>IS_COMP_PTP_EX_STK_BASED_COMP/1M</stp>
        <stp>FPR=2021Y</stp>
        <stp>FPT=A</stp>
        <stp>FA_ACT_EST_DATA=E, EST_SOURCE=FBC</stp>
        <stp>ACT_EST_MAPPING=PRECISE</stp>
        <stp>FS=MRC</stp>
        <stp>CURRENCY=USD</stp>
        <stp>XLFILL=b</stp>
        <tr r="AF102" s="2"/>
      </tp>
      <tp t="s">
        <v>#N/A Requesting Data...</v>
        <stp/>
        <stp>##V3_BQLV12</stp>
        <stp>[MODL_NOW_US1.xlsx]Single Period!R66C13</stp>
        <stp>SEG0000230986 Segment</stp>
        <stp>SALES_REV_TURN/1M</stp>
        <stp>FPR=2021Y</stp>
        <stp>FPT=A</stp>
        <stp>FA_ACT_EST_DATA=E, EST_SOURCE=KEY</stp>
        <stp>ACT_EST_MAPPING=PRECISE</stp>
        <stp>FS=MRC</stp>
        <stp>CURRENCY=USD</stp>
        <stp>XLFILL=b</stp>
        <tr r="M66" s="2"/>
      </tp>
      <tp t="s">
        <v>#N/A Requesting Data...</v>
        <stp/>
        <stp>##V3_BQLV12</stp>
        <stp>[MODL_NOW_US1.xlsx]Single Period!R150C27</stp>
        <stp>NOW US Equity</stp>
        <stp>IS_INC_TAX_EFFECT_NONGAAP_REC/1M</stp>
        <stp>FPR=2021Y</stp>
        <stp>FPT=A</stp>
        <stp>FA_ACT_EST_DATA=E, EST_SOURCE=RBC</stp>
        <stp>ACT_EST_MAPPING=PRECISE</stp>
        <stp>FS=MRC</stp>
        <stp>CURRENCY=USD</stp>
        <stp>XLFILL=b</stp>
        <tr r="AA150" s="2"/>
      </tp>
      <tp t="s">
        <v>#N/A Requesting Data...</v>
        <stp/>
        <stp>##V3_BQLV12</stp>
        <stp>[MODL_NOW_US1.xlsx]Single Period!R200C19</stp>
        <stp>NOW US Equity</stp>
        <stp>CF_DEPR_AMORT/1M</stp>
        <stp>FPR=2021Y</stp>
        <stp>FPT=A</stp>
        <stp>FA_ACT_EST_DATA=E, EST_SOURCE=MSV</stp>
        <stp>ACT_EST_MAPPING=PRECISE</stp>
        <stp>FS=MRC</stp>
        <stp>CURRENCY=USD</stp>
        <stp>XLFILL=b</stp>
        <tr r="S200" s="2"/>
      </tp>
      <tp t="s">
        <v>#N/A Requesting Data...</v>
        <stp/>
        <stp>##V3_BQLV12</stp>
        <stp>[MODL_NOW_US1.xlsx]Single Period!R119C30</stp>
        <stp>NOW US Equity</stp>
        <stp>CB_IS_S_AND_M_EXPENSE/1M</stp>
        <stp>FPR=2021Y</stp>
        <stp>FPT=A</stp>
        <stp>FA_ACT_EST_DATA=E, EST_SOURCE=BAM</stp>
        <stp>ACT_EST_MAPPING=PRECISE</stp>
        <stp>FS=MRC</stp>
        <stp>CURRENCY=USD</stp>
        <stp>XLFILL=b</stp>
        <tr r="AD119" s="2"/>
      </tp>
      <tp t="s">
        <v>#N/A Requesting Data...</v>
        <stp/>
        <stp>##V3_BQLV12</stp>
        <stp>[MODL_NOW_US1.xlsx]Single Period!R235C26</stp>
        <stp>NOW US Equity</stp>
        <stp>CF_FREE_CASH_FLOW_AS_REPORTED/1M</stp>
        <stp>FPR=2021Y</stp>
        <stp>FPT=A</stp>
        <stp>FA_ACT_EST_DATA=E, EST_SOURCE=UBS</stp>
        <stp>ACT_EST_MAPPING=PRECISE</stp>
        <stp>FS=MRC</stp>
        <stp>CURRENCY=USD</stp>
        <stp>XLFILL=b</stp>
        <tr r="Z235" s="2"/>
      </tp>
      <tp t="s">
        <v>#N/A Requesting Data...</v>
        <stp/>
        <stp>##V3_BQLV12</stp>
        <stp>[MODL_NOW_US1.xlsx]Single Period!R119C20</stp>
        <stp>NOW US Equity</stp>
        <stp>CB_IS_S_AND_M_EXPENSE/1M</stp>
        <stp>FPR=2021Y</stp>
        <stp>FPT=A</stp>
        <stp>FA_ACT_EST_DATA=E, EST_SOURCE=CAN</stp>
        <stp>ACT_EST_MAPPING=PRECISE</stp>
        <stp>FS=MRC</stp>
        <stp>CURRENCY=USD</stp>
        <stp>XLFILL=b</stp>
        <tr r="T119" s="2"/>
      </tp>
      <tp t="s">
        <v>#N/A Requesting Data...</v>
        <stp/>
        <stp>##V3_BQLV12</stp>
        <stp>[MODL_NOW_US1.xlsx]Single Period!R156C5</stp>
        <stp>NOW US Equity</stp>
        <stp>BS_CASH_NEAR_CASH_ITEM/1M</stp>
        <stp>FPR=2021Y</stp>
        <stp>FPT=A</stp>
        <stp>FA_ACT_EST_DATA=E</stp>
        <stp>ACT_EST_MAPPING=PRECISE</stp>
        <stp>FS=MRC</stp>
        <stp>CURRENCY=USD</stp>
        <stp>XLFILL=b</stp>
        <tr r="E156" s="2"/>
      </tp>
      <tp t="s">
        <v>#N/A Requesting Data...</v>
        <stp/>
        <stp>##V3_BQLV12</stp>
        <stp>[MODL_NOW_US1.xlsx]Single Period!R143C15</stp>
        <stp>NOW US Equity</stp>
        <stp>IS_SBC_ATTRIBUTABLE_TO_R_AND_D_PRETX/1M</stp>
        <stp>FPR=2021Y</stp>
        <stp>FPT=A</stp>
        <stp>FA_ACT_EST_DATA=E, EST_SOURCE=OPY</stp>
        <stp>ACT_EST_MAPPING=PRECISE</stp>
        <stp>FS=MRC</stp>
        <stp>CURRENCY=USD</stp>
        <stp>XLFILL=b</stp>
        <tr r="O143" s="2"/>
      </tp>
      <tp t="s">
        <v>#N/A Requesting Data...</v>
        <stp/>
        <stp>##V3_BQLV12</stp>
        <stp>[MODL_NOW_US1.xlsx]Single Period!R104C10</stp>
        <stp>NOW US Equity</stp>
        <stp>IS_COMP_NET_INC_EXCL_STOCK_COMP/1M</stp>
        <stp>FPR=2021Y</stp>
        <stp>FPT=A</stp>
        <stp>FA_ACT_EST_DATA=E, EST_SOURCE=CMPY</stp>
        <stp>ACT_EST_MAPPING=PRECISE</stp>
        <stp>FS=MRC</stp>
        <stp>CURRENCY=USD</stp>
        <stp>XLFILL=b</stp>
        <tr r="J104" s="2"/>
      </tp>
      <tp t="s">
        <v>#N/A Requesting Data...</v>
        <stp/>
        <stp>##V3_BQLV12</stp>
        <stp>[MODL_NOW_US1.xlsx]Single Period!R123C10</stp>
        <stp>NOW US Equity</stp>
        <stp>TOTAL_OPERATING_EXPENSES_RATIO/1M</stp>
        <stp>FPR=2021Y</stp>
        <stp>FPT=A</stp>
        <stp>FA_ACT_EST_DATA=E, EST_SOURCE=CMPY</stp>
        <stp>ACT_EST_MAPPING=PRECISE</stp>
        <stp>FS=MRC</stp>
        <stp>CURRENCY=USD</stp>
        <stp>XLFILL=b</stp>
        <tr r="J123" s="2"/>
      </tp>
      <tp t="s">
        <v>#N/A Requesting Data...</v>
        <stp/>
        <stp>##V3_BQLV12</stp>
        <stp>[MODL_NOW_US1.xlsx]Single Period!R69C9</stp>
        <stp>SEG0000230986 Segment</stp>
        <stp>CONTRIBUTOR_STATS(IS_ADJ_GROSS_PROFIT_AS_REPORTED, MEDIAN)/1M</stp>
        <stp>FPR=2021Y</stp>
        <stp>FPT=A</stp>
        <stp>FA_ACT_EST_DATA=E</stp>
        <stp>ACT_EST_MAPPING=PRECISE</stp>
        <stp>FS=MRC</stp>
        <stp>CURRENCY=USD</stp>
        <stp>XLFILL=b</stp>
        <tr r="I69" s="2"/>
      </tp>
      <tp t="s">
        <v>#N/A Requesting Data...</v>
        <stp/>
        <stp>##V3_BQLV12</stp>
        <stp>[MODL_NOW_US1.xlsx]Single Period!R201C38</stp>
        <stp>NOW US Equity</stp>
        <stp>D_AND_A_TO_SALES</stp>
        <stp>FPR=2021Y</stp>
        <stp>FPT=A</stp>
        <stp>FA_ACT_EST_DATA=E, EST_SOURCE=RWB</stp>
        <stp>ACT_EST_MAPPING=PRECISE</stp>
        <stp>FS=MRC</stp>
        <stp>CURRENCY=USD</stp>
        <stp>XLFILL=b</stp>
        <tr r="AL201" s="2"/>
      </tp>
      <tp t="s">
        <v>#N/A Requesting Data...</v>
        <stp/>
        <stp>##V3_BQLV12</stp>
        <stp>[MODL_NOW_US1.xlsx]Single Period!R204C46</stp>
        <stp>NOW US Equity</stp>
        <stp>CF_DEF_INC_TAX/1M</stp>
        <stp>FPR=2021Y</stp>
        <stp>FPT=A</stp>
        <stp>FA_ACT_EST_DATA=E, EST_SOURCE=MZS</stp>
        <stp>ACT_EST_MAPPING=PRECISE</stp>
        <stp>FS=MRC</stp>
        <stp>CURRENCY=USD</stp>
        <stp>XLFILL=b</stp>
        <tr r="AT204" s="2"/>
      </tp>
      <tp t="s">
        <v>#N/A Requesting Data...</v>
        <stp/>
        <stp>##V3_BQLV12</stp>
        <stp>[MODL_NOW_US1.xlsx]Single Period!R226C21</stp>
        <stp>NOW US Equity</stp>
        <stp>CF_OTHER_FINANCING_ACT_EXCL_FX/1M</stp>
        <stp>FPR=2021Y</stp>
        <stp>FPT=A</stp>
        <stp>FA_ACT_EST_DATA=E, EST_SOURCE=JMP</stp>
        <stp>ACT_EST_MAPPING=PRECISE</stp>
        <stp>FS=MRC</stp>
        <stp>CURRENCY=USD</stp>
        <stp>XLFILL=b</stp>
        <tr r="U226" s="2"/>
      </tp>
      <tp t="s">
        <v>#N/A Requesting Data...</v>
        <stp/>
        <stp>##V3_BQLV12</stp>
        <stp>[MODL_NOW_US1.xlsx]Single Period!R141C10</stp>
        <stp>SEG0000230986 Segment</stp>
        <stp>IS_SBC_ATTRIB_TO_COGS_PRETX/1M</stp>
        <stp>FPR=2021Y</stp>
        <stp>FPT=A</stp>
        <stp>FA_ACT_EST_DATA=E, EST_SOURCE=CMPY</stp>
        <stp>ACT_EST_MAPPING=PRECISE</stp>
        <stp>FS=MRC</stp>
        <stp>CURRENCY=USD</stp>
        <stp>XLFILL=b</stp>
        <tr r="J141" s="2"/>
      </tp>
      <tp t="s">
        <v>#N/A Requesting Data...</v>
        <stp/>
        <stp>##V3_BQLV12</stp>
        <stp>[MODL_NOW_US1.xlsx]Single Period!R140C10</stp>
        <stp>SEG0000230975 Segment</stp>
        <stp>IS_SBC_ATTRIB_TO_COGS_PRETX/1M</stp>
        <stp>FPR=2021Y</stp>
        <stp>FPT=A</stp>
        <stp>FA_ACT_EST_DATA=E, EST_SOURCE=CMPY</stp>
        <stp>ACT_EST_MAPPING=PRECISE</stp>
        <stp>FS=MRC</stp>
        <stp>CURRENCY=USD</stp>
        <stp>XLFILL=b</stp>
        <tr r="J140" s="2"/>
      </tp>
      <tp t="s">
        <v>#N/A Requesting Data...</v>
        <stp/>
        <stp>##V3_BQLV12</stp>
        <stp>[MODL_NOW_US1.xlsx]Single Period!R64C13</stp>
        <stp>SEG0000230975 Segment</stp>
        <stp>CB_IS_GROSS_MARGIN</stp>
        <stp>FPR=2021Y</stp>
        <stp>FPT=A</stp>
        <stp>FA_ACT_EST_DATA=E, EST_SOURCE=KEY</stp>
        <stp>ACT_EST_MAPPING=PRECISE</stp>
        <stp>FS=MRC</stp>
        <stp>CURRENCY=USD</stp>
        <stp>XLFILL=b</stp>
        <tr r="M64" s="2"/>
      </tp>
      <tp t="s">
        <v>#N/A Requesting Data...</v>
        <stp/>
        <stp>##V3_BQLV12</stp>
        <stp>[MODL_NOW_US1.xlsx]Single Period!R126C23</stp>
        <stp>NOW US Equity</stp>
        <stp>IS_NON_OPERATING_INC_LOSS_GAAP/1M</stp>
        <stp>FPR=2021Y</stp>
        <stp>FPT=A</stp>
        <stp>FA_ACT_EST_DATA=E, EST_SOURCE=ZXS</stp>
        <stp>ACT_EST_MAPPING=PRECISE</stp>
        <stp>FS=MRC</stp>
        <stp>CURRENCY=USD</stp>
        <stp>XLFILL=b</stp>
        <tr r="W126" s="2"/>
      </tp>
      <tp t="s">
        <v>#N/A Requesting Data...</v>
        <stp/>
        <stp>##V3_BQLV12</stp>
        <stp>[MODL_NOW_US1.xlsx]Single Period!R232C13</stp>
        <stp>NOW US Equity</stp>
        <stp>CF_CASH_AND_CASH_EQUIV_BEG_BAL/1M</stp>
        <stp>FPR=2021Y</stp>
        <stp>FPT=A</stp>
        <stp>FA_ACT_EST_DATA=E, EST_SOURCE=KEY</stp>
        <stp>ACT_EST_MAPPING=PRECISE</stp>
        <stp>FS=MRC</stp>
        <stp>CURRENCY=USD</stp>
        <stp>XLFILL=b</stp>
        <tr r="M232" s="2"/>
      </tp>
      <tp t="s">
        <v>#N/A Requesting Data...</v>
        <stp/>
        <stp>##V3_BQLV12</stp>
        <stp>[MODL_NOW_US1.xlsx]Single Period!R10C46</stp>
        <stp>NOW US Equity</stp>
        <stp>BILLNG_AMOUNT_GROWTH_PCT</stp>
        <stp>FPR=2021Y</stp>
        <stp>FPT=A</stp>
        <stp>FA_ACT_EST_DATA=E, EST_SOURCE=MZS</stp>
        <stp>ACT_EST_MAPPING=PRECISE</stp>
        <stp>FS=MRC</stp>
        <stp>CURRENCY=USD</stp>
        <stp>XLFILL=b</stp>
        <tr r="AT10" s="2"/>
      </tp>
      <tp t="s">
        <v>#N/A Requesting Data...</v>
        <stp/>
        <stp>##V3_BQLV12</stp>
        <stp>[MODL_NOW_US1.xlsx]Single Period!R26C10</stp>
        <stp>NOW US Equity</stp>
        <stp>IS_ADJ_SELLING_AND_MRKTG_EXPN_AR/1M</stp>
        <stp>FPR=2021Y</stp>
        <stp>FPT=A</stp>
        <stp>FA_ACT_EST_DATA=E, EST_SOURCE=CMPY</stp>
        <stp>ACT_EST_MAPPING=PRECISE</stp>
        <stp>FS=MRC</stp>
        <stp>CURRENCY=USD</stp>
        <stp>XLFILL=b</stp>
        <tr r="J26" s="2"/>
      </tp>
      <tp t="s">
        <v>#N/A Requesting Data...</v>
        <stp/>
        <stp>##V3_BQLV12</stp>
        <stp>[MODL_NOW_US1.xlsx]Single Period!R204C39</stp>
        <stp>NOW US Equity</stp>
        <stp>CF_DEF_INC_TAX/1M</stp>
        <stp>FPR=2021Y</stp>
        <stp>FPT=A</stp>
        <stp>FA_ACT_EST_DATA=E, EST_SOURCE=DZB</stp>
        <stp>ACT_EST_MAPPING=PRECISE</stp>
        <stp>FS=MRC</stp>
        <stp>CURRENCY=USD</stp>
        <stp>XLFILL=b</stp>
        <tr r="AM204" s="2"/>
      </tp>
      <tp t="s">
        <v>#N/A Requesting Data...</v>
        <stp/>
        <stp>##V3_BQLV12</stp>
        <stp>[MODL_NOW_US1.xlsx]Single Period!R156C38</stp>
        <stp>NOW US Equity</stp>
        <stp>BS_CASH_NEAR_CASH_ITEM/1M</stp>
        <stp>FPR=2021Y</stp>
        <stp>FPT=A</stp>
        <stp>FA_ACT_EST_DATA=E, EST_SOURCE=RWB</stp>
        <stp>ACT_EST_MAPPING=PRECISE</stp>
        <stp>FS=MRC</stp>
        <stp>CURRENCY=USD</stp>
        <stp>XLFILL=b</stp>
        <tr r="AL156" s="2"/>
      </tp>
      <tp t="s">
        <v>#N/A Requesting Data...</v>
        <stp/>
        <stp>##V3_BQLV12</stp>
        <stp>[MODL_NOW_US1.xlsx]Single Period!R70C38</stp>
        <stp>SEG0000230986 Segment</stp>
        <stp>IS_ADJ_GROSS_MARGIN_PCT_AR</stp>
        <stp>FPR=2021Y</stp>
        <stp>FPT=A</stp>
        <stp>FA_ACT_EST_DATA=E, EST_SOURCE=RWB</stp>
        <stp>ACT_EST_MAPPING=PRECISE</stp>
        <stp>FS=MRC</stp>
        <stp>CURRENCY=USD</stp>
        <stp>XLFILL=b</stp>
        <tr r="AL70" s="2"/>
      </tp>
      <tp t="s">
        <v>#N/A Requesting Data...</v>
        <stp/>
        <stp>##V3_BQLV12</stp>
        <stp>[MODL_NOW_US1.xlsx]Single Period!R22C38</stp>
        <stp>SEG0000230986 Segment</stp>
        <stp>IS_ADJ_GROSS_MARGIN_PCT_AR</stp>
        <stp>FPR=2021Y</stp>
        <stp>FPT=A</stp>
        <stp>FA_ACT_EST_DATA=E, EST_SOURCE=RWB</stp>
        <stp>ACT_EST_MAPPING=PRECISE</stp>
        <stp>FS=MRC</stp>
        <stp>CURRENCY=USD</stp>
        <stp>XLFILL=b</stp>
        <tr r="AL22" s="2"/>
      </tp>
      <tp t="s">
        <v>#N/A Requesting Data...</v>
        <stp/>
        <stp>##V3_BQLV12</stp>
        <stp>[MODL_NOW_US1.xlsx]Single Period!R18C37</stp>
        <stp>SEG0000230975 Segment</stp>
        <stp>IS_ADJ_GROSS_MARGIN_PCT_AR</stp>
        <stp>FPR=2021Y</stp>
        <stp>FPT=A</stp>
        <stp>FA_ACT_EST_DATA=E, EST_SOURCE=TTC</stp>
        <stp>ACT_EST_MAPPING=PRECISE</stp>
        <stp>FS=MRC</stp>
        <stp>CURRENCY=USD</stp>
        <stp>XLFILL=b</stp>
        <tr r="AK18" s="2"/>
      </tp>
      <tp t="s">
        <v>#N/A Requesting Data...</v>
        <stp/>
        <stp>##V3_BQLV12</stp>
        <stp>[MODL_NOW_US1.xlsx]Single Period!R62C37</stp>
        <stp>SEG0000230975 Segment</stp>
        <stp>IS_ADJ_GROSS_MARGIN_PCT_AR</stp>
        <stp>FPR=2021Y</stp>
        <stp>FPT=A</stp>
        <stp>FA_ACT_EST_DATA=E, EST_SOURCE=TTC</stp>
        <stp>ACT_EST_MAPPING=PRECISE</stp>
        <stp>FS=MRC</stp>
        <stp>CURRENCY=USD</stp>
        <stp>XLFILL=b</stp>
        <tr r="AK62" s="2"/>
      </tp>
      <tp t="s">
        <v>#N/A Requesting Data...</v>
        <stp/>
        <stp>##V3_BQLV12</stp>
        <stp>[MODL_NOW_US1.xlsx]Single Period!R51C9</stp>
        <stp>NOW US Equity</stp>
        <stp>CONTRIBUTOR_STATS(ACCOUNTS_PAYABLE_TURNOVER_DAYS, MEDIAN)</stp>
        <stp>FPR=2021Y</stp>
        <stp>FPT=A</stp>
        <stp>FA_ACT_EST_DATA=E</stp>
        <stp>ACT_EST_MAPPING=PRECISE</stp>
        <stp>FS=MRC</stp>
        <stp>CURRENCY=USD</stp>
        <stp>XLFILL=b</stp>
        <tr r="I51" s="2"/>
      </tp>
      <tp t="s">
        <v>#N/A Requesting Data...</v>
        <stp/>
        <stp>##V3_BQLV12</stp>
        <stp>[MODL_NOW_US1.xlsx]Single Period!R146C29</stp>
        <stp>NOW US Equity</stp>
        <stp>IS_AMORT_ACQD_INTANGIBLES_COGS/1M</stp>
        <stp>FPR=2021Y</stp>
        <stp>FPT=A</stp>
        <stp>FA_ACT_EST_DATA=E, EST_SOURCE=BNS</stp>
        <stp>ACT_EST_MAPPING=PRECISE</stp>
        <stp>FS=MRC</stp>
        <stp>CURRENCY=USD</stp>
        <stp>XLFILL=b</stp>
        <tr r="AC146" s="2"/>
      </tp>
      <tp t="s">
        <v>#N/A Requesting Data...</v>
        <stp/>
        <stp>##V3_BQLV12</stp>
        <stp>[MODL_NOW_US1.xlsx]Single Period!R146C18</stp>
        <stp>NOW US Equity</stp>
        <stp>IS_AMORT_ACQD_INTANGIBLES_COGS/1M</stp>
        <stp>FPR=2021Y</stp>
        <stp>FPT=A</stp>
        <stp>FA_ACT_EST_DATA=E, EST_SOURCE=SNR</stp>
        <stp>ACT_EST_MAPPING=PRECISE</stp>
        <stp>FS=MRC</stp>
        <stp>CURRENCY=USD</stp>
        <stp>XLFILL=b</stp>
        <tr r="R146" s="2"/>
      </tp>
      <tp t="s">
        <v>#N/A Requesting Data...</v>
        <stp/>
        <stp>##V3_BQLV12</stp>
        <stp>[MODL_NOW_US1.xlsx]Single Period!R156C40</stp>
        <stp>NOW US Equity</stp>
        <stp>BS_CASH_NEAR_CASH_ITEM/1M</stp>
        <stp>FPR=2021Y</stp>
        <stp>FPT=A</stp>
        <stp>FA_ACT_EST_DATA=E, EST_SOURCE=DWI</stp>
        <stp>ACT_EST_MAPPING=PRECISE</stp>
        <stp>FS=MRC</stp>
        <stp>CURRENCY=USD</stp>
        <stp>XLFILL=b</stp>
        <tr r="AN156" s="2"/>
      </tp>
      <tp t="s">
        <v>#N/A Requesting Data...</v>
        <stp/>
        <stp>##V3_BQLV12</stp>
        <stp>[MODL_NOW_US1.xlsx]Single Period!R62C42</stp>
        <stp>SEG0000230975 Segment</stp>
        <stp>IS_ADJ_GROSS_MARGIN_PCT_AR</stp>
        <stp>FPR=2021Y</stp>
        <stp>FPT=A</stp>
        <stp>FA_ACT_EST_DATA=E, EST_SOURCE=CTI</stp>
        <stp>ACT_EST_MAPPING=PRECISE</stp>
        <stp>FS=MRC</stp>
        <stp>CURRENCY=USD</stp>
        <stp>XLFILL=b</stp>
        <tr r="AP62" s="2"/>
      </tp>
      <tp t="s">
        <v>#N/A Requesting Data...</v>
        <stp/>
        <stp>##V3_BQLV12</stp>
        <stp>[MODL_NOW_US1.xlsx]Single Period!R70C40</stp>
        <stp>SEG0000230986 Segment</stp>
        <stp>IS_ADJ_GROSS_MARGIN_PCT_AR</stp>
        <stp>FPR=2021Y</stp>
        <stp>FPT=A</stp>
        <stp>FA_ACT_EST_DATA=E, EST_SOURCE=DWI</stp>
        <stp>ACT_EST_MAPPING=PRECISE</stp>
        <stp>FS=MRC</stp>
        <stp>CURRENCY=USD</stp>
        <stp>XLFILL=b</stp>
        <tr r="AN70" s="2"/>
      </tp>
      <tp t="s">
        <v>#N/A Requesting Data...</v>
        <stp/>
        <stp>##V3_BQLV12</stp>
        <stp>[MODL_NOW_US1.xlsx]Single Period!R18C42</stp>
        <stp>SEG0000230975 Segment</stp>
        <stp>IS_ADJ_GROSS_MARGIN_PCT_AR</stp>
        <stp>FPR=2021Y</stp>
        <stp>FPT=A</stp>
        <stp>FA_ACT_EST_DATA=E, EST_SOURCE=CTI</stp>
        <stp>ACT_EST_MAPPING=PRECISE</stp>
        <stp>FS=MRC</stp>
        <stp>CURRENCY=USD</stp>
        <stp>XLFILL=b</stp>
        <tr r="AP18" s="2"/>
      </tp>
      <tp t="s">
        <v>#N/A Requesting Data...</v>
        <stp/>
        <stp>##V3_BQLV12</stp>
        <stp>[MODL_NOW_US1.xlsx]Single Period!R22C40</stp>
        <stp>SEG0000230986 Segment</stp>
        <stp>IS_ADJ_GROSS_MARGIN_PCT_AR</stp>
        <stp>FPR=2021Y</stp>
        <stp>FPT=A</stp>
        <stp>FA_ACT_EST_DATA=E, EST_SOURCE=DWI</stp>
        <stp>ACT_EST_MAPPING=PRECISE</stp>
        <stp>FS=MRC</stp>
        <stp>CURRENCY=USD</stp>
        <stp>XLFILL=b</stp>
        <tr r="AN22" s="2"/>
      </tp>
      <tp t="s">
        <v>#N/A Requesting Data...</v>
        <stp/>
        <stp>##V3_BQLV12</stp>
        <stp>[MODL_NOW_US1.xlsx]Single Period!R232C36</stp>
        <stp>NOW US Equity</stp>
        <stp>CF_CASH_AND_CASH_EQUIV_BEG_BAL/1M</stp>
        <stp>FPR=2021Y</stp>
        <stp>FPT=A</stp>
        <stp>FA_ACT_EST_DATA=E, EST_SOURCE=JEF</stp>
        <stp>ACT_EST_MAPPING=PRECISE</stp>
        <stp>FS=MRC</stp>
        <stp>CURRENCY=USD</stp>
        <stp>XLFILL=b</stp>
        <tr r="AJ232" s="2"/>
      </tp>
      <tp t="s">
        <v>#N/A Requesting Data...</v>
        <stp/>
        <stp>##V3_BQLV12</stp>
        <stp>[MODL_NOW_US1.xlsx]Single Period!R22C24</stp>
        <stp>SEG0000230986 Segment</stp>
        <stp>IS_ADJ_GROSS_MARGIN_PCT_AR</stp>
        <stp>FPR=2021Y</stp>
        <stp>FPT=A</stp>
        <stp>FA_ACT_EST_DATA=E, EST_SOURCE=CWN</stp>
        <stp>ACT_EST_MAPPING=PRECISE</stp>
        <stp>FS=MRC</stp>
        <stp>CURRENCY=USD</stp>
        <stp>XLFILL=b</stp>
        <tr r="X22" s="2"/>
      </tp>
      <tp t="s">
        <v>#N/A Requesting Data...</v>
        <stp/>
        <stp>##V3_BQLV12</stp>
        <stp>[MODL_NOW_US1.xlsx]Single Period!R70C24</stp>
        <stp>SEG0000230986 Segment</stp>
        <stp>IS_ADJ_GROSS_MARGIN_PCT_AR</stp>
        <stp>FPR=2021Y</stp>
        <stp>FPT=A</stp>
        <stp>FA_ACT_EST_DATA=E, EST_SOURCE=CWN</stp>
        <stp>ACT_EST_MAPPING=PRECISE</stp>
        <stp>FS=MRC</stp>
        <stp>CURRENCY=USD</stp>
        <stp>XLFILL=b</stp>
        <tr r="X70" s="2"/>
      </tp>
      <tp t="s">
        <v>#N/A Requesting Data...</v>
        <stp/>
        <stp>##V3_BQLV12</stp>
        <stp>[MODL_NOW_US1.xlsx]Single Period!R156C24</stp>
        <stp>NOW US Equity</stp>
        <stp>BS_CASH_NEAR_CASH_ITEM/1M</stp>
        <stp>FPR=2021Y</stp>
        <stp>FPT=A</stp>
        <stp>FA_ACT_EST_DATA=E, EST_SOURCE=CWN</stp>
        <stp>ACT_EST_MAPPING=PRECISE</stp>
        <stp>FS=MRC</stp>
        <stp>CURRENCY=USD</stp>
        <stp>XLFILL=b</stp>
        <tr r="X156" s="2"/>
      </tp>
      <tp t="s">
        <v>#N/A Requesting Data...</v>
        <stp/>
        <stp>##V3_BQLV12</stp>
        <stp>[MODL_NOW_US1.xlsx]Single Period!R168C28</stp>
        <stp>NOW US Equity</stp>
        <stp>CB_BS_DEFERRED_COST_LT/1M</stp>
        <stp>FPR=2021Y</stp>
        <stp>FPT=A</stp>
        <stp>FA_ACT_EST_DATA=E, EST_SOURCE=EVR</stp>
        <stp>ACT_EST_MAPPING=PRECISE</stp>
        <stp>FS=MRC</stp>
        <stp>CURRENCY=USD</stp>
        <stp>XLFILL=b</stp>
        <tr r="AB168" s="2"/>
      </tp>
      <tp t="s">
        <v>#N/A Requesting Data...</v>
        <stp/>
        <stp>##V3_BQLV12</stp>
        <stp>[MODL_NOW_US1.xlsx]Single Period!R211C18</stp>
        <stp>NOW US Equity</stp>
        <stp>CF_CHG_IN_DEFER_UNEARND_REV_ST/1M</stp>
        <stp>FPR=2021Y</stp>
        <stp>FPT=A</stp>
        <stp>FA_ACT_EST_DATA=E, EST_SOURCE=SNR</stp>
        <stp>ACT_EST_MAPPING=PRECISE</stp>
        <stp>FS=MRC</stp>
        <stp>CURRENCY=USD</stp>
        <stp>XLFILL=b</stp>
        <tr r="R211" s="2"/>
      </tp>
      <tp t="s">
        <v>#N/A Requesting Data...</v>
        <stp/>
        <stp>##V3_BQLV12</stp>
        <stp>[MODL_NOW_US1.xlsx]Single Period!R64C36</stp>
        <stp>SEG0000230975 Segment</stp>
        <stp>CB_IS_GROSS_MARGIN</stp>
        <stp>FPR=2021Y</stp>
        <stp>FPT=A</stp>
        <stp>FA_ACT_EST_DATA=E, EST_SOURCE=JEF</stp>
        <stp>ACT_EST_MAPPING=PRECISE</stp>
        <stp>FS=MRC</stp>
        <stp>CURRENCY=USD</stp>
        <stp>XLFILL=b</stp>
        <tr r="AJ64" s="2"/>
      </tp>
      <tp t="s">
        <v>#N/A Requesting Data...</v>
        <stp/>
        <stp>##V3_BQLV12</stp>
        <stp>[MODL_NOW_US1.xlsx]Single Period!R226C14</stp>
        <stp>NOW US Equity</stp>
        <stp>CF_OTHER_FINANCING_ACT_EXCL_FX/1M</stp>
        <stp>FPR=2021Y</stp>
        <stp>FPT=A</stp>
        <stp>FA_ACT_EST_DATA=E, EST_SOURCE=BMO</stp>
        <stp>ACT_EST_MAPPING=PRECISE</stp>
        <stp>FS=MRC</stp>
        <stp>CURRENCY=USD</stp>
        <stp>XLFILL=b</stp>
        <tr r="N226" s="2"/>
      </tp>
      <tp t="s">
        <v>#N/A Requesting Data...</v>
        <stp/>
        <stp>##V3_BQLV12</stp>
        <stp>[MODL_NOW_US1.xlsx]Single Period!R128C47</stp>
        <stp>NOW US Equity</stp>
        <stp>IS_INC_TAX_EXP/1M</stp>
        <stp>FPR=2021Y</stp>
        <stp>FPT=A</stp>
        <stp>FA_ACT_EST_DATA=E, EST_SOURCE=SUM</stp>
        <stp>ACT_EST_MAPPING=PRECISE</stp>
        <stp>FS=MRC</stp>
        <stp>CURRENCY=USD</stp>
        <stp>XLFILL=b</stp>
        <tr r="AU128" s="2"/>
      </tp>
      <tp t="s">
        <v>#N/A Requesting Data...</v>
        <stp/>
        <stp>##V3_BQLV12</stp>
        <stp>[MODL_NOW_US1.xlsx]Single Period!R211C29</stp>
        <stp>NOW US Equity</stp>
        <stp>CF_CHG_IN_DEFER_UNEARND_REV_ST/1M</stp>
        <stp>FPR=2021Y</stp>
        <stp>FPT=A</stp>
        <stp>FA_ACT_EST_DATA=E, EST_SOURCE=BNS</stp>
        <stp>ACT_EST_MAPPING=PRECISE</stp>
        <stp>FS=MRC</stp>
        <stp>CURRENCY=USD</stp>
        <stp>XLFILL=b</stp>
        <tr r="AC211" s="2"/>
      </tp>
      <tp t="s">
        <v>#N/A Requesting Data...</v>
        <stp/>
        <stp>##V3_BQLV12</stp>
        <stp>[MODL_NOW_US1.xlsx]Single Period!R30C15</stp>
        <stp>NOW US Equity</stp>
        <stp>CF_FREE_CASH_FLOW_AS_REPORTED/1M</stp>
        <stp>FPR=2021Y</stp>
        <stp>FPT=A</stp>
        <stp>FA_ACT_EST_DATA=E, EST_SOURCE=OPY</stp>
        <stp>ACT_EST_MAPPING=PRECISE</stp>
        <stp>FS=MRC</stp>
        <stp>CURRENCY=USD</stp>
        <stp>XLFILL=b</stp>
        <tr r="O30" s="2"/>
      </tp>
      <tp t="s">
        <v>#N/A Requesting Data...</v>
        <stp/>
        <stp>##V3_BQLV12</stp>
        <stp>[MODL_NOW_US1.xlsx]Single Period!R142C23</stp>
        <stp>NOW US Equity</stp>
        <stp>IS_SBC_ATT_TO_S_AND_M_PRETX/1M</stp>
        <stp>FPR=2021Y</stp>
        <stp>FPT=A</stp>
        <stp>FA_ACT_EST_DATA=E, EST_SOURCE=ZXS</stp>
        <stp>ACT_EST_MAPPING=PRECISE</stp>
        <stp>FS=MRC</stp>
        <stp>CURRENCY=USD</stp>
        <stp>XLFILL=b</stp>
        <tr r="W142" s="2"/>
      </tp>
      <tp t="s">
        <v>#N/A Requesting Data...</v>
        <stp/>
        <stp>##V3_BQLV12</stp>
        <stp>[MODL_NOW_US1.xlsx]Single Period!R9C45</stp>
        <stp>NOW US Equity</stp>
        <stp>IS_BILLINGS/1M</stp>
        <stp>FPR=2021Y</stp>
        <stp>FPT=A</stp>
        <stp>FA_ACT_EST_DATA=E, EST_SOURCE=PJE</stp>
        <stp>ACT_EST_MAPPING=PRECISE</stp>
        <stp>FS=MRC</stp>
        <stp>CURRENCY=USD</stp>
        <stp>XLFILL=b</stp>
        <tr r="AS9" s="2"/>
      </tp>
      <tp t="s">
        <v>#N/A Requesting Data...</v>
        <stp/>
        <stp>##V3_BQLV12</stp>
        <stp>[MODL_NOW_US1.xlsx]Single Period!R161C48</stp>
        <stp>NOW US Equity</stp>
        <stp>BS_TOTAL_NON_CURRENT_ASSETS/1M</stp>
        <stp>FPR=2021Y</stp>
        <stp>FPT=A</stp>
        <stp>FA_ACT_EST_DATA=E, EST_SOURCE=CRC</stp>
        <stp>ACT_EST_MAPPING=PRECISE</stp>
        <stp>FS=MRC</stp>
        <stp>CURRENCY=USD</stp>
        <stp>XLFILL=b</stp>
        <tr r="AV161" s="2"/>
      </tp>
      <tp t="s">
        <v>#N/A Requesting Data...</v>
        <stp/>
        <stp>##V3_BQLV12</stp>
        <stp>[MODL_NOW_US1.xlsx]Single Period!R180C11</stp>
        <stp>NOW US Equity</stp>
        <stp>BS_LT_OPERATING_LEASE_LIABS/1M</stp>
        <stp>FPR=2021Y</stp>
        <stp>FPT=A</stp>
        <stp>FA_ACT_EST_DATA=E, EST_SOURCE=JPM</stp>
        <stp>ACT_EST_MAPPING=PRECISE</stp>
        <stp>FS=MRC</stp>
        <stp>CURRENCY=USD</stp>
        <stp>XLFILL=b</stp>
        <tr r="K180" s="2"/>
      </tp>
      <tp t="s">
        <v>#N/A Requesting Data...</v>
        <stp/>
        <stp>##V3_BQLV12</stp>
        <stp>[MODL_NOW_US1.xlsx]Single Period!R137C13</stp>
        <stp>NOW US Equity</stp>
        <stp>CF_STOCK_BASED_COMPENSATION/1M</stp>
        <stp>FPR=2021Y</stp>
        <stp>FPT=A</stp>
        <stp>FA_ACT_EST_DATA=E, EST_SOURCE=KEY</stp>
        <stp>ACT_EST_MAPPING=PRECISE</stp>
        <stp>FS=MRC</stp>
        <stp>CURRENCY=USD</stp>
        <stp>XLFILL=b</stp>
        <tr r="M137" s="2"/>
      </tp>
      <tp t="s">
        <v>#N/A Requesting Data...</v>
        <stp/>
        <stp>##V3_BQLV12</stp>
        <stp>[MODL_NOW_US1.xlsx]Single Period!R210C15</stp>
        <stp>NOW US Equity</stp>
        <stp>CF_CHANGE_IN_PREPAID_EXPNSS/1M</stp>
        <stp>FPR=2021Y</stp>
        <stp>FPT=A</stp>
        <stp>FA_ACT_EST_DATA=E, EST_SOURCE=OPY</stp>
        <stp>ACT_EST_MAPPING=PRECISE</stp>
        <stp>FS=MRC</stp>
        <stp>CURRENCY=USD</stp>
        <stp>XLFILL=b</stp>
        <tr r="O210" s="2"/>
      </tp>
      <tp t="s">
        <v>#N/A Requesting Data...</v>
        <stp/>
        <stp>##V3_BQLV12</stp>
        <stp>[MODL_NOW_US1.xlsx]Single Period!R178C28</stp>
        <stp>NOW US Equity</stp>
        <stp>BS_ADJ_TOTAL_LT_LIABILITIES/1M</stp>
        <stp>FPR=2021Y</stp>
        <stp>FPT=A</stp>
        <stp>FA_ACT_EST_DATA=E, EST_SOURCE=EVR</stp>
        <stp>ACT_EST_MAPPING=PRECISE</stp>
        <stp>FS=MRC</stp>
        <stp>CURRENCY=USD</stp>
        <stp>XLFILL=b</stp>
        <tr r="AB178" s="2"/>
      </tp>
      <tp t="s">
        <v>#N/A Requesting Data...</v>
        <stp/>
        <stp>##V3_BQLV12</stp>
        <stp>[MODL_NOW_US1.xlsx]Single Period!R161C41</stp>
        <stp>NOW US Equity</stp>
        <stp>BS_TOTAL_NON_CURRENT_ASSETS/1M</stp>
        <stp>FPR=2021Y</stp>
        <stp>FPT=A</stp>
        <stp>FA_ACT_EST_DATA=E, EST_SOURCE=ARG</stp>
        <stp>ACT_EST_MAPPING=PRECISE</stp>
        <stp>FS=MRC</stp>
        <stp>CURRENCY=USD</stp>
        <stp>XLFILL=b</stp>
        <tr r="AO161" s="2"/>
      </tp>
      <tp t="s">
        <v>#N/A Requesting Data...</v>
        <stp/>
        <stp>##V3_BQLV12</stp>
        <stp>[MODL_NOW_US1.xlsx]Single Period!R105C15</stp>
        <stp>NOW US Equity</stp>
        <stp>ADJ_PROFIT_MARGIN</stp>
        <stp>FPR=2021Y</stp>
        <stp>FPT=A</stp>
        <stp>FA_ACT_EST_DATA=E, EST_SOURCE=OPY</stp>
        <stp>ACT_EST_MAPPING=PRECISE</stp>
        <stp>FS=MRC</stp>
        <stp>CURRENCY=USD</stp>
        <stp>XLFILL=b</stp>
        <tr r="O105" s="2"/>
      </tp>
      <tp t="s">
        <v>#N/A Requesting Data...</v>
        <stp/>
        <stp>##V3_BQLV12</stp>
        <stp>[MODL_NOW_US1.xlsx]Single Period!R27C40</stp>
        <stp>NOW US Equity</stp>
        <stp>IS_REV_INCLUDING_INTERSEG_REV/1M</stp>
        <stp>FPR=2021Y</stp>
        <stp>FPT=A</stp>
        <stp>FA_ACT_EST_DATA=E, EST_SOURCE=DWI</stp>
        <stp>ACT_EST_MAPPING=PRECISE</stp>
        <stp>FS=MRC</stp>
        <stp>CURRENCY=USD</stp>
        <stp>XLFILL=b</stp>
        <tr r="AN27" s="2"/>
      </tp>
      <tp t="s">
        <v>#N/A Requesting Data...</v>
        <stp/>
        <stp>##V3_BQLV12</stp>
        <stp>[MODL_NOW_US1.xlsx]Single Period!R161C44</stp>
        <stp>NOW US Equity</stp>
        <stp>BS_TOTAL_NON_CURRENT_ASSETS/1M</stp>
        <stp>FPR=2021Y</stp>
        <stp>FPT=A</stp>
        <stp>FA_ACT_EST_DATA=E, EST_SOURCE=ARE</stp>
        <stp>ACT_EST_MAPPING=PRECISE</stp>
        <stp>FS=MRC</stp>
        <stp>CURRENCY=USD</stp>
        <stp>XLFILL=b</stp>
        <tr r="AR161" s="2"/>
      </tp>
      <tp t="s">
        <v>#N/A Requesting Data...</v>
        <stp/>
        <stp>##V3_BQLV12</stp>
        <stp>[MODL_NOW_US1.xlsx]Single Period!R191C47</stp>
        <stp>NOW US Equity</stp>
        <stp>ST_DEFERRED_REVENUE/1M</stp>
        <stp>FPR=2021Y</stp>
        <stp>FPT=A</stp>
        <stp>FA_ACT_EST_DATA=E, EST_SOURCE=SUM</stp>
        <stp>ACT_EST_MAPPING=PRECISE</stp>
        <stp>FS=MRC</stp>
        <stp>CURRENCY=USD</stp>
        <stp>XLFILL=b</stp>
        <tr r="AU191" s="2"/>
      </tp>
      <tp t="s">
        <v>#N/A Requesting Data...</v>
        <stp/>
        <stp>##V3_BQLV12</stp>
        <stp>[MODL_NOW_US1.xlsx]Single Period!R176C47</stp>
        <stp>NOW US Equity</stp>
        <stp>ST_DEFERRED_REVENUE/1M</stp>
        <stp>FPR=2021Y</stp>
        <stp>FPT=A</stp>
        <stp>FA_ACT_EST_DATA=E, EST_SOURCE=SUM</stp>
        <stp>ACT_EST_MAPPING=PRECISE</stp>
        <stp>FS=MRC</stp>
        <stp>CURRENCY=USD</stp>
        <stp>XLFILL=b</stp>
        <tr r="AU176" s="2"/>
      </tp>
      <tp t="s">
        <v>#N/A Requesting Data...</v>
        <stp/>
        <stp>##V3_BQLV12</stp>
        <stp>[MODL_NOW_US1.xlsx]Single Period!R179C47</stp>
        <stp>NOW US Equity</stp>
        <stp>LT_DEFERRED_REVENUE/1M</stp>
        <stp>FPR=2021Y</stp>
        <stp>FPT=A</stp>
        <stp>FA_ACT_EST_DATA=E, EST_SOURCE=SUM</stp>
        <stp>ACT_EST_MAPPING=PRECISE</stp>
        <stp>FS=MRC</stp>
        <stp>CURRENCY=USD</stp>
        <stp>XLFILL=b</stp>
        <tr r="AU179" s="2"/>
      </tp>
      <tp t="s">
        <v>#N/A Requesting Data...</v>
        <stp/>
        <stp>##V3_BQLV12</stp>
        <stp>[MODL_NOW_US1.xlsx]Single Period!R184C13</stp>
        <stp>NOW US Equity</stp>
        <stp>BS_EQTY_BEFORE_MINORITY_INT/1M</stp>
        <stp>FPR=2021Y</stp>
        <stp>FPT=A</stp>
        <stp>FA_ACT_EST_DATA=E, EST_SOURCE=KEY</stp>
        <stp>ACT_EST_MAPPING=PRECISE</stp>
        <stp>FS=MRC</stp>
        <stp>CURRENCY=USD</stp>
        <stp>XLFILL=b</stp>
        <tr r="M184" s="2"/>
      </tp>
      <tp t="s">
        <v>#N/A Requesting Data...</v>
        <stp/>
        <stp>##V3_BQLV12</stp>
        <stp>[MODL_NOW_US1.xlsx]Single Period!R192C47</stp>
        <stp>NOW US Equity</stp>
        <stp>LT_DEFERRED_REVENUE/1M</stp>
        <stp>FPR=2021Y</stp>
        <stp>FPT=A</stp>
        <stp>FA_ACT_EST_DATA=E, EST_SOURCE=SUM</stp>
        <stp>ACT_EST_MAPPING=PRECISE</stp>
        <stp>FS=MRC</stp>
        <stp>CURRENCY=USD</stp>
        <stp>XLFILL=b</stp>
        <tr r="AU192" s="2"/>
      </tp>
      <tp t="s">
        <v>#N/A Requesting Data...</v>
        <stp/>
        <stp>##V3_BQLV12</stp>
        <stp>[MODL_NOW_US1.xlsx]Single Period!R27C34</stp>
        <stp>NOW US Equity</stp>
        <stp>IS_REV_INCLUDING_INTERSEG_REV/1M</stp>
        <stp>FPR=2021Y</stp>
        <stp>FPT=A</stp>
        <stp>FA_ACT_EST_DATA=E, EST_SOURCE=PSG</stp>
        <stp>ACT_EST_MAPPING=PRECISE</stp>
        <stp>FS=MRC</stp>
        <stp>CURRENCY=USD</stp>
        <stp>XLFILL=b</stp>
        <tr r="AH27" s="2"/>
      </tp>
      <tp t="s">
        <v>#N/A Requesting Data...</v>
        <stp/>
        <stp>##V3_BQLV12</stp>
        <stp>[MODL_NOW_US1.xlsx]Single Period!R230C46</stp>
        <stp>NOW US Equity</stp>
        <stp>CF_EFFECT_FOREIGN_EXCHANGES/1M</stp>
        <stp>FPR=2021Y</stp>
        <stp>FPT=A</stp>
        <stp>FA_ACT_EST_DATA=E, EST_SOURCE=MZS</stp>
        <stp>ACT_EST_MAPPING=PRECISE</stp>
        <stp>FS=MRC</stp>
        <stp>CURRENCY=USD</stp>
        <stp>XLFILL=b</stp>
        <tr r="AT230" s="2"/>
      </tp>
      <tp t="s">
        <v>#N/A Requesting Data...</v>
        <stp/>
        <stp>##V3_BQLV12</stp>
        <stp>[MODL_NOW_US1.xlsx]Single Period!R158C11</stp>
        <stp>NOW US Equity</stp>
        <stp>BS_ACCTS_REC_EXCL_NOTES_REC/1M</stp>
        <stp>FPR=2021Y</stp>
        <stp>FPT=A</stp>
        <stp>FA_ACT_EST_DATA=E, EST_SOURCE=JPM</stp>
        <stp>ACT_EST_MAPPING=PRECISE</stp>
        <stp>FS=MRC</stp>
        <stp>CURRENCY=USD</stp>
        <stp>XLFILL=b</stp>
        <tr r="K158" s="2"/>
      </tp>
      <tp t="s">
        <v>#N/A Requesting Data...</v>
        <stp/>
        <stp>##V3_BQLV12</stp>
        <stp>[MODL_NOW_US1.xlsx]Single Period!R173C46</stp>
        <stp>NOW US Equity</stp>
        <stp>BS_CUR_LIAB/1M</stp>
        <stp>FPR=2021Y</stp>
        <stp>FPT=A</stp>
        <stp>FA_ACT_EST_DATA=E, EST_SOURCE=MZS</stp>
        <stp>ACT_EST_MAPPING=PRECISE</stp>
        <stp>FS=MRC</stp>
        <stp>CURRENCY=USD</stp>
        <stp>XLFILL=b</stp>
        <tr r="AT173" s="2"/>
      </tp>
      <tp t="s">
        <v>#N/A Requesting Data...</v>
        <stp/>
        <stp>##V3_BQLV12</stp>
        <stp>[MODL_NOW_US1.xlsx]Single Period!R80C35</stp>
        <stp>NOW US Equity</stp>
        <stp>IS_COMP_SALES/1M</stp>
        <stp>FPR=2021Y</stp>
        <stp>FPT=A</stp>
        <stp>FA_ACT_EST_DATA=E, EST_SOURCE=MSR</stp>
        <stp>ACT_EST_MAPPING=PRECISE</stp>
        <stp>FS=MRC</stp>
        <stp>CURRENCY=USD</stp>
        <stp>XLFILL=b</stp>
        <tr r="AI80" s="2"/>
      </tp>
      <tp t="s">
        <v>#N/A Requesting Data...</v>
        <stp/>
        <stp>##V3_BQLV12</stp>
        <stp>[MODL_NOW_US1.xlsx]Single Period!R180C15</stp>
        <stp>NOW US Equity</stp>
        <stp>BS_LT_OPERATING_LEASE_LIABS/1M</stp>
        <stp>FPR=2021Y</stp>
        <stp>FPT=A</stp>
        <stp>FA_ACT_EST_DATA=E, EST_SOURCE=OPY</stp>
        <stp>ACT_EST_MAPPING=PRECISE</stp>
        <stp>FS=MRC</stp>
        <stp>CURRENCY=USD</stp>
        <stp>XLFILL=b</stp>
        <tr r="O180" s="2"/>
      </tp>
      <tp t="s">
        <v>#N/A Requesting Data...</v>
        <stp/>
        <stp>##V3_BQLV12</stp>
        <stp>[MODL_NOW_US1.xlsx]Single Period!R80C5</stp>
        <stp>NOW US Equity</stp>
        <stp>IS_COMP_SALES/1M</stp>
        <stp>FPR=2021Y</stp>
        <stp>FPT=A</stp>
        <stp>FA_ACT_EST_DATA=E</stp>
        <stp>ACT_EST_MAPPING=PRECISE</stp>
        <stp>FS=MRC</stp>
        <stp>CURRENCY=USD</stp>
        <stp>XLFILL=b</stp>
        <tr r="E80" s="2"/>
      </tp>
      <tp t="s">
        <v>#N/A Requesting Data...</v>
        <stp/>
        <stp>##V3_BQLV12</stp>
        <stp>[MODL_NOW_US1.xlsx]Single Period!R210C11</stp>
        <stp>NOW US Equity</stp>
        <stp>CF_CHANGE_IN_PREPAID_EXPNSS/1M</stp>
        <stp>FPR=2021Y</stp>
        <stp>FPT=A</stp>
        <stp>FA_ACT_EST_DATA=E, EST_SOURCE=JPM</stp>
        <stp>ACT_EST_MAPPING=PRECISE</stp>
        <stp>FS=MRC</stp>
        <stp>CURRENCY=USD</stp>
        <stp>XLFILL=b</stp>
        <tr r="K210" s="2"/>
      </tp>
      <tp t="s">
        <v>#N/A Requesting Data...</v>
        <stp/>
        <stp>##V3_BQLV12</stp>
        <stp>[MODL_NOW_US1.xlsx]Single Period!R98C33</stp>
        <stp>NOW US Equity</stp>
        <stp>CF_DEPR_AMORT/1M</stp>
        <stp>FPR=2021Y</stp>
        <stp>FPT=A</stp>
        <stp>FA_ACT_EST_DATA=E, EST_SOURCE=MAC</stp>
        <stp>ACT_EST_MAPPING=PRECISE</stp>
        <stp>FS=MRC</stp>
        <stp>CURRENCY=USD</stp>
        <stp>XLFILL=b</stp>
        <tr r="AG98" s="2"/>
      </tp>
      <tp t="s">
        <v>#N/A Requesting Data...</v>
        <stp/>
        <stp>##V3_BQLV12</stp>
        <stp>[MODL_NOW_US1.xlsx]Single Period!R105C11</stp>
        <stp>NOW US Equity</stp>
        <stp>ADJ_PROFIT_MARGIN</stp>
        <stp>FPR=2021Y</stp>
        <stp>FPT=A</stp>
        <stp>FA_ACT_EST_DATA=E, EST_SOURCE=JPM</stp>
        <stp>ACT_EST_MAPPING=PRECISE</stp>
        <stp>FS=MRC</stp>
        <stp>CURRENCY=USD</stp>
        <stp>XLFILL=b</stp>
        <tr r="K105" s="2"/>
      </tp>
      <tp t="s">
        <v>#N/A Requesting Data...</v>
        <stp/>
        <stp>##V3_BQLV12</stp>
        <stp>[MODL_NOW_US1.xlsx]Single Period!R80C42</stp>
        <stp>NOW US Equity</stp>
        <stp>IS_COMP_SALES/1M</stp>
        <stp>FPR=2021Y</stp>
        <stp>FPT=A</stp>
        <stp>FA_ACT_EST_DATA=E, EST_SOURCE=CTI</stp>
        <stp>ACT_EST_MAPPING=PRECISE</stp>
        <stp>FS=MRC</stp>
        <stp>CURRENCY=USD</stp>
        <stp>XLFILL=b</stp>
        <tr r="AP80" s="2"/>
      </tp>
      <tp t="s">
        <v>#N/A Requesting Data...</v>
        <stp/>
        <stp>##V3_BQLV12</stp>
        <stp>[MODL_NOW_US1.xlsx]Single Period!R92C15</stp>
        <stp>NOW US Equity</stp>
        <stp>IS_ADJ_GENL_AND_ADMIN_EXPN_AR/1M</stp>
        <stp>FPR=2021Y</stp>
        <stp>FPT=A</stp>
        <stp>FA_ACT_EST_DATA=E, EST_SOURCE=OPY</stp>
        <stp>ACT_EST_MAPPING=PRECISE</stp>
        <stp>FS=MRC</stp>
        <stp>CURRENCY=USD</stp>
        <stp>XLFILL=b</stp>
        <tr r="O92" s="2"/>
      </tp>
      <tp t="s">
        <v>#N/A Requesting Data...</v>
        <stp/>
        <stp>##V3_BQLV12</stp>
        <stp>[MODL_NOW_US1.xlsx]Single Period!R184C36</stp>
        <stp>NOW US Equity</stp>
        <stp>BS_EQTY_BEFORE_MINORITY_INT/1M</stp>
        <stp>FPR=2021Y</stp>
        <stp>FPT=A</stp>
        <stp>FA_ACT_EST_DATA=E, EST_SOURCE=JEF</stp>
        <stp>ACT_EST_MAPPING=PRECISE</stp>
        <stp>FS=MRC</stp>
        <stp>CURRENCY=USD</stp>
        <stp>XLFILL=b</stp>
        <tr r="AJ184" s="2"/>
      </tp>
      <tp t="s">
        <v>#N/A Requesting Data...</v>
        <stp/>
        <stp>##V3_BQLV12</stp>
        <stp>[MODL_NOW_US1.xlsx]Single Period!R189C23</stp>
        <stp>NOW US Equity</stp>
        <stp>CUR_RATIO</stp>
        <stp>FPR=2021Y</stp>
        <stp>FPT=A</stp>
        <stp>FA_ACT_EST_DATA=E, EST_SOURCE=ZXS</stp>
        <stp>ACT_EST_MAPPING=PRECISE</stp>
        <stp>FS=MRC</stp>
        <stp>CURRENCY=USD</stp>
        <stp>XLFILL=b</stp>
        <tr r="W189" s="2"/>
      </tp>
      <tp t="s">
        <v>#N/A Requesting Data...</v>
        <stp/>
        <stp>##V3_BQLV12</stp>
        <stp>[MODL_NOW_US1.xlsx]Single Period!R80C44</stp>
        <stp>NOW US Equity</stp>
        <stp>IS_COMP_SALES/1M</stp>
        <stp>FPR=2021Y</stp>
        <stp>FPT=A</stp>
        <stp>FA_ACT_EST_DATA=E, EST_SOURCE=ARE</stp>
        <stp>ACT_EST_MAPPING=PRECISE</stp>
        <stp>FS=MRC</stp>
        <stp>CURRENCY=USD</stp>
        <stp>XLFILL=b</stp>
        <tr r="AR80" s="2"/>
      </tp>
      <tp t="s">
        <v>#N/A Requesting Data...</v>
        <stp/>
        <stp>##V3_BQLV12</stp>
        <stp>[MODL_NOW_US1.xlsx]Single Period!R137C36</stp>
        <stp>NOW US Equity</stp>
        <stp>CF_STOCK_BASED_COMPENSATION/1M</stp>
        <stp>FPR=2021Y</stp>
        <stp>FPT=A</stp>
        <stp>FA_ACT_EST_DATA=E, EST_SOURCE=JEF</stp>
        <stp>ACT_EST_MAPPING=PRECISE</stp>
        <stp>FS=MRC</stp>
        <stp>CURRENCY=USD</stp>
        <stp>XLFILL=b</stp>
        <tr r="AJ137" s="2"/>
      </tp>
      <tp t="s">
        <v>#N/A Requesting Data...</v>
        <stp/>
        <stp>##V3_BQLV12</stp>
        <stp>[MODL_NOW_US1.xlsx]Single Period!R173C39</stp>
        <stp>NOW US Equity</stp>
        <stp>BS_CUR_LIAB/1M</stp>
        <stp>FPR=2021Y</stp>
        <stp>FPT=A</stp>
        <stp>FA_ACT_EST_DATA=E, EST_SOURCE=DZB</stp>
        <stp>ACT_EST_MAPPING=PRECISE</stp>
        <stp>FS=MRC</stp>
        <stp>CURRENCY=USD</stp>
        <stp>XLFILL=b</stp>
        <tr r="AM173" s="2"/>
      </tp>
      <tp t="s">
        <v>#N/A Requesting Data...</v>
        <stp/>
        <stp>##V3_BQLV12</stp>
        <stp>[MODL_NOW_US1.xlsx]Single Period!R230C39</stp>
        <stp>NOW US Equity</stp>
        <stp>CF_EFFECT_FOREIGN_EXCHANGES/1M</stp>
        <stp>FPR=2021Y</stp>
        <stp>FPT=A</stp>
        <stp>FA_ACT_EST_DATA=E, EST_SOURCE=DZB</stp>
        <stp>ACT_EST_MAPPING=PRECISE</stp>
        <stp>FS=MRC</stp>
        <stp>CURRENCY=USD</stp>
        <stp>XLFILL=b</stp>
        <tr r="AM230" s="2"/>
      </tp>
      <tp t="s">
        <v>#N/A Requesting Data...</v>
        <stp/>
        <stp>##V3_BQLV12</stp>
        <stp>[MODL_NOW_US1.xlsx]Single Period!R158C15</stp>
        <stp>NOW US Equity</stp>
        <stp>BS_ACCTS_REC_EXCL_NOTES_REC/1M</stp>
        <stp>FPR=2021Y</stp>
        <stp>FPT=A</stp>
        <stp>FA_ACT_EST_DATA=E, EST_SOURCE=OPY</stp>
        <stp>ACT_EST_MAPPING=PRECISE</stp>
        <stp>FS=MRC</stp>
        <stp>CURRENCY=USD</stp>
        <stp>XLFILL=b</stp>
        <tr r="O158" s="2"/>
      </tp>
      <tp t="s">
        <v>#N/A Requesting Data...</v>
        <stp/>
        <stp>##V3_BQLV12</stp>
        <stp>[MODL_NOW_US1.xlsx]Single Period!R150C13</stp>
        <stp>NOW US Equity</stp>
        <stp>IS_INC_TAX_EFFECT_NONGAAP_REC/1M</stp>
        <stp>FPR=2021Y</stp>
        <stp>FPT=A</stp>
        <stp>FA_ACT_EST_DATA=E, EST_SOURCE=KEY</stp>
        <stp>ACT_EST_MAPPING=PRECISE</stp>
        <stp>FS=MRC</stp>
        <stp>CURRENCY=USD</stp>
        <stp>XLFILL=b</stp>
        <tr r="M150" s="2"/>
      </tp>
      <tp t="s">
        <v>#N/A Requesting Data...</v>
        <stp/>
        <stp>##V3_BQLV12</stp>
        <stp>[MODL_NOW_US1.xlsx]Single Period!R195C5</stp>
        <stp>NOW US Equity</stp>
        <stp>CB_BS_DEFERRED_COST_LT/1M</stp>
        <stp>FPR=2021Y</stp>
        <stp>FPT=A</stp>
        <stp>FA_ACT_EST_DATA=E</stp>
        <stp>ACT_EST_MAPPING=PRECISE</stp>
        <stp>FS=MRC</stp>
        <stp>CURRENCY=USD</stp>
        <stp>XLFILL=b</stp>
        <tr r="E195" s="2"/>
      </tp>
      <tp t="s">
        <v>#N/A Requesting Data...</v>
        <stp/>
        <stp>##V3_BQLV12</stp>
        <stp>[MODL_NOW_US1.xlsx]Single Period!R133C20</stp>
        <stp>NOW US Equity</stp>
        <stp>IS_SH_FOR_DILUTED_EPS/1M</stp>
        <stp>FPR=2021Y</stp>
        <stp>FPT=A</stp>
        <stp>FA_ACT_EST_DATA=E, EST_SOURCE=CAN</stp>
        <stp>ACT_EST_MAPPING=PRECISE</stp>
        <stp>FS=MRC</stp>
        <stp>CURRENCY=USD</stp>
        <stp>XLFILL=b</stp>
        <tr r="T133" s="2"/>
      </tp>
      <tp t="s">
        <v>#N/A Requesting Data...</v>
        <stp/>
        <stp>##V3_BQLV12</stp>
        <stp>[MODL_NOW_US1.xlsx]Single Period!R133C30</stp>
        <stp>NOW US Equity</stp>
        <stp>IS_SH_FOR_DILUTED_EPS/1M</stp>
        <stp>FPR=2021Y</stp>
        <stp>FPT=A</stp>
        <stp>FA_ACT_EST_DATA=E, EST_SOURCE=BAM</stp>
        <stp>ACT_EST_MAPPING=PRECISE</stp>
        <stp>FS=MRC</stp>
        <stp>CURRENCY=USD</stp>
        <stp>XLFILL=b</stp>
        <tr r="AD133" s="2"/>
      </tp>
      <tp t="s">
        <v>#N/A Requesting Data...</v>
        <stp/>
        <stp>##V3_BQLV12</stp>
        <stp>[MODL_NOW_US1.xlsx]Single Period!R63C7</stp>
        <stp>SEG0000230975 Segment</stp>
        <stp>CONTRIBUTOR_STATS(CB_IS_GROSS_PROFIT, MAX)/1M</stp>
        <stp>FPR=2021Y</stp>
        <stp>FPT=A</stp>
        <stp>FA_ACT_EST_DATA=E</stp>
        <stp>ACT_EST_MAPPING=PRECISE</stp>
        <stp>FS=MRC</stp>
        <stp>CURRENCY=USD</stp>
        <stp>XLFILL=b</stp>
        <tr r="G63" s="2"/>
      </tp>
      <tp t="s">
        <v>#N/A Requesting Data...</v>
        <stp/>
        <stp>##V3_BQLV12</stp>
        <stp>[MODL_NOW_US1.xlsx]Single Period!R63C6</stp>
        <stp>SEG0000230975 Segment</stp>
        <stp>CONTRIBUTOR_STATS(CB_IS_GROSS_PROFIT, MIN)/1M</stp>
        <stp>FPR=2021Y</stp>
        <stp>FPT=A</stp>
        <stp>FA_ACT_EST_DATA=E</stp>
        <stp>ACT_EST_MAPPING=PRECISE</stp>
        <stp>FS=MRC</stp>
        <stp>CURRENCY=USD</stp>
        <stp>XLFILL=b</stp>
        <tr r="F63" s="2"/>
      </tp>
      <tp t="s">
        <v>#N/A Requesting Data...</v>
        <stp/>
        <stp>##V3_BQLV12</stp>
        <stp>[MODL_NOW_US1.xlsx]Single Period!R235C25</stp>
        <stp>NOW US Equity</stp>
        <stp>CF_FREE_CASH_FLOW_AS_REPORTED/1M</stp>
        <stp>FPR=2021Y</stp>
        <stp>FPT=A</stp>
        <stp>FA_ACT_EST_DATA=E, EST_SOURCE=DBG</stp>
        <stp>ACT_EST_MAPPING=PRECISE</stp>
        <stp>FS=MRC</stp>
        <stp>CURRENCY=USD</stp>
        <stp>XLFILL=b</stp>
        <tr r="Y235" s="2"/>
      </tp>
      <tp t="s">
        <v>#N/A Requesting Data...</v>
        <stp/>
        <stp>##V3_BQLV12</stp>
        <stp>[MODL_NOW_US1.xlsx]Single Period!R131C49</stp>
        <stp>NOW US Equity</stp>
        <stp>IS_AVG_NUM_SH_FOR_EPS/1M</stp>
        <stp>FPR=2021Y</stp>
        <stp>FPT=A</stp>
        <stp>FA_ACT_EST_DATA=E, EST_SOURCE=SCB</stp>
        <stp>ACT_EST_MAPPING=PRECISE</stp>
        <stp>FS=MRC</stp>
        <stp>CURRENCY=USD</stp>
        <stp>XLFILL=b</stp>
        <tr r="AW131" s="2"/>
      </tp>
      <tp t="s">
        <v>#N/A Requesting Data...</v>
        <stp/>
        <stp>##V3_BQLV12</stp>
        <stp>[MODL_NOW_US1.xlsx]Single Period!R150C18</stp>
        <stp>NOW US Equity</stp>
        <stp>IS_INC_TAX_EFFECT_NONGAAP_REC/1M</stp>
        <stp>FPR=2021Y</stp>
        <stp>FPT=A</stp>
        <stp>FA_ACT_EST_DATA=E, EST_SOURCE=SNR</stp>
        <stp>ACT_EST_MAPPING=PRECISE</stp>
        <stp>FS=MRC</stp>
        <stp>CURRENCY=USD</stp>
        <stp>XLFILL=b</stp>
        <tr r="R150" s="2"/>
      </tp>
      <tp t="s">
        <v>#N/A Requesting Data...</v>
        <stp/>
        <stp>##V3_BQLV12</stp>
        <stp>[MODL_NOW_US1.xlsx]Single Period!R15C22</stp>
        <stp>SEG0000230992 Segment</stp>
        <stp>SALES_REV_TURN/1M</stp>
        <stp>FPR=2021Y</stp>
        <stp>FPT=A</stp>
        <stp>FA_ACT_EST_DATA=E, EST_SOURCE=NDH</stp>
        <stp>ACT_EST_MAPPING=PRECISE</stp>
        <stp>FS=MRC</stp>
        <stp>CURRENCY=USD</stp>
        <stp>XLFILL=b</stp>
        <tr r="V15" s="2"/>
      </tp>
      <tp t="s">
        <v>#N/A Requesting Data...</v>
        <stp/>
        <stp>##V3_BQLV12</stp>
        <stp>[MODL_NOW_US1.xlsx]Single Period!R75C22</stp>
        <stp>SEG0000230992 Segment</stp>
        <stp>SALES_REV_TURN/1M</stp>
        <stp>FPR=2021Y</stp>
        <stp>FPT=A</stp>
        <stp>FA_ACT_EST_DATA=E, EST_SOURCE=NDH</stp>
        <stp>ACT_EST_MAPPING=PRECISE</stp>
        <stp>FS=MRC</stp>
        <stp>CURRENCY=USD</stp>
        <stp>XLFILL=b</stp>
        <tr r="V75" s="2"/>
      </tp>
      <tp t="s">
        <v>#N/A Requesting Data...</v>
        <stp/>
        <stp>##V3_BQLV12</stp>
        <stp>[MODL_NOW_US1.xlsx]Single Period!R150C22</stp>
        <stp>NOW US Equity</stp>
        <stp>IS_INC_TAX_EFFECT_NONGAAP_REC/1M</stp>
        <stp>FPR=2021Y</stp>
        <stp>FPT=A</stp>
        <stp>FA_ACT_EST_DATA=E, EST_SOURCE=NDH</stp>
        <stp>ACT_EST_MAPPING=PRECISE</stp>
        <stp>FS=MRC</stp>
        <stp>CURRENCY=USD</stp>
        <stp>XLFILL=b</stp>
        <tr r="V150" s="2"/>
      </tp>
      <tp t="s">
        <v>#N/A Requesting Data...</v>
        <stp/>
        <stp>##V3_BQLV12</stp>
        <stp>[MODL_NOW_US1.xlsx]Single Period!R119C33</stp>
        <stp>NOW US Equity</stp>
        <stp>CB_IS_S_AND_M_EXPENSE/1M</stp>
        <stp>FPR=2021Y</stp>
        <stp>FPT=A</stp>
        <stp>FA_ACT_EST_DATA=E, EST_SOURCE=MAC</stp>
        <stp>ACT_EST_MAPPING=PRECISE</stp>
        <stp>FS=MRC</stp>
        <stp>CURRENCY=USD</stp>
        <stp>XLFILL=b</stp>
        <tr r="AG119" s="2"/>
      </tp>
      <tp t="s">
        <v>#N/A Requesting Data...</v>
        <stp/>
        <stp>##V3_BQLV12</stp>
        <stp>[MODL_NOW_US1.xlsx]Single Period!R54C13</stp>
        <stp>NOW US Equity</stp>
        <stp>IS_FOREIGN_CURRENCY_TURNOVER/1M</stp>
        <stp>FPR=2021Y</stp>
        <stp>FPT=A</stp>
        <stp>FA_ACT_EST_DATA=E, EST_SOURCE=KEY</stp>
        <stp>ACT_EST_MAPPING=PRECISE</stp>
        <stp>FS=MRC</stp>
        <stp>CURRENCY=USD</stp>
        <stp>XLFILL=b</stp>
        <tr r="M54" s="2"/>
      </tp>
      <tp t="s">
        <v>#N/A Requesting Data...</v>
        <stp/>
        <stp>##V3_BQLV12</stp>
        <stp>[MODL_NOW_US1.xlsx]Single Period!R66C43</stp>
        <stp>SEG0000230986 Segment</stp>
        <stp>SALES_REV_TURN/1M</stp>
        <stp>FPR=2021Y</stp>
        <stp>FPT=A</stp>
        <stp>FA_ACT_EST_DATA=E, EST_SOURCE=WFT</stp>
        <stp>ACT_EST_MAPPING=PRECISE</stp>
        <stp>FS=MRC</stp>
        <stp>CURRENCY=USD</stp>
        <stp>XLFILL=b</stp>
        <tr r="AQ66" s="2"/>
      </tp>
      <tp t="s">
        <v>#N/A Requesting Data...</v>
        <stp/>
        <stp>##V3_BQLV12</stp>
        <stp>[MODL_NOW_US1.xlsx]Single Period!R169C20</stp>
        <stp>NOW US Equity</stp>
        <stp>CB_BS_OTHER_NONCURRENT_ASSETS/1M</stp>
        <stp>FPR=2021Y</stp>
        <stp>FPT=A</stp>
        <stp>FA_ACT_EST_DATA=E, EST_SOURCE=CAN</stp>
        <stp>ACT_EST_MAPPING=PRECISE</stp>
        <stp>FS=MRC</stp>
        <stp>CURRENCY=USD</stp>
        <stp>XLFILL=b</stp>
        <tr r="T169" s="2"/>
      </tp>
      <tp t="s">
        <v>#N/A Requesting Data...</v>
        <stp/>
        <stp>##V3_BQLV12</stp>
        <stp>[MODL_NOW_US1.xlsx]Single Period!R169C30</stp>
        <stp>NOW US Equity</stp>
        <stp>CB_BS_OTHER_NONCURRENT_ASSETS/1M</stp>
        <stp>FPR=2021Y</stp>
        <stp>FPT=A</stp>
        <stp>FA_ACT_EST_DATA=E, EST_SOURCE=BAM</stp>
        <stp>ACT_EST_MAPPING=PRECISE</stp>
        <stp>FS=MRC</stp>
        <stp>CURRENCY=USD</stp>
        <stp>XLFILL=b</stp>
        <tr r="AD169" s="2"/>
      </tp>
      <tp t="s">
        <v>#N/A Requesting Data...</v>
        <stp/>
        <stp>##V3_BQLV12</stp>
        <stp>[MODL_NOW_US1.xlsx]Single Period!R209C23</stp>
        <stp>NOW US Equity</stp>
        <stp>CF_CHANGE_IN_ACCOUNTS_PAYABLE/1M</stp>
        <stp>FPR=2021Y</stp>
        <stp>FPT=A</stp>
        <stp>FA_ACT_EST_DATA=E, EST_SOURCE=ZXS</stp>
        <stp>ACT_EST_MAPPING=PRECISE</stp>
        <stp>FS=MRC</stp>
        <stp>CURRENCY=USD</stp>
        <stp>XLFILL=b</stp>
        <tr r="W209" s="2"/>
      </tp>
      <tp t="s">
        <v>#N/A Requesting Data...</v>
        <stp/>
        <stp>##V3_BQLV12</stp>
        <stp>[MODL_NOW_US1.xlsx]Single Period!R63C8</stp>
        <stp>SEG0000230975 Segment</stp>
        <stp>CONTRIBUTOR_STATS(CB_IS_GROSS_PROFIT, STD)/1M</stp>
        <stp>FPR=2021Y</stp>
        <stp>FPT=A</stp>
        <stp>FA_ACT_EST_DATA=E</stp>
        <stp>ACT_EST_MAPPING=PRECISE</stp>
        <stp>FS=MRC</stp>
        <stp>CURRENCY=USD</stp>
        <stp>XLFILL=b</stp>
        <tr r="H63" s="2"/>
      </tp>
      <tp t="s">
        <v>#N/A Requesting Data...</v>
        <stp/>
        <stp>##V3_BQLV12</stp>
        <stp>[MODL_NOW_US1.xlsx]Single Period!R83C13</stp>
        <stp>NOW US Equity</stp>
        <stp>IS_ADJUSTED_COGS_AS_REPORTED/1M</stp>
        <stp>FPR=2021Y</stp>
        <stp>FPT=A</stp>
        <stp>FA_ACT_EST_DATA=E, EST_SOURCE=KEY</stp>
        <stp>ACT_EST_MAPPING=PRECISE</stp>
        <stp>FS=MRC</stp>
        <stp>CURRENCY=USD</stp>
        <stp>XLFILL=b</stp>
        <tr r="M83" s="2"/>
      </tp>
      <tp t="s">
        <v>#N/A Requesting Data...</v>
        <stp/>
        <stp>##V3_BQLV12</stp>
        <stp>[MODL_NOW_US1.xlsx]Single Period!R235C29</stp>
        <stp>NOW US Equity</stp>
        <stp>CF_FREE_CASH_FLOW_AS_REPORTED/1M</stp>
        <stp>FPR=2021Y</stp>
        <stp>FPT=A</stp>
        <stp>FA_ACT_EST_DATA=E, EST_SOURCE=BNS</stp>
        <stp>ACT_EST_MAPPING=PRECISE</stp>
        <stp>FS=MRC</stp>
        <stp>CURRENCY=USD</stp>
        <stp>XLFILL=b</stp>
        <tr r="AC235" s="2"/>
      </tp>
      <tp t="s">
        <v>#N/A Requesting Data...</v>
        <stp/>
        <stp>##V3_BQLV12</stp>
        <stp>[MODL_NOW_US1.xlsx]Single Period!R102C36</stp>
        <stp>NOW US Equity</stp>
        <stp>IS_COMP_PTP_EX_STK_BASED_COMP/1M</stp>
        <stp>FPR=2021Y</stp>
        <stp>FPT=A</stp>
        <stp>FA_ACT_EST_DATA=E, EST_SOURCE=JEF</stp>
        <stp>ACT_EST_MAPPING=PRECISE</stp>
        <stp>FS=MRC</stp>
        <stp>CURRENCY=USD</stp>
        <stp>XLFILL=b</stp>
        <tr r="AJ102" s="2"/>
      </tp>
      <tp t="s">
        <v>#N/A Requesting Data...</v>
        <stp/>
        <stp>##V3_BQLV12</stp>
        <stp>[MODL_NOW_US1.xlsx]Single Period!R16C17</stp>
        <stp>SEG0000230969 Segment</stp>
        <stp>SALES_REV_TURN/1M</stp>
        <stp>FPR=2021Y</stp>
        <stp>FPT=A</stp>
        <stp>FA_ACT_EST_DATA=E, EST_SOURCE=RHR</stp>
        <stp>ACT_EST_MAPPING=PRECISE</stp>
        <stp>FS=MRC</stp>
        <stp>CURRENCY=USD</stp>
        <stp>XLFILL=b</stp>
        <tr r="Q16" s="2"/>
      </tp>
      <tp t="s">
        <v>#N/A Requesting Data...</v>
        <stp/>
        <stp>##V3_BQLV12</stp>
        <stp>[MODL_NOW_US1.xlsx]Single Period!R143C19</stp>
        <stp>NOW US Equity</stp>
        <stp>IS_SBC_ATTRIBUTABLE_TO_R_AND_D_PRETX/1M</stp>
        <stp>FPR=2021Y</stp>
        <stp>FPT=A</stp>
        <stp>FA_ACT_EST_DATA=E, EST_SOURCE=MSV</stp>
        <stp>ACT_EST_MAPPING=PRECISE</stp>
        <stp>FS=MRC</stp>
        <stp>CURRENCY=USD</stp>
        <stp>XLFILL=b</stp>
        <tr r="S143" s="2"/>
      </tp>
      <tp t="s">
        <v>#N/A Requesting Data...</v>
        <stp/>
        <stp>##V3_BQLV12</stp>
        <stp>[MODL_NOW_US1.xlsx]Single Period!R67C9</stp>
        <stp>SEG0000230986 Segment</stp>
        <stp>CONTRIBUTOR_STATS(IS_PERCENTAGE_OF_REVENUE, MEDIAN)</stp>
        <stp>FPR=2021Y</stp>
        <stp>FPT=A</stp>
        <stp>FA_ACT_EST_DATA=E</stp>
        <stp>ACT_EST_MAPPING=PRECISE</stp>
        <stp>FS=MRC</stp>
        <stp>CURRENCY=USD</stp>
        <stp>XLFILL=b</stp>
        <tr r="I67" s="2"/>
      </tp>
      <tp t="s">
        <v>#N/A Requesting Data...</v>
        <stp/>
        <stp>##V3_BQLV12</stp>
        <stp>[MODL_NOW_US1.xlsx]Single Period!R59C9</stp>
        <stp>SEG0000230975 Segment</stp>
        <stp>CONTRIBUTOR_STATS(IS_PERCENTAGE_OF_REVENUE, MEDIAN)</stp>
        <stp>FPR=2021Y</stp>
        <stp>FPT=A</stp>
        <stp>FA_ACT_EST_DATA=E</stp>
        <stp>ACT_EST_MAPPING=PRECISE</stp>
        <stp>FS=MRC</stp>
        <stp>CURRENCY=USD</stp>
        <stp>XLFILL=b</stp>
        <tr r="I59" s="2"/>
      </tp>
      <tp t="s">
        <v>#N/A Requesting Data...</v>
        <stp/>
        <stp>##V3_BQLV12</stp>
        <stp>[MODL_NOW_US1.xlsx]Single Period!R85C17</stp>
        <stp>NOW US Equity</stp>
        <stp>IS_COMP_GROSS_MARGIN_PERCENTAGE</stp>
        <stp>FPR=2021Y</stp>
        <stp>FPT=A</stp>
        <stp>FA_ACT_EST_DATA=E, EST_SOURCE=RHR</stp>
        <stp>ACT_EST_MAPPING=PRECISE</stp>
        <stp>FS=MRC</stp>
        <stp>CURRENCY=USD</stp>
        <stp>XLFILL=b</stp>
        <tr r="Q85" s="2"/>
      </tp>
      <tp t="s">
        <v>#N/A Requesting Data...</v>
        <stp/>
        <stp>##V3_BQLV12</stp>
        <stp>[MODL_NOW_US1.xlsx]Single Period!R134C21</stp>
        <stp>NOW US Equity</stp>
        <stp>IS_COMP_EPS_GAAP</stp>
        <stp>FPR=2021Y</stp>
        <stp>FPT=A</stp>
        <stp>FA_ACT_EST_DATA=E, EST_SOURCE=JMP</stp>
        <stp>ACT_EST_MAPPING=PRECISE</stp>
        <stp>FS=MRC</stp>
        <stp>CURRENCY=USD</stp>
        <stp>XLFILL=b</stp>
        <tr r="U134" s="2"/>
      </tp>
      <tp t="s">
        <v>#N/A Requesting Data...</v>
        <stp/>
        <stp>##V3_BQLV12</stp>
        <stp>[MODL_NOW_US1.xlsx]Single Period!R25C17</stp>
        <stp>NOW US Equity</stp>
        <stp>IS_COMP_GROSS_MARGIN_PERCENTAGE</stp>
        <stp>FPR=2021Y</stp>
        <stp>FPT=A</stp>
        <stp>FA_ACT_EST_DATA=E, EST_SOURCE=RHR</stp>
        <stp>ACT_EST_MAPPING=PRECISE</stp>
        <stp>FS=MRC</stp>
        <stp>CURRENCY=USD</stp>
        <stp>XLFILL=b</stp>
        <tr r="Q25" s="2"/>
      </tp>
      <tp t="s">
        <v>#N/A Requesting Data...</v>
        <stp/>
        <stp>##V3_BQLV12</stp>
        <stp>[MODL_NOW_US1.xlsx]Single Period!R201C28</stp>
        <stp>NOW US Equity</stp>
        <stp>D_AND_A_TO_SALES</stp>
        <stp>FPR=2021Y</stp>
        <stp>FPT=A</stp>
        <stp>FA_ACT_EST_DATA=E, EST_SOURCE=EVR</stp>
        <stp>ACT_EST_MAPPING=PRECISE</stp>
        <stp>FS=MRC</stp>
        <stp>CURRENCY=USD</stp>
        <stp>XLFILL=b</stp>
        <tr r="AB201" s="2"/>
      </tp>
      <tp t="s">
        <v>#N/A Requesting Data...</v>
        <stp/>
        <stp>##V3_BQLV12</stp>
        <stp>[MODL_NOW_US1.xlsx]Single Period!R156C28</stp>
        <stp>NOW US Equity</stp>
        <stp>BS_CASH_NEAR_CASH_ITEM/1M</stp>
        <stp>FPR=2021Y</stp>
        <stp>FPT=A</stp>
        <stp>FA_ACT_EST_DATA=E, EST_SOURCE=EVR</stp>
        <stp>ACT_EST_MAPPING=PRECISE</stp>
        <stp>FS=MRC</stp>
        <stp>CURRENCY=USD</stp>
        <stp>XLFILL=b</stp>
        <tr r="AB156" s="2"/>
      </tp>
      <tp t="s">
        <v>#N/A Requesting Data...</v>
        <stp/>
        <stp>##V3_BQLV12</stp>
        <stp>[MODL_NOW_US1.xlsx]Single Period!R168C24</stp>
        <stp>NOW US Equity</stp>
        <stp>CB_BS_DEFERRED_COST_LT/1M</stp>
        <stp>FPR=2021Y</stp>
        <stp>FPT=A</stp>
        <stp>FA_ACT_EST_DATA=E, EST_SOURCE=CWN</stp>
        <stp>ACT_EST_MAPPING=PRECISE</stp>
        <stp>FS=MRC</stp>
        <stp>CURRENCY=USD</stp>
        <stp>XLFILL=b</stp>
        <tr r="X168" s="2"/>
      </tp>
      <tp t="s">
        <v>#N/A Requesting Data...</v>
        <stp/>
        <stp>##V3_BQLV12</stp>
        <stp>[MODL_NOW_US1.xlsx]Single Period!R168C40</stp>
        <stp>NOW US Equity</stp>
        <stp>CB_BS_DEFERRED_COST_LT/1M</stp>
        <stp>FPR=2021Y</stp>
        <stp>FPT=A</stp>
        <stp>FA_ACT_EST_DATA=E, EST_SOURCE=DWI</stp>
        <stp>ACT_EST_MAPPING=PRECISE</stp>
        <stp>FS=MRC</stp>
        <stp>CURRENCY=USD</stp>
        <stp>XLFILL=b</stp>
        <tr r="AN168" s="2"/>
      </tp>
      <tp t="s">
        <v>#N/A Requesting Data...</v>
        <stp/>
        <stp>##V3_BQLV12</stp>
        <stp>[MODL_NOW_US1.xlsx]Single Period!R70C28</stp>
        <stp>SEG0000230986 Segment</stp>
        <stp>IS_ADJ_GROSS_MARGIN_PCT_AR</stp>
        <stp>FPR=2021Y</stp>
        <stp>FPT=A</stp>
        <stp>FA_ACT_EST_DATA=E, EST_SOURCE=EVR</stp>
        <stp>ACT_EST_MAPPING=PRECISE</stp>
        <stp>FS=MRC</stp>
        <stp>CURRENCY=USD</stp>
        <stp>XLFILL=b</stp>
        <tr r="AB70" s="2"/>
      </tp>
      <tp t="s">
        <v>#N/A Requesting Data...</v>
        <stp/>
        <stp>##V3_BQLV12</stp>
        <stp>[MODL_NOW_US1.xlsx]Single Period!R22C28</stp>
        <stp>SEG0000230986 Segment</stp>
        <stp>IS_ADJ_GROSS_MARGIN_PCT_AR</stp>
        <stp>FPR=2021Y</stp>
        <stp>FPT=A</stp>
        <stp>FA_ACT_EST_DATA=E, EST_SOURCE=EVR</stp>
        <stp>ACT_EST_MAPPING=PRECISE</stp>
        <stp>FS=MRC</stp>
        <stp>CURRENCY=USD</stp>
        <stp>XLFILL=b</stp>
        <tr r="AB22" s="2"/>
      </tp>
      <tp t="s">
        <v>#N/A Requesting Data...</v>
        <stp/>
        <stp>##V3_BQLV12</stp>
        <stp>[MODL_NOW_US1.xlsx]Single Period!R233C43</stp>
        <stp>NOW US Equity</stp>
        <stp>CF_CASH_AND_CASH_EQUIV_END_BAL/1M</stp>
        <stp>FPR=2021Y</stp>
        <stp>FPT=A</stp>
        <stp>FA_ACT_EST_DATA=E, EST_SOURCE=WFT</stp>
        <stp>ACT_EST_MAPPING=PRECISE</stp>
        <stp>FS=MRC</stp>
        <stp>CURRENCY=USD</stp>
        <stp>XLFILL=b</stp>
        <tr r="AQ233" s="2"/>
      </tp>
      <tp t="s">
        <v>#N/A Requesting Data...</v>
        <stp/>
        <stp>##V3_BQLV12</stp>
        <stp>[MODL_NOW_US1.xlsx]Single Period!R195C39</stp>
        <stp>NOW US Equity</stp>
        <stp>CB_BS_DEFERRED_COST_LT/1M</stp>
        <stp>FPR=2021Y</stp>
        <stp>FPT=A</stp>
        <stp>FA_ACT_EST_DATA=E, EST_SOURCE=DZB</stp>
        <stp>ACT_EST_MAPPING=PRECISE</stp>
        <stp>FS=MRC</stp>
        <stp>CURRENCY=USD</stp>
        <stp>XLFILL=b</stp>
        <tr r="AM195" s="2"/>
      </tp>
      <tp t="s">
        <v>#N/A Requesting Data...</v>
        <stp/>
        <stp>##V3_BQLV12</stp>
        <stp>[MODL_NOW_US1.xlsx]Single Period!R168C38</stp>
        <stp>NOW US Equity</stp>
        <stp>CB_BS_DEFERRED_COST_LT/1M</stp>
        <stp>FPR=2021Y</stp>
        <stp>FPT=A</stp>
        <stp>FA_ACT_EST_DATA=E, EST_SOURCE=RWB</stp>
        <stp>ACT_EST_MAPPING=PRECISE</stp>
        <stp>FS=MRC</stp>
        <stp>CURRENCY=USD</stp>
        <stp>XLFILL=b</stp>
        <tr r="AL168" s="2"/>
      </tp>
      <tp t="s">
        <v>#N/A Requesting Data...</v>
        <stp/>
        <stp>##V3_BQLV12</stp>
        <stp>[MODL_NOW_US1.xlsx]Single Period!R128C37</stp>
        <stp>NOW US Equity</stp>
        <stp>IS_INC_TAX_EXP/1M</stp>
        <stp>FPR=2021Y</stp>
        <stp>FPT=A</stp>
        <stp>FA_ACT_EST_DATA=E, EST_SOURCE=TTC</stp>
        <stp>ACT_EST_MAPPING=PRECISE</stp>
        <stp>FS=MRC</stp>
        <stp>CURRENCY=USD</stp>
        <stp>XLFILL=b</stp>
        <tr r="AK128" s="2"/>
      </tp>
      <tp t="s">
        <v>#N/A Requesting Data...</v>
        <stp/>
        <stp>##V3_BQLV12</stp>
        <stp>[MODL_NOW_US1.xlsx]Single Period!R64C22</stp>
        <stp>SEG0000230975 Segment</stp>
        <stp>CB_IS_GROSS_MARGIN</stp>
        <stp>FPR=2021Y</stp>
        <stp>FPT=A</stp>
        <stp>FA_ACT_EST_DATA=E, EST_SOURCE=NDH</stp>
        <stp>ACT_EST_MAPPING=PRECISE</stp>
        <stp>FS=MRC</stp>
        <stp>CURRENCY=USD</stp>
        <stp>XLFILL=b</stp>
        <tr r="V64" s="2"/>
      </tp>
      <tp t="s">
        <v>#N/A Requesting Data...</v>
        <stp/>
        <stp>##V3_BQLV12</stp>
        <stp>[MODL_NOW_US1.xlsx]Single Period!R232C22</stp>
        <stp>NOW US Equity</stp>
        <stp>CF_CASH_AND_CASH_EQUIV_BEG_BAL/1M</stp>
        <stp>FPR=2021Y</stp>
        <stp>FPT=A</stp>
        <stp>FA_ACT_EST_DATA=E, EST_SOURCE=NDH</stp>
        <stp>ACT_EST_MAPPING=PRECISE</stp>
        <stp>FS=MRC</stp>
        <stp>CURRENCY=USD</stp>
        <stp>XLFILL=b</stp>
        <tr r="V232" s="2"/>
      </tp>
      <tp t="s">
        <v>#N/A Requesting Data...</v>
        <stp/>
        <stp>##V3_BQLV12</stp>
        <stp>[MODL_NOW_US1.xlsx]Single Period!R128C42</stp>
        <stp>NOW US Equity</stp>
        <stp>IS_INC_TAX_EXP/1M</stp>
        <stp>FPR=2021Y</stp>
        <stp>FPT=A</stp>
        <stp>FA_ACT_EST_DATA=E, EST_SOURCE=CTI</stp>
        <stp>ACT_EST_MAPPING=PRECISE</stp>
        <stp>FS=MRC</stp>
        <stp>CURRENCY=USD</stp>
        <stp>XLFILL=b</stp>
        <tr r="AP128" s="2"/>
      </tp>
      <tp t="s">
        <v>#N/A Requesting Data...</v>
        <stp/>
        <stp>##V3_BQLV12</stp>
        <stp>[MODL_NOW_US1.xlsx]Single Period!R195C46</stp>
        <stp>NOW US Equity</stp>
        <stp>CB_BS_DEFERRED_COST_LT/1M</stp>
        <stp>FPR=2021Y</stp>
        <stp>FPT=A</stp>
        <stp>FA_ACT_EST_DATA=E, EST_SOURCE=MZS</stp>
        <stp>ACT_EST_MAPPING=PRECISE</stp>
        <stp>FS=MRC</stp>
        <stp>CURRENCY=USD</stp>
        <stp>XLFILL=b</stp>
        <tr r="AT195" s="2"/>
      </tp>
      <tp t="s">
        <v>#N/A Requesting Data...</v>
        <stp/>
        <stp>##V3_BQLV12</stp>
        <stp>[MODL_NOW_US1.xlsx]Single Period!R18C47</stp>
        <stp>SEG0000230975 Segment</stp>
        <stp>IS_ADJ_GROSS_MARGIN_PCT_AR</stp>
        <stp>FPR=2021Y</stp>
        <stp>FPT=A</stp>
        <stp>FA_ACT_EST_DATA=E, EST_SOURCE=SUM</stp>
        <stp>ACT_EST_MAPPING=PRECISE</stp>
        <stp>FS=MRC</stp>
        <stp>CURRENCY=USD</stp>
        <stp>XLFILL=b</stp>
        <tr r="AU18" s="2"/>
      </tp>
      <tp t="s">
        <v>#N/A Requesting Data...</v>
        <stp/>
        <stp>##V3_BQLV12</stp>
        <stp>[MODL_NOW_US1.xlsx]Single Period!R62C47</stp>
        <stp>SEG0000230975 Segment</stp>
        <stp>IS_ADJ_GROSS_MARGIN_PCT_AR</stp>
        <stp>FPR=2021Y</stp>
        <stp>FPT=A</stp>
        <stp>FA_ACT_EST_DATA=E, EST_SOURCE=SUM</stp>
        <stp>ACT_EST_MAPPING=PRECISE</stp>
        <stp>FS=MRC</stp>
        <stp>CURRENCY=USD</stp>
        <stp>XLFILL=b</stp>
        <tr r="AU62" s="2"/>
      </tp>
      <tp t="s">
        <v>#N/A Requesting Data...</v>
        <stp/>
        <stp>##V3_BQLV12</stp>
        <stp>[MODL_NOW_US1.xlsx]Single Period!R191C37</stp>
        <stp>NOW US Equity</stp>
        <stp>ST_DEFERRED_REVENUE/1M</stp>
        <stp>FPR=2021Y</stp>
        <stp>FPT=A</stp>
        <stp>FA_ACT_EST_DATA=E, EST_SOURCE=TTC</stp>
        <stp>ACT_EST_MAPPING=PRECISE</stp>
        <stp>FS=MRC</stp>
        <stp>CURRENCY=USD</stp>
        <stp>XLFILL=b</stp>
        <tr r="AK191" s="2"/>
      </tp>
      <tp t="s">
        <v>#N/A Requesting Data...</v>
        <stp/>
        <stp>##V3_BQLV12</stp>
        <stp>[MODL_NOW_US1.xlsx]Single Period!R176C37</stp>
        <stp>NOW US Equity</stp>
        <stp>ST_DEFERRED_REVENUE/1M</stp>
        <stp>FPR=2021Y</stp>
        <stp>FPT=A</stp>
        <stp>FA_ACT_EST_DATA=E, EST_SOURCE=TTC</stp>
        <stp>ACT_EST_MAPPING=PRECISE</stp>
        <stp>FS=MRC</stp>
        <stp>CURRENCY=USD</stp>
        <stp>XLFILL=b</stp>
        <tr r="AK176" s="2"/>
      </tp>
      <tp t="s">
        <v>#N/A Requesting Data...</v>
        <stp/>
        <stp>##V3_BQLV12</stp>
        <stp>[MODL_NOW_US1.xlsx]Single Period!R179C37</stp>
        <stp>NOW US Equity</stp>
        <stp>LT_DEFERRED_REVENUE/1M</stp>
        <stp>FPR=2021Y</stp>
        <stp>FPT=A</stp>
        <stp>FA_ACT_EST_DATA=E, EST_SOURCE=TTC</stp>
        <stp>ACT_EST_MAPPING=PRECISE</stp>
        <stp>FS=MRC</stp>
        <stp>CURRENCY=USD</stp>
        <stp>XLFILL=b</stp>
        <tr r="AK179" s="2"/>
      </tp>
      <tp t="s">
        <v>#N/A Requesting Data...</v>
        <stp/>
        <stp>##V3_BQLV12</stp>
        <stp>[MODL_NOW_US1.xlsx]Single Period!R192C37</stp>
        <stp>NOW US Equity</stp>
        <stp>LT_DEFERRED_REVENUE/1M</stp>
        <stp>FPR=2021Y</stp>
        <stp>FPT=A</stp>
        <stp>FA_ACT_EST_DATA=E, EST_SOURCE=TTC</stp>
        <stp>ACT_EST_MAPPING=PRECISE</stp>
        <stp>FS=MRC</stp>
        <stp>CURRENCY=USD</stp>
        <stp>XLFILL=b</stp>
        <tr r="AK192" s="2"/>
      </tp>
      <tp t="s">
        <v>#N/A Requesting Data...</v>
        <stp/>
        <stp>##V3_BQLV12</stp>
        <stp>[MODL_NOW_US1.xlsx]Single Period!R203C43</stp>
        <stp>NOW US Equity</stp>
        <stp>AMORTIZATN_OF_FINNCNG_COSTS/1M</stp>
        <stp>FPR=2021Y</stp>
        <stp>FPT=A</stp>
        <stp>FA_ACT_EST_DATA=E, EST_SOURCE=WFT</stp>
        <stp>ACT_EST_MAPPING=PRECISE</stp>
        <stp>FS=MRC</stp>
        <stp>CURRENCY=USD</stp>
        <stp>XLFILL=b</stp>
        <tr r="AQ203" s="2"/>
      </tp>
      <tp t="s">
        <v>#N/A Requesting Data...</v>
        <stp/>
        <stp>##V3_BQLV12</stp>
        <stp>[MODL_NOW_US1.xlsx]Single Period!R161C34</stp>
        <stp>NOW US Equity</stp>
        <stp>BS_TOTAL_NON_CURRENT_ASSETS/1M</stp>
        <stp>FPR=2021Y</stp>
        <stp>FPT=A</stp>
        <stp>FA_ACT_EST_DATA=E, EST_SOURCE=PSG</stp>
        <stp>ACT_EST_MAPPING=PRECISE</stp>
        <stp>FS=MRC</stp>
        <stp>CURRENCY=USD</stp>
        <stp>XLFILL=b</stp>
        <tr r="AH161" s="2"/>
      </tp>
      <tp t="s">
        <v>#N/A Requesting Data...</v>
        <stp/>
        <stp>##V3_BQLV12</stp>
        <stp>[MODL_NOW_US1.xlsx]Single Period!R154C14</stp>
        <stp>NOW US Equity</stp>
        <stp>BS_CUR_ASSET_REPORT/1M</stp>
        <stp>FPR=2021Y</stp>
        <stp>FPT=A</stp>
        <stp>FA_ACT_EST_DATA=E, EST_SOURCE=BMO</stp>
        <stp>ACT_EST_MAPPING=PRECISE</stp>
        <stp>FS=MRC</stp>
        <stp>CURRENCY=USD</stp>
        <stp>XLFILL=b</stp>
        <tr r="N154" s="2"/>
      </tp>
      <tp t="s">
        <v>#N/A Requesting Data...</v>
        <stp/>
        <stp>##V3_BQLV12</stp>
        <stp>[MODL_NOW_US1.xlsx]Single Period!R27C42</stp>
        <stp>NOW US Equity</stp>
        <stp>IS_REV_INCLUDING_INTERSEG_REV/1M</stp>
        <stp>FPR=2021Y</stp>
        <stp>FPT=A</stp>
        <stp>FA_ACT_EST_DATA=E, EST_SOURCE=CTI</stp>
        <stp>ACT_EST_MAPPING=PRECISE</stp>
        <stp>FS=MRC</stp>
        <stp>CURRENCY=USD</stp>
        <stp>XLFILL=b</stp>
        <tr r="AP27" s="2"/>
      </tp>
      <tp t="s">
        <v>#N/A Requesting Data...</v>
        <stp/>
        <stp>##V3_BQLV12</stp>
        <stp>[MODL_NOW_US1.xlsx]Single Period!R124C43</stp>
        <stp>NOW US Equity</stp>
        <stp>IS_EBIT_AS_REPORTED/1M</stp>
        <stp>FPR=2021Y</stp>
        <stp>FPT=A</stp>
        <stp>FA_ACT_EST_DATA=E, EST_SOURCE=WFT</stp>
        <stp>ACT_EST_MAPPING=PRECISE</stp>
        <stp>FS=MRC</stp>
        <stp>CURRENCY=USD</stp>
        <stp>XLFILL=b</stp>
        <tr r="AQ124" s="2"/>
      </tp>
      <tp t="s">
        <v>#N/A Requesting Data...</v>
        <stp/>
        <stp>##V3_BQLV12</stp>
        <stp>[MODL_NOW_US1.xlsx]Single Period!R27C44</stp>
        <stp>NOW US Equity</stp>
        <stp>IS_REV_INCLUDING_INTERSEG_REV/1M</stp>
        <stp>FPR=2021Y</stp>
        <stp>FPT=A</stp>
        <stp>FA_ACT_EST_DATA=E, EST_SOURCE=ARE</stp>
        <stp>ACT_EST_MAPPING=PRECISE</stp>
        <stp>FS=MRC</stp>
        <stp>CURRENCY=USD</stp>
        <stp>XLFILL=b</stp>
        <tr r="AR27" s="2"/>
      </tp>
      <tp t="s">
        <v>#N/A Requesting Data...</v>
        <stp/>
        <stp>##V3_BQLV12</stp>
        <stp>[MODL_NOW_US1.xlsx]Single Period!R191C42</stp>
        <stp>NOW US Equity</stp>
        <stp>ST_DEFERRED_REVENUE/1M</stp>
        <stp>FPR=2021Y</stp>
        <stp>FPT=A</stp>
        <stp>FA_ACT_EST_DATA=E, EST_SOURCE=CTI</stp>
        <stp>ACT_EST_MAPPING=PRECISE</stp>
        <stp>FS=MRC</stp>
        <stp>CURRENCY=USD</stp>
        <stp>XLFILL=b</stp>
        <tr r="AP191" s="2"/>
      </tp>
      <tp t="s">
        <v>#N/A Requesting Data...</v>
        <stp/>
        <stp>##V3_BQLV12</stp>
        <stp>[MODL_NOW_US1.xlsx]Single Period!R176C42</stp>
        <stp>NOW US Equity</stp>
        <stp>ST_DEFERRED_REVENUE/1M</stp>
        <stp>FPR=2021Y</stp>
        <stp>FPT=A</stp>
        <stp>FA_ACT_EST_DATA=E, EST_SOURCE=CTI</stp>
        <stp>ACT_EST_MAPPING=PRECISE</stp>
        <stp>FS=MRC</stp>
        <stp>CURRENCY=USD</stp>
        <stp>XLFILL=b</stp>
        <tr r="AP176" s="2"/>
      </tp>
      <tp t="s">
        <v>#N/A Requesting Data...</v>
        <stp/>
        <stp>##V3_BQLV12</stp>
        <stp>[MODL_NOW_US1.xlsx]Single Period!R179C42</stp>
        <stp>NOW US Equity</stp>
        <stp>LT_DEFERRED_REVENUE/1M</stp>
        <stp>FPR=2021Y</stp>
        <stp>FPT=A</stp>
        <stp>FA_ACT_EST_DATA=E, EST_SOURCE=CTI</stp>
        <stp>ACT_EST_MAPPING=PRECISE</stp>
        <stp>FS=MRC</stp>
        <stp>CURRENCY=USD</stp>
        <stp>XLFILL=b</stp>
        <tr r="AP179" s="2"/>
      </tp>
      <tp t="s">
        <v>#N/A Requesting Data...</v>
        <stp/>
        <stp>##V3_BQLV12</stp>
        <stp>[MODL_NOW_US1.xlsx]Single Period!R192C42</stp>
        <stp>NOW US Equity</stp>
        <stp>LT_DEFERRED_REVENUE/1M</stp>
        <stp>FPR=2021Y</stp>
        <stp>FPT=A</stp>
        <stp>FA_ACT_EST_DATA=E, EST_SOURCE=CTI</stp>
        <stp>ACT_EST_MAPPING=PRECISE</stp>
        <stp>FS=MRC</stp>
        <stp>CURRENCY=USD</stp>
        <stp>XLFILL=b</stp>
        <tr r="AP192" s="2"/>
      </tp>
      <tp t="s">
        <v>#N/A Requesting Data...</v>
        <stp/>
        <stp>##V3_BQLV12</stp>
        <stp>[MODL_NOW_US1.xlsx]Single Period!R161C19</stp>
        <stp>NOW US Equity</stp>
        <stp>BS_TOTAL_NON_CURRENT_ASSETS/1M</stp>
        <stp>FPR=2021Y</stp>
        <stp>FPT=A</stp>
        <stp>FA_ACT_EST_DATA=E, EST_SOURCE=MSV</stp>
        <stp>ACT_EST_MAPPING=PRECISE</stp>
        <stp>FS=MRC</stp>
        <stp>CURRENCY=USD</stp>
        <stp>XLFILL=b</stp>
        <tr r="S161" s="2"/>
      </tp>
      <tp t="s">
        <v>#N/A Requesting Data...</v>
        <stp/>
        <stp>##V3_BQLV12</stp>
        <stp>[MODL_NOW_US1.xlsx]Single Period!R89C46</stp>
        <stp>NOW US Equity</stp>
        <stp>IS_REV_INCLUDING_INTERSEG_REV/1M</stp>
        <stp>FPR=2021Y</stp>
        <stp>FPT=A</stp>
        <stp>FA_ACT_EST_DATA=E, EST_SOURCE=MZS</stp>
        <stp>ACT_EST_MAPPING=PRECISE</stp>
        <stp>FS=MRC</stp>
        <stp>CURRENCY=USD</stp>
        <stp>XLFILL=b</stp>
        <tr r="AT89" s="2"/>
      </tp>
      <tp t="s">
        <v>#N/A Requesting Data...</v>
        <stp/>
        <stp>##V3_BQLV12</stp>
        <stp>[MODL_NOW_US1.xlsx]Single Period!R80C40</stp>
        <stp>NOW US Equity</stp>
        <stp>IS_COMP_SALES/1M</stp>
        <stp>FPR=2021Y</stp>
        <stp>FPT=A</stp>
        <stp>FA_ACT_EST_DATA=E, EST_SOURCE=DWI</stp>
        <stp>ACT_EST_MAPPING=PRECISE</stp>
        <stp>FS=MRC</stp>
        <stp>CURRENCY=USD</stp>
        <stp>XLFILL=b</stp>
        <tr r="AN80" s="2"/>
      </tp>
      <tp t="s">
        <v>#N/A Requesting Data...</v>
        <stp/>
        <stp>##V3_BQLV12</stp>
        <stp>[MODL_NOW_US1.xlsx]Single Period!R178C38</stp>
        <stp>NOW US Equity</stp>
        <stp>BS_ADJ_TOTAL_LT_LIABILITIES/1M</stp>
        <stp>FPR=2021Y</stp>
        <stp>FPT=A</stp>
        <stp>FA_ACT_EST_DATA=E, EST_SOURCE=RWB</stp>
        <stp>ACT_EST_MAPPING=PRECISE</stp>
        <stp>FS=MRC</stp>
        <stp>CURRENCY=USD</stp>
        <stp>XLFILL=b</stp>
        <tr r="AL178" s="2"/>
      </tp>
      <tp t="s">
        <v>#N/A Requesting Data...</v>
        <stp/>
        <stp>##V3_BQLV12</stp>
        <stp>[MODL_NOW_US1.xlsx]Single Period!R167C29</stp>
        <stp>NOW US Equity</stp>
        <stp>BS_GOODWILL/1M</stp>
        <stp>FPR=2021Y</stp>
        <stp>FPT=A</stp>
        <stp>FA_ACT_EST_DATA=E, EST_SOURCE=BNS</stp>
        <stp>ACT_EST_MAPPING=PRECISE</stp>
        <stp>FS=MRC</stp>
        <stp>CURRENCY=USD</stp>
        <stp>XLFILL=b</stp>
        <tr r="AC167" s="2"/>
      </tp>
      <tp t="s">
        <v>#N/A Requesting Data...</v>
        <stp/>
        <stp>##V3_BQLV12</stp>
        <stp>[MODL_NOW_US1.xlsx]Single Period!R139C23</stp>
        <stp>NOW US Equity</stp>
        <stp>IS_SBC_ATTRIB_TO_COGS_PRETX/1M</stp>
        <stp>FPR=2021Y</stp>
        <stp>FPT=A</stp>
        <stp>FA_ACT_EST_DATA=E, EST_SOURCE=ZXS</stp>
        <stp>ACT_EST_MAPPING=PRECISE</stp>
        <stp>FS=MRC</stp>
        <stp>CURRENCY=USD</stp>
        <stp>XLFILL=b</stp>
        <tr r="W139" s="2"/>
      </tp>
      <tp t="s">
        <v>#N/A Requesting Data...</v>
        <stp/>
        <stp>##V3_BQLV12</stp>
        <stp>[MODL_NOW_US1.xlsx]Single Period!R137C22</stp>
        <stp>NOW US Equity</stp>
        <stp>CF_STOCK_BASED_COMPENSATION/1M</stp>
        <stp>FPR=2021Y</stp>
        <stp>FPT=A</stp>
        <stp>FA_ACT_EST_DATA=E, EST_SOURCE=NDH</stp>
        <stp>ACT_EST_MAPPING=PRECISE</stp>
        <stp>FS=MRC</stp>
        <stp>CURRENCY=USD</stp>
        <stp>XLFILL=b</stp>
        <tr r="V137" s="2"/>
      </tp>
      <tp t="s">
        <v>#N/A Requesting Data...</v>
        <stp/>
        <stp>##V3_BQLV12</stp>
        <stp>[MODL_NOW_US1.xlsx]Single Period!R167C18</stp>
        <stp>NOW US Equity</stp>
        <stp>BS_GOODWILL/1M</stp>
        <stp>FPR=2021Y</stp>
        <stp>FPT=A</stp>
        <stp>FA_ACT_EST_DATA=E, EST_SOURCE=SNR</stp>
        <stp>ACT_EST_MAPPING=PRECISE</stp>
        <stp>FS=MRC</stp>
        <stp>CURRENCY=USD</stp>
        <stp>XLFILL=b</stp>
        <tr r="R167" s="2"/>
      </tp>
      <tp t="s">
        <v>#N/A Requesting Data...</v>
        <stp/>
        <stp>##V3_BQLV12</stp>
        <stp>[MODL_NOW_US1.xlsx]Single Period!R98C36</stp>
        <stp>NOW US Equity</stp>
        <stp>CF_DEPR_AMORT/1M</stp>
        <stp>FPR=2021Y</stp>
        <stp>FPT=A</stp>
        <stp>FA_ACT_EST_DATA=E, EST_SOURCE=JEF</stp>
        <stp>ACT_EST_MAPPING=PRECISE</stp>
        <stp>FS=MRC</stp>
        <stp>CURRENCY=USD</stp>
        <stp>XLFILL=b</stp>
        <tr r="AJ98" s="2"/>
      </tp>
      <tp t="s">
        <v>#N/A Requesting Data...</v>
        <stp/>
        <stp>##V3_BQLV12</stp>
        <stp>[MODL_NOW_US1.xlsx]Single Period!R161C35</stp>
        <stp>NOW US Equity</stp>
        <stp>BS_TOTAL_NON_CURRENT_ASSETS/1M</stp>
        <stp>FPR=2021Y</stp>
        <stp>FPT=A</stp>
        <stp>FA_ACT_EST_DATA=E, EST_SOURCE=MSR</stp>
        <stp>ACT_EST_MAPPING=PRECISE</stp>
        <stp>FS=MRC</stp>
        <stp>CURRENCY=USD</stp>
        <stp>XLFILL=b</stp>
        <tr r="AI161" s="2"/>
      </tp>
      <tp t="s">
        <v>#N/A Requesting Data...</v>
        <stp/>
        <stp>##V3_BQLV12</stp>
        <stp>[MODL_NOW_US1.xlsx]Single Period!R161C31</stp>
        <stp>NOW US Equity</stp>
        <stp>BS_TOTAL_NON_CURRENT_ASSETS/1M</stp>
        <stp>FPR=2021Y</stp>
        <stp>FPT=A</stp>
        <stp>FA_ACT_EST_DATA=E, EST_SOURCE=GSR</stp>
        <stp>ACT_EST_MAPPING=PRECISE</stp>
        <stp>FS=MRC</stp>
        <stp>CURRENCY=USD</stp>
        <stp>XLFILL=b</stp>
        <tr r="AE161" s="2"/>
      </tp>
      <tp t="s">
        <v>#N/A Requesting Data...</v>
        <stp/>
        <stp>##V3_BQLV12</stp>
        <stp>[MODL_NOW_US1.xlsx]Single Period!R225C10</stp>
        <stp>NOW US Equity</stp>
        <stp>CF_INCR_CAP_STOCK/1M</stp>
        <stp>FPR=2021Y</stp>
        <stp>FPT=A</stp>
        <stp>FA_ACT_EST_DATA=E, EST_SOURCE=CMPY</stp>
        <stp>ACT_EST_MAPPING=PRECISE</stp>
        <stp>FS=MRC</stp>
        <stp>CURRENCY=USD</stp>
        <stp>XLFILL=b</stp>
        <tr r="J225" s="2"/>
      </tp>
      <tp t="s">
        <v>#N/A Requesting Data...</v>
        <stp/>
        <stp>##V3_BQLV12</stp>
        <stp>[MODL_NOW_US1.xlsx]Single Period!R178C40</stp>
        <stp>NOW US Equity</stp>
        <stp>BS_ADJ_TOTAL_LT_LIABILITIES/1M</stp>
        <stp>FPR=2021Y</stp>
        <stp>FPT=A</stp>
        <stp>FA_ACT_EST_DATA=E, EST_SOURCE=DWI</stp>
        <stp>ACT_EST_MAPPING=PRECISE</stp>
        <stp>FS=MRC</stp>
        <stp>CURRENCY=USD</stp>
        <stp>XLFILL=b</stp>
        <tr r="AN178" s="2"/>
      </tp>
      <tp t="s">
        <v>#N/A Requesting Data...</v>
        <stp/>
        <stp>##V3_BQLV12</stp>
        <stp>[MODL_NOW_US1.xlsx]Single Period!R154C21</stp>
        <stp>NOW US Equity</stp>
        <stp>BS_CUR_ASSET_REPORT/1M</stp>
        <stp>FPR=2021Y</stp>
        <stp>FPT=A</stp>
        <stp>FA_ACT_EST_DATA=E, EST_SOURCE=JMP</stp>
        <stp>ACT_EST_MAPPING=PRECISE</stp>
        <stp>FS=MRC</stp>
        <stp>CURRENCY=USD</stp>
        <stp>XLFILL=b</stp>
        <tr r="U154" s="2"/>
      </tp>
      <tp t="s">
        <v>#N/A Requesting Data...</v>
        <stp/>
        <stp>##V3_BQLV12</stp>
        <stp>[MODL_NOW_US1.xlsx]Single Period!R178C24</stp>
        <stp>NOW US Equity</stp>
        <stp>BS_ADJ_TOTAL_LT_LIABILITIES/1M</stp>
        <stp>FPR=2021Y</stp>
        <stp>FPT=A</stp>
        <stp>FA_ACT_EST_DATA=E, EST_SOURCE=CWN</stp>
        <stp>ACT_EST_MAPPING=PRECISE</stp>
        <stp>FS=MRC</stp>
        <stp>CURRENCY=USD</stp>
        <stp>XLFILL=b</stp>
        <tr r="X178" s="2"/>
      </tp>
      <tp t="s">
        <v>#N/A Requesting Data...</v>
        <stp/>
        <stp>##V3_BQLV12</stp>
        <stp>[MODL_NOW_US1.xlsx]Single Period!R80C34</stp>
        <stp>NOW US Equity</stp>
        <stp>IS_COMP_SALES/1M</stp>
        <stp>FPR=2021Y</stp>
        <stp>FPT=A</stp>
        <stp>FA_ACT_EST_DATA=E, EST_SOURCE=PSG</stp>
        <stp>ACT_EST_MAPPING=PRECISE</stp>
        <stp>FS=MRC</stp>
        <stp>CURRENCY=USD</stp>
        <stp>XLFILL=b</stp>
        <tr r="AH80" s="2"/>
      </tp>
      <tp t="s">
        <v>#N/A Requesting Data...</v>
        <stp/>
        <stp>##V3_BQLV12</stp>
        <stp>[MODL_NOW_US1.xlsx]Single Period!R184C22</stp>
        <stp>NOW US Equity</stp>
        <stp>BS_EQTY_BEFORE_MINORITY_INT/1M</stp>
        <stp>FPR=2021Y</stp>
        <stp>FPT=A</stp>
        <stp>FA_ACT_EST_DATA=E, EST_SOURCE=NDH</stp>
        <stp>ACT_EST_MAPPING=PRECISE</stp>
        <stp>FS=MRC</stp>
        <stp>CURRENCY=USD</stp>
        <stp>XLFILL=b</stp>
        <tr r="V184" s="2"/>
      </tp>
      <tp t="s">
        <v>#N/A Requesting Data...</v>
        <stp/>
        <stp>##V3_BQLV12</stp>
        <stp>[MODL_NOW_US1.xlsx]Single Period!R27C35</stp>
        <stp>NOW US Equity</stp>
        <stp>IS_REV_INCLUDING_INTERSEG_REV/1M</stp>
        <stp>FPR=2021Y</stp>
        <stp>FPT=A</stp>
        <stp>FA_ACT_EST_DATA=E, EST_SOURCE=MSR</stp>
        <stp>ACT_EST_MAPPING=PRECISE</stp>
        <stp>FS=MRC</stp>
        <stp>CURRENCY=USD</stp>
        <stp>XLFILL=b</stp>
        <tr r="AI27" s="2"/>
      </tp>
      <tp t="s">
        <v>#N/A Requesting Data...</v>
        <stp/>
        <stp>##V3_BQLV12</stp>
        <stp>[MODL_NOW_US1.xlsx]Single Period!R15C36</stp>
        <stp>SEG0000230992 Segment</stp>
        <stp>SALES_REV_TURN/1M</stp>
        <stp>FPR=2021Y</stp>
        <stp>FPT=A</stp>
        <stp>FA_ACT_EST_DATA=E, EST_SOURCE=JEF</stp>
        <stp>ACT_EST_MAPPING=PRECISE</stp>
        <stp>FS=MRC</stp>
        <stp>CURRENCY=USD</stp>
        <stp>XLFILL=b</stp>
        <tr r="AJ15" s="2"/>
      </tp>
      <tp t="s">
        <v>#N/A Requesting Data...</v>
        <stp/>
        <stp>##V3_BQLV12</stp>
        <stp>[MODL_NOW_US1.xlsx]Single Period!R75C36</stp>
        <stp>SEG0000230992 Segment</stp>
        <stp>SALES_REV_TURN/1M</stp>
        <stp>FPR=2021Y</stp>
        <stp>FPT=A</stp>
        <stp>FA_ACT_EST_DATA=E, EST_SOURCE=JEF</stp>
        <stp>ACT_EST_MAPPING=PRECISE</stp>
        <stp>FS=MRC</stp>
        <stp>CURRENCY=USD</stp>
        <stp>XLFILL=b</stp>
        <tr r="AJ75" s="2"/>
      </tp>
      <tp t="s">
        <v>#N/A Requesting Data...</v>
        <stp/>
        <stp>##V3_BQLV12</stp>
        <stp>[MODL_NOW_US1.xlsx]Single Period!R20C33</stp>
        <stp>SEG0000230986 Segment</stp>
        <stp>SALES_REV_TURN/1M</stp>
        <stp>FPR=2021Y</stp>
        <stp>FPT=A</stp>
        <stp>FA_ACT_EST_DATA=E, EST_SOURCE=MAC</stp>
        <stp>ACT_EST_MAPPING=PRECISE</stp>
        <stp>FS=MRC</stp>
        <stp>CURRENCY=USD</stp>
        <stp>XLFILL=b</stp>
        <tr r="AG20" s="2"/>
      </tp>
      <tp t="s">
        <v>#N/A Requesting Data...</v>
        <stp/>
        <stp>##V3_BQLV12</stp>
        <stp>[MODL_NOW_US1.xlsx]Single Period!R207C21</stp>
        <stp>NOW US Equity</stp>
        <stp>CB_CF_CHANGE_IN_ACCOUNTS_RECEIVABLE/1M</stp>
        <stp>FPR=2021Y</stp>
        <stp>FPT=A</stp>
        <stp>FA_ACT_EST_DATA=E, EST_SOURCE=JMP</stp>
        <stp>ACT_EST_MAPPING=PRECISE</stp>
        <stp>FS=MRC</stp>
        <stp>CURRENCY=USD</stp>
        <stp>XLFILL=b</stp>
        <tr r="U207" s="2"/>
      </tp>
      <tp t="s">
        <v>#N/A Requesting Data...</v>
        <stp/>
        <stp>##V3_BQLV12</stp>
        <stp>[MODL_NOW_US1.xlsx]Single Period!R133C12</stp>
        <stp>NOW US Equity</stp>
        <stp>IS_SH_FOR_DILUTED_EPS/1M</stp>
        <stp>FPR=2021Y</stp>
        <stp>FPT=A</stp>
        <stp>FA_ACT_EST_DATA=E, EST_SOURCE=WBL</stp>
        <stp>ACT_EST_MAPPING=PRECISE</stp>
        <stp>FS=MRC</stp>
        <stp>CURRENCY=USD</stp>
        <stp>XLFILL=b</stp>
        <tr r="L133" s="2"/>
      </tp>
      <tp t="s">
        <v>#N/A Requesting Data...</v>
        <stp/>
        <stp>##V3_BQLV12</stp>
        <stp>[MODL_NOW_US1.xlsx]Single Period!R235C22</stp>
        <stp>NOW US Equity</stp>
        <stp>CF_FREE_CASH_FLOW_AS_REPORTED/1M</stp>
        <stp>FPR=2021Y</stp>
        <stp>FPT=A</stp>
        <stp>FA_ACT_EST_DATA=E, EST_SOURCE=NDH</stp>
        <stp>ACT_EST_MAPPING=PRECISE</stp>
        <stp>FS=MRC</stp>
        <stp>CURRENCY=USD</stp>
        <stp>XLFILL=b</stp>
        <tr r="V235" s="2"/>
      </tp>
      <tp t="s">
        <v>#N/A Requesting Data...</v>
        <stp/>
        <stp>##V3_BQLV12</stp>
        <stp>[MODL_NOW_US1.xlsx]Single Period!R14C45</stp>
        <stp>SEG0000230975 Segment</stp>
        <stp>SALES_REV_TURN/1M</stp>
        <stp>FPR=2021Y</stp>
        <stp>FPT=A</stp>
        <stp>FA_ACT_EST_DATA=E, EST_SOURCE=PJE</stp>
        <stp>ACT_EST_MAPPING=PRECISE</stp>
        <stp>FS=MRC</stp>
        <stp>CURRENCY=USD</stp>
        <stp>XLFILL=b</stp>
        <tr r="AS14" s="2"/>
      </tp>
      <tp t="s">
        <v>#N/A Requesting Data...</v>
        <stp/>
        <stp>##V3_BQLV12</stp>
        <stp>[MODL_NOW_US1.xlsx]Single Period!R209C48</stp>
        <stp>NOW US Equity</stp>
        <stp>CF_CHANGE_IN_ACCOUNTS_PAYABLE/1M</stp>
        <stp>FPR=2021Y</stp>
        <stp>FPT=A</stp>
        <stp>FA_ACT_EST_DATA=E, EST_SOURCE=CRC</stp>
        <stp>ACT_EST_MAPPING=PRECISE</stp>
        <stp>FS=MRC</stp>
        <stp>CURRENCY=USD</stp>
        <stp>XLFILL=b</stp>
        <tr r="AV209" s="2"/>
      </tp>
      <tp t="s">
        <v>#N/A Requesting Data...</v>
        <stp/>
        <stp>##V3_BQLV12</stp>
        <stp>[MODL_NOW_US1.xlsx]Single Period!R133C32</stp>
        <stp>NOW US Equity</stp>
        <stp>IS_SH_FOR_DILUTED_EPS/1M</stp>
        <stp>FPR=2021Y</stp>
        <stp>FPT=A</stp>
        <stp>FA_ACT_EST_DATA=E, EST_SOURCE=FBC</stp>
        <stp>ACT_EST_MAPPING=PRECISE</stp>
        <stp>FS=MRC</stp>
        <stp>CURRENCY=USD</stp>
        <stp>XLFILL=b</stp>
        <tr r="AF133" s="2"/>
      </tp>
      <tp t="s">
        <v>#N/A Requesting Data...</v>
        <stp/>
        <stp>##V3_BQLV12</stp>
        <stp>[MODL_NOW_US1.xlsx]Single Period!R101C46</stp>
        <stp>NOW US Equity</stp>
        <stp>CB_IS_OTHER_NON_OPER_INC_EXPN/1M</stp>
        <stp>FPR=2021Y</stp>
        <stp>FPT=A</stp>
        <stp>FA_ACT_EST_DATA=E, EST_SOURCE=MZS</stp>
        <stp>ACT_EST_MAPPING=PRECISE</stp>
        <stp>FS=MRC</stp>
        <stp>CURRENCY=USD</stp>
        <stp>XLFILL=b</stp>
        <tr r="AT101" s="2"/>
      </tp>
      <tp t="s">
        <v>#N/A Requesting Data...</v>
        <stp/>
        <stp>##V3_BQLV12</stp>
        <stp>[MODL_NOW_US1.xlsx]Single Period!R150C29</stp>
        <stp>NOW US Equity</stp>
        <stp>IS_INC_TAX_EFFECT_NONGAAP_REC/1M</stp>
        <stp>FPR=2021Y</stp>
        <stp>FPT=A</stp>
        <stp>FA_ACT_EST_DATA=E, EST_SOURCE=BNS</stp>
        <stp>ACT_EST_MAPPING=PRECISE</stp>
        <stp>FS=MRC</stp>
        <stp>CURRENCY=USD</stp>
        <stp>XLFILL=b</stp>
        <tr r="AC150" s="2"/>
      </tp>
      <tp t="s">
        <v>#N/A Requesting Data...</v>
        <stp/>
        <stp>##V3_BQLV12</stp>
        <stp>[MODL_NOW_US1.xlsx]Single Period!R143C40</stp>
        <stp>NOW US Equity</stp>
        <stp>IS_SBC_ATTRIBUTABLE_TO_R_AND_D_PRETX/1M</stp>
        <stp>FPR=2021Y</stp>
        <stp>FPT=A</stp>
        <stp>FA_ACT_EST_DATA=E, EST_SOURCE=DWI</stp>
        <stp>ACT_EST_MAPPING=PRECISE</stp>
        <stp>FS=MRC</stp>
        <stp>CURRENCY=USD</stp>
        <stp>XLFILL=b</stp>
        <tr r="AN143" s="2"/>
      </tp>
      <tp t="s">
        <v>#N/A Requesting Data...</v>
        <stp/>
        <stp>##V3_BQLV12</stp>
        <stp>[MODL_NOW_US1.xlsx]Single Period!R20C30</stp>
        <stp>SEG0000230986 Segment</stp>
        <stp>SALES_REV_TURN/1M</stp>
        <stp>FPR=2021Y</stp>
        <stp>FPT=A</stp>
        <stp>FA_ACT_EST_DATA=E, EST_SOURCE=BAM</stp>
        <stp>ACT_EST_MAPPING=PRECISE</stp>
        <stp>FS=MRC</stp>
        <stp>CURRENCY=USD</stp>
        <stp>XLFILL=b</stp>
        <tr r="AD20" s="2"/>
      </tp>
      <tp t="s">
        <v>#N/A Requesting Data...</v>
        <stp/>
        <stp>##V3_BQLV12</stp>
        <stp>[MODL_NOW_US1.xlsx]Single Period!R20C20</stp>
        <stp>SEG0000230986 Segment</stp>
        <stp>SALES_REV_TURN/1M</stp>
        <stp>FPR=2021Y</stp>
        <stp>FPT=A</stp>
        <stp>FA_ACT_EST_DATA=E, EST_SOURCE=CAN</stp>
        <stp>ACT_EST_MAPPING=PRECISE</stp>
        <stp>FS=MRC</stp>
        <stp>CURRENCY=USD</stp>
        <stp>XLFILL=b</stp>
        <tr r="T20" s="2"/>
      </tp>
      <tp t="s">
        <v>#N/A Requesting Data...</v>
        <stp/>
        <stp>##V3_BQLV12</stp>
        <stp>[MODL_NOW_US1.xlsx]Single Period!R119C36</stp>
        <stp>NOW US Equity</stp>
        <stp>CB_IS_S_AND_M_EXPENSE/1M</stp>
        <stp>FPR=2021Y</stp>
        <stp>FPT=A</stp>
        <stp>FA_ACT_EST_DATA=E, EST_SOURCE=JEF</stp>
        <stp>ACT_EST_MAPPING=PRECISE</stp>
        <stp>FS=MRC</stp>
        <stp>CURRENCY=USD</stp>
        <stp>XLFILL=b</stp>
        <tr r="AJ119" s="2"/>
      </tp>
      <tp t="s">
        <v>#N/A Requesting Data...</v>
        <stp/>
        <stp>##V3_BQLV12</stp>
        <stp>[MODL_NOW_US1.xlsx]Single Period!R169C12</stp>
        <stp>NOW US Equity</stp>
        <stp>CB_BS_OTHER_NONCURRENT_ASSETS/1M</stp>
        <stp>FPR=2021Y</stp>
        <stp>FPT=A</stp>
        <stp>FA_ACT_EST_DATA=E, EST_SOURCE=WBL</stp>
        <stp>ACT_EST_MAPPING=PRECISE</stp>
        <stp>FS=MRC</stp>
        <stp>CURRENCY=USD</stp>
        <stp>XLFILL=b</stp>
        <tr r="L169" s="2"/>
      </tp>
      <tp t="s">
        <v>#N/A Requesting Data...</v>
        <stp/>
        <stp>##V3_BQLV12</stp>
        <stp>[MODL_NOW_US1.xlsx]Single Period!R235C13</stp>
        <stp>NOW US Equity</stp>
        <stp>CF_FREE_CASH_FLOW_AS_REPORTED/1M</stp>
        <stp>FPR=2021Y</stp>
        <stp>FPT=A</stp>
        <stp>FA_ACT_EST_DATA=E, EST_SOURCE=KEY</stp>
        <stp>ACT_EST_MAPPING=PRECISE</stp>
        <stp>FS=MRC</stp>
        <stp>CURRENCY=USD</stp>
        <stp>XLFILL=b</stp>
        <tr r="M235" s="2"/>
      </tp>
      <tp t="s">
        <v>#N/A Requesting Data...</v>
        <stp/>
        <stp>##V3_BQLV12</stp>
        <stp>[MODL_NOW_US1.xlsx]Single Period!R58C43</stp>
        <stp>SEG0000230975 Segment</stp>
        <stp>SALES_REV_TURN/1M</stp>
        <stp>FPR=2021Y</stp>
        <stp>FPT=A</stp>
        <stp>FA_ACT_EST_DATA=E, EST_SOURCE=WFT</stp>
        <stp>ACT_EST_MAPPING=PRECISE</stp>
        <stp>FS=MRC</stp>
        <stp>CURRENCY=USD</stp>
        <stp>XLFILL=b</stp>
        <tr r="AQ58" s="2"/>
      </tp>
      <tp t="s">
        <v>#N/A Requesting Data...</v>
        <stp/>
        <stp>##V3_BQLV12</stp>
        <stp>[MODL_NOW_US1.xlsx]Single Period!R169C32</stp>
        <stp>NOW US Equity</stp>
        <stp>CB_BS_OTHER_NONCURRENT_ASSETS/1M</stp>
        <stp>FPR=2021Y</stp>
        <stp>FPT=A</stp>
        <stp>FA_ACT_EST_DATA=E, EST_SOURCE=FBC</stp>
        <stp>ACT_EST_MAPPING=PRECISE</stp>
        <stp>FS=MRC</stp>
        <stp>CURRENCY=USD</stp>
        <stp>XLFILL=b</stp>
        <tr r="AF169" s="2"/>
      </tp>
      <tp t="s">
        <v>#N/A Requesting Data...</v>
        <stp/>
        <stp>##V3_BQLV12</stp>
        <stp>[MODL_NOW_US1.xlsx]Single Period!R102C33</stp>
        <stp>NOW US Equity</stp>
        <stp>IS_COMP_PTP_EX_STK_BASED_COMP/1M</stp>
        <stp>FPR=2021Y</stp>
        <stp>FPT=A</stp>
        <stp>FA_ACT_EST_DATA=E, EST_SOURCE=MAC</stp>
        <stp>ACT_EST_MAPPING=PRECISE</stp>
        <stp>FS=MRC</stp>
        <stp>CURRENCY=USD</stp>
        <stp>XLFILL=b</stp>
        <tr r="AG102" s="2"/>
      </tp>
      <tp t="s">
        <v>#N/A Requesting Data...</v>
        <stp/>
        <stp>##V3_BQLV12</stp>
        <stp>[MODL_NOW_US1.xlsx]Single Period!R235C18</stp>
        <stp>NOW US Equity</stp>
        <stp>CF_FREE_CASH_FLOW_AS_REPORTED/1M</stp>
        <stp>FPR=2021Y</stp>
        <stp>FPT=A</stp>
        <stp>FA_ACT_EST_DATA=E, EST_SOURCE=SNR</stp>
        <stp>ACT_EST_MAPPING=PRECISE</stp>
        <stp>FS=MRC</stp>
        <stp>CURRENCY=USD</stp>
        <stp>XLFILL=b</stp>
        <tr r="R235" s="2"/>
      </tp>
      <tp t="s">
        <v>#N/A Requesting Data...</v>
        <stp/>
        <stp>##V3_BQLV12</stp>
        <stp>[MODL_NOW_US1.xlsx]Single Period!R209C19</stp>
        <stp>NOW US Equity</stp>
        <stp>CF_CHANGE_IN_ACCOUNTS_PAYABLE/1M</stp>
        <stp>FPR=2021Y</stp>
        <stp>FPT=A</stp>
        <stp>FA_ACT_EST_DATA=E, EST_SOURCE=MSV</stp>
        <stp>ACT_EST_MAPPING=PRECISE</stp>
        <stp>FS=MRC</stp>
        <stp>CURRENCY=USD</stp>
        <stp>XLFILL=b</stp>
        <tr r="S209" s="2"/>
      </tp>
      <tp t="s">
        <v>#N/A Requesting Data...</v>
        <stp/>
        <stp>##V3_BQLV12</stp>
        <stp>[MODL_NOW_US1.xlsx]Single Period!R75C13</stp>
        <stp>SEG0000230992 Segment</stp>
        <stp>SALES_REV_TURN/1M</stp>
        <stp>FPR=2021Y</stp>
        <stp>FPT=A</stp>
        <stp>FA_ACT_EST_DATA=E, EST_SOURCE=KEY</stp>
        <stp>ACT_EST_MAPPING=PRECISE</stp>
        <stp>FS=MRC</stp>
        <stp>CURRENCY=USD</stp>
        <stp>XLFILL=b</stp>
        <tr r="M75" s="2"/>
      </tp>
      <tp t="s">
        <v>#N/A Requesting Data...</v>
        <stp/>
        <stp>##V3_BQLV12</stp>
        <stp>[MODL_NOW_US1.xlsx]Single Period!R15C13</stp>
        <stp>SEG0000230992 Segment</stp>
        <stp>SALES_REV_TURN/1M</stp>
        <stp>FPR=2021Y</stp>
        <stp>FPT=A</stp>
        <stp>FA_ACT_EST_DATA=E, EST_SOURCE=KEY</stp>
        <stp>ACT_EST_MAPPING=PRECISE</stp>
        <stp>FS=MRC</stp>
        <stp>CURRENCY=USD</stp>
        <stp>XLFILL=b</stp>
        <tr r="M15" s="2"/>
      </tp>
      <tp t="s">
        <v>#N/A Requesting Data...</v>
        <stp/>
        <stp>##V3_BQLV12</stp>
        <stp>[MODL_NOW_US1.xlsx]Single Period!R77C17</stp>
        <stp>SEG0000230969 Segment</stp>
        <stp>SALES_REV_TURN/1M</stp>
        <stp>FPR=2021Y</stp>
        <stp>FPT=A</stp>
        <stp>FA_ACT_EST_DATA=E, EST_SOURCE=RHR</stp>
        <stp>ACT_EST_MAPPING=PRECISE</stp>
        <stp>FS=MRC</stp>
        <stp>CURRENCY=USD</stp>
        <stp>XLFILL=b</stp>
        <tr r="Q77" s="2"/>
      </tp>
      <tp t="s">
        <v>#N/A Requesting Data...</v>
        <stp/>
        <stp>##V3_BQLV12</stp>
        <stp>[MODL_NOW_US1.xlsx]Single Period!R150C25</stp>
        <stp>NOW US Equity</stp>
        <stp>IS_INC_TAX_EFFECT_NONGAAP_REC/1M</stp>
        <stp>FPR=2021Y</stp>
        <stp>FPT=A</stp>
        <stp>FA_ACT_EST_DATA=E, EST_SOURCE=DBG</stp>
        <stp>ACT_EST_MAPPING=PRECISE</stp>
        <stp>FS=MRC</stp>
        <stp>CURRENCY=USD</stp>
        <stp>XLFILL=b</stp>
        <tr r="Y150" s="2"/>
      </tp>
      <tp t="s">
        <v>#N/A Requesting Data...</v>
        <stp/>
        <stp>##V3_BQLV12</stp>
        <stp>[MODL_NOW_US1.xlsx]Single Period!R207C14</stp>
        <stp>NOW US Equity</stp>
        <stp>CB_CF_CHANGE_IN_ACCOUNTS_RECEIVABLE/1M</stp>
        <stp>FPR=2021Y</stp>
        <stp>FPT=A</stp>
        <stp>FA_ACT_EST_DATA=E, EST_SOURCE=BMO</stp>
        <stp>ACT_EST_MAPPING=PRECISE</stp>
        <stp>FS=MRC</stp>
        <stp>CURRENCY=USD</stp>
        <stp>XLFILL=b</stp>
        <tr r="N207" s="2"/>
      </tp>
      <tp t="s">
        <v>#N/A Requesting Data...</v>
        <stp/>
        <stp>##V3_BQLV12</stp>
        <stp>[MODL_NOW_US1.xlsx]Single Period!R239C9</stp>
        <stp>NOW US Equity</stp>
        <stp>CONTRIBUTOR_STATS(CFO_TO_SALES, MEDIAN)</stp>
        <stp>FPR=2021Y</stp>
        <stp>FPT=A</stp>
        <stp>FA_ACT_EST_DATA=E</stp>
        <stp>ACT_EST_MAPPING=PRECISE</stp>
        <stp>FS=MRC</stp>
        <stp>CURRENCY=USD</stp>
        <stp>XLFILL=b</stp>
        <tr r="I239" s="2"/>
      </tp>
      <tp t="s">
        <v>#N/A Requesting Data...</v>
        <stp/>
        <stp>##V3_BQLV12</stp>
        <stp>[MODL_NOW_US1.xlsx]Single Period!R85C45</stp>
        <stp>NOW US Equity</stp>
        <stp>IS_COMP_GROSS_MARGIN_PERCENTAGE</stp>
        <stp>FPR=2021Y</stp>
        <stp>FPT=A</stp>
        <stp>FA_ACT_EST_DATA=E, EST_SOURCE=PJE</stp>
        <stp>ACT_EST_MAPPING=PRECISE</stp>
        <stp>FS=MRC</stp>
        <stp>CURRENCY=USD</stp>
        <stp>XLFILL=b</stp>
        <tr r="AS85" s="2"/>
      </tp>
      <tp t="s">
        <v>#N/A Requesting Data...</v>
        <stp/>
        <stp>##V3_BQLV12</stp>
        <stp>[MODL_NOW_US1.xlsx]Single Period!R3C23</stp>
        <stp>NOW US Equity</stp>
        <stp>LAST(IS_COMP_SALES(FA_ACT_EST_DATA=E, EST_SOURCE=ZXS).firm_name)</stp>
        <stp>FPR=2021Y</stp>
        <stp>FPT=A</stp>
        <stp>ACT_EST_MAPPING=PRECISE</stp>
        <stp>FS=MRC</stp>
        <stp>CURRENCY=USD</stp>
        <stp>XLFILL=b</stp>
        <tr r="W3" s="2"/>
      </tp>
      <tp t="s">
        <v>#N/A Requesting Data...</v>
        <stp/>
        <stp>##V3_BQLV12</stp>
        <stp>[MODL_NOW_US1.xlsx]Single Period!R25C45</stp>
        <stp>NOW US Equity</stp>
        <stp>IS_COMP_GROSS_MARGIN_PERCENTAGE</stp>
        <stp>FPR=2021Y</stp>
        <stp>FPT=A</stp>
        <stp>FA_ACT_EST_DATA=E, EST_SOURCE=PJE</stp>
        <stp>ACT_EST_MAPPING=PRECISE</stp>
        <stp>FS=MRC</stp>
        <stp>CURRENCY=USD</stp>
        <stp>XLFILL=b</stp>
        <tr r="AS25" s="2"/>
      </tp>
      <tp t="s">
        <v>#N/A Requesting Data...</v>
        <stp/>
        <stp>##V3_BQLV12</stp>
        <stp>[MODL_NOW_US1.xlsx]Single Period!R128C31</stp>
        <stp>NOW US Equity</stp>
        <stp>IS_INC_TAX_EXP/1M</stp>
        <stp>FPR=2021Y</stp>
        <stp>FPT=A</stp>
        <stp>FA_ACT_EST_DATA=E, EST_SOURCE=GSR</stp>
        <stp>ACT_EST_MAPPING=PRECISE</stp>
        <stp>FS=MRC</stp>
        <stp>CURRENCY=USD</stp>
        <stp>XLFILL=b</stp>
        <tr r="AE128" s="2"/>
      </tp>
      <tp t="s">
        <v>#N/A Requesting Data...</v>
        <stp/>
        <stp>##V3_BQLV12</stp>
        <stp>[MODL_NOW_US1.xlsx]Single Period!R128C35</stp>
        <stp>NOW US Equity</stp>
        <stp>IS_INC_TAX_EXP/1M</stp>
        <stp>FPR=2021Y</stp>
        <stp>FPT=A</stp>
        <stp>FA_ACT_EST_DATA=E, EST_SOURCE=MSR</stp>
        <stp>ACT_EST_MAPPING=PRECISE</stp>
        <stp>FS=MRC</stp>
        <stp>CURRENCY=USD</stp>
        <stp>XLFILL=b</stp>
        <tr r="AI128" s="2"/>
      </tp>
      <tp t="s">
        <v>#N/A Requesting Data...</v>
        <stp/>
        <stp>##V3_BQLV12</stp>
        <stp>[MODL_NOW_US1.xlsx]Single Period!R168C11</stp>
        <stp>NOW US Equity</stp>
        <stp>CB_BS_DEFERRED_COST_LT/1M</stp>
        <stp>FPR=2021Y</stp>
        <stp>FPT=A</stp>
        <stp>FA_ACT_EST_DATA=E, EST_SOURCE=JPM</stp>
        <stp>ACT_EST_MAPPING=PRECISE</stp>
        <stp>FS=MRC</stp>
        <stp>CURRENCY=USD</stp>
        <stp>XLFILL=b</stp>
        <tr r="K168" s="2"/>
      </tp>
      <tp t="s">
        <v>#N/A Requesting Data...</v>
        <stp/>
        <stp>##V3_BQLV12</stp>
        <stp>[MODL_NOW_US1.xlsx]Single Period!R10C19</stp>
        <stp>NOW US Equity</stp>
        <stp>BILLNG_AMOUNT_GROWTH_PCT</stp>
        <stp>FPR=2021Y</stp>
        <stp>FPT=A</stp>
        <stp>FA_ACT_EST_DATA=E, EST_SOURCE=MSV</stp>
        <stp>ACT_EST_MAPPING=PRECISE</stp>
        <stp>FS=MRC</stp>
        <stp>CURRENCY=USD</stp>
        <stp>XLFILL=b</stp>
        <tr r="S10" s="2"/>
      </tp>
      <tp t="s">
        <v>#N/A Requesting Data...</v>
        <stp/>
        <stp>##V3_BQLV12</stp>
        <stp>[MODL_NOW_US1.xlsx]Single Period!R128C19</stp>
        <stp>NOW US Equity</stp>
        <stp>IS_INC_TAX_EXP/1M</stp>
        <stp>FPR=2021Y</stp>
        <stp>FPT=A</stp>
        <stp>FA_ACT_EST_DATA=E, EST_SOURCE=MSV</stp>
        <stp>ACT_EST_MAPPING=PRECISE</stp>
        <stp>FS=MRC</stp>
        <stp>CURRENCY=USD</stp>
        <stp>XLFILL=b</stp>
        <tr r="S128" s="2"/>
      </tp>
      <tp t="s">
        <v>#N/A Requesting Data...</v>
        <stp/>
        <stp>##V3_BQLV12</stp>
        <stp>[MODL_NOW_US1.xlsx]Single Period!R123C39</stp>
        <stp>NOW US Equity</stp>
        <stp>TOTAL_OPERATING_EXPENSES_RATIO/1M</stp>
        <stp>FPR=2021Y</stp>
        <stp>FPT=A</stp>
        <stp>FA_ACT_EST_DATA=E, EST_SOURCE=DZB</stp>
        <stp>ACT_EST_MAPPING=PRECISE</stp>
        <stp>FS=MRC</stp>
        <stp>CURRENCY=USD</stp>
        <stp>XLFILL=b</stp>
        <tr r="AM123" s="2"/>
      </tp>
      <tp t="s">
        <v>#N/A Requesting Data...</v>
        <stp/>
        <stp>##V3_BQLV12</stp>
        <stp>[MODL_NOW_US1.xlsx]Single Period!R52C10</stp>
        <stp>NOW US Equity</stp>
        <stp>ACCT_RCV_DAYS</stp>
        <stp>FPR=2021Y</stp>
        <stp>FPT=A</stp>
        <stp>FA_ACT_EST_DATA=E, EST_SOURCE=CMPY</stp>
        <stp>ACT_EST_MAPPING=PRECISE</stp>
        <stp>FS=MRC</stp>
        <stp>CURRENCY=USD</stp>
        <stp>XLFILL=b</stp>
        <tr r="J52" s="2"/>
      </tp>
      <tp t="s">
        <v>#N/A Requesting Data...</v>
        <stp/>
        <stp>##V3_BQLV12</stp>
        <stp>[MODL_NOW_US1.xlsx]Single Period!R62C48</stp>
        <stp>SEG0000230975 Segment</stp>
        <stp>IS_ADJ_GROSS_MARGIN_PCT_AR</stp>
        <stp>FPR=2021Y</stp>
        <stp>FPT=A</stp>
        <stp>FA_ACT_EST_DATA=E, EST_SOURCE=CRC</stp>
        <stp>ACT_EST_MAPPING=PRECISE</stp>
        <stp>FS=MRC</stp>
        <stp>CURRENCY=USD</stp>
        <stp>XLFILL=b</stp>
        <tr r="AV62" s="2"/>
      </tp>
      <tp t="s">
        <v>#N/A Requesting Data...</v>
        <stp/>
        <stp>##V3_BQLV12</stp>
        <stp>[MODL_NOW_US1.xlsx]Single Period!R18C48</stp>
        <stp>SEG0000230975 Segment</stp>
        <stp>IS_ADJ_GROSS_MARGIN_PCT_AR</stp>
        <stp>FPR=2021Y</stp>
        <stp>FPT=A</stp>
        <stp>FA_ACT_EST_DATA=E, EST_SOURCE=CRC</stp>
        <stp>ACT_EST_MAPPING=PRECISE</stp>
        <stp>FS=MRC</stp>
        <stp>CURRENCY=USD</stp>
        <stp>XLFILL=b</stp>
        <tr r="AV18" s="2"/>
      </tp>
      <tp t="s">
        <v>#N/A Requesting Data...</v>
        <stp/>
        <stp>##V3_BQLV12</stp>
        <stp>[MODL_NOW_US1.xlsx]Single Period!R233C30</stp>
        <stp>NOW US Equity</stp>
        <stp>CF_CASH_AND_CASH_EQUIV_END_BAL/1M</stp>
        <stp>FPR=2021Y</stp>
        <stp>FPT=A</stp>
        <stp>FA_ACT_EST_DATA=E, EST_SOURCE=BAM</stp>
        <stp>ACT_EST_MAPPING=PRECISE</stp>
        <stp>FS=MRC</stp>
        <stp>CURRENCY=USD</stp>
        <stp>XLFILL=b</stp>
        <tr r="AD233" s="2"/>
      </tp>
      <tp t="s">
        <v>#N/A Requesting Data...</v>
        <stp/>
        <stp>##V3_BQLV12</stp>
        <stp>[MODL_NOW_US1.xlsx]Single Period!R233C20</stp>
        <stp>NOW US Equity</stp>
        <stp>CF_CASH_AND_CASH_EQUIV_END_BAL/1M</stp>
        <stp>FPR=2021Y</stp>
        <stp>FPT=A</stp>
        <stp>FA_ACT_EST_DATA=E, EST_SOURCE=CAN</stp>
        <stp>ACT_EST_MAPPING=PRECISE</stp>
        <stp>FS=MRC</stp>
        <stp>CURRENCY=USD</stp>
        <stp>XLFILL=b</stp>
        <tr r="T233" s="2"/>
      </tp>
      <tp t="s">
        <v>#N/A Requesting Data...</v>
        <stp/>
        <stp>##V3_BQLV12</stp>
        <stp>[MODL_NOW_US1.xlsx]Single Period!R62C41</stp>
        <stp>SEG0000230975 Segment</stp>
        <stp>IS_ADJ_GROSS_MARGIN_PCT_AR</stp>
        <stp>FPR=2021Y</stp>
        <stp>FPT=A</stp>
        <stp>FA_ACT_EST_DATA=E, EST_SOURCE=ARG</stp>
        <stp>ACT_EST_MAPPING=PRECISE</stp>
        <stp>FS=MRC</stp>
        <stp>CURRENCY=USD</stp>
        <stp>XLFILL=b</stp>
        <tr r="AO62" s="2"/>
      </tp>
      <tp t="s">
        <v>#N/A Requesting Data...</v>
        <stp/>
        <stp>##V3_BQLV12</stp>
        <stp>[MODL_NOW_US1.xlsx]Single Period!R18C41</stp>
        <stp>SEG0000230975 Segment</stp>
        <stp>IS_ADJ_GROSS_MARGIN_PCT_AR</stp>
        <stp>FPR=2021Y</stp>
        <stp>FPT=A</stp>
        <stp>FA_ACT_EST_DATA=E, EST_SOURCE=ARG</stp>
        <stp>ACT_EST_MAPPING=PRECISE</stp>
        <stp>FS=MRC</stp>
        <stp>CURRENCY=USD</stp>
        <stp>XLFILL=b</stp>
        <tr r="AO18" s="2"/>
      </tp>
      <tp t="s">
        <v>#N/A Requesting Data...</v>
        <stp/>
        <stp>##V3_BQLV12</stp>
        <stp>[MODL_NOW_US1.xlsx]Single Period!R128C34</stp>
        <stp>NOW US Equity</stp>
        <stp>IS_INC_TAX_EXP/1M</stp>
        <stp>FPR=2021Y</stp>
        <stp>FPT=A</stp>
        <stp>FA_ACT_EST_DATA=E, EST_SOURCE=PSG</stp>
        <stp>ACT_EST_MAPPING=PRECISE</stp>
        <stp>FS=MRC</stp>
        <stp>CURRENCY=USD</stp>
        <stp>XLFILL=b</stp>
        <tr r="AH128" s="2"/>
      </tp>
      <tp t="s">
        <v>#N/A Requesting Data...</v>
        <stp/>
        <stp>##V3_BQLV12</stp>
        <stp>[MODL_NOW_US1.xlsx]Single Period!R168C15</stp>
        <stp>NOW US Equity</stp>
        <stp>CB_BS_DEFERRED_COST_LT/1M</stp>
        <stp>FPR=2021Y</stp>
        <stp>FPT=A</stp>
        <stp>FA_ACT_EST_DATA=E, EST_SOURCE=OPY</stp>
        <stp>ACT_EST_MAPPING=PRECISE</stp>
        <stp>FS=MRC</stp>
        <stp>CURRENCY=USD</stp>
        <stp>XLFILL=b</stp>
        <tr r="O168" s="2"/>
      </tp>
      <tp t="s">
        <v>#N/A Requesting Data...</v>
        <stp/>
        <stp>##V3_BQLV12</stp>
        <stp>[MODL_NOW_US1.xlsx]Single Period!R18C44</stp>
        <stp>SEG0000230975 Segment</stp>
        <stp>IS_ADJ_GROSS_MARGIN_PCT_AR</stp>
        <stp>FPR=2021Y</stp>
        <stp>FPT=A</stp>
        <stp>FA_ACT_EST_DATA=E, EST_SOURCE=ARE</stp>
        <stp>ACT_EST_MAPPING=PRECISE</stp>
        <stp>FS=MRC</stp>
        <stp>CURRENCY=USD</stp>
        <stp>XLFILL=b</stp>
        <tr r="AR18" s="2"/>
      </tp>
      <tp t="s">
        <v>#N/A Requesting Data...</v>
        <stp/>
        <stp>##V3_BQLV12</stp>
        <stp>[MODL_NOW_US1.xlsx]Single Period!R62C44</stp>
        <stp>SEG0000230975 Segment</stp>
        <stp>IS_ADJ_GROSS_MARGIN_PCT_AR</stp>
        <stp>FPR=2021Y</stp>
        <stp>FPT=A</stp>
        <stp>FA_ACT_EST_DATA=E, EST_SOURCE=ARE</stp>
        <stp>ACT_EST_MAPPING=PRECISE</stp>
        <stp>FS=MRC</stp>
        <stp>CURRENCY=USD</stp>
        <stp>XLFILL=b</stp>
        <tr r="AR62" s="2"/>
      </tp>
      <tp t="s">
        <v>#N/A Requesting Data...</v>
        <stp/>
        <stp>##V3_BQLV12</stp>
        <stp>[MODL_NOW_US1.xlsx]Single Period!R40C38</stp>
        <stp>NOW US Equity</stp>
        <stp>BILLNG_AMOUNT_GROWTH_PCT</stp>
        <stp>FPR=2021Y</stp>
        <stp>FPT=A</stp>
        <stp>FA_ACT_EST_DATA=E, EST_SOURCE=RWB</stp>
        <stp>ACT_EST_MAPPING=PRECISE</stp>
        <stp>FS=MRC</stp>
        <stp>CURRENCY=USD</stp>
        <stp>XLFILL=b</stp>
        <tr r="AL40" s="2"/>
      </tp>
      <tp t="s">
        <v>#N/A Requesting Data...</v>
        <stp/>
        <stp>##V3_BQLV12</stp>
        <stp>[MODL_NOW_US1.xlsx]Single Period!R123C46</stp>
        <stp>NOW US Equity</stp>
        <stp>TOTAL_OPERATING_EXPENSES_RATIO/1M</stp>
        <stp>FPR=2021Y</stp>
        <stp>FPT=A</stp>
        <stp>FA_ACT_EST_DATA=E, EST_SOURCE=MZS</stp>
        <stp>ACT_EST_MAPPING=PRECISE</stp>
        <stp>FS=MRC</stp>
        <stp>CURRENCY=USD</stp>
        <stp>XLFILL=b</stp>
        <tr r="AT123" s="2"/>
      </tp>
      <tp t="s">
        <v>#N/A Requesting Data...</v>
        <stp/>
        <stp>##V3_BQLV12</stp>
        <stp>[MODL_NOW_US1.xlsx]Single Period!R10C48</stp>
        <stp>NOW US Equity</stp>
        <stp>BILLNG_AMOUNT_GROWTH_PCT</stp>
        <stp>FPR=2021Y</stp>
        <stp>FPT=A</stp>
        <stp>FA_ACT_EST_DATA=E, EST_SOURCE=CRC</stp>
        <stp>ACT_EST_MAPPING=PRECISE</stp>
        <stp>FS=MRC</stp>
        <stp>CURRENCY=USD</stp>
        <stp>XLFILL=b</stp>
        <tr r="AV10" s="2"/>
      </tp>
      <tp t="s">
        <v>#N/A Requesting Data...</v>
        <stp/>
        <stp>##V3_BQLV12</stp>
        <stp>[MODL_NOW_US1.xlsx]Single Period!R146C17</stp>
        <stp>NOW US Equity</stp>
        <stp>IS_AMORT_ACQD_INTANGIBLES_COGS/1M</stp>
        <stp>FPR=2021Y</stp>
        <stp>FPT=A</stp>
        <stp>FA_ACT_EST_DATA=E, EST_SOURCE=RHR</stp>
        <stp>ACT_EST_MAPPING=PRECISE</stp>
        <stp>FS=MRC</stp>
        <stp>CURRENCY=USD</stp>
        <stp>XLFILL=b</stp>
        <tr r="Q146" s="2"/>
      </tp>
      <tp t="s">
        <v>#N/A Requesting Data...</v>
        <stp/>
        <stp>##V3_BQLV12</stp>
        <stp>[MODL_NOW_US1.xlsx]Single Period!R64C16</stp>
        <stp>SEG0000230975 Segment</stp>
        <stp>CB_IS_GROSS_MARGIN</stp>
        <stp>FPR=2021Y</stp>
        <stp>FPT=A</stp>
        <stp>FA_ACT_EST_DATA=E, EST_SOURCE=BCA</stp>
        <stp>ACT_EST_MAPPING=PRECISE</stp>
        <stp>FS=MRC</stp>
        <stp>CURRENCY=USD</stp>
        <stp>XLFILL=b</stp>
        <tr r="P64" s="2"/>
      </tp>
      <tp t="s">
        <v>#N/A Requesting Data...</v>
        <stp/>
        <stp>##V3_BQLV12</stp>
        <stp>[MODL_NOW_US1.xlsx]Single Period!R64C49</stp>
        <stp>SEG0000230975 Segment</stp>
        <stp>CB_IS_GROSS_MARGIN</stp>
        <stp>FPR=2021Y</stp>
        <stp>FPT=A</stp>
        <stp>FA_ACT_EST_DATA=E, EST_SOURCE=SCB</stp>
        <stp>ACT_EST_MAPPING=PRECISE</stp>
        <stp>FS=MRC</stp>
        <stp>CURRENCY=USD</stp>
        <stp>XLFILL=b</stp>
        <tr r="AW64" s="2"/>
      </tp>
      <tp t="s">
        <v>#N/A Requesting Data...</v>
        <stp/>
        <stp>##V3_BQLV12</stp>
        <stp>[MODL_NOW_US1.xlsx]Single Period!R232C16</stp>
        <stp>NOW US Equity</stp>
        <stp>CF_CASH_AND_CASH_EQUIV_BEG_BAL/1M</stp>
        <stp>FPR=2021Y</stp>
        <stp>FPT=A</stp>
        <stp>FA_ACT_EST_DATA=E, EST_SOURCE=BCA</stp>
        <stp>ACT_EST_MAPPING=PRECISE</stp>
        <stp>FS=MRC</stp>
        <stp>CURRENCY=USD</stp>
        <stp>XLFILL=b</stp>
        <tr r="P232" s="2"/>
      </tp>
      <tp t="s">
        <v>#N/A Requesting Data...</v>
        <stp/>
        <stp>##V3_BQLV12</stp>
        <stp>[MODL_NOW_US1.xlsx]Single Period!R211C17</stp>
        <stp>NOW US Equity</stp>
        <stp>CF_CHG_IN_DEFER_UNEARND_REV_ST/1M</stp>
        <stp>FPR=2021Y</stp>
        <stp>FPT=A</stp>
        <stp>FA_ACT_EST_DATA=E, EST_SOURCE=RHR</stp>
        <stp>ACT_EST_MAPPING=PRECISE</stp>
        <stp>FS=MRC</stp>
        <stp>CURRENCY=USD</stp>
        <stp>XLFILL=b</stp>
        <tr r="Q211" s="2"/>
      </tp>
      <tp t="s">
        <v>#N/A Requesting Data...</v>
        <stp/>
        <stp>##V3_BQLV12</stp>
        <stp>[MODL_NOW_US1.xlsx]Single Period!R232C49</stp>
        <stp>NOW US Equity</stp>
        <stp>CF_CASH_AND_CASH_EQUIV_BEG_BAL/1M</stp>
        <stp>FPR=2021Y</stp>
        <stp>FPT=A</stp>
        <stp>FA_ACT_EST_DATA=E, EST_SOURCE=SCB</stp>
        <stp>ACT_EST_MAPPING=PRECISE</stp>
        <stp>FS=MRC</stp>
        <stp>CURRENCY=USD</stp>
        <stp>XLFILL=b</stp>
        <tr r="AW232" s="2"/>
      </tp>
      <tp t="s">
        <v>#N/A Requesting Data...</v>
        <stp/>
        <stp>##V3_BQLV12</stp>
        <stp>[MODL_NOW_US1.xlsx]Single Period!R233C33</stp>
        <stp>NOW US Equity</stp>
        <stp>CF_CASH_AND_CASH_EQUIV_END_BAL/1M</stp>
        <stp>FPR=2021Y</stp>
        <stp>FPT=A</stp>
        <stp>FA_ACT_EST_DATA=E, EST_SOURCE=MAC</stp>
        <stp>ACT_EST_MAPPING=PRECISE</stp>
        <stp>FS=MRC</stp>
        <stp>CURRENCY=USD</stp>
        <stp>XLFILL=b</stp>
        <tr r="AG233" s="2"/>
      </tp>
      <tp t="s">
        <v>#N/A Requesting Data...</v>
        <stp/>
        <stp>##V3_BQLV12</stp>
        <stp>[MODL_NOW_US1.xlsx]Single Period!R98C26</stp>
        <stp>NOW US Equity</stp>
        <stp>CF_DEPR_AMORT/1M</stp>
        <stp>FPR=2021Y</stp>
        <stp>FPT=A</stp>
        <stp>FA_ACT_EST_DATA=E, EST_SOURCE=UBS</stp>
        <stp>ACT_EST_MAPPING=PRECISE</stp>
        <stp>FS=MRC</stp>
        <stp>CURRENCY=USD</stp>
        <stp>XLFILL=b</stp>
        <tr r="Z98" s="2"/>
      </tp>
      <tp t="s">
        <v>#N/A Requesting Data...</v>
        <stp/>
        <stp>##V3_BQLV12</stp>
        <stp>[MODL_NOW_US1.xlsx]Single Period!R92C24</stp>
        <stp>NOW US Equity</stp>
        <stp>IS_ADJ_GENL_AND_ADMIN_EXPN_AR/1M</stp>
        <stp>FPR=2021Y</stp>
        <stp>FPT=A</stp>
        <stp>FA_ACT_EST_DATA=E, EST_SOURCE=CWN</stp>
        <stp>ACT_EST_MAPPING=PRECISE</stp>
        <stp>FS=MRC</stp>
        <stp>CURRENCY=USD</stp>
        <stp>XLFILL=b</stp>
        <tr r="X92" s="2"/>
      </tp>
      <tp t="s">
        <v>#N/A Requesting Data...</v>
        <stp/>
        <stp>##V3_BQLV12</stp>
        <stp>[MODL_NOW_US1.xlsx]Single Period!R27C11</stp>
        <stp>NOW US Equity</stp>
        <stp>IS_REV_INCLUDING_INTERSEG_REV/1M</stp>
        <stp>FPR=2021Y</stp>
        <stp>FPT=A</stp>
        <stp>FA_ACT_EST_DATA=E, EST_SOURCE=JPM</stp>
        <stp>ACT_EST_MAPPING=PRECISE</stp>
        <stp>FS=MRC</stp>
        <stp>CURRENCY=USD</stp>
        <stp>XLFILL=b</stp>
        <tr r="K27" s="2"/>
      </tp>
      <tp t="s">
        <v>#N/A Requesting Data...</v>
        <stp/>
        <stp>##V3_BQLV12</stp>
        <stp>[MODL_NOW_US1.xlsx]Single Period!R191C34</stp>
        <stp>NOW US Equity</stp>
        <stp>ST_DEFERRED_REVENUE/1M</stp>
        <stp>FPR=2021Y</stp>
        <stp>FPT=A</stp>
        <stp>FA_ACT_EST_DATA=E, EST_SOURCE=PSG</stp>
        <stp>ACT_EST_MAPPING=PRECISE</stp>
        <stp>FS=MRC</stp>
        <stp>CURRENCY=USD</stp>
        <stp>XLFILL=b</stp>
        <tr r="AH191" s="2"/>
      </tp>
      <tp t="s">
        <v>#N/A Requesting Data...</v>
        <stp/>
        <stp>##V3_BQLV12</stp>
        <stp>[MODL_NOW_US1.xlsx]Single Period!R176C34</stp>
        <stp>NOW US Equity</stp>
        <stp>ST_DEFERRED_REVENUE/1M</stp>
        <stp>FPR=2021Y</stp>
        <stp>FPT=A</stp>
        <stp>FA_ACT_EST_DATA=E, EST_SOURCE=PSG</stp>
        <stp>ACT_EST_MAPPING=PRECISE</stp>
        <stp>FS=MRC</stp>
        <stp>CURRENCY=USD</stp>
        <stp>XLFILL=b</stp>
        <tr r="AH176" s="2"/>
      </tp>
      <tp t="s">
        <v>#N/A Requesting Data...</v>
        <stp/>
        <stp>##V3_BQLV12</stp>
        <stp>[MODL_NOW_US1.xlsx]Single Period!R179C34</stp>
        <stp>NOW US Equity</stp>
        <stp>LT_DEFERRED_REVENUE/1M</stp>
        <stp>FPR=2021Y</stp>
        <stp>FPT=A</stp>
        <stp>FA_ACT_EST_DATA=E, EST_SOURCE=PSG</stp>
        <stp>ACT_EST_MAPPING=PRECISE</stp>
        <stp>FS=MRC</stp>
        <stp>CURRENCY=USD</stp>
        <stp>XLFILL=b</stp>
        <tr r="AH179" s="2"/>
      </tp>
      <tp t="s">
        <v>#N/A Requesting Data...</v>
        <stp/>
        <stp>##V3_BQLV12</stp>
        <stp>[MODL_NOW_US1.xlsx]Single Period!R192C34</stp>
        <stp>NOW US Equity</stp>
        <stp>LT_DEFERRED_REVENUE/1M</stp>
        <stp>FPR=2021Y</stp>
        <stp>FPT=A</stp>
        <stp>FA_ACT_EST_DATA=E, EST_SOURCE=PSG</stp>
        <stp>ACT_EST_MAPPING=PRECISE</stp>
        <stp>FS=MRC</stp>
        <stp>CURRENCY=USD</stp>
        <stp>XLFILL=b</stp>
        <tr r="AH192" s="2"/>
      </tp>
      <tp t="s">
        <v>#N/A Requesting Data...</v>
        <stp/>
        <stp>##V3_BQLV12</stp>
        <stp>[MODL_NOW_US1.xlsx]Single Period!R161C37</stp>
        <stp>NOW US Equity</stp>
        <stp>BS_TOTAL_NON_CURRENT_ASSETS/1M</stp>
        <stp>FPR=2021Y</stp>
        <stp>FPT=A</stp>
        <stp>FA_ACT_EST_DATA=E, EST_SOURCE=TTC</stp>
        <stp>ACT_EST_MAPPING=PRECISE</stp>
        <stp>FS=MRC</stp>
        <stp>CURRENCY=USD</stp>
        <stp>XLFILL=b</stp>
        <tr r="AK161" s="2"/>
      </tp>
      <tp t="s">
        <v>#N/A Requesting Data...</v>
        <stp/>
        <stp>##V3_BQLV12</stp>
        <stp>[MODL_NOW_US1.xlsx]Single Period!R154C45</stp>
        <stp>NOW US Equity</stp>
        <stp>BS_CUR_ASSET_REPORT/1M</stp>
        <stp>FPR=2021Y</stp>
        <stp>FPT=A</stp>
        <stp>FA_ACT_EST_DATA=E, EST_SOURCE=PJE</stp>
        <stp>ACT_EST_MAPPING=PRECISE</stp>
        <stp>FS=MRC</stp>
        <stp>CURRENCY=USD</stp>
        <stp>XLFILL=b</stp>
        <tr r="AS154" s="2"/>
      </tp>
      <tp t="s">
        <v>#N/A Requesting Data...</v>
        <stp/>
        <stp>##V3_BQLV12</stp>
        <stp>[MODL_NOW_US1.xlsx]Single Period!R92C41</stp>
        <stp>NOW US Equity</stp>
        <stp>IS_ADJ_GENL_AND_ADMIN_EXPN_AR/1M</stp>
        <stp>FPR=2021Y</stp>
        <stp>FPT=A</stp>
        <stp>FA_ACT_EST_DATA=E, EST_SOURCE=ARG</stp>
        <stp>ACT_EST_MAPPING=PRECISE</stp>
        <stp>FS=MRC</stp>
        <stp>CURRENCY=USD</stp>
        <stp>XLFILL=b</stp>
        <tr r="AO92" s="2"/>
      </tp>
      <tp t="s">
        <v>#N/A Requesting Data...</v>
        <stp/>
        <stp>##V3_BQLV12</stp>
        <stp>[MODL_NOW_US1.xlsx]Single Period!R161C42</stp>
        <stp>NOW US Equity</stp>
        <stp>BS_TOTAL_NON_CURRENT_ASSETS/1M</stp>
        <stp>FPR=2021Y</stp>
        <stp>FPT=A</stp>
        <stp>FA_ACT_EST_DATA=E, EST_SOURCE=CTI</stp>
        <stp>ACT_EST_MAPPING=PRECISE</stp>
        <stp>FS=MRC</stp>
        <stp>CURRENCY=USD</stp>
        <stp>XLFILL=b</stp>
        <tr r="AP161" s="2"/>
      </tp>
      <tp t="s">
        <v>#N/A Requesting Data...</v>
        <stp/>
        <stp>##V3_BQLV12</stp>
        <stp>[MODL_NOW_US1.xlsx]Single Period!R105C28</stp>
        <stp>NOW US Equity</stp>
        <stp>ADJ_PROFIT_MARGIN</stp>
        <stp>FPR=2021Y</stp>
        <stp>FPT=A</stp>
        <stp>FA_ACT_EST_DATA=E, EST_SOURCE=EVR</stp>
        <stp>ACT_EST_MAPPING=PRECISE</stp>
        <stp>FS=MRC</stp>
        <stp>CURRENCY=USD</stp>
        <stp>XLFILL=b</stp>
        <tr r="AB105" s="2"/>
      </tp>
      <tp t="s">
        <v>#N/A Requesting Data...</v>
        <stp/>
        <stp>##V3_BQLV12</stp>
        <stp>[MODL_NOW_US1.xlsx]Single Period!R178C15</stp>
        <stp>NOW US Equity</stp>
        <stp>BS_ADJ_TOTAL_LT_LIABILITIES/1M</stp>
        <stp>FPR=2021Y</stp>
        <stp>FPT=A</stp>
        <stp>FA_ACT_EST_DATA=E, EST_SOURCE=OPY</stp>
        <stp>ACT_EST_MAPPING=PRECISE</stp>
        <stp>FS=MRC</stp>
        <stp>CURRENCY=USD</stp>
        <stp>XLFILL=b</stp>
        <tr r="O178" s="2"/>
      </tp>
      <tp t="s">
        <v>#N/A Requesting Data...</v>
        <stp/>
        <stp>##V3_BQLV12</stp>
        <stp>[MODL_NOW_US1.xlsx]Single Period!R210C28</stp>
        <stp>NOW US Equity</stp>
        <stp>CF_CHANGE_IN_PREPAID_EXPNSS/1M</stp>
        <stp>FPR=2021Y</stp>
        <stp>FPT=A</stp>
        <stp>FA_ACT_EST_DATA=E, EST_SOURCE=EVR</stp>
        <stp>ACT_EST_MAPPING=PRECISE</stp>
        <stp>FS=MRC</stp>
        <stp>CURRENCY=USD</stp>
        <stp>XLFILL=b</stp>
        <tr r="AB210" s="2"/>
      </tp>
      <tp t="s">
        <v>#N/A Requesting Data...</v>
        <stp/>
        <stp>##V3_BQLV12</stp>
        <stp>[MODL_NOW_US1.xlsx]Single Period!R92C39</stp>
        <stp>NOW US Equity</stp>
        <stp>IS_ADJ_GENL_AND_ADMIN_EXPN_AR/1M</stp>
        <stp>FPR=2021Y</stp>
        <stp>FPT=A</stp>
        <stp>FA_ACT_EST_DATA=E, EST_SOURCE=DZB</stp>
        <stp>ACT_EST_MAPPING=PRECISE</stp>
        <stp>FS=MRC</stp>
        <stp>CURRENCY=USD</stp>
        <stp>XLFILL=b</stp>
        <tr r="AM92" s="2"/>
      </tp>
      <tp t="s">
        <v>#N/A Requesting Data...</v>
        <stp/>
        <stp>##V3_BQLV12</stp>
        <stp>[MODL_NOW_US1.xlsx]Single Period!R92C37</stp>
        <stp>NOW US Equity</stp>
        <stp>IS_ADJ_GENL_AND_ADMIN_EXPN_AR/1M</stp>
        <stp>FPR=2021Y</stp>
        <stp>FPT=A</stp>
        <stp>FA_ACT_EST_DATA=E, EST_SOURCE=TTC</stp>
        <stp>ACT_EST_MAPPING=PRECISE</stp>
        <stp>FS=MRC</stp>
        <stp>CURRENCY=USD</stp>
        <stp>XLFILL=b</stp>
        <tr r="AK92" s="2"/>
      </tp>
      <tp t="s">
        <v>#N/A Requesting Data...</v>
        <stp/>
        <stp>##V3_BQLV12</stp>
        <stp>[MODL_NOW_US1.xlsx]Single Period!R191C35</stp>
        <stp>NOW US Equity</stp>
        <stp>ST_DEFERRED_REVENUE/1M</stp>
        <stp>FPR=2021Y</stp>
        <stp>FPT=A</stp>
        <stp>FA_ACT_EST_DATA=E, EST_SOURCE=MSR</stp>
        <stp>ACT_EST_MAPPING=PRECISE</stp>
        <stp>FS=MRC</stp>
        <stp>CURRENCY=USD</stp>
        <stp>XLFILL=b</stp>
        <tr r="AI191" s="2"/>
      </tp>
      <tp t="s">
        <v>#N/A Requesting Data...</v>
        <stp/>
        <stp>##V3_BQLV12</stp>
        <stp>[MODL_NOW_US1.xlsx]Single Period!R191C31</stp>
        <stp>NOW US Equity</stp>
        <stp>ST_DEFERRED_REVENUE/1M</stp>
        <stp>FPR=2021Y</stp>
        <stp>FPT=A</stp>
        <stp>FA_ACT_EST_DATA=E, EST_SOURCE=GSR</stp>
        <stp>ACT_EST_MAPPING=PRECISE</stp>
        <stp>FS=MRC</stp>
        <stp>CURRENCY=USD</stp>
        <stp>XLFILL=b</stp>
        <tr r="AE191" s="2"/>
      </tp>
      <tp t="s">
        <v>#N/A Requesting Data...</v>
        <stp/>
        <stp>##V3_BQLV12</stp>
        <stp>[MODL_NOW_US1.xlsx]Single Period!R176C31</stp>
        <stp>NOW US Equity</stp>
        <stp>ST_DEFERRED_REVENUE/1M</stp>
        <stp>FPR=2021Y</stp>
        <stp>FPT=A</stp>
        <stp>FA_ACT_EST_DATA=E, EST_SOURCE=GSR</stp>
        <stp>ACT_EST_MAPPING=PRECISE</stp>
        <stp>FS=MRC</stp>
        <stp>CURRENCY=USD</stp>
        <stp>XLFILL=b</stp>
        <tr r="AE176" s="2"/>
      </tp>
      <tp t="s">
        <v>#N/A Requesting Data...</v>
        <stp/>
        <stp>##V3_BQLV12</stp>
        <stp>[MODL_NOW_US1.xlsx]Single Period!R176C35</stp>
        <stp>NOW US Equity</stp>
        <stp>ST_DEFERRED_REVENUE/1M</stp>
        <stp>FPR=2021Y</stp>
        <stp>FPT=A</stp>
        <stp>FA_ACT_EST_DATA=E, EST_SOURCE=MSR</stp>
        <stp>ACT_EST_MAPPING=PRECISE</stp>
        <stp>FS=MRC</stp>
        <stp>CURRENCY=USD</stp>
        <stp>XLFILL=b</stp>
        <tr r="AI176" s="2"/>
      </tp>
      <tp t="s">
        <v>#N/A Requesting Data...</v>
        <stp/>
        <stp>##V3_BQLV12</stp>
        <stp>[MODL_NOW_US1.xlsx]Single Period!R184C16</stp>
        <stp>NOW US Equity</stp>
        <stp>BS_EQTY_BEFORE_MINORITY_INT/1M</stp>
        <stp>FPR=2021Y</stp>
        <stp>FPT=A</stp>
        <stp>FA_ACT_EST_DATA=E, EST_SOURCE=BCA</stp>
        <stp>ACT_EST_MAPPING=PRECISE</stp>
        <stp>FS=MRC</stp>
        <stp>CURRENCY=USD</stp>
        <stp>XLFILL=b</stp>
        <tr r="P184" s="2"/>
      </tp>
      <tp t="s">
        <v>#N/A Requesting Data...</v>
        <stp/>
        <stp>##V3_BQLV12</stp>
        <stp>[MODL_NOW_US1.xlsx]Single Period!R179C35</stp>
        <stp>NOW US Equity</stp>
        <stp>LT_DEFERRED_REVENUE/1M</stp>
        <stp>FPR=2021Y</stp>
        <stp>FPT=A</stp>
        <stp>FA_ACT_EST_DATA=E, EST_SOURCE=MSR</stp>
        <stp>ACT_EST_MAPPING=PRECISE</stp>
        <stp>FS=MRC</stp>
        <stp>CURRENCY=USD</stp>
        <stp>XLFILL=b</stp>
        <tr r="AI179" s="2"/>
      </tp>
      <tp t="s">
        <v>#N/A Requesting Data...</v>
        <stp/>
        <stp>##V3_BQLV12</stp>
        <stp>[MODL_NOW_US1.xlsx]Single Period!R179C31</stp>
        <stp>NOW US Equity</stp>
        <stp>LT_DEFERRED_REVENUE/1M</stp>
        <stp>FPR=2021Y</stp>
        <stp>FPT=A</stp>
        <stp>FA_ACT_EST_DATA=E, EST_SOURCE=GSR</stp>
        <stp>ACT_EST_MAPPING=PRECISE</stp>
        <stp>FS=MRC</stp>
        <stp>CURRENCY=USD</stp>
        <stp>XLFILL=b</stp>
        <tr r="AE179" s="2"/>
      </tp>
      <tp t="s">
        <v>#N/A Requesting Data...</v>
        <stp/>
        <stp>##V3_BQLV12</stp>
        <stp>[MODL_NOW_US1.xlsx]Single Period!R192C31</stp>
        <stp>NOW US Equity</stp>
        <stp>LT_DEFERRED_REVENUE/1M</stp>
        <stp>FPR=2021Y</stp>
        <stp>FPT=A</stp>
        <stp>FA_ACT_EST_DATA=E, EST_SOURCE=GSR</stp>
        <stp>ACT_EST_MAPPING=PRECISE</stp>
        <stp>FS=MRC</stp>
        <stp>CURRENCY=USD</stp>
        <stp>XLFILL=b</stp>
        <tr r="AE192" s="2"/>
      </tp>
      <tp t="s">
        <v>#N/A Requesting Data...</v>
        <stp/>
        <stp>##V3_BQLV12</stp>
        <stp>[MODL_NOW_US1.xlsx]Single Period!R192C35</stp>
        <stp>NOW US Equity</stp>
        <stp>LT_DEFERRED_REVENUE/1M</stp>
        <stp>FPR=2021Y</stp>
        <stp>FPT=A</stp>
        <stp>FA_ACT_EST_DATA=E, EST_SOURCE=MSR</stp>
        <stp>ACT_EST_MAPPING=PRECISE</stp>
        <stp>FS=MRC</stp>
        <stp>CURRENCY=USD</stp>
        <stp>XLFILL=b</stp>
        <tr r="AI192" s="2"/>
      </tp>
      <tp t="s">
        <v>#N/A Requesting Data...</v>
        <stp/>
        <stp>##V3_BQLV12</stp>
        <stp>[MODL_NOW_US1.xlsx]Single Period!R203C33</stp>
        <stp>NOW US Equity</stp>
        <stp>AMORTIZATN_OF_FINNCNG_COSTS/1M</stp>
        <stp>FPR=2021Y</stp>
        <stp>FPT=A</stp>
        <stp>FA_ACT_EST_DATA=E, EST_SOURCE=MAC</stp>
        <stp>ACT_EST_MAPPING=PRECISE</stp>
        <stp>FS=MRC</stp>
        <stp>CURRENCY=USD</stp>
        <stp>XLFILL=b</stp>
        <tr r="AG203" s="2"/>
      </tp>
      <tp t="s">
        <v>#N/A Requesting Data...</v>
        <stp/>
        <stp>##V3_BQLV12</stp>
        <stp>[MODL_NOW_US1.xlsx]Single Period!R89C23</stp>
        <stp>NOW US Equity</stp>
        <stp>IS_REV_INCLUDING_INTERSEG_REV/1M</stp>
        <stp>FPR=2021Y</stp>
        <stp>FPT=A</stp>
        <stp>FA_ACT_EST_DATA=E, EST_SOURCE=ZXS</stp>
        <stp>ACT_EST_MAPPING=PRECISE</stp>
        <stp>FS=MRC</stp>
        <stp>CURRENCY=USD</stp>
        <stp>XLFILL=b</stp>
        <tr r="W89" s="2"/>
      </tp>
      <tp t="s">
        <v>#N/A Requesting Data...</v>
        <stp/>
        <stp>##V3_BQLV12</stp>
        <stp>[MODL_NOW_US1.xlsx]Single Period!R176C19</stp>
        <stp>NOW US Equity</stp>
        <stp>ST_DEFERRED_REVENUE/1M</stp>
        <stp>FPR=2021Y</stp>
        <stp>FPT=A</stp>
        <stp>FA_ACT_EST_DATA=E, EST_SOURCE=MSV</stp>
        <stp>ACT_EST_MAPPING=PRECISE</stp>
        <stp>FS=MRC</stp>
        <stp>CURRENCY=USD</stp>
        <stp>XLFILL=b</stp>
        <tr r="S176" s="2"/>
      </tp>
      <tp t="s">
        <v>#N/A Requesting Data...</v>
        <stp/>
        <stp>##V3_BQLV12</stp>
        <stp>[MODL_NOW_US1.xlsx]Single Period!R191C19</stp>
        <stp>NOW US Equity</stp>
        <stp>ST_DEFERRED_REVENUE/1M</stp>
        <stp>FPR=2021Y</stp>
        <stp>FPT=A</stp>
        <stp>FA_ACT_EST_DATA=E, EST_SOURCE=MSV</stp>
        <stp>ACT_EST_MAPPING=PRECISE</stp>
        <stp>FS=MRC</stp>
        <stp>CURRENCY=USD</stp>
        <stp>XLFILL=b</stp>
        <tr r="S191" s="2"/>
      </tp>
      <tp t="s">
        <v>#N/A Requesting Data...</v>
        <stp/>
        <stp>##V3_BQLV12</stp>
        <stp>[MODL_NOW_US1.xlsx]Single Period!R192C19</stp>
        <stp>NOW US Equity</stp>
        <stp>LT_DEFERRED_REVENUE/1M</stp>
        <stp>FPR=2021Y</stp>
        <stp>FPT=A</stp>
        <stp>FA_ACT_EST_DATA=E, EST_SOURCE=MSV</stp>
        <stp>ACT_EST_MAPPING=PRECISE</stp>
        <stp>FS=MRC</stp>
        <stp>CURRENCY=USD</stp>
        <stp>XLFILL=b</stp>
        <tr r="S192" s="2"/>
      </tp>
      <tp t="s">
        <v>#N/A Requesting Data...</v>
        <stp/>
        <stp>##V3_BQLV12</stp>
        <stp>[MODL_NOW_US1.xlsx]Single Period!R184C49</stp>
        <stp>NOW US Equity</stp>
        <stp>BS_EQTY_BEFORE_MINORITY_INT/1M</stp>
        <stp>FPR=2021Y</stp>
        <stp>FPT=A</stp>
        <stp>FA_ACT_EST_DATA=E, EST_SOURCE=SCB</stp>
        <stp>ACT_EST_MAPPING=PRECISE</stp>
        <stp>FS=MRC</stp>
        <stp>CURRENCY=USD</stp>
        <stp>XLFILL=b</stp>
        <tr r="AW184" s="2"/>
      </tp>
      <tp t="s">
        <v>#N/A Requesting Data...</v>
        <stp/>
        <stp>##V3_BQLV12</stp>
        <stp>[MODL_NOW_US1.xlsx]Single Period!R179C19</stp>
        <stp>NOW US Equity</stp>
        <stp>LT_DEFERRED_REVENUE/1M</stp>
        <stp>FPR=2021Y</stp>
        <stp>FPT=A</stp>
        <stp>FA_ACT_EST_DATA=E, EST_SOURCE=MSV</stp>
        <stp>ACT_EST_MAPPING=PRECISE</stp>
        <stp>FS=MRC</stp>
        <stp>CURRENCY=USD</stp>
        <stp>XLFILL=b</stp>
        <tr r="S179" s="2"/>
      </tp>
      <tp t="s">
        <v>#N/A Requesting Data...</v>
        <stp/>
        <stp>##V3_BQLV12</stp>
        <stp>[MODL_NOW_US1.xlsx]Single Period!R30C24</stp>
        <stp>NOW US Equity</stp>
        <stp>CF_FREE_CASH_FLOW_AS_REPORTED/1M</stp>
        <stp>FPR=2021Y</stp>
        <stp>FPT=A</stp>
        <stp>FA_ACT_EST_DATA=E, EST_SOURCE=CWN</stp>
        <stp>ACT_EST_MAPPING=PRECISE</stp>
        <stp>FS=MRC</stp>
        <stp>CURRENCY=USD</stp>
        <stp>XLFILL=b</stp>
        <tr r="X30" s="2"/>
      </tp>
      <tp t="s">
        <v>#N/A Requesting Data...</v>
        <stp/>
        <stp>##V3_BQLV12</stp>
        <stp>[MODL_NOW_US1.xlsx]Single Period!R124C33</stp>
        <stp>NOW US Equity</stp>
        <stp>IS_EBIT_AS_REPORTED/1M</stp>
        <stp>FPR=2021Y</stp>
        <stp>FPT=A</stp>
        <stp>FA_ACT_EST_DATA=E, EST_SOURCE=MAC</stp>
        <stp>ACT_EST_MAPPING=PRECISE</stp>
        <stp>FS=MRC</stp>
        <stp>CURRENCY=USD</stp>
        <stp>XLFILL=b</stp>
        <tr r="AG124" s="2"/>
      </tp>
      <tp t="s">
        <v>#N/A Requesting Data...</v>
        <stp/>
        <stp>##V3_BQLV12</stp>
        <stp>[MODL_NOW_US1.xlsx]Single Period!R158C28</stp>
        <stp>NOW US Equity</stp>
        <stp>BS_ACCTS_REC_EXCL_NOTES_REC/1M</stp>
        <stp>FPR=2021Y</stp>
        <stp>FPT=A</stp>
        <stp>FA_ACT_EST_DATA=E, EST_SOURCE=EVR</stp>
        <stp>ACT_EST_MAPPING=PRECISE</stp>
        <stp>FS=MRC</stp>
        <stp>CURRENCY=USD</stp>
        <stp>XLFILL=b</stp>
        <tr r="AB158" s="2"/>
      </tp>
      <tp t="s">
        <v>#N/A Requesting Data...</v>
        <stp/>
        <stp>##V3_BQLV12</stp>
        <stp>[MODL_NOW_US1.xlsx]Single Period!R180C28</stp>
        <stp>NOW US Equity</stp>
        <stp>BS_LT_OPERATING_LEASE_LIABS/1M</stp>
        <stp>FPR=2021Y</stp>
        <stp>FPT=A</stp>
        <stp>FA_ACT_EST_DATA=E, EST_SOURCE=EVR</stp>
        <stp>ACT_EST_MAPPING=PRECISE</stp>
        <stp>FS=MRC</stp>
        <stp>CURRENCY=USD</stp>
        <stp>XLFILL=b</stp>
        <tr r="AB180" s="2"/>
      </tp>
      <tp t="s">
        <v>#N/A Requesting Data...</v>
        <stp/>
        <stp>##V3_BQLV12</stp>
        <stp>[MODL_NOW_US1.xlsx]Single Period!R178C11</stp>
        <stp>NOW US Equity</stp>
        <stp>BS_ADJ_TOTAL_LT_LIABILITIES/1M</stp>
        <stp>FPR=2021Y</stp>
        <stp>FPT=A</stp>
        <stp>FA_ACT_EST_DATA=E, EST_SOURCE=JPM</stp>
        <stp>ACT_EST_MAPPING=PRECISE</stp>
        <stp>FS=MRC</stp>
        <stp>CURRENCY=USD</stp>
        <stp>XLFILL=b</stp>
        <tr r="K178" s="2"/>
      </tp>
      <tp t="s">
        <v>#N/A Requesting Data...</v>
        <stp/>
        <stp>##V3_BQLV12</stp>
        <stp>[MODL_NOW_US1.xlsx]Single Period!R124C30</stp>
        <stp>NOW US Equity</stp>
        <stp>IS_EBIT_AS_REPORTED/1M</stp>
        <stp>FPR=2021Y</stp>
        <stp>FPT=A</stp>
        <stp>FA_ACT_EST_DATA=E, EST_SOURCE=BAM</stp>
        <stp>ACT_EST_MAPPING=PRECISE</stp>
        <stp>FS=MRC</stp>
        <stp>CURRENCY=USD</stp>
        <stp>XLFILL=b</stp>
        <tr r="AD124" s="2"/>
      </tp>
      <tp t="s">
        <v>#N/A Requesting Data...</v>
        <stp/>
        <stp>##V3_BQLV12</stp>
        <stp>[MODL_NOW_US1.xlsx]Single Period!R30C37</stp>
        <stp>NOW US Equity</stp>
        <stp>CF_FREE_CASH_FLOW_AS_REPORTED/1M</stp>
        <stp>FPR=2021Y</stp>
        <stp>FPT=A</stp>
        <stp>FA_ACT_EST_DATA=E, EST_SOURCE=TTC</stp>
        <stp>ACT_EST_MAPPING=PRECISE</stp>
        <stp>FS=MRC</stp>
        <stp>CURRENCY=USD</stp>
        <stp>XLFILL=b</stp>
        <tr r="AK30" s="2"/>
      </tp>
      <tp t="s">
        <v>#N/A Requesting Data...</v>
        <stp/>
        <stp>##V3_BQLV12</stp>
        <stp>[MODL_NOW_US1.xlsx]Single Period!R137C49</stp>
        <stp>NOW US Equity</stp>
        <stp>CF_STOCK_BASED_COMPENSATION/1M</stp>
        <stp>FPR=2021Y</stp>
        <stp>FPT=A</stp>
        <stp>FA_ACT_EST_DATA=E, EST_SOURCE=SCB</stp>
        <stp>ACT_EST_MAPPING=PRECISE</stp>
        <stp>FS=MRC</stp>
        <stp>CURRENCY=USD</stp>
        <stp>XLFILL=b</stp>
        <tr r="AW137" s="2"/>
      </tp>
      <tp t="s">
        <v>#N/A Requesting Data...</v>
        <stp/>
        <stp>##V3_BQLV12</stp>
        <stp>[MODL_NOW_US1.xlsx]Single Period!R30C39</stp>
        <stp>NOW US Equity</stp>
        <stp>CF_FREE_CASH_FLOW_AS_REPORTED/1M</stp>
        <stp>FPR=2021Y</stp>
        <stp>FPT=A</stp>
        <stp>FA_ACT_EST_DATA=E, EST_SOURCE=DZB</stp>
        <stp>ACT_EST_MAPPING=PRECISE</stp>
        <stp>FS=MRC</stp>
        <stp>CURRENCY=USD</stp>
        <stp>XLFILL=b</stp>
        <tr r="AM30" s="2"/>
      </tp>
      <tp t="s">
        <v>#N/A Requesting Data...</v>
        <stp/>
        <stp>##V3_BQLV12</stp>
        <stp>[MODL_NOW_US1.xlsx]Single Period!R124C20</stp>
        <stp>NOW US Equity</stp>
        <stp>IS_EBIT_AS_REPORTED/1M</stp>
        <stp>FPR=2021Y</stp>
        <stp>FPT=A</stp>
        <stp>FA_ACT_EST_DATA=E, EST_SOURCE=CAN</stp>
        <stp>ACT_EST_MAPPING=PRECISE</stp>
        <stp>FS=MRC</stp>
        <stp>CURRENCY=USD</stp>
        <stp>XLFILL=b</stp>
        <tr r="T124" s="2"/>
      </tp>
      <tp t="s">
        <v>#N/A Requesting Data...</v>
        <stp/>
        <stp>##V3_BQLV12</stp>
        <stp>[MODL_NOW_US1.xlsx]Single Period!R203C30</stp>
        <stp>NOW US Equity</stp>
        <stp>AMORTIZATN_OF_FINNCNG_COSTS/1M</stp>
        <stp>FPR=2021Y</stp>
        <stp>FPT=A</stp>
        <stp>FA_ACT_EST_DATA=E, EST_SOURCE=BAM</stp>
        <stp>ACT_EST_MAPPING=PRECISE</stp>
        <stp>FS=MRC</stp>
        <stp>CURRENCY=USD</stp>
        <stp>XLFILL=b</stp>
        <tr r="AD203" s="2"/>
      </tp>
      <tp t="s">
        <v>#N/A Requesting Data...</v>
        <stp/>
        <stp>##V3_BQLV12</stp>
        <stp>[MODL_NOW_US1.xlsx]Single Period!R137C16</stp>
        <stp>NOW US Equity</stp>
        <stp>CF_STOCK_BASED_COMPENSATION/1M</stp>
        <stp>FPR=2021Y</stp>
        <stp>FPT=A</stp>
        <stp>FA_ACT_EST_DATA=E, EST_SOURCE=BCA</stp>
        <stp>ACT_EST_MAPPING=PRECISE</stp>
        <stp>FS=MRC</stp>
        <stp>CURRENCY=USD</stp>
        <stp>XLFILL=b</stp>
        <tr r="P137" s="2"/>
      </tp>
      <tp t="s">
        <v>#N/A Requesting Data...</v>
        <stp/>
        <stp>##V3_BQLV12</stp>
        <stp>[MODL_NOW_US1.xlsx]Single Period!R30C41</stp>
        <stp>NOW US Equity</stp>
        <stp>CF_FREE_CASH_FLOW_AS_REPORTED/1M</stp>
        <stp>FPR=2021Y</stp>
        <stp>FPT=A</stp>
        <stp>FA_ACT_EST_DATA=E, EST_SOURCE=ARG</stp>
        <stp>ACT_EST_MAPPING=PRECISE</stp>
        <stp>FS=MRC</stp>
        <stp>CURRENCY=USD</stp>
        <stp>XLFILL=b</stp>
        <tr r="AO30" s="2"/>
      </tp>
      <tp t="s">
        <v>#N/A Requesting Data...</v>
        <stp/>
        <stp>##V3_BQLV12</stp>
        <stp>[MODL_NOW_US1.xlsx]Single Period!R203C20</stp>
        <stp>NOW US Equity</stp>
        <stp>AMORTIZATN_OF_FINNCNG_COSTS/1M</stp>
        <stp>FPR=2021Y</stp>
        <stp>FPT=A</stp>
        <stp>FA_ACT_EST_DATA=E, EST_SOURCE=CAN</stp>
        <stp>ACT_EST_MAPPING=PRECISE</stp>
        <stp>FS=MRC</stp>
        <stp>CURRENCY=USD</stp>
        <stp>XLFILL=b</stp>
        <tr r="T203" s="2"/>
      </tp>
      <tp t="s">
        <v>#N/A Requesting Data...</v>
        <stp/>
        <stp>##V3_BQLV12</stp>
        <stp>[MODL_NOW_US1.xlsx]Single Period!R95C9</stp>
        <stp>NOW US Equity</stp>
        <stp>CONTRIBUTOR_STATS(IS_COMPARABLE_EBIT, MEDIAN)/1M</stp>
        <stp>FPR=2021Y</stp>
        <stp>FPT=A</stp>
        <stp>FA_ACT_EST_DATA=E</stp>
        <stp>ACT_EST_MAPPING=PRECISE</stp>
        <stp>FS=MRC</stp>
        <stp>CURRENCY=USD</stp>
        <stp>XLFILL=b</stp>
        <tr r="I95" s="2"/>
      </tp>
      <tp t="s">
        <v>#N/A Requesting Data...</v>
        <stp/>
        <stp>##V3_BQLV12</stp>
        <stp>[MODL_NOW_US1.xlsx]Single Period!R235C20</stp>
        <stp>NOW US Equity</stp>
        <stp>CF_FREE_CASH_FLOW_AS_REPORTED/1M</stp>
        <stp>FPR=2021Y</stp>
        <stp>FPT=A</stp>
        <stp>FA_ACT_EST_DATA=E, EST_SOURCE=CAN</stp>
        <stp>ACT_EST_MAPPING=PRECISE</stp>
        <stp>FS=MRC</stp>
        <stp>CURRENCY=USD</stp>
        <stp>XLFILL=b</stp>
        <tr r="T235" s="2"/>
      </tp>
      <tp t="s">
        <v>#N/A Requesting Data...</v>
        <stp/>
        <stp>##V3_BQLV12</stp>
        <stp>[MODL_NOW_US1.xlsx]Single Period!R83C33</stp>
        <stp>NOW US Equity</stp>
        <stp>IS_ADJUSTED_COGS_AS_REPORTED/1M</stp>
        <stp>FPR=2021Y</stp>
        <stp>FPT=A</stp>
        <stp>FA_ACT_EST_DATA=E, EST_SOURCE=MAC</stp>
        <stp>ACT_EST_MAPPING=PRECISE</stp>
        <stp>FS=MRC</stp>
        <stp>CURRENCY=USD</stp>
        <stp>XLFILL=b</stp>
        <tr r="AG83" s="2"/>
      </tp>
      <tp t="s">
        <v>#N/A Requesting Data...</v>
        <stp/>
        <stp>##V3_BQLV12</stp>
        <stp>[MODL_NOW_US1.xlsx]Single Period!R58C33</stp>
        <stp>SEG0000230975 Segment</stp>
        <stp>SALES_REV_TURN/1M</stp>
        <stp>FPR=2021Y</stp>
        <stp>FPT=A</stp>
        <stp>FA_ACT_EST_DATA=E, EST_SOURCE=MAC</stp>
        <stp>ACT_EST_MAPPING=PRECISE</stp>
        <stp>FS=MRC</stp>
        <stp>CURRENCY=USD</stp>
        <stp>XLFILL=b</stp>
        <tr r="AG58" s="2"/>
      </tp>
      <tp t="s">
        <v>#N/A Requesting Data...</v>
        <stp/>
        <stp>##V3_BQLV12</stp>
        <stp>[MODL_NOW_US1.xlsx]Single Period!R119C26</stp>
        <stp>NOW US Equity</stp>
        <stp>CB_IS_S_AND_M_EXPENSE/1M</stp>
        <stp>FPR=2021Y</stp>
        <stp>FPT=A</stp>
        <stp>FA_ACT_EST_DATA=E, EST_SOURCE=UBS</stp>
        <stp>ACT_EST_MAPPING=PRECISE</stp>
        <stp>FS=MRC</stp>
        <stp>CURRENCY=USD</stp>
        <stp>XLFILL=b</stp>
        <tr r="Z119" s="2"/>
      </tp>
      <tp t="s">
        <v>#N/A Requesting Data...</v>
        <stp/>
        <stp>##V3_BQLV12</stp>
        <stp>[MODL_NOW_US1.xlsx]Single Period!R235C30</stp>
        <stp>NOW US Equity</stp>
        <stp>CF_FREE_CASH_FLOW_AS_REPORTED/1M</stp>
        <stp>FPR=2021Y</stp>
        <stp>FPT=A</stp>
        <stp>FA_ACT_EST_DATA=E, EST_SOURCE=BAM</stp>
        <stp>ACT_EST_MAPPING=PRECISE</stp>
        <stp>FS=MRC</stp>
        <stp>CURRENCY=USD</stp>
        <stp>XLFILL=b</stp>
        <tr r="AD235" s="2"/>
      </tp>
      <tp t="s">
        <v>#N/A Requesting Data...</v>
        <stp/>
        <stp>##V3_BQLV12</stp>
        <stp>[MODL_NOW_US1.xlsx]Single Period!R75C25</stp>
        <stp>SEG0000230992 Segment</stp>
        <stp>SALES_REV_TURN/1M</stp>
        <stp>FPR=2021Y</stp>
        <stp>FPT=A</stp>
        <stp>FA_ACT_EST_DATA=E, EST_SOURCE=DBG</stp>
        <stp>ACT_EST_MAPPING=PRECISE</stp>
        <stp>FS=MRC</stp>
        <stp>CURRENCY=USD</stp>
        <stp>XLFILL=b</stp>
        <tr r="Y75" s="2"/>
      </tp>
      <tp t="s">
        <v>#N/A Requesting Data...</v>
        <stp/>
        <stp>##V3_BQLV12</stp>
        <stp>[MODL_NOW_US1.xlsx]Single Period!R15C25</stp>
        <stp>SEG0000230992 Segment</stp>
        <stp>SALES_REV_TURN/1M</stp>
        <stp>FPR=2021Y</stp>
        <stp>FPT=A</stp>
        <stp>FA_ACT_EST_DATA=E, EST_SOURCE=DBG</stp>
        <stp>ACT_EST_MAPPING=PRECISE</stp>
        <stp>FS=MRC</stp>
        <stp>CURRENCY=USD</stp>
        <stp>XLFILL=b</stp>
        <tr r="Y15" s="2"/>
      </tp>
      <tp t="s">
        <v>#N/A Requesting Data...</v>
        <stp/>
        <stp>##V3_BQLV12</stp>
        <stp>[MODL_NOW_US1.xlsx]Single Period!R54C30</stp>
        <stp>NOW US Equity</stp>
        <stp>IS_FOREIGN_CURRENCY_TURNOVER/1M</stp>
        <stp>FPR=2021Y</stp>
        <stp>FPT=A</stp>
        <stp>FA_ACT_EST_DATA=E, EST_SOURCE=BAM</stp>
        <stp>ACT_EST_MAPPING=PRECISE</stp>
        <stp>FS=MRC</stp>
        <stp>CURRENCY=USD</stp>
        <stp>XLFILL=b</stp>
        <tr r="AD54" s="2"/>
      </tp>
      <tp t="s">
        <v>#N/A Requesting Data...</v>
        <stp/>
        <stp>##V3_BQLV12</stp>
        <stp>[MODL_NOW_US1.xlsx]Single Period!R15C27</stp>
        <stp>SEG0000230992 Segment</stp>
        <stp>SALES_REV_TURN/1M</stp>
        <stp>FPR=2021Y</stp>
        <stp>FPT=A</stp>
        <stp>FA_ACT_EST_DATA=E, EST_SOURCE=RBC</stp>
        <stp>ACT_EST_MAPPING=PRECISE</stp>
        <stp>FS=MRC</stp>
        <stp>CURRENCY=USD</stp>
        <stp>XLFILL=b</stp>
        <tr r="AA15" s="2"/>
      </tp>
      <tp t="s">
        <v>#N/A Requesting Data...</v>
        <stp/>
        <stp>##V3_BQLV12</stp>
        <stp>[MODL_NOW_US1.xlsx]Single Period!R75C27</stp>
        <stp>SEG0000230992 Segment</stp>
        <stp>SALES_REV_TURN/1M</stp>
        <stp>FPR=2021Y</stp>
        <stp>FPT=A</stp>
        <stp>FA_ACT_EST_DATA=E, EST_SOURCE=RBC</stp>
        <stp>ACT_EST_MAPPING=PRECISE</stp>
        <stp>FS=MRC</stp>
        <stp>CURRENCY=USD</stp>
        <stp>XLFILL=b</stp>
        <tr r="AA75" s="2"/>
      </tp>
      <tp t="s">
        <v>#N/A Requesting Data...</v>
        <stp/>
        <stp>##V3_BQLV12</stp>
        <stp>[MODL_NOW_US1.xlsx]Single Period!R83C16</stp>
        <stp>NOW US Equity</stp>
        <stp>IS_ADJUSTED_COGS_AS_REPORTED/1M</stp>
        <stp>FPR=2021Y</stp>
        <stp>FPT=A</stp>
        <stp>FA_ACT_EST_DATA=E, EST_SOURCE=BCA</stp>
        <stp>ACT_EST_MAPPING=PRECISE</stp>
        <stp>FS=MRC</stp>
        <stp>CURRENCY=USD</stp>
        <stp>XLFILL=b</stp>
        <tr r="P83" s="2"/>
      </tp>
      <tp t="s">
        <v>#N/A Requesting Data...</v>
        <stp/>
        <stp>##V3_BQLV12</stp>
        <stp>[MODL_NOW_US1.xlsx]Single Period!R15C32</stp>
        <stp>SEG0000230992 Segment</stp>
        <stp>SALES_REV_TURN/1M</stp>
        <stp>FPR=2021Y</stp>
        <stp>FPT=A</stp>
        <stp>FA_ACT_EST_DATA=E, EST_SOURCE=FBC</stp>
        <stp>ACT_EST_MAPPING=PRECISE</stp>
        <stp>FS=MRC</stp>
        <stp>CURRENCY=USD</stp>
        <stp>XLFILL=b</stp>
        <tr r="AF15" s="2"/>
      </tp>
      <tp t="s">
        <v>#N/A Requesting Data...</v>
        <stp/>
        <stp>##V3_BQLV12</stp>
        <stp>[MODL_NOW_US1.xlsx]Single Period!R75C32</stp>
        <stp>SEG0000230992 Segment</stp>
        <stp>SALES_REV_TURN/1M</stp>
        <stp>FPR=2021Y</stp>
        <stp>FPT=A</stp>
        <stp>FA_ACT_EST_DATA=E, EST_SOURCE=FBC</stp>
        <stp>ACT_EST_MAPPING=PRECISE</stp>
        <stp>FS=MRC</stp>
        <stp>CURRENCY=USD</stp>
        <stp>XLFILL=b</stp>
        <tr r="AF75" s="2"/>
      </tp>
      <tp t="s">
        <v>#N/A Requesting Data...</v>
        <stp/>
        <stp>##V3_BQLV12</stp>
        <stp>[MODL_NOW_US1.xlsx]Single Period!R169C29</stp>
        <stp>NOW US Equity</stp>
        <stp>CB_BS_OTHER_NONCURRENT_ASSETS/1M</stp>
        <stp>FPR=2021Y</stp>
        <stp>FPT=A</stp>
        <stp>FA_ACT_EST_DATA=E, EST_SOURCE=BNS</stp>
        <stp>ACT_EST_MAPPING=PRECISE</stp>
        <stp>FS=MRC</stp>
        <stp>CURRENCY=USD</stp>
        <stp>XLFILL=b</stp>
        <tr r="AC169" s="2"/>
      </tp>
      <tp t="s">
        <v>#N/A Requesting Data...</v>
        <stp/>
        <stp>##V3_BQLV12</stp>
        <stp>[MODL_NOW_US1.xlsx]Single Period!R15C12</stp>
        <stp>SEG0000230992 Segment</stp>
        <stp>SALES_REV_TURN/1M</stp>
        <stp>FPR=2021Y</stp>
        <stp>FPT=A</stp>
        <stp>FA_ACT_EST_DATA=E, EST_SOURCE=WBL</stp>
        <stp>ACT_EST_MAPPING=PRECISE</stp>
        <stp>FS=MRC</stp>
        <stp>CURRENCY=USD</stp>
        <stp>XLFILL=b</stp>
        <tr r="L15" s="2"/>
      </tp>
      <tp t="s">
        <v>#N/A Requesting Data...</v>
        <stp/>
        <stp>##V3_BQLV12</stp>
        <stp>[MODL_NOW_US1.xlsx]Single Period!R75C12</stp>
        <stp>SEG0000230992 Segment</stp>
        <stp>SALES_REV_TURN/1M</stp>
        <stp>FPR=2021Y</stp>
        <stp>FPT=A</stp>
        <stp>FA_ACT_EST_DATA=E, EST_SOURCE=WBL</stp>
        <stp>ACT_EST_MAPPING=PRECISE</stp>
        <stp>FS=MRC</stp>
        <stp>CURRENCY=USD</stp>
        <stp>XLFILL=b</stp>
        <tr r="L75" s="2"/>
      </tp>
      <tp t="s">
        <v>#N/A Requesting Data...</v>
        <stp/>
        <stp>##V3_BQLV12</stp>
        <stp>[MODL_NOW_US1.xlsx]Single Period!R143C38</stp>
        <stp>NOW US Equity</stp>
        <stp>IS_SBC_ATTRIBUTABLE_TO_R_AND_D_PRETX/1M</stp>
        <stp>FPR=2021Y</stp>
        <stp>FPT=A</stp>
        <stp>FA_ACT_EST_DATA=E, EST_SOURCE=RWB</stp>
        <stp>ACT_EST_MAPPING=PRECISE</stp>
        <stp>FS=MRC</stp>
        <stp>CURRENCY=USD</stp>
        <stp>XLFILL=b</stp>
        <tr r="AL143" s="2"/>
      </tp>
      <tp t="s">
        <v>#N/A Requesting Data...</v>
        <stp/>
        <stp>##V3_BQLV12</stp>
        <stp>[MODL_NOW_US1.xlsx]Single Period!R200C38</stp>
        <stp>NOW US Equity</stp>
        <stp>CF_DEPR_AMORT/1M</stp>
        <stp>FPR=2021Y</stp>
        <stp>FPT=A</stp>
        <stp>FA_ACT_EST_DATA=E, EST_SOURCE=RWB</stp>
        <stp>ACT_EST_MAPPING=PRECISE</stp>
        <stp>FS=MRC</stp>
        <stp>CURRENCY=USD</stp>
        <stp>XLFILL=b</stp>
        <tr r="AL200" s="2"/>
      </tp>
      <tp t="s">
        <v>#N/A Requesting Data...</v>
        <stp/>
        <stp>##V3_BQLV12</stp>
        <stp>[MODL_NOW_US1.xlsx]Single Period!R101C23</stp>
        <stp>NOW US Equity</stp>
        <stp>CB_IS_OTHER_NON_OPER_INC_EXPN/1M</stp>
        <stp>FPR=2021Y</stp>
        <stp>FPT=A</stp>
        <stp>FA_ACT_EST_DATA=E, EST_SOURCE=ZXS</stp>
        <stp>ACT_EST_MAPPING=PRECISE</stp>
        <stp>FS=MRC</stp>
        <stp>CURRENCY=USD</stp>
        <stp>XLFILL=b</stp>
        <tr r="W101" s="2"/>
      </tp>
      <tp t="s">
        <v>#N/A Requesting Data...</v>
        <stp/>
        <stp>##V3_BQLV12</stp>
        <stp>[MODL_NOW_US1.xlsx]Single Period!R54C33</stp>
        <stp>NOW US Equity</stp>
        <stp>IS_FOREIGN_CURRENCY_TURNOVER/1M</stp>
        <stp>FPR=2021Y</stp>
        <stp>FPT=A</stp>
        <stp>FA_ACT_EST_DATA=E, EST_SOURCE=MAC</stp>
        <stp>ACT_EST_MAPPING=PRECISE</stp>
        <stp>FS=MRC</stp>
        <stp>CURRENCY=USD</stp>
        <stp>XLFILL=b</stp>
        <tr r="AG54" s="2"/>
      </tp>
      <tp t="s">
        <v>#N/A Requesting Data...</v>
        <stp/>
        <stp>##V3_BQLV12</stp>
        <stp>[MODL_NOW_US1.xlsx]Single Period!R14C14</stp>
        <stp>SEG0000230975 Segment</stp>
        <stp>SALES_REV_TURN/1M</stp>
        <stp>FPR=2021Y</stp>
        <stp>FPT=A</stp>
        <stp>FA_ACT_EST_DATA=E, EST_SOURCE=BMO</stp>
        <stp>ACT_EST_MAPPING=PRECISE</stp>
        <stp>FS=MRC</stp>
        <stp>CURRENCY=USD</stp>
        <stp>XLFILL=b</stp>
        <tr r="N14" s="2"/>
      </tp>
      <tp t="s">
        <v>#N/A Requesting Data...</v>
        <stp/>
        <stp>##V3_BQLV12</stp>
        <stp>[MODL_NOW_US1.xlsx]Single Period!R133C25</stp>
        <stp>NOW US Equity</stp>
        <stp>IS_SH_FOR_DILUTED_EPS/1M</stp>
        <stp>FPR=2021Y</stp>
        <stp>FPT=A</stp>
        <stp>FA_ACT_EST_DATA=E, EST_SOURCE=DBG</stp>
        <stp>ACT_EST_MAPPING=PRECISE</stp>
        <stp>FS=MRC</stp>
        <stp>CURRENCY=USD</stp>
        <stp>XLFILL=b</stp>
        <tr r="Y133" s="2"/>
      </tp>
      <tp t="s">
        <v>#N/A Requesting Data...</v>
        <stp/>
        <stp>##V3_BQLV12</stp>
        <stp>[MODL_NOW_US1.xlsx]Single Period!R58C20</stp>
        <stp>SEG0000230975 Segment</stp>
        <stp>SALES_REV_TURN/1M</stp>
        <stp>FPR=2021Y</stp>
        <stp>FPT=A</stp>
        <stp>FA_ACT_EST_DATA=E, EST_SOURCE=CAN</stp>
        <stp>ACT_EST_MAPPING=PRECISE</stp>
        <stp>FS=MRC</stp>
        <stp>CURRENCY=USD</stp>
        <stp>XLFILL=b</stp>
        <tr r="T58" s="2"/>
      </tp>
      <tp t="s">
        <v>#N/A Requesting Data...</v>
        <stp/>
        <stp>##V3_BQLV12</stp>
        <stp>[MODL_NOW_US1.xlsx]Single Period!R83C30</stp>
        <stp>NOW US Equity</stp>
        <stp>IS_ADJUSTED_COGS_AS_REPORTED/1M</stp>
        <stp>FPR=2021Y</stp>
        <stp>FPT=A</stp>
        <stp>FA_ACT_EST_DATA=E, EST_SOURCE=BAM</stp>
        <stp>ACT_EST_MAPPING=PRECISE</stp>
        <stp>FS=MRC</stp>
        <stp>CURRENCY=USD</stp>
        <stp>XLFILL=b</stp>
        <tr r="AD83" s="2"/>
      </tp>
      <tp t="s">
        <v>#N/A Requesting Data...</v>
        <stp/>
        <stp>##V3_BQLV12</stp>
        <stp>[MODL_NOW_US1.xlsx]Single Period!R58C30</stp>
        <stp>SEG0000230975 Segment</stp>
        <stp>SALES_REV_TURN/1M</stp>
        <stp>FPR=2021Y</stp>
        <stp>FPT=A</stp>
        <stp>FA_ACT_EST_DATA=E, EST_SOURCE=BAM</stp>
        <stp>ACT_EST_MAPPING=PRECISE</stp>
        <stp>FS=MRC</stp>
        <stp>CURRENCY=USD</stp>
        <stp>XLFILL=b</stp>
        <tr r="AD58" s="2"/>
      </tp>
      <tp t="s">
        <v>#N/A Requesting Data...</v>
        <stp/>
        <stp>##V3_BQLV12</stp>
        <stp>[MODL_NOW_US1.xlsx]Single Period!R54C16</stp>
        <stp>NOW US Equity</stp>
        <stp>IS_FOREIGN_CURRENCY_TURNOVER/1M</stp>
        <stp>FPR=2021Y</stp>
        <stp>FPT=A</stp>
        <stp>FA_ACT_EST_DATA=E, EST_SOURCE=BCA</stp>
        <stp>ACT_EST_MAPPING=PRECISE</stp>
        <stp>FS=MRC</stp>
        <stp>CURRENCY=USD</stp>
        <stp>XLFILL=b</stp>
        <tr r="P54" s="2"/>
      </tp>
      <tp t="s">
        <v>#N/A Requesting Data...</v>
        <stp/>
        <stp>##V3_BQLV12</stp>
        <stp>[MODL_NOW_US1.xlsx]Single Period!R102C43</stp>
        <stp>NOW US Equity</stp>
        <stp>IS_COMP_PTP_EX_STK_BASED_COMP/1M</stp>
        <stp>FPR=2021Y</stp>
        <stp>FPT=A</stp>
        <stp>FA_ACT_EST_DATA=E, EST_SOURCE=WFT</stp>
        <stp>ACT_EST_MAPPING=PRECISE</stp>
        <stp>FS=MRC</stp>
        <stp>CURRENCY=USD</stp>
        <stp>XLFILL=b</stp>
        <tr r="AQ102" s="2"/>
      </tp>
      <tp t="s">
        <v>#N/A Requesting Data...</v>
        <stp/>
        <stp>##V3_BQLV12</stp>
        <stp>[MODL_NOW_US1.xlsx]Single Period!R207C45</stp>
        <stp>NOW US Equity</stp>
        <stp>CB_CF_CHANGE_IN_ACCOUNTS_RECEIVABLE/1M</stp>
        <stp>FPR=2021Y</stp>
        <stp>FPT=A</stp>
        <stp>FA_ACT_EST_DATA=E, EST_SOURCE=PJE</stp>
        <stp>ACT_EST_MAPPING=PRECISE</stp>
        <stp>FS=MRC</stp>
        <stp>CURRENCY=USD</stp>
        <stp>XLFILL=b</stp>
        <tr r="AS207" s="2"/>
      </tp>
      <tp t="s">
        <v>#N/A Requesting Data...</v>
        <stp/>
        <stp>##V3_BQLV12</stp>
        <stp>[MODL_NOW_US1.xlsx]Single Period!R14C21</stp>
        <stp>SEG0000230975 Segment</stp>
        <stp>SALES_REV_TURN/1M</stp>
        <stp>FPR=2021Y</stp>
        <stp>FPT=A</stp>
        <stp>FA_ACT_EST_DATA=E, EST_SOURCE=JMP</stp>
        <stp>ACT_EST_MAPPING=PRECISE</stp>
        <stp>FS=MRC</stp>
        <stp>CURRENCY=USD</stp>
        <stp>XLFILL=b</stp>
        <tr r="U14" s="2"/>
      </tp>
      <tp t="s">
        <v>#N/A Requesting Data...</v>
        <stp/>
        <stp>##V3_BQLV12</stp>
        <stp>[MODL_NOW_US1.xlsx]Single Period!R69C23</stp>
        <stp>SEG0000230986 Segment</stp>
        <stp>IS_ADJ_GROSS_PROFIT_AS_REPORTED/1M</stp>
        <stp>FPR=2021Y</stp>
        <stp>FPT=A</stp>
        <stp>FA_ACT_EST_DATA=E, EST_SOURCE=ZXS</stp>
        <stp>ACT_EST_MAPPING=PRECISE</stp>
        <stp>FS=MRC</stp>
        <stp>CURRENCY=USD</stp>
        <stp>XLFILL=b</stp>
        <tr r="W69" s="2"/>
      </tp>
      <tp t="s">
        <v>#N/A Requesting Data...</v>
        <stp/>
        <stp>##V3_BQLV12</stp>
        <stp>[MODL_NOW_US1.xlsx]Single Period!R20C43</stp>
        <stp>SEG0000230986 Segment</stp>
        <stp>SALES_REV_TURN/1M</stp>
        <stp>FPR=2021Y</stp>
        <stp>FPT=A</stp>
        <stp>FA_ACT_EST_DATA=E, EST_SOURCE=WFT</stp>
        <stp>ACT_EST_MAPPING=PRECISE</stp>
        <stp>FS=MRC</stp>
        <stp>CURRENCY=USD</stp>
        <stp>XLFILL=b</stp>
        <tr r="AQ20" s="2"/>
      </tp>
      <tp t="s">
        <v>#N/A Requesting Data...</v>
        <stp/>
        <stp>##V3_BQLV12</stp>
        <stp>[MODL_NOW_US1.xlsx]Single Period!R150C12</stp>
        <stp>NOW US Equity</stp>
        <stp>IS_INC_TAX_EFFECT_NONGAAP_REC/1M</stp>
        <stp>FPR=2021Y</stp>
        <stp>FPT=A</stp>
        <stp>FA_ACT_EST_DATA=E, EST_SOURCE=WBL</stp>
        <stp>ACT_EST_MAPPING=PRECISE</stp>
        <stp>FS=MRC</stp>
        <stp>CURRENCY=USD</stp>
        <stp>XLFILL=b</stp>
        <tr r="L150" s="2"/>
      </tp>
      <tp t="s">
        <v>#N/A Requesting Data...</v>
        <stp/>
        <stp>##V3_BQLV12</stp>
        <stp>[MODL_NOW_US1.xlsx]Single Period!R75C26</stp>
        <stp>SEG0000230992 Segment</stp>
        <stp>SALES_REV_TURN/1M</stp>
        <stp>FPR=2021Y</stp>
        <stp>FPT=A</stp>
        <stp>FA_ACT_EST_DATA=E, EST_SOURCE=UBS</stp>
        <stp>ACT_EST_MAPPING=PRECISE</stp>
        <stp>FS=MRC</stp>
        <stp>CURRENCY=USD</stp>
        <stp>XLFILL=b</stp>
        <tr r="Z75" s="2"/>
      </tp>
      <tp t="s">
        <v>#N/A Requesting Data...</v>
        <stp/>
        <stp>##V3_BQLV12</stp>
        <stp>[MODL_NOW_US1.xlsx]Single Period!R15C26</stp>
        <stp>SEG0000230992 Segment</stp>
        <stp>SALES_REV_TURN/1M</stp>
        <stp>FPR=2021Y</stp>
        <stp>FPT=A</stp>
        <stp>FA_ACT_EST_DATA=E, EST_SOURCE=UBS</stp>
        <stp>ACT_EST_MAPPING=PRECISE</stp>
        <stp>FS=MRC</stp>
        <stp>CURRENCY=USD</stp>
        <stp>XLFILL=b</stp>
        <tr r="Z15" s="2"/>
      </tp>
      <tp t="s">
        <v>#N/A Requesting Data...</v>
        <stp/>
        <stp>##V3_BQLV12</stp>
        <stp>[MODL_NOW_US1.xlsx]Single Period!R83C43</stp>
        <stp>NOW US Equity</stp>
        <stp>IS_ADJUSTED_COGS_AS_REPORTED/1M</stp>
        <stp>FPR=2021Y</stp>
        <stp>FPT=A</stp>
        <stp>FA_ACT_EST_DATA=E, EST_SOURCE=WFT</stp>
        <stp>ACT_EST_MAPPING=PRECISE</stp>
        <stp>FS=MRC</stp>
        <stp>CURRENCY=USD</stp>
        <stp>XLFILL=b</stp>
        <tr r="AQ83" s="2"/>
      </tp>
      <tp t="s">
        <v>#N/A Requesting Data...</v>
        <stp/>
        <stp>##V3_BQLV12</stp>
        <stp>[MODL_NOW_US1.xlsx]Single Period!R102C27</stp>
        <stp>NOW US Equity</stp>
        <stp>IS_COMP_PTP_EX_STK_BASED_COMP/1M</stp>
        <stp>FPR=2021Y</stp>
        <stp>FPT=A</stp>
        <stp>FA_ACT_EST_DATA=E, EST_SOURCE=RBC</stp>
        <stp>ACT_EST_MAPPING=PRECISE</stp>
        <stp>FS=MRC</stp>
        <stp>CURRENCY=USD</stp>
        <stp>XLFILL=b</stp>
        <tr r="AA102" s="2"/>
      </tp>
      <tp t="s">
        <v>#N/A Requesting Data...</v>
        <stp/>
        <stp>##V3_BQLV12</stp>
        <stp>[MODL_NOW_US1.xlsx]Single Period!R131C21</stp>
        <stp>NOW US Equity</stp>
        <stp>IS_AVG_NUM_SH_FOR_EPS/1M</stp>
        <stp>FPR=2021Y</stp>
        <stp>FPT=A</stp>
        <stp>FA_ACT_EST_DATA=E, EST_SOURCE=JMP</stp>
        <stp>ACT_EST_MAPPING=PRECISE</stp>
        <stp>FS=MRC</stp>
        <stp>CURRENCY=USD</stp>
        <stp>XLFILL=b</stp>
        <tr r="U131" s="2"/>
      </tp>
      <tp t="s">
        <v>#N/A Requesting Data...</v>
        <stp/>
        <stp>##V3_BQLV12</stp>
        <stp>[MODL_NOW_US1.xlsx]Single Period!R143C28</stp>
        <stp>NOW US Equity</stp>
        <stp>IS_SBC_ATTRIBUTABLE_TO_R_AND_D_PRETX/1M</stp>
        <stp>FPR=2021Y</stp>
        <stp>FPT=A</stp>
        <stp>FA_ACT_EST_DATA=E, EST_SOURCE=EVR</stp>
        <stp>ACT_EST_MAPPING=PRECISE</stp>
        <stp>FS=MRC</stp>
        <stp>CURRENCY=USD</stp>
        <stp>XLFILL=b</stp>
        <tr r="AB143" s="2"/>
      </tp>
      <tp t="s">
        <v>#N/A Requesting Data...</v>
        <stp/>
        <stp>##V3_BQLV12</stp>
        <stp>[MODL_NOW_US1.xlsx]Single Period!R133C29</stp>
        <stp>NOW US Equity</stp>
        <stp>IS_SH_FOR_DILUTED_EPS/1M</stp>
        <stp>FPR=2021Y</stp>
        <stp>FPT=A</stp>
        <stp>FA_ACT_EST_DATA=E, EST_SOURCE=BNS</stp>
        <stp>ACT_EST_MAPPING=PRECISE</stp>
        <stp>FS=MRC</stp>
        <stp>CURRENCY=USD</stp>
        <stp>XLFILL=b</stp>
        <tr r="AC133" s="2"/>
      </tp>
      <tp t="s">
        <v>#N/A Requesting Data...</v>
        <stp/>
        <stp>##V3_BQLV12</stp>
        <stp>[MODL_NOW_US1.xlsx]Single Period!R150C32</stp>
        <stp>NOW US Equity</stp>
        <stp>IS_INC_TAX_EFFECT_NONGAAP_REC/1M</stp>
        <stp>FPR=2021Y</stp>
        <stp>FPT=A</stp>
        <stp>FA_ACT_EST_DATA=E, EST_SOURCE=FBC</stp>
        <stp>ACT_EST_MAPPING=PRECISE</stp>
        <stp>FS=MRC</stp>
        <stp>CURRENCY=USD</stp>
        <stp>XLFILL=b</stp>
        <tr r="AF150" s="2"/>
      </tp>
      <tp t="s">
        <v>#N/A Requesting Data...</v>
        <stp/>
        <stp>##V3_BQLV12</stp>
        <stp>[MODL_NOW_US1.xlsx]Single Period!R102C16</stp>
        <stp>NOW US Equity</stp>
        <stp>IS_COMP_PTP_EX_STK_BASED_COMP/1M</stp>
        <stp>FPR=2021Y</stp>
        <stp>FPT=A</stp>
        <stp>FA_ACT_EST_DATA=E, EST_SOURCE=BCA</stp>
        <stp>ACT_EST_MAPPING=PRECISE</stp>
        <stp>FS=MRC</stp>
        <stp>CURRENCY=USD</stp>
        <stp>XLFILL=b</stp>
        <tr r="P102" s="2"/>
      </tp>
      <tp t="s">
        <v>#N/A Requesting Data...</v>
        <stp/>
        <stp>##V3_BQLV12</stp>
        <stp>[MODL_NOW_US1.xlsx]Single Period!R169C25</stp>
        <stp>NOW US Equity</stp>
        <stp>CB_BS_OTHER_NONCURRENT_ASSETS/1M</stp>
        <stp>FPR=2021Y</stp>
        <stp>FPT=A</stp>
        <stp>FA_ACT_EST_DATA=E, EST_SOURCE=DBG</stp>
        <stp>ACT_EST_MAPPING=PRECISE</stp>
        <stp>FS=MRC</stp>
        <stp>CURRENCY=USD</stp>
        <stp>XLFILL=b</stp>
        <tr r="Y169" s="2"/>
      </tp>
      <tp t="s">
        <v>#N/A Requesting Data...</v>
        <stp/>
        <stp>##V3_BQLV12</stp>
        <stp>[MODL_NOW_US1.xlsx]Single Period!R16C29</stp>
        <stp>SEG0000230969 Segment</stp>
        <stp>SALES_REV_TURN/1M</stp>
        <stp>FPR=2021Y</stp>
        <stp>FPT=A</stp>
        <stp>FA_ACT_EST_DATA=E, EST_SOURCE=BNS</stp>
        <stp>ACT_EST_MAPPING=PRECISE</stp>
        <stp>FS=MRC</stp>
        <stp>CURRENCY=USD</stp>
        <stp>XLFILL=b</stp>
        <tr r="AC16" s="2"/>
      </tp>
      <tp t="s">
        <v>#N/A Requesting Data...</v>
        <stp/>
        <stp>##V3_BQLV12</stp>
        <stp>[MODL_NOW_US1.xlsx]Single Period!R16C18</stp>
        <stp>SEG0000230969 Segment</stp>
        <stp>SALES_REV_TURN/1M</stp>
        <stp>FPR=2021Y</stp>
        <stp>FPT=A</stp>
        <stp>FA_ACT_EST_DATA=E, EST_SOURCE=SNR</stp>
        <stp>ACT_EST_MAPPING=PRECISE</stp>
        <stp>FS=MRC</stp>
        <stp>CURRENCY=USD</stp>
        <stp>XLFILL=b</stp>
        <tr r="R16" s="2"/>
      </tp>
      <tp t="s">
        <v>#N/A Requesting Data...</v>
        <stp/>
        <stp>##V3_BQLV12</stp>
        <stp>[MODL_NOW_US1.xlsx]Single Period!R54C43</stp>
        <stp>NOW US Equity</stp>
        <stp>IS_FOREIGN_CURRENCY_TURNOVER/1M</stp>
        <stp>FPR=2021Y</stp>
        <stp>FPT=A</stp>
        <stp>FA_ACT_EST_DATA=E, EST_SOURCE=WFT</stp>
        <stp>ACT_EST_MAPPING=PRECISE</stp>
        <stp>FS=MRC</stp>
        <stp>CURRENCY=USD</stp>
        <stp>XLFILL=b</stp>
        <tr r="AQ54" s="2"/>
      </tp>
      <tp t="s">
        <v>#N/A Requesting Data...</v>
        <stp/>
        <stp>##V3_BQLV12</stp>
        <stp>[MODL_NOW_US1.xlsx]Single Period!R85C21</stp>
        <stp>NOW US Equity</stp>
        <stp>IS_COMP_GROSS_MARGIN_PERCENTAGE</stp>
        <stp>FPR=2021Y</stp>
        <stp>FPT=A</stp>
        <stp>FA_ACT_EST_DATA=E, EST_SOURCE=JMP</stp>
        <stp>ACT_EST_MAPPING=PRECISE</stp>
        <stp>FS=MRC</stp>
        <stp>CURRENCY=USD</stp>
        <stp>XLFILL=b</stp>
        <tr r="U85" s="2"/>
      </tp>
      <tp t="s">
        <v>#N/A Requesting Data...</v>
        <stp/>
        <stp>##V3_BQLV12</stp>
        <stp>[MODL_NOW_US1.xlsx]Single Period!R25C18</stp>
        <stp>NOW US Equity</stp>
        <stp>IS_COMP_GROSS_MARGIN_PERCENTAGE</stp>
        <stp>FPR=2021Y</stp>
        <stp>FPT=A</stp>
        <stp>FA_ACT_EST_DATA=E, EST_SOURCE=SNR</stp>
        <stp>ACT_EST_MAPPING=PRECISE</stp>
        <stp>FS=MRC</stp>
        <stp>CURRENCY=USD</stp>
        <stp>XLFILL=b</stp>
        <tr r="R25" s="2"/>
      </tp>
      <tp t="s">
        <v>#N/A Requesting Data...</v>
        <stp/>
        <stp>##V3_BQLV12</stp>
        <stp>[MODL_NOW_US1.xlsx]Single Period!R25C21</stp>
        <stp>NOW US Equity</stp>
        <stp>IS_COMP_GROSS_MARGIN_PERCENTAGE</stp>
        <stp>FPR=2021Y</stp>
        <stp>FPT=A</stp>
        <stp>FA_ACT_EST_DATA=E, EST_SOURCE=JMP</stp>
        <stp>ACT_EST_MAPPING=PRECISE</stp>
        <stp>FS=MRC</stp>
        <stp>CURRENCY=USD</stp>
        <stp>XLFILL=b</stp>
        <tr r="U25" s="2"/>
      </tp>
      <tp t="s">
        <v>#N/A Requesting Data...</v>
        <stp/>
        <stp>##V3_BQLV12</stp>
        <stp>[MODL_NOW_US1.xlsx]Single Period!R85C18</stp>
        <stp>NOW US Equity</stp>
        <stp>IS_COMP_GROSS_MARGIN_PERCENTAGE</stp>
        <stp>FPR=2021Y</stp>
        <stp>FPT=A</stp>
        <stp>FA_ACT_EST_DATA=E, EST_SOURCE=SNR</stp>
        <stp>ACT_EST_MAPPING=PRECISE</stp>
        <stp>FS=MRC</stp>
        <stp>CURRENCY=USD</stp>
        <stp>XLFILL=b</stp>
        <tr r="R85" s="2"/>
      </tp>
      <tp t="s">
        <v>#N/A Requesting Data...</v>
        <stp/>
        <stp>##V3_BQLV12</stp>
        <stp>[MODL_NOW_US1.xlsx]Single Period!R134C49</stp>
        <stp>NOW US Equity</stp>
        <stp>IS_COMP_EPS_GAAP</stp>
        <stp>FPR=2021Y</stp>
        <stp>FPT=A</stp>
        <stp>FA_ACT_EST_DATA=E, EST_SOURCE=SCB</stp>
        <stp>ACT_EST_MAPPING=PRECISE</stp>
        <stp>FS=MRC</stp>
        <stp>CURRENCY=USD</stp>
        <stp>XLFILL=b</stp>
        <tr r="AW134" s="2"/>
      </tp>
      <tp t="s">
        <v>#N/A Requesting Data...</v>
        <stp/>
        <stp>##V3_BQLV12</stp>
        <stp>[MODL_NOW_US1.xlsx]Single Period!R62C19</stp>
        <stp>SEG0000230975 Segment</stp>
        <stp>IS_ADJ_GROSS_MARGIN_PCT_AR</stp>
        <stp>FPR=2021Y</stp>
        <stp>FPT=A</stp>
        <stp>FA_ACT_EST_DATA=E, EST_SOURCE=MSV</stp>
        <stp>ACT_EST_MAPPING=PRECISE</stp>
        <stp>FS=MRC</stp>
        <stp>CURRENCY=USD</stp>
        <stp>XLFILL=b</stp>
        <tr r="S62" s="2"/>
      </tp>
      <tp t="s">
        <v>#N/A Requesting Data...</v>
        <stp/>
        <stp>##V3_BQLV12</stp>
        <stp>[MODL_NOW_US1.xlsx]Single Period!R18C19</stp>
        <stp>SEG0000230975 Segment</stp>
        <stp>IS_ADJ_GROSS_MARGIN_PCT_AR</stp>
        <stp>FPR=2021Y</stp>
        <stp>FPT=A</stp>
        <stp>FA_ACT_EST_DATA=E, EST_SOURCE=MSV</stp>
        <stp>ACT_EST_MAPPING=PRECISE</stp>
        <stp>FS=MRC</stp>
        <stp>CURRENCY=USD</stp>
        <stp>XLFILL=b</stp>
        <tr r="S18" s="2"/>
      </tp>
      <tp t="s">
        <v>#N/A Requesting Data...</v>
        <stp/>
        <stp>##V3_BQLV12</stp>
        <stp>[MODL_NOW_US1.xlsx]Single Period!R18C35</stp>
        <stp>SEG0000230975 Segment</stp>
        <stp>IS_ADJ_GROSS_MARGIN_PCT_AR</stp>
        <stp>FPR=2021Y</stp>
        <stp>FPT=A</stp>
        <stp>FA_ACT_EST_DATA=E, EST_SOURCE=MSR</stp>
        <stp>ACT_EST_MAPPING=PRECISE</stp>
        <stp>FS=MRC</stp>
        <stp>CURRENCY=USD</stp>
        <stp>XLFILL=b</stp>
        <tr r="AI18" s="2"/>
      </tp>
      <tp t="s">
        <v>#N/A Requesting Data...</v>
        <stp/>
        <stp>##V3_BQLV12</stp>
        <stp>[MODL_NOW_US1.xlsx]Single Period!R62C31</stp>
        <stp>SEG0000230975 Segment</stp>
        <stp>IS_ADJ_GROSS_MARGIN_PCT_AR</stp>
        <stp>FPR=2021Y</stp>
        <stp>FPT=A</stp>
        <stp>FA_ACT_EST_DATA=E, EST_SOURCE=GSR</stp>
        <stp>ACT_EST_MAPPING=PRECISE</stp>
        <stp>FS=MRC</stp>
        <stp>CURRENCY=USD</stp>
        <stp>XLFILL=b</stp>
        <tr r="AE62" s="2"/>
      </tp>
      <tp t="s">
        <v>#N/A Requesting Data...</v>
        <stp/>
        <stp>##V3_BQLV12</stp>
        <stp>[MODL_NOW_US1.xlsx]Single Period!R18C31</stp>
        <stp>SEG0000230975 Segment</stp>
        <stp>IS_ADJ_GROSS_MARGIN_PCT_AR</stp>
        <stp>FPR=2021Y</stp>
        <stp>FPT=A</stp>
        <stp>FA_ACT_EST_DATA=E, EST_SOURCE=GSR</stp>
        <stp>ACT_EST_MAPPING=PRECISE</stp>
        <stp>FS=MRC</stp>
        <stp>CURRENCY=USD</stp>
        <stp>XLFILL=b</stp>
        <tr r="AE18" s="2"/>
      </tp>
      <tp t="s">
        <v>#N/A Requesting Data...</v>
        <stp/>
        <stp>##V3_BQLV12</stp>
        <stp>[MODL_NOW_US1.xlsx]Single Period!R62C35</stp>
        <stp>SEG0000230975 Segment</stp>
        <stp>IS_ADJ_GROSS_MARGIN_PCT_AR</stp>
        <stp>FPR=2021Y</stp>
        <stp>FPT=A</stp>
        <stp>FA_ACT_EST_DATA=E, EST_SOURCE=MSR</stp>
        <stp>ACT_EST_MAPPING=PRECISE</stp>
        <stp>FS=MRC</stp>
        <stp>CURRENCY=USD</stp>
        <stp>XLFILL=b</stp>
        <tr r="AI62" s="2"/>
      </tp>
      <tp t="s">
        <v>#N/A Requesting Data...</v>
        <stp/>
        <stp>##V3_BQLV12</stp>
        <stp>[MODL_NOW_US1.xlsx]Single Period!R40C28</stp>
        <stp>NOW US Equity</stp>
        <stp>BILLNG_AMOUNT_GROWTH_PCT</stp>
        <stp>FPR=2021Y</stp>
        <stp>FPT=A</stp>
        <stp>FA_ACT_EST_DATA=E, EST_SOURCE=EVR</stp>
        <stp>ACT_EST_MAPPING=PRECISE</stp>
        <stp>FS=MRC</stp>
        <stp>CURRENCY=USD</stp>
        <stp>XLFILL=b</stp>
        <tr r="AB40" s="2"/>
      </tp>
      <tp t="s">
        <v>#N/A Requesting Data...</v>
        <stp/>
        <stp>##V3_BQLV12</stp>
        <stp>[MODL_NOW_US1.xlsx]Single Period!R10C23</stp>
        <stp>NOW US Equity</stp>
        <stp>BILLNG_AMOUNT_GROWTH_PCT</stp>
        <stp>FPR=2021Y</stp>
        <stp>FPT=A</stp>
        <stp>FA_ACT_EST_DATA=E, EST_SOURCE=ZXS</stp>
        <stp>ACT_EST_MAPPING=PRECISE</stp>
        <stp>FS=MRC</stp>
        <stp>CURRENCY=USD</stp>
        <stp>XLFILL=b</stp>
        <tr r="W10" s="2"/>
      </tp>
      <tp t="s">
        <v>#N/A Requesting Data...</v>
        <stp/>
        <stp>##V3_BQLV12</stp>
        <stp>[MODL_NOW_US1.xlsx]Single Period!R156C15</stp>
        <stp>NOW US Equity</stp>
        <stp>BS_CASH_NEAR_CASH_ITEM/1M</stp>
        <stp>FPR=2021Y</stp>
        <stp>FPT=A</stp>
        <stp>FA_ACT_EST_DATA=E, EST_SOURCE=OPY</stp>
        <stp>ACT_EST_MAPPING=PRECISE</stp>
        <stp>FS=MRC</stp>
        <stp>CURRENCY=USD</stp>
        <stp>XLFILL=b</stp>
        <tr r="O156" s="2"/>
      </tp>
      <tp t="s">
        <v>#N/A Requesting Data...</v>
        <stp/>
        <stp>##V3_BQLV12</stp>
        <stp>[MODL_NOW_US1.xlsx]Single Period!R64C26</stp>
        <stp>SEG0000230975 Segment</stp>
        <stp>CB_IS_GROSS_MARGIN</stp>
        <stp>FPR=2021Y</stp>
        <stp>FPT=A</stp>
        <stp>FA_ACT_EST_DATA=E, EST_SOURCE=UBS</stp>
        <stp>ACT_EST_MAPPING=PRECISE</stp>
        <stp>FS=MRC</stp>
        <stp>CURRENCY=USD</stp>
        <stp>XLFILL=b</stp>
        <tr r="Z64" s="2"/>
      </tp>
      <tp t="s">
        <v>#N/A Requesting Data...</v>
        <stp/>
        <stp>##V3_BQLV12</stp>
        <stp>[MODL_NOW_US1.xlsx]Single Period!R54C9</stp>
        <stp>NOW US Equity</stp>
        <stp>CONTRIBUTOR_STATS(IS_FOREIGN_CURRENCY_TURNOVER, MEDIAN)/1M</stp>
        <stp>FPR=2021Y</stp>
        <stp>FPT=A</stp>
        <stp>FA_ACT_EST_DATA=E</stp>
        <stp>ACT_EST_MAPPING=PRECISE</stp>
        <stp>FS=MRC</stp>
        <stp>CURRENCY=USD</stp>
        <stp>XLFILL=b</stp>
        <tr r="I54" s="2"/>
      </tp>
      <tp t="s">
        <v>#N/A Requesting Data...</v>
        <stp/>
        <stp>##V3_BQLV12</stp>
        <stp>[MODL_NOW_US1.xlsx]Single Period!R22C15</stp>
        <stp>SEG0000230986 Segment</stp>
        <stp>IS_ADJ_GROSS_MARGIN_PCT_AR</stp>
        <stp>FPR=2021Y</stp>
        <stp>FPT=A</stp>
        <stp>FA_ACT_EST_DATA=E, EST_SOURCE=OPY</stp>
        <stp>ACT_EST_MAPPING=PRECISE</stp>
        <stp>FS=MRC</stp>
        <stp>CURRENCY=USD</stp>
        <stp>XLFILL=b</stp>
        <tr r="O22" s="2"/>
      </tp>
      <tp t="s">
        <v>#N/A Requesting Data...</v>
        <stp/>
        <stp>##V3_BQLV12</stp>
        <stp>[MODL_NOW_US1.xlsx]Single Period!R70C15</stp>
        <stp>SEG0000230986 Segment</stp>
        <stp>IS_ADJ_GROSS_MARGIN_PCT_AR</stp>
        <stp>FPR=2021Y</stp>
        <stp>FPT=A</stp>
        <stp>FA_ACT_EST_DATA=E, EST_SOURCE=OPY</stp>
        <stp>ACT_EST_MAPPING=PRECISE</stp>
        <stp>FS=MRC</stp>
        <stp>CURRENCY=USD</stp>
        <stp>XLFILL=b</stp>
        <tr r="O70" s="2"/>
      </tp>
      <tp t="s">
        <v>#N/A Requesting Data...</v>
        <stp/>
        <stp>##V3_BQLV12</stp>
        <stp>[MODL_NOW_US1.xlsx]Single Period!R232C26</stp>
        <stp>NOW US Equity</stp>
        <stp>CF_CASH_AND_CASH_EQUIV_BEG_BAL/1M</stp>
        <stp>FPR=2021Y</stp>
        <stp>FPT=A</stp>
        <stp>FA_ACT_EST_DATA=E, EST_SOURCE=UBS</stp>
        <stp>ACT_EST_MAPPING=PRECISE</stp>
        <stp>FS=MRC</stp>
        <stp>CURRENCY=USD</stp>
        <stp>XLFILL=b</stp>
        <tr r="Z232" s="2"/>
      </tp>
      <tp t="s">
        <v>#N/A Requesting Data...</v>
        <stp/>
        <stp>##V3_BQLV12</stp>
        <stp>[MODL_NOW_US1.xlsx]Single Period!R232C12</stp>
        <stp>NOW US Equity</stp>
        <stp>CF_CASH_AND_CASH_EQUIV_BEG_BAL/1M</stp>
        <stp>FPR=2021Y</stp>
        <stp>FPT=A</stp>
        <stp>FA_ACT_EST_DATA=E, EST_SOURCE=WBL</stp>
        <stp>ACT_EST_MAPPING=PRECISE</stp>
        <stp>FS=MRC</stp>
        <stp>CURRENCY=USD</stp>
        <stp>XLFILL=b</stp>
        <tr r="L232" s="2"/>
      </tp>
      <tp t="s">
        <v>#N/A Requesting Data...</v>
        <stp/>
        <stp>##V3_BQLV12</stp>
        <stp>[MODL_NOW_US1.xlsx]Single Period!R128C48</stp>
        <stp>NOW US Equity</stp>
        <stp>IS_INC_TAX_EXP/1M</stp>
        <stp>FPR=2021Y</stp>
        <stp>FPT=A</stp>
        <stp>FA_ACT_EST_DATA=E, EST_SOURCE=CRC</stp>
        <stp>ACT_EST_MAPPING=PRECISE</stp>
        <stp>FS=MRC</stp>
        <stp>CURRENCY=USD</stp>
        <stp>XLFILL=b</stp>
        <tr r="AV128" s="2"/>
      </tp>
      <tp t="s">
        <v>#N/A Requesting Data...</v>
        <stp/>
        <stp>##V3_BQLV12</stp>
        <stp>[MODL_NOW_US1.xlsx]Single Period!R18C34</stp>
        <stp>SEG0000230975 Segment</stp>
        <stp>IS_ADJ_GROSS_MARGIN_PCT_AR</stp>
        <stp>FPR=2021Y</stp>
        <stp>FPT=A</stp>
        <stp>FA_ACT_EST_DATA=E, EST_SOURCE=PSG</stp>
        <stp>ACT_EST_MAPPING=PRECISE</stp>
        <stp>FS=MRC</stp>
        <stp>CURRENCY=USD</stp>
        <stp>XLFILL=b</stp>
        <tr r="AH18" s="2"/>
      </tp>
      <tp t="s">
        <v>#N/A Requesting Data...</v>
        <stp/>
        <stp>##V3_BQLV12</stp>
        <stp>[MODL_NOW_US1.xlsx]Single Period!R62C34</stp>
        <stp>SEG0000230975 Segment</stp>
        <stp>IS_ADJ_GROSS_MARGIN_PCT_AR</stp>
        <stp>FPR=2021Y</stp>
        <stp>FPT=A</stp>
        <stp>FA_ACT_EST_DATA=E, EST_SOURCE=PSG</stp>
        <stp>ACT_EST_MAPPING=PRECISE</stp>
        <stp>FS=MRC</stp>
        <stp>CURRENCY=USD</stp>
        <stp>XLFILL=b</stp>
        <tr r="AH62" s="2"/>
      </tp>
      <tp t="s">
        <v>#N/A Requesting Data...</v>
        <stp/>
        <stp>##V3_BQLV12</stp>
        <stp>[MODL_NOW_US1.xlsx]Single Period!R226C45</stp>
        <stp>NOW US Equity</stp>
        <stp>CF_OTHER_FINANCING_ACT_EXCL_FX/1M</stp>
        <stp>FPR=2021Y</stp>
        <stp>FPT=A</stp>
        <stp>FA_ACT_EST_DATA=E, EST_SOURCE=PJE</stp>
        <stp>ACT_EST_MAPPING=PRECISE</stp>
        <stp>FS=MRC</stp>
        <stp>CURRENCY=USD</stp>
        <stp>XLFILL=b</stp>
        <tr r="AS226" s="2"/>
      </tp>
      <tp t="s">
        <v>#N/A Requesting Data...</v>
        <stp/>
        <stp>##V3_BQLV12</stp>
        <stp>[MODL_NOW_US1.xlsx]Single Period!R128C41</stp>
        <stp>NOW US Equity</stp>
        <stp>IS_INC_TAX_EXP/1M</stp>
        <stp>FPR=2021Y</stp>
        <stp>FPT=A</stp>
        <stp>FA_ACT_EST_DATA=E, EST_SOURCE=ARG</stp>
        <stp>ACT_EST_MAPPING=PRECISE</stp>
        <stp>FS=MRC</stp>
        <stp>CURRENCY=USD</stp>
        <stp>XLFILL=b</stp>
        <tr r="AO128" s="2"/>
      </tp>
      <tp t="s">
        <v>#N/A Requesting Data...</v>
        <stp/>
        <stp>##V3_BQLV12</stp>
        <stp>[MODL_NOW_US1.xlsx]Single Period!R64C12</stp>
        <stp>SEG0000230975 Segment</stp>
        <stp>CB_IS_GROSS_MARGIN</stp>
        <stp>FPR=2021Y</stp>
        <stp>FPT=A</stp>
        <stp>FA_ACT_EST_DATA=E, EST_SOURCE=WBL</stp>
        <stp>ACT_EST_MAPPING=PRECISE</stp>
        <stp>FS=MRC</stp>
        <stp>CURRENCY=USD</stp>
        <stp>XLFILL=b</stp>
        <tr r="L64" s="2"/>
      </tp>
      <tp t="s">
        <v>#N/A Requesting Data...</v>
        <stp/>
        <stp>##V3_BQLV12</stp>
        <stp>[MODL_NOW_US1.xlsx]Single Period!R128C44</stp>
        <stp>NOW US Equity</stp>
        <stp>IS_INC_TAX_EXP/1M</stp>
        <stp>FPR=2021Y</stp>
        <stp>FPT=A</stp>
        <stp>FA_ACT_EST_DATA=E, EST_SOURCE=ARE</stp>
        <stp>ACT_EST_MAPPING=PRECISE</stp>
        <stp>FS=MRC</stp>
        <stp>CURRENCY=USD</stp>
        <stp>XLFILL=b</stp>
        <tr r="AR128" s="2"/>
      </tp>
      <tp t="s">
        <v>#N/A Requesting Data...</v>
        <stp/>
        <stp>##V3_BQLV12</stp>
        <stp>[MODL_NOW_US1.xlsx]Single Period!R64C27</stp>
        <stp>SEG0000230975 Segment</stp>
        <stp>CB_IS_GROSS_MARGIN</stp>
        <stp>FPR=2021Y</stp>
        <stp>FPT=A</stp>
        <stp>FA_ACT_EST_DATA=E, EST_SOURCE=RBC</stp>
        <stp>ACT_EST_MAPPING=PRECISE</stp>
        <stp>FS=MRC</stp>
        <stp>CURRENCY=USD</stp>
        <stp>XLFILL=b</stp>
        <tr r="AA64" s="2"/>
      </tp>
      <tp t="s">
        <v>#N/A Requesting Data...</v>
        <stp/>
        <stp>##V3_BQLV12</stp>
        <stp>[MODL_NOW_US1.xlsx]Single Period!R70C11</stp>
        <stp>SEG0000230986 Segment</stp>
        <stp>IS_ADJ_GROSS_MARGIN_PCT_AR</stp>
        <stp>FPR=2021Y</stp>
        <stp>FPT=A</stp>
        <stp>FA_ACT_EST_DATA=E, EST_SOURCE=JPM</stp>
        <stp>ACT_EST_MAPPING=PRECISE</stp>
        <stp>FS=MRC</stp>
        <stp>CURRENCY=USD</stp>
        <stp>XLFILL=b</stp>
        <tr r="K70" s="2"/>
      </tp>
      <tp t="s">
        <v>#N/A Requesting Data...</v>
        <stp/>
        <stp>##V3_BQLV12</stp>
        <stp>[MODL_NOW_US1.xlsx]Single Period!R22C11</stp>
        <stp>SEG0000230986 Segment</stp>
        <stp>IS_ADJ_GROSS_MARGIN_PCT_AR</stp>
        <stp>FPR=2021Y</stp>
        <stp>FPT=A</stp>
        <stp>FA_ACT_EST_DATA=E, EST_SOURCE=JPM</stp>
        <stp>ACT_EST_MAPPING=PRECISE</stp>
        <stp>FS=MRC</stp>
        <stp>CURRENCY=USD</stp>
        <stp>XLFILL=b</stp>
        <tr r="K22" s="2"/>
      </tp>
      <tp t="s">
        <v>#N/A Requesting Data...</v>
        <stp/>
        <stp>##V3_BQLV12</stp>
        <stp>[MODL_NOW_US1.xlsx]Single Period!R232C25</stp>
        <stp>NOW US Equity</stp>
        <stp>CF_CASH_AND_CASH_EQUIV_BEG_BAL/1M</stp>
        <stp>FPR=2021Y</stp>
        <stp>FPT=A</stp>
        <stp>FA_ACT_EST_DATA=E, EST_SOURCE=DBG</stp>
        <stp>ACT_EST_MAPPING=PRECISE</stp>
        <stp>FS=MRC</stp>
        <stp>CURRENCY=USD</stp>
        <stp>XLFILL=b</stp>
        <tr r="Y232" s="2"/>
      </tp>
      <tp t="s">
        <v>#N/A Requesting Data...</v>
        <stp/>
        <stp>##V3_BQLV12</stp>
        <stp>[MODL_NOW_US1.xlsx]Single Period!R64C32</stp>
        <stp>SEG0000230975 Segment</stp>
        <stp>CB_IS_GROSS_MARGIN</stp>
        <stp>FPR=2021Y</stp>
        <stp>FPT=A</stp>
        <stp>FA_ACT_EST_DATA=E, EST_SOURCE=FBC</stp>
        <stp>ACT_EST_MAPPING=PRECISE</stp>
        <stp>FS=MRC</stp>
        <stp>CURRENCY=USD</stp>
        <stp>XLFILL=b</stp>
        <tr r="AF64" s="2"/>
      </tp>
      <tp t="s">
        <v>#N/A Requesting Data...</v>
        <stp/>
        <stp>##V3_BQLV12</stp>
        <stp>[MODL_NOW_US1.xlsx]Single Period!R156C11</stp>
        <stp>NOW US Equity</stp>
        <stp>BS_CASH_NEAR_CASH_ITEM/1M</stp>
        <stp>FPR=2021Y</stp>
        <stp>FPT=A</stp>
        <stp>FA_ACT_EST_DATA=E, EST_SOURCE=JPM</stp>
        <stp>ACT_EST_MAPPING=PRECISE</stp>
        <stp>FS=MRC</stp>
        <stp>CURRENCY=USD</stp>
        <stp>XLFILL=b</stp>
        <tr r="K156" s="2"/>
      </tp>
      <tp t="s">
        <v>#N/A Requesting Data...</v>
        <stp/>
        <stp>##V3_BQLV12</stp>
        <stp>[MODL_NOW_US1.xlsx]Single Period!R64C25</stp>
        <stp>SEG0000230975 Segment</stp>
        <stp>CB_IS_GROSS_MARGIN</stp>
        <stp>FPR=2021Y</stp>
        <stp>FPT=A</stp>
        <stp>FA_ACT_EST_DATA=E, EST_SOURCE=DBG</stp>
        <stp>ACT_EST_MAPPING=PRECISE</stp>
        <stp>FS=MRC</stp>
        <stp>CURRENCY=USD</stp>
        <stp>XLFILL=b</stp>
        <tr r="Y64" s="2"/>
      </tp>
      <tp t="s">
        <v>#N/A Requesting Data...</v>
        <stp/>
        <stp>##V3_BQLV12</stp>
        <stp>[MODL_NOW_US1.xlsx]Single Period!R232C27</stp>
        <stp>NOW US Equity</stp>
        <stp>CF_CASH_AND_CASH_EQUIV_BEG_BAL/1M</stp>
        <stp>FPR=2021Y</stp>
        <stp>FPT=A</stp>
        <stp>FA_ACT_EST_DATA=E, EST_SOURCE=RBC</stp>
        <stp>ACT_EST_MAPPING=PRECISE</stp>
        <stp>FS=MRC</stp>
        <stp>CURRENCY=USD</stp>
        <stp>XLFILL=b</stp>
        <tr r="AA232" s="2"/>
      </tp>
      <tp t="s">
        <v>#N/A Requesting Data...</v>
        <stp/>
        <stp>##V3_BQLV12</stp>
        <stp>[MODL_NOW_US1.xlsx]Single Period!R232C32</stp>
        <stp>NOW US Equity</stp>
        <stp>CF_CASH_AND_CASH_EQUIV_BEG_BAL/1M</stp>
        <stp>FPR=2021Y</stp>
        <stp>FPT=A</stp>
        <stp>FA_ACT_EST_DATA=E, EST_SOURCE=FBC</stp>
        <stp>ACT_EST_MAPPING=PRECISE</stp>
        <stp>FS=MRC</stp>
        <stp>CURRENCY=USD</stp>
        <stp>XLFILL=b</stp>
        <tr r="AF232" s="2"/>
      </tp>
      <tp t="s">
        <v>#N/A Requesting Data...</v>
        <stp/>
        <stp>##V3_BQLV12</stp>
        <stp>[MODL_NOW_US1.xlsx]Single Period!R191C44</stp>
        <stp>NOW US Equity</stp>
        <stp>ST_DEFERRED_REVENUE/1M</stp>
        <stp>FPR=2021Y</stp>
        <stp>FPT=A</stp>
        <stp>FA_ACT_EST_DATA=E, EST_SOURCE=ARE</stp>
        <stp>ACT_EST_MAPPING=PRECISE</stp>
        <stp>FS=MRC</stp>
        <stp>CURRENCY=USD</stp>
        <stp>XLFILL=b</stp>
        <tr r="AR191" s="2"/>
      </tp>
      <tp t="s">
        <v>#N/A Requesting Data...</v>
        <stp/>
        <stp>##V3_BQLV12</stp>
        <stp>[MODL_NOW_US1.xlsx]Single Period!R176C44</stp>
        <stp>NOW US Equity</stp>
        <stp>ST_DEFERRED_REVENUE/1M</stp>
        <stp>FPR=2021Y</stp>
        <stp>FPT=A</stp>
        <stp>FA_ACT_EST_DATA=E, EST_SOURCE=ARE</stp>
        <stp>ACT_EST_MAPPING=PRECISE</stp>
        <stp>FS=MRC</stp>
        <stp>CURRENCY=USD</stp>
        <stp>XLFILL=b</stp>
        <tr r="AR176" s="2"/>
      </tp>
      <tp t="s">
        <v>#N/A Requesting Data...</v>
        <stp/>
        <stp>##V3_BQLV12</stp>
        <stp>[MODL_NOW_US1.xlsx]Single Period!R179C44</stp>
        <stp>NOW US Equity</stp>
        <stp>LT_DEFERRED_REVENUE/1M</stp>
        <stp>FPR=2021Y</stp>
        <stp>FPT=A</stp>
        <stp>FA_ACT_EST_DATA=E, EST_SOURCE=ARE</stp>
        <stp>ACT_EST_MAPPING=PRECISE</stp>
        <stp>FS=MRC</stp>
        <stp>CURRENCY=USD</stp>
        <stp>XLFILL=b</stp>
        <tr r="AR179" s="2"/>
      </tp>
      <tp t="s">
        <v>#N/A Requesting Data...</v>
        <stp/>
        <stp>##V3_BQLV12</stp>
        <stp>[MODL_NOW_US1.xlsx]Single Period!R192C44</stp>
        <stp>NOW US Equity</stp>
        <stp>LT_DEFERRED_REVENUE/1M</stp>
        <stp>FPR=2021Y</stp>
        <stp>FPT=A</stp>
        <stp>FA_ACT_EST_DATA=E, EST_SOURCE=ARE</stp>
        <stp>ACT_EST_MAPPING=PRECISE</stp>
        <stp>FS=MRC</stp>
        <stp>CURRENCY=USD</stp>
        <stp>XLFILL=b</stp>
        <tr r="AR192" s="2"/>
      </tp>
      <tp t="s">
        <v>#N/A Requesting Data...</v>
        <stp/>
        <stp>##V3_BQLV12</stp>
        <stp>[MODL_NOW_US1.xlsx]Single Period!R92C47</stp>
        <stp>NOW US Equity</stp>
        <stp>IS_ADJ_GENL_AND_ADMIN_EXPN_AR/1M</stp>
        <stp>FPR=2021Y</stp>
        <stp>FPT=A</stp>
        <stp>FA_ACT_EST_DATA=E, EST_SOURCE=SUM</stp>
        <stp>ACT_EST_MAPPING=PRECISE</stp>
        <stp>FS=MRC</stp>
        <stp>CURRENCY=USD</stp>
        <stp>XLFILL=b</stp>
        <tr r="AU92" s="2"/>
      </tp>
      <tp t="s">
        <v>#N/A Requesting Data...</v>
        <stp/>
        <stp>##V3_BQLV12</stp>
        <stp>[MODL_NOW_US1.xlsx]Single Period!R184C26</stp>
        <stp>NOW US Equity</stp>
        <stp>BS_EQTY_BEFORE_MINORITY_INT/1M</stp>
        <stp>FPR=2021Y</stp>
        <stp>FPT=A</stp>
        <stp>FA_ACT_EST_DATA=E, EST_SOURCE=UBS</stp>
        <stp>ACT_EST_MAPPING=PRECISE</stp>
        <stp>FS=MRC</stp>
        <stp>CURRENCY=USD</stp>
        <stp>XLFILL=b</stp>
        <tr r="Z184" s="2"/>
      </tp>
      <tp t="s">
        <v>#N/A Requesting Data...</v>
        <stp/>
        <stp>##V3_BQLV12</stp>
        <stp>[MODL_NOW_US1.xlsx]Single Period!R191C41</stp>
        <stp>NOW US Equity</stp>
        <stp>ST_DEFERRED_REVENUE/1M</stp>
        <stp>FPR=2021Y</stp>
        <stp>FPT=A</stp>
        <stp>FA_ACT_EST_DATA=E, EST_SOURCE=ARG</stp>
        <stp>ACT_EST_MAPPING=PRECISE</stp>
        <stp>FS=MRC</stp>
        <stp>CURRENCY=USD</stp>
        <stp>XLFILL=b</stp>
        <tr r="AO191" s="2"/>
      </tp>
      <tp t="s">
        <v>#N/A Requesting Data...</v>
        <stp/>
        <stp>##V3_BQLV12</stp>
        <stp>[MODL_NOW_US1.xlsx]Single Period!R176C41</stp>
        <stp>NOW US Equity</stp>
        <stp>ST_DEFERRED_REVENUE/1M</stp>
        <stp>FPR=2021Y</stp>
        <stp>FPT=A</stp>
        <stp>FA_ACT_EST_DATA=E, EST_SOURCE=ARG</stp>
        <stp>ACT_EST_MAPPING=PRECISE</stp>
        <stp>FS=MRC</stp>
        <stp>CURRENCY=USD</stp>
        <stp>XLFILL=b</stp>
        <tr r="AO176" s="2"/>
      </tp>
      <tp t="s">
        <v>#N/A Requesting Data...</v>
        <stp/>
        <stp>##V3_BQLV12</stp>
        <stp>[MODL_NOW_US1.xlsx]Single Period!R179C41</stp>
        <stp>NOW US Equity</stp>
        <stp>LT_DEFERRED_REVENUE/1M</stp>
        <stp>FPR=2021Y</stp>
        <stp>FPT=A</stp>
        <stp>FA_ACT_EST_DATA=E, EST_SOURCE=ARG</stp>
        <stp>ACT_EST_MAPPING=PRECISE</stp>
        <stp>FS=MRC</stp>
        <stp>CURRENCY=USD</stp>
        <stp>XLFILL=b</stp>
        <tr r="AO179" s="2"/>
      </tp>
      <tp t="s">
        <v>#N/A Requesting Data...</v>
        <stp/>
        <stp>##V3_BQLV12</stp>
        <stp>[MODL_NOW_US1.xlsx]Single Period!R192C41</stp>
        <stp>NOW US Equity</stp>
        <stp>LT_DEFERRED_REVENUE/1M</stp>
        <stp>FPR=2021Y</stp>
        <stp>FPT=A</stp>
        <stp>FA_ACT_EST_DATA=E, EST_SOURCE=ARG</stp>
        <stp>ACT_EST_MAPPING=PRECISE</stp>
        <stp>FS=MRC</stp>
        <stp>CURRENCY=USD</stp>
        <stp>XLFILL=b</stp>
        <tr r="AO192" s="2"/>
      </tp>
      <tp t="s">
        <v>#N/A Requesting Data...</v>
        <stp/>
        <stp>##V3_BQLV12</stp>
        <stp>[MODL_NOW_US1.xlsx]Single Period!R89C48</stp>
        <stp>NOW US Equity</stp>
        <stp>IS_REV_INCLUDING_INTERSEG_REV/1M</stp>
        <stp>FPR=2021Y</stp>
        <stp>FPT=A</stp>
        <stp>FA_ACT_EST_DATA=E, EST_SOURCE=CRC</stp>
        <stp>ACT_EST_MAPPING=PRECISE</stp>
        <stp>FS=MRC</stp>
        <stp>CURRENCY=USD</stp>
        <stp>XLFILL=b</stp>
        <tr r="AV89" s="2"/>
      </tp>
      <tp t="s">
        <v>#N/A Requesting Data...</v>
        <stp/>
        <stp>##V3_BQLV12</stp>
        <stp>[MODL_NOW_US1.xlsx]Single Period!R180C24</stp>
        <stp>NOW US Equity</stp>
        <stp>BS_LT_OPERATING_LEASE_LIABS/1M</stp>
        <stp>FPR=2021Y</stp>
        <stp>FPT=A</stp>
        <stp>FA_ACT_EST_DATA=E, EST_SOURCE=CWN</stp>
        <stp>ACT_EST_MAPPING=PRECISE</stp>
        <stp>FS=MRC</stp>
        <stp>CURRENCY=USD</stp>
        <stp>XLFILL=b</stp>
        <tr r="X180" s="2"/>
      </tp>
      <tp t="s">
        <v>#N/A Requesting Data...</v>
        <stp/>
        <stp>##V3_BQLV12</stp>
        <stp>[MODL_NOW_US1.xlsx]Single Period!R98C43</stp>
        <stp>NOW US Equity</stp>
        <stp>CF_DEPR_AMORT/1M</stp>
        <stp>FPR=2021Y</stp>
        <stp>FPT=A</stp>
        <stp>FA_ACT_EST_DATA=E, EST_SOURCE=WFT</stp>
        <stp>ACT_EST_MAPPING=PRECISE</stp>
        <stp>FS=MRC</stp>
        <stp>CURRENCY=USD</stp>
        <stp>XLFILL=b</stp>
        <tr r="AQ98" s="2"/>
      </tp>
      <tp t="s">
        <v>#N/A Requesting Data...</v>
        <stp/>
        <stp>##V3_BQLV12</stp>
        <stp>[MODL_NOW_US1.xlsx]Single Period!R180C40</stp>
        <stp>NOW US Equity</stp>
        <stp>BS_LT_OPERATING_LEASE_LIABS/1M</stp>
        <stp>FPR=2021Y</stp>
        <stp>FPT=A</stp>
        <stp>FA_ACT_EST_DATA=E, EST_SOURCE=DWI</stp>
        <stp>ACT_EST_MAPPING=PRECISE</stp>
        <stp>FS=MRC</stp>
        <stp>CURRENCY=USD</stp>
        <stp>XLFILL=b</stp>
        <tr r="AN180" s="2"/>
      </tp>
      <tp t="s">
        <v>#N/A Requesting Data...</v>
        <stp/>
        <stp>##V3_BQLV12</stp>
        <stp>[MODL_NOW_US1.xlsx]Single Period!R176C48</stp>
        <stp>NOW US Equity</stp>
        <stp>ST_DEFERRED_REVENUE/1M</stp>
        <stp>FPR=2021Y</stp>
        <stp>FPT=A</stp>
        <stp>FA_ACT_EST_DATA=E, EST_SOURCE=CRC</stp>
        <stp>ACT_EST_MAPPING=PRECISE</stp>
        <stp>FS=MRC</stp>
        <stp>CURRENCY=USD</stp>
        <stp>XLFILL=b</stp>
        <tr r="AV176" s="2"/>
      </tp>
      <tp t="s">
        <v>#N/A Requesting Data...</v>
        <stp/>
        <stp>##V3_BQLV12</stp>
        <stp>[MODL_NOW_US1.xlsx]Single Period!R191C48</stp>
        <stp>NOW US Equity</stp>
        <stp>ST_DEFERRED_REVENUE/1M</stp>
        <stp>FPR=2021Y</stp>
        <stp>FPT=A</stp>
        <stp>FA_ACT_EST_DATA=E, EST_SOURCE=CRC</stp>
        <stp>ACT_EST_MAPPING=PRECISE</stp>
        <stp>FS=MRC</stp>
        <stp>CURRENCY=USD</stp>
        <stp>XLFILL=b</stp>
        <tr r="AV191" s="2"/>
      </tp>
      <tp t="s">
        <v>#N/A Requesting Data...</v>
        <stp/>
        <stp>##V3_BQLV12</stp>
        <stp>[MODL_NOW_US1.xlsx]Single Period!R158C38</stp>
        <stp>NOW US Equity</stp>
        <stp>BS_ACCTS_REC_EXCL_NOTES_REC/1M</stp>
        <stp>FPR=2021Y</stp>
        <stp>FPT=A</stp>
        <stp>FA_ACT_EST_DATA=E, EST_SOURCE=RWB</stp>
        <stp>ACT_EST_MAPPING=PRECISE</stp>
        <stp>FS=MRC</stp>
        <stp>CURRENCY=USD</stp>
        <stp>XLFILL=b</stp>
        <tr r="AL158" s="2"/>
      </tp>
      <tp t="s">
        <v>#N/A Requesting Data...</v>
        <stp/>
        <stp>##V3_BQLV12</stp>
        <stp>[MODL_NOW_US1.xlsx]Single Period!R192C48</stp>
        <stp>NOW US Equity</stp>
        <stp>LT_DEFERRED_REVENUE/1M</stp>
        <stp>FPR=2021Y</stp>
        <stp>FPT=A</stp>
        <stp>FA_ACT_EST_DATA=E, EST_SOURCE=CRC</stp>
        <stp>ACT_EST_MAPPING=PRECISE</stp>
        <stp>FS=MRC</stp>
        <stp>CURRENCY=USD</stp>
        <stp>XLFILL=b</stp>
        <tr r="AV192" s="2"/>
      </tp>
      <tp t="s">
        <v>#N/A Requesting Data...</v>
        <stp/>
        <stp>##V3_BQLV12</stp>
        <stp>[MODL_NOW_US1.xlsx]Single Period!R179C48</stp>
        <stp>NOW US Equity</stp>
        <stp>LT_DEFERRED_REVENUE/1M</stp>
        <stp>FPR=2021Y</stp>
        <stp>FPT=A</stp>
        <stp>FA_ACT_EST_DATA=E, EST_SOURCE=CRC</stp>
        <stp>ACT_EST_MAPPING=PRECISE</stp>
        <stp>FS=MRC</stp>
        <stp>CURRENCY=USD</stp>
        <stp>XLFILL=b</stp>
        <tr r="AV179" s="2"/>
      </tp>
      <tp t="s">
        <v>#N/A Requesting Data...</v>
        <stp/>
        <stp>##V3_BQLV12</stp>
        <stp>[MODL_NOW_US1.xlsx]Single Period!R180C38</stp>
        <stp>NOW US Equity</stp>
        <stp>BS_LT_OPERATING_LEASE_LIABS/1M</stp>
        <stp>FPR=2021Y</stp>
        <stp>FPT=A</stp>
        <stp>FA_ACT_EST_DATA=E, EST_SOURCE=RWB</stp>
        <stp>ACT_EST_MAPPING=PRECISE</stp>
        <stp>FS=MRC</stp>
        <stp>CURRENCY=USD</stp>
        <stp>XLFILL=b</stp>
        <tr r="AL180" s="2"/>
      </tp>
      <tp t="s">
        <v>#N/A Requesting Data...</v>
        <stp/>
        <stp>##V3_BQLV12</stp>
        <stp>[MODL_NOW_US1.xlsx]Single Period!R158C40</stp>
        <stp>NOW US Equity</stp>
        <stp>BS_ACCTS_REC_EXCL_NOTES_REC/1M</stp>
        <stp>FPR=2021Y</stp>
        <stp>FPT=A</stp>
        <stp>FA_ACT_EST_DATA=E, EST_SOURCE=DWI</stp>
        <stp>ACT_EST_MAPPING=PRECISE</stp>
        <stp>FS=MRC</stp>
        <stp>CURRENCY=USD</stp>
        <stp>XLFILL=b</stp>
        <tr r="AN158" s="2"/>
      </tp>
      <tp t="s">
        <v>#N/A Requesting Data...</v>
        <stp/>
        <stp>##V3_BQLV12</stp>
        <stp>[MODL_NOW_US1.xlsx]Single Period!R30C31</stp>
        <stp>NOW US Equity</stp>
        <stp>CF_FREE_CASH_FLOW_AS_REPORTED/1M</stp>
        <stp>FPR=2021Y</stp>
        <stp>FPT=A</stp>
        <stp>FA_ACT_EST_DATA=E, EST_SOURCE=GSR</stp>
        <stp>ACT_EST_MAPPING=PRECISE</stp>
        <stp>FS=MRC</stp>
        <stp>CURRENCY=USD</stp>
        <stp>XLFILL=b</stp>
        <tr r="AE30" s="2"/>
      </tp>
      <tp t="s">
        <v>#N/A Requesting Data...</v>
        <stp/>
        <stp>##V3_BQLV12</stp>
        <stp>[MODL_NOW_US1.xlsx]Single Period!R158C24</stp>
        <stp>NOW US Equity</stp>
        <stp>BS_ACCTS_REC_EXCL_NOTES_REC/1M</stp>
        <stp>FPR=2021Y</stp>
        <stp>FPT=A</stp>
        <stp>FA_ACT_EST_DATA=E, EST_SOURCE=CWN</stp>
        <stp>ACT_EST_MAPPING=PRECISE</stp>
        <stp>FS=MRC</stp>
        <stp>CURRENCY=USD</stp>
        <stp>XLFILL=b</stp>
        <tr r="X158" s="2"/>
      </tp>
      <tp t="s">
        <v>#N/A Requesting Data...</v>
        <stp/>
        <stp>##V3_BQLV12</stp>
        <stp>[MODL_NOW_US1.xlsx]Single Period!R137C26</stp>
        <stp>NOW US Equity</stp>
        <stp>CF_STOCK_BASED_COMPENSATION/1M</stp>
        <stp>FPR=2021Y</stp>
        <stp>FPT=A</stp>
        <stp>FA_ACT_EST_DATA=E, EST_SOURCE=UBS</stp>
        <stp>ACT_EST_MAPPING=PRECISE</stp>
        <stp>FS=MRC</stp>
        <stp>CURRENCY=USD</stp>
        <stp>XLFILL=b</stp>
        <tr r="Z137" s="2"/>
      </tp>
      <tp t="s">
        <v>#N/A Requesting Data...</v>
        <stp/>
        <stp>##V3_BQLV12</stp>
        <stp>[MODL_NOW_US1.xlsx]Single Period!R9C14</stp>
        <stp>NOW US Equity</stp>
        <stp>IS_BILLINGS/1M</stp>
        <stp>FPR=2021Y</stp>
        <stp>FPT=A</stp>
        <stp>FA_ACT_EST_DATA=E, EST_SOURCE=BMO</stp>
        <stp>ACT_EST_MAPPING=PRECISE</stp>
        <stp>FS=MRC</stp>
        <stp>CURRENCY=USD</stp>
        <stp>XLFILL=b</stp>
        <tr r="N9" s="2"/>
      </tp>
      <tp t="s">
        <v>#N/A Requesting Data...</v>
        <stp/>
        <stp>##V3_BQLV12</stp>
        <stp>[MODL_NOW_US1.xlsx]Single Period!R161C47</stp>
        <stp>NOW US Equity</stp>
        <stp>BS_TOTAL_NON_CURRENT_ASSETS/1M</stp>
        <stp>FPR=2021Y</stp>
        <stp>FPT=A</stp>
        <stp>FA_ACT_EST_DATA=E, EST_SOURCE=SUM</stp>
        <stp>ACT_EST_MAPPING=PRECISE</stp>
        <stp>FS=MRC</stp>
        <stp>CURRENCY=USD</stp>
        <stp>XLFILL=b</stp>
        <tr r="AU161" s="2"/>
      </tp>
      <tp t="s">
        <v>#N/A Requesting Data...</v>
        <stp/>
        <stp>##V3_BQLV12</stp>
        <stp>[MODL_NOW_US1.xlsx]Single Period!R80C11</stp>
        <stp>NOW US Equity</stp>
        <stp>IS_COMP_SALES/1M</stp>
        <stp>FPR=2021Y</stp>
        <stp>FPT=A</stp>
        <stp>FA_ACT_EST_DATA=E, EST_SOURCE=JPM</stp>
        <stp>ACT_EST_MAPPING=PRECISE</stp>
        <stp>FS=MRC</stp>
        <stp>CURRENCY=USD</stp>
        <stp>XLFILL=b</stp>
        <tr r="K80" s="2"/>
      </tp>
      <tp t="s">
        <v>#N/A Requesting Data...</v>
        <stp/>
        <stp>##V3_BQLV12</stp>
        <stp>[MODL_NOW_US1.xlsx]Single Period!R98C16</stp>
        <stp>NOW US Equity</stp>
        <stp>CF_DEPR_AMORT/1M</stp>
        <stp>FPR=2021Y</stp>
        <stp>FPT=A</stp>
        <stp>FA_ACT_EST_DATA=E, EST_SOURCE=BCA</stp>
        <stp>ACT_EST_MAPPING=PRECISE</stp>
        <stp>FS=MRC</stp>
        <stp>CURRENCY=USD</stp>
        <stp>XLFILL=b</stp>
        <tr r="P98" s="2"/>
      </tp>
      <tp t="s">
        <v>#N/A Requesting Data...</v>
        <stp/>
        <stp>##V3_BQLV12</stp>
        <stp>[MODL_NOW_US1.xlsx]Single Period!R210C40</stp>
        <stp>NOW US Equity</stp>
        <stp>CF_CHANGE_IN_PREPAID_EXPNSS/1M</stp>
        <stp>FPR=2021Y</stp>
        <stp>FPT=A</stp>
        <stp>FA_ACT_EST_DATA=E, EST_SOURCE=DWI</stp>
        <stp>ACT_EST_MAPPING=PRECISE</stp>
        <stp>FS=MRC</stp>
        <stp>CURRENCY=USD</stp>
        <stp>XLFILL=b</stp>
        <tr r="AN210" s="2"/>
      </tp>
      <tp t="s">
        <v>#N/A Requesting Data...</v>
        <stp/>
        <stp>##V3_BQLV12</stp>
        <stp>[MODL_NOW_US1.xlsx]Single Period!R184C32</stp>
        <stp>NOW US Equity</stp>
        <stp>BS_EQTY_BEFORE_MINORITY_INT/1M</stp>
        <stp>FPR=2021Y</stp>
        <stp>FPT=A</stp>
        <stp>FA_ACT_EST_DATA=E, EST_SOURCE=FBC</stp>
        <stp>ACT_EST_MAPPING=PRECISE</stp>
        <stp>FS=MRC</stp>
        <stp>CURRENCY=USD</stp>
        <stp>XLFILL=b</stp>
        <tr r="AF184" s="2"/>
      </tp>
      <tp t="s">
        <v>#N/A Requesting Data...</v>
        <stp/>
        <stp>##V3_BQLV12</stp>
        <stp>[MODL_NOW_US1.xlsx]Single Period!R210C24</stp>
        <stp>NOW US Equity</stp>
        <stp>CF_CHANGE_IN_PREPAID_EXPNSS/1M</stp>
        <stp>FPR=2021Y</stp>
        <stp>FPT=A</stp>
        <stp>FA_ACT_EST_DATA=E, EST_SOURCE=CWN</stp>
        <stp>ACT_EST_MAPPING=PRECISE</stp>
        <stp>FS=MRC</stp>
        <stp>CURRENCY=USD</stp>
        <stp>XLFILL=b</stp>
        <tr r="X210" s="2"/>
      </tp>
      <tp t="s">
        <v>#N/A Requesting Data...</v>
        <stp/>
        <stp>##V3_BQLV12</stp>
        <stp>[MODL_NOW_US1.xlsx]Single Period!R105C24</stp>
        <stp>NOW US Equity</stp>
        <stp>ADJ_PROFIT_MARGIN</stp>
        <stp>FPR=2021Y</stp>
        <stp>FPT=A</stp>
        <stp>FA_ACT_EST_DATA=E, EST_SOURCE=CWN</stp>
        <stp>ACT_EST_MAPPING=PRECISE</stp>
        <stp>FS=MRC</stp>
        <stp>CURRENCY=USD</stp>
        <stp>XLFILL=b</stp>
        <tr r="X105" s="2"/>
      </tp>
      <tp t="s">
        <v>#N/A Requesting Data...</v>
        <stp/>
        <stp>##V3_BQLV12</stp>
        <stp>[MODL_NOW_US1.xlsx]Single Period!R137C12</stp>
        <stp>NOW US Equity</stp>
        <stp>CF_STOCK_BASED_COMPENSATION/1M</stp>
        <stp>FPR=2021Y</stp>
        <stp>FPT=A</stp>
        <stp>FA_ACT_EST_DATA=E, EST_SOURCE=WBL</stp>
        <stp>ACT_EST_MAPPING=PRECISE</stp>
        <stp>FS=MRC</stp>
        <stp>CURRENCY=USD</stp>
        <stp>XLFILL=b</stp>
        <tr r="L137" s="2"/>
      </tp>
      <tp t="s">
        <v>#N/A Requesting Data...</v>
        <stp/>
        <stp>##V3_BQLV12</stp>
        <stp>[MODL_NOW_US1.xlsx]Single Period!R184C27</stp>
        <stp>NOW US Equity</stp>
        <stp>BS_EQTY_BEFORE_MINORITY_INT/1M</stp>
        <stp>FPR=2021Y</stp>
        <stp>FPT=A</stp>
        <stp>FA_ACT_EST_DATA=E, EST_SOURCE=RBC</stp>
        <stp>ACT_EST_MAPPING=PRECISE</stp>
        <stp>FS=MRC</stp>
        <stp>CURRENCY=USD</stp>
        <stp>XLFILL=b</stp>
        <tr r="AA184" s="2"/>
      </tp>
      <tp t="s">
        <v>#N/A Requesting Data...</v>
        <stp/>
        <stp>##V3_BQLV12</stp>
        <stp>[MODL_NOW_US1.xlsx]Single Period!R98C27</stp>
        <stp>NOW US Equity</stp>
        <stp>CF_DEPR_AMORT/1M</stp>
        <stp>FPR=2021Y</stp>
        <stp>FPT=A</stp>
        <stp>FA_ACT_EST_DATA=E, EST_SOURCE=RBC</stp>
        <stp>ACT_EST_MAPPING=PRECISE</stp>
        <stp>FS=MRC</stp>
        <stp>CURRENCY=USD</stp>
        <stp>XLFILL=b</stp>
        <tr r="AA98" s="2"/>
      </tp>
      <tp t="s">
        <v>#N/A Requesting Data...</v>
        <stp/>
        <stp>##V3_BQLV12</stp>
        <stp>[MODL_NOW_US1.xlsx]Single Period!R9C21</stp>
        <stp>NOW US Equity</stp>
        <stp>IS_BILLINGS/1M</stp>
        <stp>FPR=2021Y</stp>
        <stp>FPT=A</stp>
        <stp>FA_ACT_EST_DATA=E, EST_SOURCE=JMP</stp>
        <stp>ACT_EST_MAPPING=PRECISE</stp>
        <stp>FS=MRC</stp>
        <stp>CURRENCY=USD</stp>
        <stp>XLFILL=b</stp>
        <tr r="U9" s="2"/>
      </tp>
      <tp t="s">
        <v>#N/A Requesting Data...</v>
        <stp/>
        <stp>##V3_BQLV12</stp>
        <stp>[MODL_NOW_US1.xlsx]Single Period!R30C47</stp>
        <stp>NOW US Equity</stp>
        <stp>CF_FREE_CASH_FLOW_AS_REPORTED/1M</stp>
        <stp>FPR=2021Y</stp>
        <stp>FPT=A</stp>
        <stp>FA_ACT_EST_DATA=E, EST_SOURCE=SUM</stp>
        <stp>ACT_EST_MAPPING=PRECISE</stp>
        <stp>FS=MRC</stp>
        <stp>CURRENCY=USD</stp>
        <stp>XLFILL=b</stp>
        <tr r="AU30" s="2"/>
      </tp>
      <tp t="s">
        <v>#N/A Requesting Data...</v>
        <stp/>
        <stp>##V3_BQLV12</stp>
        <stp>[MODL_NOW_US1.xlsx]Single Period!R184C25</stp>
        <stp>NOW US Equity</stp>
        <stp>BS_EQTY_BEFORE_MINORITY_INT/1M</stp>
        <stp>FPR=2021Y</stp>
        <stp>FPT=A</stp>
        <stp>FA_ACT_EST_DATA=E, EST_SOURCE=DBG</stp>
        <stp>ACT_EST_MAPPING=PRECISE</stp>
        <stp>FS=MRC</stp>
        <stp>CURRENCY=USD</stp>
        <stp>XLFILL=b</stp>
        <tr r="Y184" s="2"/>
      </tp>
      <tp t="s">
        <v>#N/A Requesting Data...</v>
        <stp/>
        <stp>##V3_BQLV12</stp>
        <stp>[MODL_NOW_US1.xlsx]Single Period!R89C19</stp>
        <stp>NOW US Equity</stp>
        <stp>IS_REV_INCLUDING_INTERSEG_REV/1M</stp>
        <stp>FPR=2021Y</stp>
        <stp>FPT=A</stp>
        <stp>FA_ACT_EST_DATA=E, EST_SOURCE=MSV</stp>
        <stp>ACT_EST_MAPPING=PRECISE</stp>
        <stp>FS=MRC</stp>
        <stp>CURRENCY=USD</stp>
        <stp>XLFILL=b</stp>
        <tr r="S89" s="2"/>
      </tp>
      <tp t="s">
        <v>#N/A Requesting Data...</v>
        <stp/>
        <stp>##V3_BQLV12</stp>
        <stp>[MODL_NOW_US1.xlsx]Single Period!R105C40</stp>
        <stp>NOW US Equity</stp>
        <stp>ADJ_PROFIT_MARGIN</stp>
        <stp>FPR=2021Y</stp>
        <stp>FPT=A</stp>
        <stp>FA_ACT_EST_DATA=E, EST_SOURCE=DWI</stp>
        <stp>ACT_EST_MAPPING=PRECISE</stp>
        <stp>FS=MRC</stp>
        <stp>CURRENCY=USD</stp>
        <stp>XLFILL=b</stp>
        <tr r="AN105" s="2"/>
      </tp>
      <tp t="s">
        <v>#N/A Requesting Data...</v>
        <stp/>
        <stp>##V3_BQLV12</stp>
        <stp>[MODL_NOW_US1.xlsx]Single Period!R167C17</stp>
        <stp>NOW US Equity</stp>
        <stp>BS_GOODWILL/1M</stp>
        <stp>FPR=2021Y</stp>
        <stp>FPT=A</stp>
        <stp>FA_ACT_EST_DATA=E, EST_SOURCE=RHR</stp>
        <stp>ACT_EST_MAPPING=PRECISE</stp>
        <stp>FS=MRC</stp>
        <stp>CURRENCY=USD</stp>
        <stp>XLFILL=b</stp>
        <tr r="Q167" s="2"/>
      </tp>
      <tp t="s">
        <v>#N/A Requesting Data...</v>
        <stp/>
        <stp>##V3_BQLV12</stp>
        <stp>[MODL_NOW_US1.xlsx]Single Period!R137C25</stp>
        <stp>NOW US Equity</stp>
        <stp>CF_STOCK_BASED_COMPENSATION/1M</stp>
        <stp>FPR=2021Y</stp>
        <stp>FPT=A</stp>
        <stp>FA_ACT_EST_DATA=E, EST_SOURCE=DBG</stp>
        <stp>ACT_EST_MAPPING=PRECISE</stp>
        <stp>FS=MRC</stp>
        <stp>CURRENCY=USD</stp>
        <stp>XLFILL=b</stp>
        <tr r="Y137" s="2"/>
      </tp>
      <tp t="s">
        <v>#N/A Requesting Data...</v>
        <stp/>
        <stp>##V3_BQLV12</stp>
        <stp>[MODL_NOW_US1.xlsx]Single Period!R210C38</stp>
        <stp>NOW US Equity</stp>
        <stp>CF_CHANGE_IN_PREPAID_EXPNSS/1M</stp>
        <stp>FPR=2021Y</stp>
        <stp>FPT=A</stp>
        <stp>FA_ACT_EST_DATA=E, EST_SOURCE=RWB</stp>
        <stp>ACT_EST_MAPPING=PRECISE</stp>
        <stp>FS=MRC</stp>
        <stp>CURRENCY=USD</stp>
        <stp>XLFILL=b</stp>
        <tr r="AL210" s="2"/>
      </tp>
      <tp t="s">
        <v>#N/A Requesting Data...</v>
        <stp/>
        <stp>##V3_BQLV12</stp>
        <stp>[MODL_NOW_US1.xlsx]Single Period!R137C32</stp>
        <stp>NOW US Equity</stp>
        <stp>CF_STOCK_BASED_COMPENSATION/1M</stp>
        <stp>FPR=2021Y</stp>
        <stp>FPT=A</stp>
        <stp>FA_ACT_EST_DATA=E, EST_SOURCE=FBC</stp>
        <stp>ACT_EST_MAPPING=PRECISE</stp>
        <stp>FS=MRC</stp>
        <stp>CURRENCY=USD</stp>
        <stp>XLFILL=b</stp>
        <tr r="AF137" s="2"/>
      </tp>
      <tp t="s">
        <v>#N/A Requesting Data...</v>
        <stp/>
        <stp>##V3_BQLV12</stp>
        <stp>[MODL_NOW_US1.xlsx]Single Period!R105C38</stp>
        <stp>NOW US Equity</stp>
        <stp>ADJ_PROFIT_MARGIN</stp>
        <stp>FPR=2021Y</stp>
        <stp>FPT=A</stp>
        <stp>FA_ACT_EST_DATA=E, EST_SOURCE=RWB</stp>
        <stp>ACT_EST_MAPPING=PRECISE</stp>
        <stp>FS=MRC</stp>
        <stp>CURRENCY=USD</stp>
        <stp>XLFILL=b</stp>
        <tr r="AL105" s="2"/>
      </tp>
      <tp t="s">
        <v>#N/A Requesting Data...</v>
        <stp/>
        <stp>##V3_BQLV12</stp>
        <stp>[MODL_NOW_US1.xlsx]Single Period!R184C12</stp>
        <stp>NOW US Equity</stp>
        <stp>BS_EQTY_BEFORE_MINORITY_INT/1M</stp>
        <stp>FPR=2021Y</stp>
        <stp>FPT=A</stp>
        <stp>FA_ACT_EST_DATA=E, EST_SOURCE=WBL</stp>
        <stp>ACT_EST_MAPPING=PRECISE</stp>
        <stp>FS=MRC</stp>
        <stp>CURRENCY=USD</stp>
        <stp>XLFILL=b</stp>
        <tr r="L184" s="2"/>
      </tp>
      <tp t="s">
        <v>#N/A Requesting Data...</v>
        <stp/>
        <stp>##V3_BQLV12</stp>
        <stp>[MODL_NOW_US1.xlsx]Single Period!R137C27</stp>
        <stp>NOW US Equity</stp>
        <stp>CF_STOCK_BASED_COMPENSATION/1M</stp>
        <stp>FPR=2021Y</stp>
        <stp>FPT=A</stp>
        <stp>FA_ACT_EST_DATA=E, EST_SOURCE=RBC</stp>
        <stp>ACT_EST_MAPPING=PRECISE</stp>
        <stp>FS=MRC</stp>
        <stp>CURRENCY=USD</stp>
        <stp>XLFILL=b</stp>
        <tr r="AA137" s="2"/>
      </tp>
      <tp t="s">
        <v>#N/A Requesting Data...</v>
        <stp/>
        <stp>##V3_BQLV12</stp>
        <stp>[MODL_NOW_US1.xlsx]Single Period!R92C31</stp>
        <stp>NOW US Equity</stp>
        <stp>IS_ADJ_GENL_AND_ADMIN_EXPN_AR/1M</stp>
        <stp>FPR=2021Y</stp>
        <stp>FPT=A</stp>
        <stp>FA_ACT_EST_DATA=E, EST_SOURCE=GSR</stp>
        <stp>ACT_EST_MAPPING=PRECISE</stp>
        <stp>FS=MRC</stp>
        <stp>CURRENCY=USD</stp>
        <stp>XLFILL=b</stp>
        <tr r="AE92" s="2"/>
      </tp>
      <tp t="s">
        <v>#N/A Requesting Data...</v>
        <stp/>
        <stp>##V3_BQLV12</stp>
        <stp>[MODL_NOW_US1.xlsx]Single Period!R169C13</stp>
        <stp>NOW US Equity</stp>
        <stp>CB_BS_OTHER_NONCURRENT_ASSETS/1M</stp>
        <stp>FPR=2021Y</stp>
        <stp>FPT=A</stp>
        <stp>FA_ACT_EST_DATA=E, EST_SOURCE=KEY</stp>
        <stp>ACT_EST_MAPPING=PRECISE</stp>
        <stp>FS=MRC</stp>
        <stp>CURRENCY=USD</stp>
        <stp>XLFILL=b</stp>
        <tr r="M169" s="2"/>
      </tp>
      <tp t="s">
        <v>#N/A Requesting Data...</v>
        <stp/>
        <stp>##V3_BQLV12</stp>
        <stp>[MODL_NOW_US1.xlsx]Single Period!R133C22</stp>
        <stp>NOW US Equity</stp>
        <stp>IS_SH_FOR_DILUTED_EPS/1M</stp>
        <stp>FPR=2021Y</stp>
        <stp>FPT=A</stp>
        <stp>FA_ACT_EST_DATA=E, EST_SOURCE=NDH</stp>
        <stp>ACT_EST_MAPPING=PRECISE</stp>
        <stp>FS=MRC</stp>
        <stp>CURRENCY=USD</stp>
        <stp>XLFILL=b</stp>
        <tr r="V133" s="2"/>
      </tp>
      <tp t="s">
        <v>#N/A Requesting Data...</v>
        <stp/>
        <stp>##V3_BQLV12</stp>
        <stp>[MODL_NOW_US1.xlsx]Single Period!R235C12</stp>
        <stp>NOW US Equity</stp>
        <stp>CF_FREE_CASH_FLOW_AS_REPORTED/1M</stp>
        <stp>FPR=2021Y</stp>
        <stp>FPT=A</stp>
        <stp>FA_ACT_EST_DATA=E, EST_SOURCE=WBL</stp>
        <stp>ACT_EST_MAPPING=PRECISE</stp>
        <stp>FS=MRC</stp>
        <stp>CURRENCY=USD</stp>
        <stp>XLFILL=b</stp>
        <tr r="L235" s="2"/>
      </tp>
      <tp t="s">
        <v>#N/A Requesting Data...</v>
        <stp/>
        <stp>##V3_BQLV12</stp>
        <stp>[MODL_NOW_US1.xlsx]Single Period!R66C33</stp>
        <stp>SEG0000230986 Segment</stp>
        <stp>SALES_REV_TURN/1M</stp>
        <stp>FPR=2021Y</stp>
        <stp>FPT=A</stp>
        <stp>FA_ACT_EST_DATA=E, EST_SOURCE=MAC</stp>
        <stp>ACT_EST_MAPPING=PRECISE</stp>
        <stp>FS=MRC</stp>
        <stp>CURRENCY=USD</stp>
        <stp>XLFILL=b</stp>
        <tr r="AG66" s="2"/>
      </tp>
      <tp t="s">
        <v>#N/A Requesting Data...</v>
        <stp/>
        <stp>##V3_BQLV12</stp>
        <stp>[MODL_NOW_US1.xlsx]Single Period!R61C39</stp>
        <stp>SEG0000230975 Segment</stp>
        <stp>IS_ADJ_GROSS_PROFIT_AS_REPORTED/1M</stp>
        <stp>FPR=2021Y</stp>
        <stp>FPT=A</stp>
        <stp>FA_ACT_EST_DATA=E, EST_SOURCE=DZB</stp>
        <stp>ACT_EST_MAPPING=PRECISE</stp>
        <stp>FS=MRC</stp>
        <stp>CURRENCY=USD</stp>
        <stp>XLFILL=b</stp>
        <tr r="AM61" s="2"/>
      </tp>
      <tp t="s">
        <v>#N/A Requesting Data...</v>
        <stp/>
        <stp>##V3_BQLV12</stp>
        <stp>[MODL_NOW_US1.xlsx]Single Period!R119C43</stp>
        <stp>NOW US Equity</stp>
        <stp>CB_IS_S_AND_M_EXPENSE/1M</stp>
        <stp>FPR=2021Y</stp>
        <stp>FPT=A</stp>
        <stp>FA_ACT_EST_DATA=E, EST_SOURCE=WFT</stp>
        <stp>ACT_EST_MAPPING=PRECISE</stp>
        <stp>FS=MRC</stp>
        <stp>CURRENCY=USD</stp>
        <stp>XLFILL=b</stp>
        <tr r="AQ119" s="2"/>
      </tp>
      <tp t="s">
        <v>#N/A Requesting Data...</v>
        <stp/>
        <stp>##V3_BQLV12</stp>
        <stp>[MODL_NOW_US1.xlsx]Single Period!R15C16</stp>
        <stp>SEG0000230992 Segment</stp>
        <stp>SALES_REV_TURN/1M</stp>
        <stp>FPR=2021Y</stp>
        <stp>FPT=A</stp>
        <stp>FA_ACT_EST_DATA=E, EST_SOURCE=BCA</stp>
        <stp>ACT_EST_MAPPING=PRECISE</stp>
        <stp>FS=MRC</stp>
        <stp>CURRENCY=USD</stp>
        <stp>XLFILL=b</stp>
        <tr r="P15" s="2"/>
      </tp>
      <tp t="s">
        <v>#N/A Requesting Data...</v>
        <stp/>
        <stp>##V3_BQLV12</stp>
        <stp>[MODL_NOW_US1.xlsx]Single Period!R75C16</stp>
        <stp>SEG0000230992 Segment</stp>
        <stp>SALES_REV_TURN/1M</stp>
        <stp>FPR=2021Y</stp>
        <stp>FPT=A</stp>
        <stp>FA_ACT_EST_DATA=E, EST_SOURCE=BCA</stp>
        <stp>ACT_EST_MAPPING=PRECISE</stp>
        <stp>FS=MRC</stp>
        <stp>CURRENCY=USD</stp>
        <stp>XLFILL=b</stp>
        <tr r="P75" s="2"/>
      </tp>
      <tp t="s">
        <v>#N/A Requesting Data...</v>
        <stp/>
        <stp>##V3_BQLV12</stp>
        <stp>[MODL_NOW_US1.xlsx]Single Period!R75C49</stp>
        <stp>SEG0000230992 Segment</stp>
        <stp>SALES_REV_TURN/1M</stp>
        <stp>FPR=2021Y</stp>
        <stp>FPT=A</stp>
        <stp>FA_ACT_EST_DATA=E, EST_SOURCE=SCB</stp>
        <stp>ACT_EST_MAPPING=PRECISE</stp>
        <stp>FS=MRC</stp>
        <stp>CURRENCY=USD</stp>
        <stp>XLFILL=b</stp>
        <tr r="AW75" s="2"/>
      </tp>
      <tp t="s">
        <v>#N/A Requesting Data...</v>
        <stp/>
        <stp>##V3_BQLV12</stp>
        <stp>[MODL_NOW_US1.xlsx]Single Period!R15C49</stp>
        <stp>SEG0000230992 Segment</stp>
        <stp>SALES_REV_TURN/1M</stp>
        <stp>FPR=2021Y</stp>
        <stp>FPT=A</stp>
        <stp>FA_ACT_EST_DATA=E, EST_SOURCE=SCB</stp>
        <stp>ACT_EST_MAPPING=PRECISE</stp>
        <stp>FS=MRC</stp>
        <stp>CURRENCY=USD</stp>
        <stp>XLFILL=b</stp>
        <tr r="AW15" s="2"/>
      </tp>
      <tp t="s">
        <v>#N/A Requesting Data...</v>
        <stp/>
        <stp>##V3_BQLV12</stp>
        <stp>[MODL_NOW_US1.xlsx]Single Period!R99C29</stp>
        <stp>NOW US Equity</stp>
        <stp>IS_COMPARABLE_EBITDA/1M</stp>
        <stp>FPR=2021Y</stp>
        <stp>FPT=A</stp>
        <stp>FA_ACT_EST_DATA=E, EST_SOURCE=BNS</stp>
        <stp>ACT_EST_MAPPING=PRECISE</stp>
        <stp>FS=MRC</stp>
        <stp>CURRENCY=USD</stp>
        <stp>XLFILL=b</stp>
        <tr r="AC99" s="2"/>
      </tp>
      <tp t="s">
        <v>#N/A Requesting Data...</v>
        <stp/>
        <stp>##V3_BQLV12</stp>
        <stp>[MODL_NOW_US1.xlsx]Single Period!R54C12</stp>
        <stp>NOW US Equity</stp>
        <stp>IS_FOREIGN_CURRENCY_TURNOVER/1M</stp>
        <stp>FPR=2021Y</stp>
        <stp>FPT=A</stp>
        <stp>FA_ACT_EST_DATA=E, EST_SOURCE=WBL</stp>
        <stp>ACT_EST_MAPPING=PRECISE</stp>
        <stp>FS=MRC</stp>
        <stp>CURRENCY=USD</stp>
        <stp>XLFILL=b</stp>
        <tr r="L54" s="2"/>
      </tp>
      <tp t="s">
        <v>#N/A Requesting Data...</v>
        <stp/>
        <stp>##V3_BQLV12</stp>
        <stp>[MODL_NOW_US1.xlsx]Single Period!R54C20</stp>
        <stp>NOW US Equity</stp>
        <stp>IS_FOREIGN_CURRENCY_TURNOVER/1M</stp>
        <stp>FPR=2021Y</stp>
        <stp>FPT=A</stp>
        <stp>FA_ACT_EST_DATA=E, EST_SOURCE=CAN</stp>
        <stp>ACT_EST_MAPPING=PRECISE</stp>
        <stp>FS=MRC</stp>
        <stp>CURRENCY=USD</stp>
        <stp>XLFILL=b</stp>
        <tr r="T54" s="2"/>
      </tp>
      <tp t="s">
        <v>#N/A Requesting Data...</v>
        <stp/>
        <stp>##V3_BQLV12</stp>
        <stp>[MODL_NOW_US1.xlsx]Single Period!R102C26</stp>
        <stp>NOW US Equity</stp>
        <stp>IS_COMP_PTP_EX_STK_BASED_COMP/1M</stp>
        <stp>FPR=2021Y</stp>
        <stp>FPT=A</stp>
        <stp>FA_ACT_EST_DATA=E, EST_SOURCE=UBS</stp>
        <stp>ACT_EST_MAPPING=PRECISE</stp>
        <stp>FS=MRC</stp>
        <stp>CURRENCY=USD</stp>
        <stp>XLFILL=b</stp>
        <tr r="Z102" s="2"/>
      </tp>
      <tp t="s">
        <v>#N/A Requesting Data...</v>
        <stp/>
        <stp>##V3_BQLV12</stp>
        <stp>[MODL_NOW_US1.xlsx]Single Period!R143C24</stp>
        <stp>NOW US Equity</stp>
        <stp>IS_SBC_ATTRIBUTABLE_TO_R_AND_D_PRETX/1M</stp>
        <stp>FPR=2021Y</stp>
        <stp>FPT=A</stp>
        <stp>FA_ACT_EST_DATA=E, EST_SOURCE=CWN</stp>
        <stp>ACT_EST_MAPPING=PRECISE</stp>
        <stp>FS=MRC</stp>
        <stp>CURRENCY=USD</stp>
        <stp>XLFILL=b</stp>
        <tr r="X143" s="2"/>
      </tp>
      <tp t="s">
        <v>#N/A Requesting Data...</v>
        <stp/>
        <stp>##V3_BQLV12</stp>
        <stp>[MODL_NOW_US1.xlsx]Single Period!R169C18</stp>
        <stp>NOW US Equity</stp>
        <stp>CB_BS_OTHER_NONCURRENT_ASSETS/1M</stp>
        <stp>FPR=2021Y</stp>
        <stp>FPT=A</stp>
        <stp>FA_ACT_EST_DATA=E, EST_SOURCE=SNR</stp>
        <stp>ACT_EST_MAPPING=PRECISE</stp>
        <stp>FS=MRC</stp>
        <stp>CURRENCY=USD</stp>
        <stp>XLFILL=b</stp>
        <tr r="R169" s="2"/>
      </tp>
      <tp t="s">
        <v>#N/A Requesting Data...</v>
        <stp/>
        <stp>##V3_BQLV12</stp>
        <stp>[MODL_NOW_US1.xlsx]Single Period!R101C19</stp>
        <stp>NOW US Equity</stp>
        <stp>CB_IS_OTHER_NON_OPER_INC_EXPN/1M</stp>
        <stp>FPR=2021Y</stp>
        <stp>FPT=A</stp>
        <stp>FA_ACT_EST_DATA=E, EST_SOURCE=MSV</stp>
        <stp>ACT_EST_MAPPING=PRECISE</stp>
        <stp>FS=MRC</stp>
        <stp>CURRENCY=USD</stp>
        <stp>XLFILL=b</stp>
        <tr r="S101" s="2"/>
      </tp>
      <tp t="s">
        <v>#N/A Requesting Data...</v>
        <stp/>
        <stp>##V3_BQLV12</stp>
        <stp>[MODL_NOW_US1.xlsx]Single Period!R235C32</stp>
        <stp>NOW US Equity</stp>
        <stp>CF_FREE_CASH_FLOW_AS_REPORTED/1M</stp>
        <stp>FPR=2021Y</stp>
        <stp>FPT=A</stp>
        <stp>FA_ACT_EST_DATA=E, EST_SOURCE=FBC</stp>
        <stp>ACT_EST_MAPPING=PRECISE</stp>
        <stp>FS=MRC</stp>
        <stp>CURRENCY=USD</stp>
        <stp>XLFILL=b</stp>
        <tr r="AF235" s="2"/>
      </tp>
      <tp t="s">
        <v>#N/A Requesting Data...</v>
        <stp/>
        <stp>##V3_BQLV12</stp>
        <stp>[MODL_NOW_US1.xlsx]Single Period!R66C30</stp>
        <stp>SEG0000230986 Segment</stp>
        <stp>SALES_REV_TURN/1M</stp>
        <stp>FPR=2021Y</stp>
        <stp>FPT=A</stp>
        <stp>FA_ACT_EST_DATA=E, EST_SOURCE=BAM</stp>
        <stp>ACT_EST_MAPPING=PRECISE</stp>
        <stp>FS=MRC</stp>
        <stp>CURRENCY=USD</stp>
        <stp>XLFILL=b</stp>
        <tr r="AD66" s="2"/>
      </tp>
      <tp t="s">
        <v>#N/A Requesting Data...</v>
        <stp/>
        <stp>##V3_BQLV12</stp>
        <stp>[MODL_NOW_US1.xlsx]Single Period!R66C20</stp>
        <stp>SEG0000230986 Segment</stp>
        <stp>SALES_REV_TURN/1M</stp>
        <stp>FPR=2021Y</stp>
        <stp>FPT=A</stp>
        <stp>FA_ACT_EST_DATA=E, EST_SOURCE=CAN</stp>
        <stp>ACT_EST_MAPPING=PRECISE</stp>
        <stp>FS=MRC</stp>
        <stp>CURRENCY=USD</stp>
        <stp>XLFILL=b</stp>
        <tr r="T66" s="2"/>
      </tp>
      <tp t="s">
        <v>#N/A Requesting Data...</v>
        <stp/>
        <stp>##V3_BQLV12</stp>
        <stp>[MODL_NOW_US1.xlsx]Single Period!R83C20</stp>
        <stp>NOW US Equity</stp>
        <stp>IS_ADJUSTED_COGS_AS_REPORTED/1M</stp>
        <stp>FPR=2021Y</stp>
        <stp>FPT=A</stp>
        <stp>FA_ACT_EST_DATA=E, EST_SOURCE=CAN</stp>
        <stp>ACT_EST_MAPPING=PRECISE</stp>
        <stp>FS=MRC</stp>
        <stp>CURRENCY=USD</stp>
        <stp>XLFILL=b</stp>
        <tr r="T83" s="2"/>
      </tp>
      <tp t="s">
        <v>#N/A Requesting Data...</v>
        <stp/>
        <stp>##V3_BQLV12</stp>
        <stp>[MODL_NOW_US1.xlsx]Single Period!R83C12</stp>
        <stp>NOW US Equity</stp>
        <stp>IS_ADJUSTED_COGS_AS_REPORTED/1M</stp>
        <stp>FPR=2021Y</stp>
        <stp>FPT=A</stp>
        <stp>FA_ACT_EST_DATA=E, EST_SOURCE=WBL</stp>
        <stp>ACT_EST_MAPPING=PRECISE</stp>
        <stp>FS=MRC</stp>
        <stp>CURRENCY=USD</stp>
        <stp>XLFILL=b</stp>
        <tr r="L83" s="2"/>
      </tp>
      <tp t="s">
        <v>#N/A Requesting Data...</v>
        <stp/>
        <stp>##V3_BQLV12</stp>
        <stp>[MODL_NOW_US1.xlsx]Single Period!R119C16</stp>
        <stp>NOW US Equity</stp>
        <stp>CB_IS_S_AND_M_EXPENSE/1M</stp>
        <stp>FPR=2021Y</stp>
        <stp>FPT=A</stp>
        <stp>FA_ACT_EST_DATA=E, EST_SOURCE=BCA</stp>
        <stp>ACT_EST_MAPPING=PRECISE</stp>
        <stp>FS=MRC</stp>
        <stp>CURRENCY=USD</stp>
        <stp>XLFILL=b</stp>
        <tr r="P119" s="2"/>
      </tp>
      <tp t="s">
        <v>#N/A Requesting Data...</v>
        <stp/>
        <stp>##V3_BQLV12</stp>
        <stp>[MODL_NOW_US1.xlsx]Single Period!R169C22</stp>
        <stp>NOW US Equity</stp>
        <stp>CB_BS_OTHER_NONCURRENT_ASSETS/1M</stp>
        <stp>FPR=2021Y</stp>
        <stp>FPT=A</stp>
        <stp>FA_ACT_EST_DATA=E, EST_SOURCE=NDH</stp>
        <stp>ACT_EST_MAPPING=PRECISE</stp>
        <stp>FS=MRC</stp>
        <stp>CURRENCY=USD</stp>
        <stp>XLFILL=b</stp>
        <tr r="V169" s="2"/>
      </tp>
      <tp t="s">
        <v>#N/A Requesting Data...</v>
        <stp/>
        <stp>##V3_BQLV12</stp>
        <stp>[MODL_NOW_US1.xlsx]Single Period!R119C27</stp>
        <stp>NOW US Equity</stp>
        <stp>CB_IS_S_AND_M_EXPENSE/1M</stp>
        <stp>FPR=2021Y</stp>
        <stp>FPT=A</stp>
        <stp>FA_ACT_EST_DATA=E, EST_SOURCE=RBC</stp>
        <stp>ACT_EST_MAPPING=PRECISE</stp>
        <stp>FS=MRC</stp>
        <stp>CURRENCY=USD</stp>
        <stp>XLFILL=b</stp>
        <tr r="AA119" s="2"/>
      </tp>
      <tp t="s">
        <v>#N/A Requesting Data...</v>
        <stp/>
        <stp>##V3_BQLV12</stp>
        <stp>[MODL_NOW_US1.xlsx]Single Period!R133C13</stp>
        <stp>NOW US Equity</stp>
        <stp>IS_SH_FOR_DILUTED_EPS/1M</stp>
        <stp>FPR=2021Y</stp>
        <stp>FPT=A</stp>
        <stp>FA_ACT_EST_DATA=E, EST_SOURCE=KEY</stp>
        <stp>ACT_EST_MAPPING=PRECISE</stp>
        <stp>FS=MRC</stp>
        <stp>CURRENCY=USD</stp>
        <stp>XLFILL=b</stp>
        <tr r="M133" s="2"/>
      </tp>
      <tp t="s">
        <v>#N/A Requesting Data...</v>
        <stp/>
        <stp>##V3_BQLV12</stp>
        <stp>[MODL_NOW_US1.xlsx]Single Period!R150C30</stp>
        <stp>NOW US Equity</stp>
        <stp>IS_INC_TAX_EFFECT_NONGAAP_REC/1M</stp>
        <stp>FPR=2021Y</stp>
        <stp>FPT=A</stp>
        <stp>FA_ACT_EST_DATA=E, EST_SOURCE=BAM</stp>
        <stp>ACT_EST_MAPPING=PRECISE</stp>
        <stp>FS=MRC</stp>
        <stp>CURRENCY=USD</stp>
        <stp>XLFILL=b</stp>
        <tr r="AD150" s="2"/>
      </tp>
      <tp t="s">
        <v>#N/A Requesting Data...</v>
        <stp/>
        <stp>##V3_BQLV12</stp>
        <stp>[MODL_NOW_US1.xlsx]Single Period!R61C46</stp>
        <stp>SEG0000230975 Segment</stp>
        <stp>IS_ADJ_GROSS_PROFIT_AS_REPORTED/1M</stp>
        <stp>FPR=2021Y</stp>
        <stp>FPT=A</stp>
        <stp>FA_ACT_EST_DATA=E, EST_SOURCE=MZS</stp>
        <stp>ACT_EST_MAPPING=PRECISE</stp>
        <stp>FS=MRC</stp>
        <stp>CURRENCY=USD</stp>
        <stp>XLFILL=b</stp>
        <tr r="AT61" s="2"/>
      </tp>
      <tp t="s">
        <v>#N/A Requesting Data...</v>
        <stp/>
        <stp>##V3_BQLV12</stp>
        <stp>[MODL_NOW_US1.xlsx]Single Period!R150C20</stp>
        <stp>NOW US Equity</stp>
        <stp>IS_INC_TAX_EFFECT_NONGAAP_REC/1M</stp>
        <stp>FPR=2021Y</stp>
        <stp>FPT=A</stp>
        <stp>FA_ACT_EST_DATA=E, EST_SOURCE=CAN</stp>
        <stp>ACT_EST_MAPPING=PRECISE</stp>
        <stp>FS=MRC</stp>
        <stp>CURRENCY=USD</stp>
        <stp>XLFILL=b</stp>
        <tr r="T150" s="2"/>
      </tp>
      <tp t="s">
        <v>#N/A Requesting Data...</v>
        <stp/>
        <stp>##V3_BQLV12</stp>
        <stp>[MODL_NOW_US1.xlsx]Single Period!R99C14</stp>
        <stp>NOW US Equity</stp>
        <stp>IS_COMPARABLE_EBITDA/1M</stp>
        <stp>FPR=2021Y</stp>
        <stp>FPT=A</stp>
        <stp>FA_ACT_EST_DATA=E, EST_SOURCE=BMO</stp>
        <stp>ACT_EST_MAPPING=PRECISE</stp>
        <stp>FS=MRC</stp>
        <stp>CURRENCY=USD</stp>
        <stp>XLFILL=b</stp>
        <tr r="N99" s="2"/>
      </tp>
      <tp t="s">
        <v>#N/A Requesting Data...</v>
        <stp/>
        <stp>##V3_BQLV12</stp>
        <stp>[MODL_NOW_US1.xlsx]Single Period!R209C46</stp>
        <stp>NOW US Equity</stp>
        <stp>CF_CHANGE_IN_ACCOUNTS_PAYABLE/1M</stp>
        <stp>FPR=2021Y</stp>
        <stp>FPT=A</stp>
        <stp>FA_ACT_EST_DATA=E, EST_SOURCE=MZS</stp>
        <stp>ACT_EST_MAPPING=PRECISE</stp>
        <stp>FS=MRC</stp>
        <stp>CURRENCY=USD</stp>
        <stp>XLFILL=b</stp>
        <tr r="AT209" s="2"/>
      </tp>
      <tp t="s">
        <v>#N/A Requesting Data...</v>
        <stp/>
        <stp>##V3_BQLV12</stp>
        <stp>[MODL_NOW_US1.xlsx]Single Period!R133C18</stp>
        <stp>NOW US Equity</stp>
        <stp>IS_SH_FOR_DILUTED_EPS/1M</stp>
        <stp>FPR=2021Y</stp>
        <stp>FPT=A</stp>
        <stp>FA_ACT_EST_DATA=E, EST_SOURCE=SNR</stp>
        <stp>ACT_EST_MAPPING=PRECISE</stp>
        <stp>FS=MRC</stp>
        <stp>CURRENCY=USD</stp>
        <stp>XLFILL=b</stp>
        <tr r="R133" s="2"/>
      </tp>
      <tp t="s">
        <v>#N/A Requesting Data...</v>
        <stp/>
        <stp>##V3_BQLV12</stp>
        <stp>[MODL_NOW_US1.xlsx]Single Period!R200C28</stp>
        <stp>NOW US Equity</stp>
        <stp>CF_DEPR_AMORT/1M</stp>
        <stp>FPR=2021Y</stp>
        <stp>FPT=A</stp>
        <stp>FA_ACT_EST_DATA=E, EST_SOURCE=EVR</stp>
        <stp>ACT_EST_MAPPING=PRECISE</stp>
        <stp>FS=MRC</stp>
        <stp>CURRENCY=USD</stp>
        <stp>XLFILL=b</stp>
        <tr r="AB200" s="2"/>
      </tp>
      <tp t="s">
        <v>#N/A Requesting Data...</v>
        <stp/>
        <stp>##V3_BQLV12</stp>
        <stp>[MODL_NOW_US1.xlsx]Single Period!R101C48</stp>
        <stp>NOW US Equity</stp>
        <stp>CB_IS_OTHER_NON_OPER_INC_EXPN/1M</stp>
        <stp>FPR=2021Y</stp>
        <stp>FPT=A</stp>
        <stp>FA_ACT_EST_DATA=E, EST_SOURCE=CRC</stp>
        <stp>ACT_EST_MAPPING=PRECISE</stp>
        <stp>FS=MRC</stp>
        <stp>CURRENCY=USD</stp>
        <stp>XLFILL=b</stp>
        <tr r="AV101" s="2"/>
      </tp>
      <tp t="s">
        <v>#N/A Requesting Data...</v>
        <stp/>
        <stp>##V3_BQLV12</stp>
        <stp>[MODL_NOW_US1.xlsx]Single Period!R77C29</stp>
        <stp>SEG0000230969 Segment</stp>
        <stp>SALES_REV_TURN/1M</stp>
        <stp>FPR=2021Y</stp>
        <stp>FPT=A</stp>
        <stp>FA_ACT_EST_DATA=E, EST_SOURCE=BNS</stp>
        <stp>ACT_EST_MAPPING=PRECISE</stp>
        <stp>FS=MRC</stp>
        <stp>CURRENCY=USD</stp>
        <stp>XLFILL=b</stp>
        <tr r="AC77" s="2"/>
      </tp>
      <tp t="s">
        <v>#N/A Requesting Data...</v>
        <stp/>
        <stp>##V3_BQLV12</stp>
        <stp>[MODL_NOW_US1.xlsx]Single Period!R77C18</stp>
        <stp>SEG0000230969 Segment</stp>
        <stp>SALES_REV_TURN/1M</stp>
        <stp>FPR=2021Y</stp>
        <stp>FPT=A</stp>
        <stp>FA_ACT_EST_DATA=E, EST_SOURCE=SNR</stp>
        <stp>ACT_EST_MAPPING=PRECISE</stp>
        <stp>FS=MRC</stp>
        <stp>CURRENCY=USD</stp>
        <stp>XLFILL=b</stp>
        <tr r="R77" s="2"/>
      </tp>
      <tp t="s">
        <v>#N/A Requesting Data...</v>
        <stp/>
        <stp>##V3_BQLV12</stp>
        <stp>[MODL_NOW_US1.xlsx]Single Period!R25C29</stp>
        <stp>NOW US Equity</stp>
        <stp>IS_COMP_GROSS_MARGIN_PERCENTAGE</stp>
        <stp>FPR=2021Y</stp>
        <stp>FPT=A</stp>
        <stp>FA_ACT_EST_DATA=E, EST_SOURCE=BNS</stp>
        <stp>ACT_EST_MAPPING=PRECISE</stp>
        <stp>FS=MRC</stp>
        <stp>CURRENCY=USD</stp>
        <stp>XLFILL=b</stp>
        <tr r="AC25" s="2"/>
      </tp>
      <tp t="s">
        <v>#N/A Requesting Data...</v>
        <stp/>
        <stp>##V3_BQLV12</stp>
        <stp>[MODL_NOW_US1.xlsx]Single Period!R3C39</stp>
        <stp>NOW US Equity</stp>
        <stp>LAST(IS_COMP_SALES(FA_ACT_EST_DATA=E, EST_SOURCE=DZB).firm_name)</stp>
        <stp>FPR=2021Y</stp>
        <stp>FPT=A</stp>
        <stp>ACT_EST_MAPPING=PRECISE</stp>
        <stp>FS=MRC</stp>
        <stp>CURRENCY=USD</stp>
        <stp>XLFILL=b</stp>
        <tr r="AM3" s="2"/>
      </tp>
      <tp t="s">
        <v>#N/A Requesting Data...</v>
        <stp/>
        <stp>##V3_BQLV12</stp>
        <stp>[MODL_NOW_US1.xlsx]Single Period!R85C29</stp>
        <stp>NOW US Equity</stp>
        <stp>IS_COMP_GROSS_MARGIN_PERCENTAGE</stp>
        <stp>FPR=2021Y</stp>
        <stp>FPT=A</stp>
        <stp>FA_ACT_EST_DATA=E, EST_SOURCE=BNS</stp>
        <stp>ACT_EST_MAPPING=PRECISE</stp>
        <stp>FS=MRC</stp>
        <stp>CURRENCY=USD</stp>
        <stp>XLFILL=b</stp>
        <tr r="AC85" s="2"/>
      </tp>
      <tp t="s">
        <v>#N/A Requesting Data...</v>
        <stp/>
        <stp>##V3_BQLV12</stp>
        <stp>[MODL_NOW_US1.xlsx]Single Period!R201C23</stp>
        <stp>NOW US Equity</stp>
        <stp>D_AND_A_TO_SALES</stp>
        <stp>FPR=2021Y</stp>
        <stp>FPT=A</stp>
        <stp>FA_ACT_EST_DATA=E, EST_SOURCE=ZXS</stp>
        <stp>ACT_EST_MAPPING=PRECISE</stp>
        <stp>FS=MRC</stp>
        <stp>CURRENCY=USD</stp>
        <stp>XLFILL=b</stp>
        <tr r="W201" s="2"/>
      </tp>
      <tp t="s">
        <v>#N/A Requesting Data...</v>
        <stp/>
        <stp>##V3_BQLV12</stp>
        <stp>[MODL_NOW_US1.xlsx]Single Period!R105C9</stp>
        <stp>NOW US Equity</stp>
        <stp>CONTRIBUTOR_STATS(ADJ_PROFIT_MARGIN, MEDIAN)</stp>
        <stp>FPR=2021Y</stp>
        <stp>FPT=A</stp>
        <stp>FA_ACT_EST_DATA=E</stp>
        <stp>ACT_EST_MAPPING=PRECISE</stp>
        <stp>FS=MRC</stp>
        <stp>CURRENCY=USD</stp>
        <stp>XLFILL=b</stp>
        <tr r="I105" s="2"/>
      </tp>
      <tp t="s">
        <v>#N/A Requesting Data...</v>
        <stp/>
        <stp>##V3_BQLV12</stp>
        <stp>[MODL_NOW_US1.xlsx]Single Period!R25C14</stp>
        <stp>NOW US Equity</stp>
        <stp>IS_COMP_GROSS_MARGIN_PERCENTAGE</stp>
        <stp>FPR=2021Y</stp>
        <stp>FPT=A</stp>
        <stp>FA_ACT_EST_DATA=E, EST_SOURCE=BMO</stp>
        <stp>ACT_EST_MAPPING=PRECISE</stp>
        <stp>FS=MRC</stp>
        <stp>CURRENCY=USD</stp>
        <stp>XLFILL=b</stp>
        <tr r="N25" s="2"/>
      </tp>
      <tp t="s">
        <v>#N/A Requesting Data...</v>
        <stp/>
        <stp>##V3_BQLV12</stp>
        <stp>[MODL_NOW_US1.xlsx]Single Period!R3C46</stp>
        <stp>NOW US Equity</stp>
        <stp>LAST(IS_COMP_SALES(FA_ACT_EST_DATA=E, EST_SOURCE=MZS).firm_name)</stp>
        <stp>FPR=2021Y</stp>
        <stp>FPT=A</stp>
        <stp>ACT_EST_MAPPING=PRECISE</stp>
        <stp>FS=MRC</stp>
        <stp>CURRENCY=USD</stp>
        <stp>XLFILL=b</stp>
        <tr r="AT3" s="2"/>
      </tp>
      <tp t="s">
        <v>#N/A Requesting Data...</v>
        <stp/>
        <stp>##V3_BQLV12</stp>
        <stp>[MODL_NOW_US1.xlsx]Single Period!R134C14</stp>
        <stp>NOW US Equity</stp>
        <stp>IS_COMP_EPS_GAAP</stp>
        <stp>FPR=2021Y</stp>
        <stp>FPT=A</stp>
        <stp>FA_ACT_EST_DATA=E, EST_SOURCE=BMO</stp>
        <stp>ACT_EST_MAPPING=PRECISE</stp>
        <stp>FS=MRC</stp>
        <stp>CURRENCY=USD</stp>
        <stp>XLFILL=b</stp>
        <tr r="N134" s="2"/>
      </tp>
      <tp t="s">
        <v>#N/A Requesting Data...</v>
        <stp/>
        <stp>##V3_BQLV12</stp>
        <stp>[MODL_NOW_US1.xlsx]Single Period!R85C14</stp>
        <stp>NOW US Equity</stp>
        <stp>IS_COMP_GROSS_MARGIN_PERCENTAGE</stp>
        <stp>FPR=2021Y</stp>
        <stp>FPT=A</stp>
        <stp>FA_ACT_EST_DATA=E, EST_SOURCE=BMO</stp>
        <stp>ACT_EST_MAPPING=PRECISE</stp>
        <stp>FS=MRC</stp>
        <stp>CURRENCY=USD</stp>
        <stp>XLFILL=b</stp>
        <tr r="N85" s="2"/>
      </tp>
      <tp t="s">
        <v>#N/A Requesting Data...</v>
        <stp/>
        <stp>##V3_BQLV12</stp>
        <stp>[MODL_NOW_US1.xlsx]Single Period!R70C19</stp>
        <stp>SEG0000230986 Segment</stp>
        <stp>IS_ADJ_GROSS_MARGIN_PCT_AR</stp>
        <stp>FPR=2021Y</stp>
        <stp>FPT=A</stp>
        <stp>FA_ACT_EST_DATA=E, EST_SOURCE=MSV</stp>
        <stp>ACT_EST_MAPPING=PRECISE</stp>
        <stp>FS=MRC</stp>
        <stp>CURRENCY=USD</stp>
        <stp>XLFILL=b</stp>
        <tr r="S70" s="2"/>
      </tp>
      <tp t="s">
        <v>#N/A Requesting Data...</v>
        <stp/>
        <stp>##V3_BQLV12</stp>
        <stp>[MODL_NOW_US1.xlsx]Single Period!R22C19</stp>
        <stp>SEG0000230986 Segment</stp>
        <stp>IS_ADJ_GROSS_MARGIN_PCT_AR</stp>
        <stp>FPR=2021Y</stp>
        <stp>FPT=A</stp>
        <stp>FA_ACT_EST_DATA=E, EST_SOURCE=MSV</stp>
        <stp>ACT_EST_MAPPING=PRECISE</stp>
        <stp>FS=MRC</stp>
        <stp>CURRENCY=USD</stp>
        <stp>XLFILL=b</stp>
        <tr r="S22" s="2"/>
      </tp>
      <tp t="s">
        <v>#N/A Requesting Data...</v>
        <stp/>
        <stp>##V3_BQLV12</stp>
        <stp>[MODL_NOW_US1.xlsx]Single Period!R156C31</stp>
        <stp>NOW US Equity</stp>
        <stp>BS_CASH_NEAR_CASH_ITEM/1M</stp>
        <stp>FPR=2021Y</stp>
        <stp>FPT=A</stp>
        <stp>FA_ACT_EST_DATA=E, EST_SOURCE=GSR</stp>
        <stp>ACT_EST_MAPPING=PRECISE</stp>
        <stp>FS=MRC</stp>
        <stp>CURRENCY=USD</stp>
        <stp>XLFILL=b</stp>
        <tr r="AE156" s="2"/>
      </tp>
      <tp t="s">
        <v>#N/A Requesting Data...</v>
        <stp/>
        <stp>##V3_BQLV12</stp>
        <stp>[MODL_NOW_US1.xlsx]Single Period!R156C35</stp>
        <stp>NOW US Equity</stp>
        <stp>BS_CASH_NEAR_CASH_ITEM/1M</stp>
        <stp>FPR=2021Y</stp>
        <stp>FPT=A</stp>
        <stp>FA_ACT_EST_DATA=E, EST_SOURCE=MSR</stp>
        <stp>ACT_EST_MAPPING=PRECISE</stp>
        <stp>FS=MRC</stp>
        <stp>CURRENCY=USD</stp>
        <stp>XLFILL=b</stp>
        <tr r="AI156" s="2"/>
      </tp>
      <tp t="s">
        <v>#N/A Requesting Data...</v>
        <stp/>
        <stp>##V3_BQLV12</stp>
        <stp>[MODL_NOW_US1.xlsx]Single Period!R27C6</stp>
        <stp>NOW US Equity</stp>
        <stp>CONTRIBUTOR_STATS(IS_REV_INCLUDING_INTERSEG_REV, MIN)/1M</stp>
        <stp>FPR=2021Y</stp>
        <stp>FPT=A</stp>
        <stp>FA_ACT_EST_DATA=E</stp>
        <stp>ACT_EST_MAPPING=PRECISE</stp>
        <stp>FS=MRC</stp>
        <stp>CURRENCY=USD</stp>
        <stp>XLFILL=b</stp>
        <tr r="F27" s="2"/>
      </tp>
      <tp t="s">
        <v>#N/A Requesting Data...</v>
        <stp/>
        <stp>##V3_BQLV12</stp>
        <stp>[MODL_NOW_US1.xlsx]Single Period!R156C19</stp>
        <stp>NOW US Equity</stp>
        <stp>BS_CASH_NEAR_CASH_ITEM/1M</stp>
        <stp>FPR=2021Y</stp>
        <stp>FPT=A</stp>
        <stp>FA_ACT_EST_DATA=E, EST_SOURCE=MSV</stp>
        <stp>ACT_EST_MAPPING=PRECISE</stp>
        <stp>FS=MRC</stp>
        <stp>CURRENCY=USD</stp>
        <stp>XLFILL=b</stp>
        <tr r="S156" s="2"/>
      </tp>
      <tp t="s">
        <v>#N/A Requesting Data...</v>
        <stp/>
        <stp>##V3_BQLV12</stp>
        <stp>[MODL_NOW_US1.xlsx]Single Period!R22C35</stp>
        <stp>SEG0000230986 Segment</stp>
        <stp>IS_ADJ_GROSS_MARGIN_PCT_AR</stp>
        <stp>FPR=2021Y</stp>
        <stp>FPT=A</stp>
        <stp>FA_ACT_EST_DATA=E, EST_SOURCE=MSR</stp>
        <stp>ACT_EST_MAPPING=PRECISE</stp>
        <stp>FS=MRC</stp>
        <stp>CURRENCY=USD</stp>
        <stp>XLFILL=b</stp>
        <tr r="AI22" s="2"/>
      </tp>
      <tp t="s">
        <v>#N/A Requesting Data...</v>
        <stp/>
        <stp>##V3_BQLV12</stp>
        <stp>[MODL_NOW_US1.xlsx]Single Period!R70C31</stp>
        <stp>SEG0000230986 Segment</stp>
        <stp>IS_ADJ_GROSS_MARGIN_PCT_AR</stp>
        <stp>FPR=2021Y</stp>
        <stp>FPT=A</stp>
        <stp>FA_ACT_EST_DATA=E, EST_SOURCE=GSR</stp>
        <stp>ACT_EST_MAPPING=PRECISE</stp>
        <stp>FS=MRC</stp>
        <stp>CURRENCY=USD</stp>
        <stp>XLFILL=b</stp>
        <tr r="AE70" s="2"/>
      </tp>
      <tp t="s">
        <v>#N/A Requesting Data...</v>
        <stp/>
        <stp>##V3_BQLV12</stp>
        <stp>[MODL_NOW_US1.xlsx]Single Period!R22C31</stp>
        <stp>SEG0000230986 Segment</stp>
        <stp>IS_ADJ_GROSS_MARGIN_PCT_AR</stp>
        <stp>FPR=2021Y</stp>
        <stp>FPT=A</stp>
        <stp>FA_ACT_EST_DATA=E, EST_SOURCE=GSR</stp>
        <stp>ACT_EST_MAPPING=PRECISE</stp>
        <stp>FS=MRC</stp>
        <stp>CURRENCY=USD</stp>
        <stp>XLFILL=b</stp>
        <tr r="AE22" s="2"/>
      </tp>
      <tp t="s">
        <v>#N/A Requesting Data...</v>
        <stp/>
        <stp>##V3_BQLV12</stp>
        <stp>[MODL_NOW_US1.xlsx]Single Period!R70C35</stp>
        <stp>SEG0000230986 Segment</stp>
        <stp>IS_ADJ_GROSS_MARGIN_PCT_AR</stp>
        <stp>FPR=2021Y</stp>
        <stp>FPT=A</stp>
        <stp>FA_ACT_EST_DATA=E, EST_SOURCE=MSR</stp>
        <stp>ACT_EST_MAPPING=PRECISE</stp>
        <stp>FS=MRC</stp>
        <stp>CURRENCY=USD</stp>
        <stp>XLFILL=b</stp>
        <tr r="AI70" s="2"/>
      </tp>
      <tp t="s">
        <v>#N/A Requesting Data...</v>
        <stp/>
        <stp>##V3_BQLV12</stp>
        <stp>[MODL_NOW_US1.xlsx]Single Period!R168C41</stp>
        <stp>NOW US Equity</stp>
        <stp>CB_BS_DEFERRED_COST_LT/1M</stp>
        <stp>FPR=2021Y</stp>
        <stp>FPT=A</stp>
        <stp>FA_ACT_EST_DATA=E, EST_SOURCE=ARG</stp>
        <stp>ACT_EST_MAPPING=PRECISE</stp>
        <stp>FS=MRC</stp>
        <stp>CURRENCY=USD</stp>
        <stp>XLFILL=b</stp>
        <tr r="AO168" s="2"/>
      </tp>
      <tp t="s">
        <v>#N/A Requesting Data...</v>
        <stp/>
        <stp>##V3_BQLV12</stp>
        <stp>[MODL_NOW_US1.xlsx]Single Period!R211C45</stp>
        <stp>NOW US Equity</stp>
        <stp>CF_CHG_IN_DEFER_UNEARND_REV_ST/1M</stp>
        <stp>FPR=2021Y</stp>
        <stp>FPT=A</stp>
        <stp>FA_ACT_EST_DATA=E, EST_SOURCE=PJE</stp>
        <stp>ACT_EST_MAPPING=PRECISE</stp>
        <stp>FS=MRC</stp>
        <stp>CURRENCY=USD</stp>
        <stp>XLFILL=b</stp>
        <tr r="AS211" s="2"/>
      </tp>
      <tp t="s">
        <v>#N/A Requesting Data...</v>
        <stp/>
        <stp>##V3_BQLV12</stp>
        <stp>[MODL_NOW_US1.xlsx]Single Period!R168C44</stp>
        <stp>NOW US Equity</stp>
        <stp>CB_BS_DEFERRED_COST_LT/1M</stp>
        <stp>FPR=2021Y</stp>
        <stp>FPT=A</stp>
        <stp>FA_ACT_EST_DATA=E, EST_SOURCE=ARE</stp>
        <stp>ACT_EST_MAPPING=PRECISE</stp>
        <stp>FS=MRC</stp>
        <stp>CURRENCY=USD</stp>
        <stp>XLFILL=b</stp>
        <tr r="AR168" s="2"/>
      </tp>
      <tp t="s">
        <v>#N/A Requesting Data...</v>
        <stp/>
        <stp>##V3_BQLV12</stp>
        <stp>[MODL_NOW_US1.xlsx]Single Period!R89C6</stp>
        <stp>NOW US Equity</stp>
        <stp>CONTRIBUTOR_STATS(IS_REV_INCLUDING_INTERSEG_REV, MIN)/1M</stp>
        <stp>FPR=2021Y</stp>
        <stp>FPT=A</stp>
        <stp>FA_ACT_EST_DATA=E</stp>
        <stp>ACT_EST_MAPPING=PRECISE</stp>
        <stp>FS=MRC</stp>
        <stp>CURRENCY=USD</stp>
        <stp>XLFILL=b</stp>
        <tr r="F89" s="2"/>
      </tp>
      <tp t="s">
        <v>#N/A Requesting Data...</v>
        <stp/>
        <stp>##V3_BQLV12</stp>
        <stp>[MODL_NOW_US1.xlsx]Single Period!R168C48</stp>
        <stp>NOW US Equity</stp>
        <stp>CB_BS_DEFERRED_COST_LT/1M</stp>
        <stp>FPR=2021Y</stp>
        <stp>FPT=A</stp>
        <stp>FA_ACT_EST_DATA=E, EST_SOURCE=CRC</stp>
        <stp>ACT_EST_MAPPING=PRECISE</stp>
        <stp>FS=MRC</stp>
        <stp>CURRENCY=USD</stp>
        <stp>XLFILL=b</stp>
        <tr r="AV168" s="2"/>
      </tp>
      <tp t="s">
        <v>#N/A Requesting Data...</v>
        <stp/>
        <stp>##V3_BQLV12</stp>
        <stp>[MODL_NOW_US1.xlsx]Single Period!R146C45</stp>
        <stp>NOW US Equity</stp>
        <stp>IS_AMORT_ACQD_INTANGIBLES_COGS/1M</stp>
        <stp>FPR=2021Y</stp>
        <stp>FPT=A</stp>
        <stp>FA_ACT_EST_DATA=E, EST_SOURCE=PJE</stp>
        <stp>ACT_EST_MAPPING=PRECISE</stp>
        <stp>FS=MRC</stp>
        <stp>CURRENCY=USD</stp>
        <stp>XLFILL=b</stp>
        <tr r="AS146" s="2"/>
      </tp>
      <tp t="s">
        <v>#N/A Requesting Data...</v>
        <stp/>
        <stp>##V3_BQLV12</stp>
        <stp>[MODL_NOW_US1.xlsx]Single Period!R18C15</stp>
        <stp>SEG0000230975 Segment</stp>
        <stp>IS_ADJ_GROSS_MARGIN_PCT_AR</stp>
        <stp>FPR=2021Y</stp>
        <stp>FPT=A</stp>
        <stp>FA_ACT_EST_DATA=E, EST_SOURCE=OPY</stp>
        <stp>ACT_EST_MAPPING=PRECISE</stp>
        <stp>FS=MRC</stp>
        <stp>CURRENCY=USD</stp>
        <stp>XLFILL=b</stp>
        <tr r="O18" s="2"/>
      </tp>
      <tp t="s">
        <v>#N/A Requesting Data...</v>
        <stp/>
        <stp>##V3_BQLV12</stp>
        <stp>[MODL_NOW_US1.xlsx]Single Period!R62C15</stp>
        <stp>SEG0000230975 Segment</stp>
        <stp>IS_ADJ_GROSS_MARGIN_PCT_AR</stp>
        <stp>FPR=2021Y</stp>
        <stp>FPT=A</stp>
        <stp>FA_ACT_EST_DATA=E, EST_SOURCE=OPY</stp>
        <stp>ACT_EST_MAPPING=PRECISE</stp>
        <stp>FS=MRC</stp>
        <stp>CURRENCY=USD</stp>
        <stp>XLFILL=b</stp>
        <tr r="O62" s="2"/>
      </tp>
      <tp t="s">
        <v>#N/A Requesting Data...</v>
        <stp/>
        <stp>##V3_BQLV12</stp>
        <stp>[MODL_NOW_US1.xlsx]Single Period!R232C30</stp>
        <stp>NOW US Equity</stp>
        <stp>CF_CASH_AND_CASH_EQUIV_BEG_BAL/1M</stp>
        <stp>FPR=2021Y</stp>
        <stp>FPT=A</stp>
        <stp>FA_ACT_EST_DATA=E, EST_SOURCE=BAM</stp>
        <stp>ACT_EST_MAPPING=PRECISE</stp>
        <stp>FS=MRC</stp>
        <stp>CURRENCY=USD</stp>
        <stp>XLFILL=b</stp>
        <tr r="AD232" s="2"/>
      </tp>
      <tp t="s">
        <v>#N/A Requesting Data...</v>
        <stp/>
        <stp>##V3_BQLV12</stp>
        <stp>[MODL_NOW_US1.xlsx]Single Period!R80C8</stp>
        <stp>NOW US Equity</stp>
        <stp>CONTRIBUTOR_STATS(IS_COMP_SALES, STD)/1M</stp>
        <stp>FPR=2021Y</stp>
        <stp>FPT=A</stp>
        <stp>FA_ACT_EST_DATA=E</stp>
        <stp>ACT_EST_MAPPING=PRECISE</stp>
        <stp>FS=MRC</stp>
        <stp>CURRENCY=USD</stp>
        <stp>XLFILL=b</stp>
        <tr r="H80" s="2"/>
      </tp>
      <tp t="s">
        <v>#N/A Requesting Data...</v>
        <stp/>
        <stp>##V3_BQLV12</stp>
        <stp>[MODL_NOW_US1.xlsx]Single Period!R232C20</stp>
        <stp>NOW US Equity</stp>
        <stp>CF_CASH_AND_CASH_EQUIV_BEG_BAL/1M</stp>
        <stp>FPR=2021Y</stp>
        <stp>FPT=A</stp>
        <stp>FA_ACT_EST_DATA=E, EST_SOURCE=CAN</stp>
        <stp>ACT_EST_MAPPING=PRECISE</stp>
        <stp>FS=MRC</stp>
        <stp>CURRENCY=USD</stp>
        <stp>XLFILL=b</stp>
        <tr r="T232" s="2"/>
      </tp>
      <tp t="s">
        <v>#N/A Requesting Data...</v>
        <stp/>
        <stp>##V3_BQLV12</stp>
        <stp>[MODL_NOW_US1.xlsx]Single Period!R22C34</stp>
        <stp>SEG0000230986 Segment</stp>
        <stp>IS_ADJ_GROSS_MARGIN_PCT_AR</stp>
        <stp>FPR=2021Y</stp>
        <stp>FPT=A</stp>
        <stp>FA_ACT_EST_DATA=E, EST_SOURCE=PSG</stp>
        <stp>ACT_EST_MAPPING=PRECISE</stp>
        <stp>FS=MRC</stp>
        <stp>CURRENCY=USD</stp>
        <stp>XLFILL=b</stp>
        <tr r="AH22" s="2"/>
      </tp>
      <tp t="s">
        <v>#N/A Requesting Data...</v>
        <stp/>
        <stp>##V3_BQLV12</stp>
        <stp>[MODL_NOW_US1.xlsx]Single Period!R70C34</stp>
        <stp>SEG0000230986 Segment</stp>
        <stp>IS_ADJ_GROSS_MARGIN_PCT_AR</stp>
        <stp>FPR=2021Y</stp>
        <stp>FPT=A</stp>
        <stp>FA_ACT_EST_DATA=E, EST_SOURCE=PSG</stp>
        <stp>ACT_EST_MAPPING=PRECISE</stp>
        <stp>FS=MRC</stp>
        <stp>CURRENCY=USD</stp>
        <stp>XLFILL=b</stp>
        <tr r="AH70" s="2"/>
      </tp>
      <tp t="s">
        <v>#N/A Requesting Data...</v>
        <stp/>
        <stp>##V3_BQLV12</stp>
        <stp>[MODL_NOW_US1.xlsx]Single Period!R156C34</stp>
        <stp>NOW US Equity</stp>
        <stp>BS_CASH_NEAR_CASH_ITEM/1M</stp>
        <stp>FPR=2021Y</stp>
        <stp>FPT=A</stp>
        <stp>FA_ACT_EST_DATA=E, EST_SOURCE=PSG</stp>
        <stp>ACT_EST_MAPPING=PRECISE</stp>
        <stp>FS=MRC</stp>
        <stp>CURRENCY=USD</stp>
        <stp>XLFILL=b</stp>
        <tr r="AH156" s="2"/>
      </tp>
      <tp t="s">
        <v>#N/A Requesting Data...</v>
        <stp/>
        <stp>##V3_BQLV12</stp>
        <stp>[MODL_NOW_US1.xlsx]Single Period!R83C9</stp>
        <stp>NOW US Equity</stp>
        <stp>CONTRIBUTOR_STATS(IS_ADJUSTED_COGS_AS_REPORTED, MEDIAN)/1M</stp>
        <stp>FPR=2021Y</stp>
        <stp>FPT=A</stp>
        <stp>FA_ACT_EST_DATA=E</stp>
        <stp>ACT_EST_MAPPING=PRECISE</stp>
        <stp>FS=MRC</stp>
        <stp>CURRENCY=USD</stp>
        <stp>XLFILL=b</stp>
        <tr r="I83" s="2"/>
      </tp>
      <tp t="s">
        <v>#N/A Requesting Data...</v>
        <stp/>
        <stp>##V3_BQLV12</stp>
        <stp>[MODL_NOW_US1.xlsx]Single Period!R64C30</stp>
        <stp>SEG0000230975 Segment</stp>
        <stp>CB_IS_GROSS_MARGIN</stp>
        <stp>FPR=2021Y</stp>
        <stp>FPT=A</stp>
        <stp>FA_ACT_EST_DATA=E, EST_SOURCE=BAM</stp>
        <stp>ACT_EST_MAPPING=PRECISE</stp>
        <stp>FS=MRC</stp>
        <stp>CURRENCY=USD</stp>
        <stp>XLFILL=b</stp>
        <tr r="AD64" s="2"/>
      </tp>
      <tp t="s">
        <v>#N/A Requesting Data...</v>
        <stp/>
        <stp>##V3_BQLV12</stp>
        <stp>[MODL_NOW_US1.xlsx]Single Period!R123C23</stp>
        <stp>NOW US Equity</stp>
        <stp>TOTAL_OPERATING_EXPENSES_RATIO/1M</stp>
        <stp>FPR=2021Y</stp>
        <stp>FPT=A</stp>
        <stp>FA_ACT_EST_DATA=E, EST_SOURCE=ZXS</stp>
        <stp>ACT_EST_MAPPING=PRECISE</stp>
        <stp>FS=MRC</stp>
        <stp>CURRENCY=USD</stp>
        <stp>XLFILL=b</stp>
        <tr r="W123" s="2"/>
      </tp>
      <tp t="s">
        <v>#N/A Requesting Data...</v>
        <stp/>
        <stp>##V3_BQLV12</stp>
        <stp>[MODL_NOW_US1.xlsx]Single Period!R64C20</stp>
        <stp>SEG0000230975 Segment</stp>
        <stp>CB_IS_GROSS_MARGIN</stp>
        <stp>FPR=2021Y</stp>
        <stp>FPT=A</stp>
        <stp>FA_ACT_EST_DATA=E, EST_SOURCE=CAN</stp>
        <stp>ACT_EST_MAPPING=PRECISE</stp>
        <stp>FS=MRC</stp>
        <stp>CURRENCY=USD</stp>
        <stp>XLFILL=b</stp>
        <tr r="T64" s="2"/>
      </tp>
      <tp t="s">
        <v>#N/A Requesting Data...</v>
        <stp/>
        <stp>##V3_BQLV12</stp>
        <stp>[MODL_NOW_US1.xlsx]Single Period!R62C11</stp>
        <stp>SEG0000230975 Segment</stp>
        <stp>IS_ADJ_GROSS_MARGIN_PCT_AR</stp>
        <stp>FPR=2021Y</stp>
        <stp>FPT=A</stp>
        <stp>FA_ACT_EST_DATA=E, EST_SOURCE=JPM</stp>
        <stp>ACT_EST_MAPPING=PRECISE</stp>
        <stp>FS=MRC</stp>
        <stp>CURRENCY=USD</stp>
        <stp>XLFILL=b</stp>
        <tr r="K62" s="2"/>
      </tp>
      <tp t="s">
        <v>#N/A Requesting Data...</v>
        <stp/>
        <stp>##V3_BQLV12</stp>
        <stp>[MODL_NOW_US1.xlsx]Single Period!R18C11</stp>
        <stp>SEG0000230975 Segment</stp>
        <stp>IS_ADJ_GROSS_MARGIN_PCT_AR</stp>
        <stp>FPR=2021Y</stp>
        <stp>FPT=A</stp>
        <stp>FA_ACT_EST_DATA=E, EST_SOURCE=JPM</stp>
        <stp>ACT_EST_MAPPING=PRECISE</stp>
        <stp>FS=MRC</stp>
        <stp>CURRENCY=USD</stp>
        <stp>XLFILL=b</stp>
        <tr r="K18" s="2"/>
      </tp>
      <tp t="s">
        <v>#N/A Requesting Data...</v>
        <stp/>
        <stp>##V3_BQLV12</stp>
        <stp>[MODL_NOW_US1.xlsx]Single Period!R64C33</stp>
        <stp>SEG0000230975 Segment</stp>
        <stp>CB_IS_GROSS_MARGIN</stp>
        <stp>FPR=2021Y</stp>
        <stp>FPT=A</stp>
        <stp>FA_ACT_EST_DATA=E, EST_SOURCE=MAC</stp>
        <stp>ACT_EST_MAPPING=PRECISE</stp>
        <stp>FS=MRC</stp>
        <stp>CURRENCY=USD</stp>
        <stp>XLFILL=b</stp>
        <tr r="AG64" s="2"/>
      </tp>
      <tp t="s">
        <v>#N/A Requesting Data...</v>
        <stp/>
        <stp>##V3_BQLV12</stp>
        <stp>[MODL_NOW_US1.xlsx]Single Period!R233C16</stp>
        <stp>NOW US Equity</stp>
        <stp>CF_CASH_AND_CASH_EQUIV_END_BAL/1M</stp>
        <stp>FPR=2021Y</stp>
        <stp>FPT=A</stp>
        <stp>FA_ACT_EST_DATA=E, EST_SOURCE=BCA</stp>
        <stp>ACT_EST_MAPPING=PRECISE</stp>
        <stp>FS=MRC</stp>
        <stp>CURRENCY=USD</stp>
        <stp>XLFILL=b</stp>
        <tr r="P233" s="2"/>
      </tp>
      <tp t="s">
        <v>#N/A Requesting Data...</v>
        <stp/>
        <stp>##V3_BQLV12</stp>
        <stp>[MODL_NOW_US1.xlsx]Single Period!R233C49</stp>
        <stp>NOW US Equity</stp>
        <stp>CF_CASH_AND_CASH_EQUIV_END_BAL/1M</stp>
        <stp>FPR=2021Y</stp>
        <stp>FPT=A</stp>
        <stp>FA_ACT_EST_DATA=E, EST_SOURCE=SCB</stp>
        <stp>ACT_EST_MAPPING=PRECISE</stp>
        <stp>FS=MRC</stp>
        <stp>CURRENCY=USD</stp>
        <stp>XLFILL=b</stp>
        <tr r="AW233" s="2"/>
      </tp>
      <tp t="s">
        <v>#N/A Requesting Data...</v>
        <stp/>
        <stp>##V3_BQLV12</stp>
        <stp>[MODL_NOW_US1.xlsx]Single Period!R232C33</stp>
        <stp>NOW US Equity</stp>
        <stp>CF_CASH_AND_CASH_EQUIV_BEG_BAL/1M</stp>
        <stp>FPR=2021Y</stp>
        <stp>FPT=A</stp>
        <stp>FA_ACT_EST_DATA=E, EST_SOURCE=MAC</stp>
        <stp>ACT_EST_MAPPING=PRECISE</stp>
        <stp>FS=MRC</stp>
        <stp>CURRENCY=USD</stp>
        <stp>XLFILL=b</stp>
        <tr r="AG232" s="2"/>
      </tp>
      <tp t="s">
        <v>#N/A Requesting Data...</v>
        <stp/>
        <stp>##V3_BQLV12</stp>
        <stp>[MODL_NOW_US1.xlsx]Single Period!R27C24</stp>
        <stp>NOW US Equity</stp>
        <stp>IS_REV_INCLUDING_INTERSEG_REV/1M</stp>
        <stp>FPR=2021Y</stp>
        <stp>FPT=A</stp>
        <stp>FA_ACT_EST_DATA=E, EST_SOURCE=CWN</stp>
        <stp>ACT_EST_MAPPING=PRECISE</stp>
        <stp>FS=MRC</stp>
        <stp>CURRENCY=USD</stp>
        <stp>XLFILL=b</stp>
        <tr r="X27" s="2"/>
      </tp>
      <tp t="s">
        <v>#N/A Requesting Data...</v>
        <stp/>
        <stp>##V3_BQLV12</stp>
        <stp>[MODL_NOW_US1.xlsx]Single Period!R92C11</stp>
        <stp>NOW US Equity</stp>
        <stp>IS_ADJ_GENL_AND_ADMIN_EXPN_AR/1M</stp>
        <stp>FPR=2021Y</stp>
        <stp>FPT=A</stp>
        <stp>FA_ACT_EST_DATA=E, EST_SOURCE=JPM</stp>
        <stp>ACT_EST_MAPPING=PRECISE</stp>
        <stp>FS=MRC</stp>
        <stp>CURRENCY=USD</stp>
        <stp>XLFILL=b</stp>
        <tr r="K92" s="2"/>
      </tp>
      <tp t="s">
        <v>#N/A Requesting Data...</v>
        <stp/>
        <stp>##V3_BQLV12</stp>
        <stp>[MODL_NOW_US1.xlsx]Single Period!R98C18</stp>
        <stp>NOW US Equity</stp>
        <stp>CF_DEPR_AMORT/1M</stp>
        <stp>FPR=2021Y</stp>
        <stp>FPT=A</stp>
        <stp>FA_ACT_EST_DATA=E, EST_SOURCE=SNR</stp>
        <stp>ACT_EST_MAPPING=PRECISE</stp>
        <stp>FS=MRC</stp>
        <stp>CURRENCY=USD</stp>
        <stp>XLFILL=b</stp>
        <tr r="R98" s="2"/>
      </tp>
      <tp t="s">
        <v>#N/A Requesting Data...</v>
        <stp/>
        <stp>##V3_BQLV12</stp>
        <stp>[MODL_NOW_US1.xlsx]Single Period!R180C42</stp>
        <stp>NOW US Equity</stp>
        <stp>BS_LT_OPERATING_LEASE_LIABS/1M</stp>
        <stp>FPR=2021Y</stp>
        <stp>FPT=A</stp>
        <stp>FA_ACT_EST_DATA=E, EST_SOURCE=CTI</stp>
        <stp>ACT_EST_MAPPING=PRECISE</stp>
        <stp>FS=MRC</stp>
        <stp>CURRENCY=USD</stp>
        <stp>XLFILL=b</stp>
        <tr r="AP180" s="2"/>
      </tp>
      <tp t="s">
        <v>#N/A Requesting Data...</v>
        <stp/>
        <stp>##V3_BQLV12</stp>
        <stp>[MODL_NOW_US1.xlsx]Single Period!R158C37</stp>
        <stp>NOW US Equity</stp>
        <stp>BS_ACCTS_REC_EXCL_NOTES_REC/1M</stp>
        <stp>FPR=2021Y</stp>
        <stp>FPT=A</stp>
        <stp>FA_ACT_EST_DATA=E, EST_SOURCE=TTC</stp>
        <stp>ACT_EST_MAPPING=PRECISE</stp>
        <stp>FS=MRC</stp>
        <stp>CURRENCY=USD</stp>
        <stp>XLFILL=b</stp>
        <tr r="AK158" s="2"/>
      </tp>
      <tp t="s">
        <v>#N/A Requesting Data...</v>
        <stp/>
        <stp>##V3_BQLV12</stp>
        <stp>[MODL_NOW_US1.xlsx]Single Period!R98C13</stp>
        <stp>NOW US Equity</stp>
        <stp>CF_DEPR_AMORT/1M</stp>
        <stp>FPR=2021Y</stp>
        <stp>FPT=A</stp>
        <stp>FA_ACT_EST_DATA=E, EST_SOURCE=KEY</stp>
        <stp>ACT_EST_MAPPING=PRECISE</stp>
        <stp>FS=MRC</stp>
        <stp>CURRENCY=USD</stp>
        <stp>XLFILL=b</stp>
        <tr r="M98" s="2"/>
      </tp>
      <tp t="s">
        <v>#N/A Requesting Data...</v>
        <stp/>
        <stp>##V3_BQLV12</stp>
        <stp>[MODL_NOW_US1.xlsx]Single Period!R180C37</stp>
        <stp>NOW US Equity</stp>
        <stp>BS_LT_OPERATING_LEASE_LIABS/1M</stp>
        <stp>FPR=2021Y</stp>
        <stp>FPT=A</stp>
        <stp>FA_ACT_EST_DATA=E, EST_SOURCE=TTC</stp>
        <stp>ACT_EST_MAPPING=PRECISE</stp>
        <stp>FS=MRC</stp>
        <stp>CURRENCY=USD</stp>
        <stp>XLFILL=b</stp>
        <tr r="AK180" s="2"/>
      </tp>
      <tp t="s">
        <v>#N/A Requesting Data...</v>
        <stp/>
        <stp>##V3_BQLV12</stp>
        <stp>[MODL_NOW_US1.xlsx]Single Period!R27C41</stp>
        <stp>NOW US Equity</stp>
        <stp>IS_REV_INCLUDING_INTERSEG_REV/1M</stp>
        <stp>FPR=2021Y</stp>
        <stp>FPT=A</stp>
        <stp>FA_ACT_EST_DATA=E, EST_SOURCE=ARG</stp>
        <stp>ACT_EST_MAPPING=PRECISE</stp>
        <stp>FS=MRC</stp>
        <stp>CURRENCY=USD</stp>
        <stp>XLFILL=b</stp>
        <tr r="AO27" s="2"/>
      </tp>
      <tp t="s">
        <v>#N/A Requesting Data...</v>
        <stp/>
        <stp>##V3_BQLV12</stp>
        <stp>[MODL_NOW_US1.xlsx]Single Period!R158C42</stp>
        <stp>NOW US Equity</stp>
        <stp>BS_ACCTS_REC_EXCL_NOTES_REC/1M</stp>
        <stp>FPR=2021Y</stp>
        <stp>FPT=A</stp>
        <stp>FA_ACT_EST_DATA=E, EST_SOURCE=CTI</stp>
        <stp>ACT_EST_MAPPING=PRECISE</stp>
        <stp>FS=MRC</stp>
        <stp>CURRENCY=USD</stp>
        <stp>XLFILL=b</stp>
        <tr r="AP158" s="2"/>
      </tp>
      <tp t="s">
        <v>#N/A Requesting Data...</v>
        <stp/>
        <stp>##V3_BQLV12</stp>
        <stp>[MODL_NOW_US1.xlsx]Single Period!R27C39</stp>
        <stp>NOW US Equity</stp>
        <stp>IS_REV_INCLUDING_INTERSEG_REV/1M</stp>
        <stp>FPR=2021Y</stp>
        <stp>FPT=A</stp>
        <stp>FA_ACT_EST_DATA=E, EST_SOURCE=DZB</stp>
        <stp>ACT_EST_MAPPING=PRECISE</stp>
        <stp>FS=MRC</stp>
        <stp>CURRENCY=USD</stp>
        <stp>XLFILL=b</stp>
        <tr r="AM27" s="2"/>
      </tp>
      <tp t="s">
        <v>#N/A Requesting Data...</v>
        <stp/>
        <stp>##V3_BQLV12</stp>
        <stp>[MODL_NOW_US1.xlsx]Single Period!R27C37</stp>
        <stp>NOW US Equity</stp>
        <stp>IS_REV_INCLUDING_INTERSEG_REV/1M</stp>
        <stp>FPR=2021Y</stp>
        <stp>FPT=A</stp>
        <stp>FA_ACT_EST_DATA=E, EST_SOURCE=TTC</stp>
        <stp>ACT_EST_MAPPING=PRECISE</stp>
        <stp>FS=MRC</stp>
        <stp>CURRENCY=USD</stp>
        <stp>XLFILL=b</stp>
        <tr r="AK27" s="2"/>
      </tp>
      <tp t="s">
        <v>#N/A Requesting Data...</v>
        <stp/>
        <stp>##V3_BQLV12</stp>
        <stp>[MODL_NOW_US1.xlsx]Single Period!R80C31</stp>
        <stp>NOW US Equity</stp>
        <stp>IS_COMP_SALES/1M</stp>
        <stp>FPR=2021Y</stp>
        <stp>FPT=A</stp>
        <stp>FA_ACT_EST_DATA=E, EST_SOURCE=GSR</stp>
        <stp>ACT_EST_MAPPING=PRECISE</stp>
        <stp>FS=MRC</stp>
        <stp>CURRENCY=USD</stp>
        <stp>XLFILL=b</stp>
        <tr r="AE80" s="2"/>
      </tp>
      <tp t="s">
        <v>#N/A Requesting Data...</v>
        <stp/>
        <stp>##V3_BQLV12</stp>
        <stp>[MODL_NOW_US1.xlsx]Single Period!R80C47</stp>
        <stp>NOW US Equity</stp>
        <stp>IS_COMP_SALES/1M</stp>
        <stp>FPR=2021Y</stp>
        <stp>FPT=A</stp>
        <stp>FA_ACT_EST_DATA=E, EST_SOURCE=SUM</stp>
        <stp>ACT_EST_MAPPING=PRECISE</stp>
        <stp>FS=MRC</stp>
        <stp>CURRENCY=USD</stp>
        <stp>XLFILL=b</stp>
        <tr r="AU80" s="2"/>
      </tp>
      <tp t="s">
        <v>#N/A Requesting Data...</v>
        <stp/>
        <stp>##V3_BQLV12</stp>
        <stp>[MODL_NOW_US1.xlsx]Single Period!R210C42</stp>
        <stp>NOW US Equity</stp>
        <stp>CF_CHANGE_IN_PREPAID_EXPNSS/1M</stp>
        <stp>FPR=2021Y</stp>
        <stp>FPT=A</stp>
        <stp>FA_ACT_EST_DATA=E, EST_SOURCE=CTI</stp>
        <stp>ACT_EST_MAPPING=PRECISE</stp>
        <stp>FS=MRC</stp>
        <stp>CURRENCY=USD</stp>
        <stp>XLFILL=b</stp>
        <tr r="AP210" s="2"/>
      </tp>
      <tp t="s">
        <v>#N/A Requesting Data...</v>
        <stp/>
        <stp>##V3_BQLV12</stp>
        <stp>[MODL_NOW_US1.xlsx]Single Period!R137C20</stp>
        <stp>NOW US Equity</stp>
        <stp>CF_STOCK_BASED_COMPENSATION/1M</stp>
        <stp>FPR=2021Y</stp>
        <stp>FPT=A</stp>
        <stp>FA_ACT_EST_DATA=E, EST_SOURCE=CAN</stp>
        <stp>ACT_EST_MAPPING=PRECISE</stp>
        <stp>FS=MRC</stp>
        <stp>CURRENCY=USD</stp>
        <stp>XLFILL=b</stp>
        <tr r="T137" s="2"/>
      </tp>
      <tp t="s">
        <v>#N/A Requesting Data...</v>
        <stp/>
        <stp>##V3_BQLV12</stp>
        <stp>[MODL_NOW_US1.xlsx]Single Period!R184C33</stp>
        <stp>NOW US Equity</stp>
        <stp>BS_EQTY_BEFORE_MINORITY_INT/1M</stp>
        <stp>FPR=2021Y</stp>
        <stp>FPT=A</stp>
        <stp>FA_ACT_EST_DATA=E, EST_SOURCE=MAC</stp>
        <stp>ACT_EST_MAPPING=PRECISE</stp>
        <stp>FS=MRC</stp>
        <stp>CURRENCY=USD</stp>
        <stp>XLFILL=b</stp>
        <tr r="AG184" s="2"/>
      </tp>
      <tp t="s">
        <v>#N/A Requesting Data...</v>
        <stp/>
        <stp>##V3_BQLV12</stp>
        <stp>[MODL_NOW_US1.xlsx]Single Period!R9C29</stp>
        <stp>NOW US Equity</stp>
        <stp>IS_BILLINGS/1M</stp>
        <stp>FPR=2021Y</stp>
        <stp>FPT=A</stp>
        <stp>FA_ACT_EST_DATA=E, EST_SOURCE=BNS</stp>
        <stp>ACT_EST_MAPPING=PRECISE</stp>
        <stp>FS=MRC</stp>
        <stp>CURRENCY=USD</stp>
        <stp>XLFILL=b</stp>
        <tr r="AC9" s="2"/>
      </tp>
      <tp t="s">
        <v>#N/A Requesting Data...</v>
        <stp/>
        <stp>##V3_BQLV12</stp>
        <stp>[MODL_NOW_US1.xlsx]Single Period!R124C49</stp>
        <stp>NOW US Equity</stp>
        <stp>IS_EBIT_AS_REPORTED/1M</stp>
        <stp>FPR=2021Y</stp>
        <stp>FPT=A</stp>
        <stp>FA_ACT_EST_DATA=E, EST_SOURCE=SCB</stp>
        <stp>ACT_EST_MAPPING=PRECISE</stp>
        <stp>FS=MRC</stp>
        <stp>CURRENCY=USD</stp>
        <stp>XLFILL=b</stp>
        <tr r="AW124" s="2"/>
      </tp>
      <tp t="s">
        <v>#N/A Requesting Data...</v>
        <stp/>
        <stp>##V3_BQLV12</stp>
        <stp>[MODL_NOW_US1.xlsx]Single Period!R108C9</stp>
        <stp>NOW US Equity</stp>
        <stp>CONTRIBUTOR_STATS(IS_COMP_EPS_EXCL_STOCK_COMP, MEDIAN)</stp>
        <stp>FPR=2021Y</stp>
        <stp>FPT=A</stp>
        <stp>FA_ACT_EST_DATA=E</stp>
        <stp>ACT_EST_MAPPING=PRECISE</stp>
        <stp>FS=MRC</stp>
        <stp>CURRENCY=USD</stp>
        <stp>XLFILL=b</stp>
        <tr r="I108" s="2"/>
      </tp>
      <tp t="s">
        <v>#N/A Requesting Data...</v>
        <stp/>
        <stp>##V3_BQLV12</stp>
        <stp>[MODL_NOW_US1.xlsx]Single Period!R178C48</stp>
        <stp>NOW US Equity</stp>
        <stp>BS_ADJ_TOTAL_LT_LIABILITIES/1M</stp>
        <stp>FPR=2021Y</stp>
        <stp>FPT=A</stp>
        <stp>FA_ACT_EST_DATA=E, EST_SOURCE=CRC</stp>
        <stp>ACT_EST_MAPPING=PRECISE</stp>
        <stp>FS=MRC</stp>
        <stp>CURRENCY=USD</stp>
        <stp>XLFILL=b</stp>
        <tr r="AV178" s="2"/>
      </tp>
      <tp t="s">
        <v>#N/A Requesting Data...</v>
        <stp/>
        <stp>##V3_BQLV12</stp>
        <stp>[MODL_NOW_US1.xlsx]Single Period!R203C16</stp>
        <stp>NOW US Equity</stp>
        <stp>AMORTIZATN_OF_FINNCNG_COSTS/1M</stp>
        <stp>FPR=2021Y</stp>
        <stp>FPT=A</stp>
        <stp>FA_ACT_EST_DATA=E, EST_SOURCE=BCA</stp>
        <stp>ACT_EST_MAPPING=PRECISE</stp>
        <stp>FS=MRC</stp>
        <stp>CURRENCY=USD</stp>
        <stp>XLFILL=b</stp>
        <tr r="P203" s="2"/>
      </tp>
      <tp t="s">
        <v>#N/A Requesting Data...</v>
        <stp/>
        <stp>##V3_BQLV12</stp>
        <stp>[MODL_NOW_US1.xlsx]Single Period!R137C30</stp>
        <stp>NOW US Equity</stp>
        <stp>CF_STOCK_BASED_COMPENSATION/1M</stp>
        <stp>FPR=2021Y</stp>
        <stp>FPT=A</stp>
        <stp>FA_ACT_EST_DATA=E, EST_SOURCE=BAM</stp>
        <stp>ACT_EST_MAPPING=PRECISE</stp>
        <stp>FS=MRC</stp>
        <stp>CURRENCY=USD</stp>
        <stp>XLFILL=b</stp>
        <tr r="AD137" s="2"/>
      </tp>
      <tp t="s">
        <v>#N/A Requesting Data...</v>
        <stp/>
        <stp>##V3_BQLV12</stp>
        <stp>[MODL_NOW_US1.xlsx]Single Period!R9C18</stp>
        <stp>NOW US Equity</stp>
        <stp>IS_BILLINGS/1M</stp>
        <stp>FPR=2021Y</stp>
        <stp>FPT=A</stp>
        <stp>FA_ACT_EST_DATA=E, EST_SOURCE=SNR</stp>
        <stp>ACT_EST_MAPPING=PRECISE</stp>
        <stp>FS=MRC</stp>
        <stp>CURRENCY=USD</stp>
        <stp>XLFILL=b</stp>
        <tr r="R9" s="2"/>
      </tp>
      <tp t="s">
        <v>#N/A Requesting Data...</v>
        <stp/>
        <stp>##V3_BQLV12</stp>
        <stp>[MODL_NOW_US1.xlsx]Single Period!R30C11</stp>
        <stp>NOW US Equity</stp>
        <stp>CF_FREE_CASH_FLOW_AS_REPORTED/1M</stp>
        <stp>FPR=2021Y</stp>
        <stp>FPT=A</stp>
        <stp>FA_ACT_EST_DATA=E, EST_SOURCE=JPM</stp>
        <stp>ACT_EST_MAPPING=PRECISE</stp>
        <stp>FS=MRC</stp>
        <stp>CURRENCY=USD</stp>
        <stp>XLFILL=b</stp>
        <tr r="K30" s="2"/>
      </tp>
      <tp t="s">
        <v>#N/A Requesting Data...</v>
        <stp/>
        <stp>##V3_BQLV12</stp>
        <stp>[MODL_NOW_US1.xlsx]Single Period!R203C49</stp>
        <stp>NOW US Equity</stp>
        <stp>AMORTIZATN_OF_FINNCNG_COSTS/1M</stp>
        <stp>FPR=2021Y</stp>
        <stp>FPT=A</stp>
        <stp>FA_ACT_EST_DATA=E, EST_SOURCE=SCB</stp>
        <stp>ACT_EST_MAPPING=PRECISE</stp>
        <stp>FS=MRC</stp>
        <stp>CURRENCY=USD</stp>
        <stp>XLFILL=b</stp>
        <tr r="AW203" s="2"/>
      </tp>
      <tp t="s">
        <v>#N/A Requesting Data...</v>
        <stp/>
        <stp>##V3_BQLV12</stp>
        <stp>[MODL_NOW_US1.xlsx]Single Period!R178C44</stp>
        <stp>NOW US Equity</stp>
        <stp>BS_ADJ_TOTAL_LT_LIABILITIES/1M</stp>
        <stp>FPR=2021Y</stp>
        <stp>FPT=A</stp>
        <stp>FA_ACT_EST_DATA=E, EST_SOURCE=ARE</stp>
        <stp>ACT_EST_MAPPING=PRECISE</stp>
        <stp>FS=MRC</stp>
        <stp>CURRENCY=USD</stp>
        <stp>XLFILL=b</stp>
        <tr r="AR178" s="2"/>
      </tp>
      <tp t="s">
        <v>#N/A Requesting Data...</v>
        <stp/>
        <stp>##V3_BQLV12</stp>
        <stp>[MODL_NOW_US1.xlsx]Single Period!R178C41</stp>
        <stp>NOW US Equity</stp>
        <stp>BS_ADJ_TOTAL_LT_LIABILITIES/1M</stp>
        <stp>FPR=2021Y</stp>
        <stp>FPT=A</stp>
        <stp>FA_ACT_EST_DATA=E, EST_SOURCE=ARG</stp>
        <stp>ACT_EST_MAPPING=PRECISE</stp>
        <stp>FS=MRC</stp>
        <stp>CURRENCY=USD</stp>
        <stp>XLFILL=b</stp>
        <tr r="AO178" s="2"/>
      </tp>
      <tp t="s">
        <v>#N/A Requesting Data...</v>
        <stp/>
        <stp>##V3_BQLV12</stp>
        <stp>[MODL_NOW_US1.xlsx]Single Period!R105C42</stp>
        <stp>NOW US Equity</stp>
        <stp>ADJ_PROFIT_MARGIN</stp>
        <stp>FPR=2021Y</stp>
        <stp>FPT=A</stp>
        <stp>FA_ACT_EST_DATA=E, EST_SOURCE=CTI</stp>
        <stp>ACT_EST_MAPPING=PRECISE</stp>
        <stp>FS=MRC</stp>
        <stp>CURRENCY=USD</stp>
        <stp>XLFILL=b</stp>
        <tr r="AP105" s="2"/>
      </tp>
      <tp t="s">
        <v>#N/A Requesting Data...</v>
        <stp/>
        <stp>##V3_BQLV12</stp>
        <stp>[MODL_NOW_US1.xlsx]Single Period!R161C28</stp>
        <stp>NOW US Equity</stp>
        <stp>BS_TOTAL_NON_CURRENT_ASSETS/1M</stp>
        <stp>FPR=2021Y</stp>
        <stp>FPT=A</stp>
        <stp>FA_ACT_EST_DATA=E, EST_SOURCE=EVR</stp>
        <stp>ACT_EST_MAPPING=PRECISE</stp>
        <stp>FS=MRC</stp>
        <stp>CURRENCY=USD</stp>
        <stp>XLFILL=b</stp>
        <tr r="AB161" s="2"/>
      </tp>
      <tp t="s">
        <v>#N/A Requesting Data...</v>
        <stp/>
        <stp>##V3_BQLV12</stp>
        <stp>[MODL_NOW_US1.xlsx]Single Period!R124C16</stp>
        <stp>NOW US Equity</stp>
        <stp>IS_EBIT_AS_REPORTED/1M</stp>
        <stp>FPR=2021Y</stp>
        <stp>FPT=A</stp>
        <stp>FA_ACT_EST_DATA=E, EST_SOURCE=BCA</stp>
        <stp>ACT_EST_MAPPING=PRECISE</stp>
        <stp>FS=MRC</stp>
        <stp>CURRENCY=USD</stp>
        <stp>XLFILL=b</stp>
        <tr r="P124" s="2"/>
      </tp>
      <tp t="s">
        <v>#N/A Requesting Data...</v>
        <stp/>
        <stp>##V3_BQLV12</stp>
        <stp>[MODL_NOW_US1.xlsx]Single Period!R154C17</stp>
        <stp>NOW US Equity</stp>
        <stp>BS_CUR_ASSET_REPORT/1M</stp>
        <stp>FPR=2021Y</stp>
        <stp>FPT=A</stp>
        <stp>FA_ACT_EST_DATA=E, EST_SOURCE=RHR</stp>
        <stp>ACT_EST_MAPPING=PRECISE</stp>
        <stp>FS=MRC</stp>
        <stp>CURRENCY=USD</stp>
        <stp>XLFILL=b</stp>
        <tr r="Q154" s="2"/>
      </tp>
      <tp t="s">
        <v>#N/A Requesting Data...</v>
        <stp/>
        <stp>##V3_BQLV12</stp>
        <stp>[MODL_NOW_US1.xlsx]Single Period!R98C22</stp>
        <stp>NOW US Equity</stp>
        <stp>CF_DEPR_AMORT/1M</stp>
        <stp>FPR=2021Y</stp>
        <stp>FPT=A</stp>
        <stp>FA_ACT_EST_DATA=E, EST_SOURCE=NDH</stp>
        <stp>ACT_EST_MAPPING=PRECISE</stp>
        <stp>FS=MRC</stp>
        <stp>CURRENCY=USD</stp>
        <stp>XLFILL=b</stp>
        <tr r="V98" s="2"/>
      </tp>
      <tp t="s">
        <v>#N/A Requesting Data...</v>
        <stp/>
        <stp>##V3_BQLV12</stp>
        <stp>[MODL_NOW_US1.xlsx]Single Period!R107C10</stp>
        <stp>NOW US Equity</stp>
        <stp>CB_IS_ADJ_DILUTED_AVG_SHS/1M</stp>
        <stp>FPR=2021Y</stp>
        <stp>FPT=A</stp>
        <stp>FA_ACT_EST_DATA=E, EST_SOURCE=CMPY</stp>
        <stp>ACT_EST_MAPPING=PRECISE</stp>
        <stp>FS=MRC</stp>
        <stp>CURRENCY=USD</stp>
        <stp>XLFILL=b</stp>
        <tr r="J107" s="2"/>
      </tp>
      <tp t="s">
        <v>#N/A Requesting Data...</v>
        <stp/>
        <stp>##V3_BQLV12</stp>
        <stp>[MODL_NOW_US1.xlsx]Single Period!R105C37</stp>
        <stp>NOW US Equity</stp>
        <stp>ADJ_PROFIT_MARGIN</stp>
        <stp>FPR=2021Y</stp>
        <stp>FPT=A</stp>
        <stp>FA_ACT_EST_DATA=E, EST_SOURCE=TTC</stp>
        <stp>ACT_EST_MAPPING=PRECISE</stp>
        <stp>FS=MRC</stp>
        <stp>CURRENCY=USD</stp>
        <stp>XLFILL=b</stp>
        <tr r="AK105" s="2"/>
      </tp>
      <tp t="s">
        <v>#N/A Requesting Data...</v>
        <stp/>
        <stp>##V3_BQLV12</stp>
        <stp>[MODL_NOW_US1.xlsx]Single Period!R137C33</stp>
        <stp>NOW US Equity</stp>
        <stp>CF_STOCK_BASED_COMPENSATION/1M</stp>
        <stp>FPR=2021Y</stp>
        <stp>FPT=A</stp>
        <stp>FA_ACT_EST_DATA=E, EST_SOURCE=MAC</stp>
        <stp>ACT_EST_MAPPING=PRECISE</stp>
        <stp>FS=MRC</stp>
        <stp>CURRENCY=USD</stp>
        <stp>XLFILL=b</stp>
        <tr r="AG137" s="2"/>
      </tp>
      <tp t="s">
        <v>#N/A Requesting Data...</v>
        <stp/>
        <stp>##V3_BQLV12</stp>
        <stp>[MODL_NOW_US1.xlsx]Single Period!R184C20</stp>
        <stp>NOW US Equity</stp>
        <stp>BS_EQTY_BEFORE_MINORITY_INT/1M</stp>
        <stp>FPR=2021Y</stp>
        <stp>FPT=A</stp>
        <stp>FA_ACT_EST_DATA=E, EST_SOURCE=CAN</stp>
        <stp>ACT_EST_MAPPING=PRECISE</stp>
        <stp>FS=MRC</stp>
        <stp>CURRENCY=USD</stp>
        <stp>XLFILL=b</stp>
        <tr r="T184" s="2"/>
      </tp>
      <tp t="s">
        <v>#N/A Requesting Data...</v>
        <stp/>
        <stp>##V3_BQLV12</stp>
        <stp>[MODL_NOW_US1.xlsx]Single Period!R210C37</stp>
        <stp>NOW US Equity</stp>
        <stp>CF_CHANGE_IN_PREPAID_EXPNSS/1M</stp>
        <stp>FPR=2021Y</stp>
        <stp>FPT=A</stp>
        <stp>FA_ACT_EST_DATA=E, EST_SOURCE=TTC</stp>
        <stp>ACT_EST_MAPPING=PRECISE</stp>
        <stp>FS=MRC</stp>
        <stp>CURRENCY=USD</stp>
        <stp>XLFILL=b</stp>
        <tr r="AK210" s="2"/>
      </tp>
      <tp t="s">
        <v>#N/A Requesting Data...</v>
        <stp/>
        <stp>##V3_BQLV12</stp>
        <stp>[MODL_NOW_US1.xlsx]Single Period!R184C30</stp>
        <stp>NOW US Equity</stp>
        <stp>BS_EQTY_BEFORE_MINORITY_INT/1M</stp>
        <stp>FPR=2021Y</stp>
        <stp>FPT=A</stp>
        <stp>FA_ACT_EST_DATA=E, EST_SOURCE=BAM</stp>
        <stp>ACT_EST_MAPPING=PRECISE</stp>
        <stp>FS=MRC</stp>
        <stp>CURRENCY=USD</stp>
        <stp>XLFILL=b</stp>
        <tr r="AD184" s="2"/>
      </tp>
      <tp t="s">
        <v>#N/A Requesting Data...</v>
        <stp/>
        <stp>##V3_BQLV12</stp>
        <stp>[MODL_NOW_US1.xlsx]Single Period!R77C14</stp>
        <stp>SEG0000230969 Segment</stp>
        <stp>SALES_REV_TURN/1M</stp>
        <stp>FPR=2021Y</stp>
        <stp>FPT=A</stp>
        <stp>FA_ACT_EST_DATA=E, EST_SOURCE=BMO</stp>
        <stp>ACT_EST_MAPPING=PRECISE</stp>
        <stp>FS=MRC</stp>
        <stp>CURRENCY=USD</stp>
        <stp>XLFILL=b</stp>
        <tr r="N77" s="2"/>
      </tp>
      <tp t="s">
        <v>#N/A Requesting Data...</v>
        <stp/>
        <stp>##V3_BQLV12</stp>
        <stp>[MODL_NOW_US1.xlsx]Single Period!R58C49</stp>
        <stp>SEG0000230975 Segment</stp>
        <stp>SALES_REV_TURN/1M</stp>
        <stp>FPR=2021Y</stp>
        <stp>FPT=A</stp>
        <stp>FA_ACT_EST_DATA=E, EST_SOURCE=SCB</stp>
        <stp>ACT_EST_MAPPING=PRECISE</stp>
        <stp>FS=MRC</stp>
        <stp>CURRENCY=USD</stp>
        <stp>XLFILL=b</stp>
        <tr r="AW58" s="2"/>
      </tp>
      <tp t="s">
        <v>#N/A Requesting Data...</v>
        <stp/>
        <stp>##V3_BQLV12</stp>
        <stp>[MODL_NOW_US1.xlsx]Single Period!R119C18</stp>
        <stp>NOW US Equity</stp>
        <stp>CB_IS_S_AND_M_EXPENSE/1M</stp>
        <stp>FPR=2021Y</stp>
        <stp>FPT=A</stp>
        <stp>FA_ACT_EST_DATA=E, EST_SOURCE=SNR</stp>
        <stp>ACT_EST_MAPPING=PRECISE</stp>
        <stp>FS=MRC</stp>
        <stp>CURRENCY=USD</stp>
        <stp>XLFILL=b</stp>
        <tr r="R119" s="2"/>
      </tp>
      <tp t="s">
        <v>#N/A Requesting Data...</v>
        <stp/>
        <stp>##V3_BQLV12</stp>
        <stp>[MODL_NOW_US1.xlsx]Single Period!R58C16</stp>
        <stp>SEG0000230975 Segment</stp>
        <stp>SALES_REV_TURN/1M</stp>
        <stp>FPR=2021Y</stp>
        <stp>FPT=A</stp>
        <stp>FA_ACT_EST_DATA=E, EST_SOURCE=BCA</stp>
        <stp>ACT_EST_MAPPING=PRECISE</stp>
        <stp>FS=MRC</stp>
        <stp>CURRENCY=USD</stp>
        <stp>XLFILL=b</stp>
        <tr r="P58" s="2"/>
      </tp>
      <tp t="s">
        <v>#N/A Requesting Data...</v>
        <stp/>
        <stp>##V3_BQLV12</stp>
        <stp>[MODL_NOW_US1.xlsx]Single Period!R83C25</stp>
        <stp>NOW US Equity</stp>
        <stp>IS_ADJUSTED_COGS_AS_REPORTED/1M</stp>
        <stp>FPR=2021Y</stp>
        <stp>FPT=A</stp>
        <stp>FA_ACT_EST_DATA=E, EST_SOURCE=DBG</stp>
        <stp>ACT_EST_MAPPING=PRECISE</stp>
        <stp>FS=MRC</stp>
        <stp>CURRENCY=USD</stp>
        <stp>XLFILL=b</stp>
        <tr r="Y83" s="2"/>
      </tp>
      <tp t="s">
        <v>#N/A Requesting Data...</v>
        <stp/>
        <stp>##V3_BQLV12</stp>
        <stp>[MODL_NOW_US1.xlsx]Single Period!R207C17</stp>
        <stp>NOW US Equity</stp>
        <stp>CB_CF_CHANGE_IN_ACCOUNTS_RECEIVABLE/1M</stp>
        <stp>FPR=2021Y</stp>
        <stp>FPT=A</stp>
        <stp>FA_ACT_EST_DATA=E, EST_SOURCE=RHR</stp>
        <stp>ACT_EST_MAPPING=PRECISE</stp>
        <stp>FS=MRC</stp>
        <stp>CURRENCY=USD</stp>
        <stp>XLFILL=b</stp>
        <tr r="Q207" s="2"/>
      </tp>
      <tp t="s">
        <v>#N/A Requesting Data...</v>
        <stp/>
        <stp>##V3_BQLV12</stp>
        <stp>[MODL_NOW_US1.xlsx]Single Period!R66C27</stp>
        <stp>SEG0000230986 Segment</stp>
        <stp>SALES_REV_TURN/1M</stp>
        <stp>FPR=2021Y</stp>
        <stp>FPT=A</stp>
        <stp>FA_ACT_EST_DATA=E, EST_SOURCE=RBC</stp>
        <stp>ACT_EST_MAPPING=PRECISE</stp>
        <stp>FS=MRC</stp>
        <stp>CURRENCY=USD</stp>
        <stp>XLFILL=b</stp>
        <tr r="AA66" s="2"/>
      </tp>
      <tp t="s">
        <v>#N/A Requesting Data...</v>
        <stp/>
        <stp>##V3_BQLV12</stp>
        <stp>[MODL_NOW_US1.xlsx]Single Period!R66C32</stp>
        <stp>SEG0000230986 Segment</stp>
        <stp>SALES_REV_TURN/1M</stp>
        <stp>FPR=2021Y</stp>
        <stp>FPT=A</stp>
        <stp>FA_ACT_EST_DATA=E, EST_SOURCE=FBC</stp>
        <stp>ACT_EST_MAPPING=PRECISE</stp>
        <stp>FS=MRC</stp>
        <stp>CURRENCY=USD</stp>
        <stp>XLFILL=b</stp>
        <tr r="AF66" s="2"/>
      </tp>
      <tp t="s">
        <v>#N/A Requesting Data...</v>
        <stp/>
        <stp>##V3_BQLV12</stp>
        <stp>[MODL_NOW_US1.xlsx]Single Period!R69C39</stp>
        <stp>SEG0000230986 Segment</stp>
        <stp>IS_ADJ_GROSS_PROFIT_AS_REPORTED/1M</stp>
        <stp>FPR=2021Y</stp>
        <stp>FPT=A</stp>
        <stp>FA_ACT_EST_DATA=E, EST_SOURCE=DZB</stp>
        <stp>ACT_EST_MAPPING=PRECISE</stp>
        <stp>FS=MRC</stp>
        <stp>CURRENCY=USD</stp>
        <stp>XLFILL=b</stp>
        <tr r="AM69" s="2"/>
      </tp>
      <tp t="s">
        <v>#N/A Requesting Data...</v>
        <stp/>
        <stp>##V3_BQLV12</stp>
        <stp>[MODL_NOW_US1.xlsx]Single Period!R143C44</stp>
        <stp>NOW US Equity</stp>
        <stp>IS_SBC_ATTRIBUTABLE_TO_R_AND_D_PRETX/1M</stp>
        <stp>FPR=2021Y</stp>
        <stp>FPT=A</stp>
        <stp>FA_ACT_EST_DATA=E, EST_SOURCE=ARE</stp>
        <stp>ACT_EST_MAPPING=PRECISE</stp>
        <stp>FS=MRC</stp>
        <stp>CURRENCY=USD</stp>
        <stp>XLFILL=b</stp>
        <tr r="AR143" s="2"/>
      </tp>
      <tp t="s">
        <v>#N/A Requesting Data...</v>
        <stp/>
        <stp>##V3_BQLV12</stp>
        <stp>[MODL_NOW_US1.xlsx]Single Period!R83C27</stp>
        <stp>NOW US Equity</stp>
        <stp>IS_ADJUSTED_COGS_AS_REPORTED/1M</stp>
        <stp>FPR=2021Y</stp>
        <stp>FPT=A</stp>
        <stp>FA_ACT_EST_DATA=E, EST_SOURCE=RBC</stp>
        <stp>ACT_EST_MAPPING=PRECISE</stp>
        <stp>FS=MRC</stp>
        <stp>CURRENCY=USD</stp>
        <stp>XLFILL=b</stp>
        <tr r="AA83" s="2"/>
      </tp>
      <tp t="s">
        <v>#N/A Requesting Data...</v>
        <stp/>
        <stp>##V3_BQLV12</stp>
        <stp>[MODL_NOW_US1.xlsx]Single Period!R143C41</stp>
        <stp>NOW US Equity</stp>
        <stp>IS_SBC_ATTRIBUTABLE_TO_R_AND_D_PRETX/1M</stp>
        <stp>FPR=2021Y</stp>
        <stp>FPT=A</stp>
        <stp>FA_ACT_EST_DATA=E, EST_SOURCE=ARG</stp>
        <stp>ACT_EST_MAPPING=PRECISE</stp>
        <stp>FS=MRC</stp>
        <stp>CURRENCY=USD</stp>
        <stp>XLFILL=b</stp>
        <tr r="AO143" s="2"/>
      </tp>
      <tp t="s">
        <v>#N/A Requesting Data...</v>
        <stp/>
        <stp>##V3_BQLV12</stp>
        <stp>[MODL_NOW_US1.xlsx]Single Period!R99C18</stp>
        <stp>NOW US Equity</stp>
        <stp>IS_COMPARABLE_EBITDA/1M</stp>
        <stp>FPR=2021Y</stp>
        <stp>FPT=A</stp>
        <stp>FA_ACT_EST_DATA=E, EST_SOURCE=SNR</stp>
        <stp>ACT_EST_MAPPING=PRECISE</stp>
        <stp>FS=MRC</stp>
        <stp>CURRENCY=USD</stp>
        <stp>XLFILL=b</stp>
        <tr r="R99" s="2"/>
      </tp>
      <tp t="s">
        <v>#N/A Requesting Data...</v>
        <stp/>
        <stp>##V3_BQLV12</stp>
        <stp>[MODL_NOW_US1.xlsx]Single Period!R66C25</stp>
        <stp>SEG0000230986 Segment</stp>
        <stp>SALES_REV_TURN/1M</stp>
        <stp>FPR=2021Y</stp>
        <stp>FPT=A</stp>
        <stp>FA_ACT_EST_DATA=E, EST_SOURCE=DBG</stp>
        <stp>ACT_EST_MAPPING=PRECISE</stp>
        <stp>FS=MRC</stp>
        <stp>CURRENCY=USD</stp>
        <stp>XLFILL=b</stp>
        <tr r="Y66" s="2"/>
      </tp>
      <tp t="s">
        <v>#N/A Requesting Data...</v>
        <stp/>
        <stp>##V3_BQLV12</stp>
        <stp>[MODL_NOW_US1.xlsx]Single Period!R102C29</stp>
        <stp>NOW US Equity</stp>
        <stp>IS_COMP_PTP_EX_STK_BASED_COMP/1M</stp>
        <stp>FPR=2021Y</stp>
        <stp>FPT=A</stp>
        <stp>FA_ACT_EST_DATA=E, EST_SOURCE=BNS</stp>
        <stp>ACT_EST_MAPPING=PRECISE</stp>
        <stp>FS=MRC</stp>
        <stp>CURRENCY=USD</stp>
        <stp>XLFILL=b</stp>
        <tr r="AC102" s="2"/>
      </tp>
      <tp t="s">
        <v>#N/A Requesting Data...</v>
        <stp/>
        <stp>##V3_BQLV12</stp>
        <stp>[MODL_NOW_US1.xlsx]Single Period!R235C36</stp>
        <stp>NOW US Equity</stp>
        <stp>CF_FREE_CASH_FLOW_AS_REPORTED/1M</stp>
        <stp>FPR=2021Y</stp>
        <stp>FPT=A</stp>
        <stp>FA_ACT_EST_DATA=E, EST_SOURCE=JEF</stp>
        <stp>ACT_EST_MAPPING=PRECISE</stp>
        <stp>FS=MRC</stp>
        <stp>CURRENCY=USD</stp>
        <stp>XLFILL=b</stp>
        <tr r="AJ235" s="2"/>
      </tp>
      <tp t="s">
        <v>#N/A Requesting Data...</v>
        <stp/>
        <stp>##V3_BQLV12</stp>
        <stp>[MODL_NOW_US1.xlsx]Single Period!R20C22</stp>
        <stp>SEG0000230986 Segment</stp>
        <stp>SALES_REV_TURN/1M</stp>
        <stp>FPR=2021Y</stp>
        <stp>FPT=A</stp>
        <stp>FA_ACT_EST_DATA=E, EST_SOURCE=NDH</stp>
        <stp>ACT_EST_MAPPING=PRECISE</stp>
        <stp>FS=MRC</stp>
        <stp>CURRENCY=USD</stp>
        <stp>XLFILL=b</stp>
        <tr r="V20" s="2"/>
      </tp>
      <tp t="s">
        <v>#N/A Requesting Data...</v>
        <stp/>
        <stp>##V3_BQLV12</stp>
        <stp>[MODL_NOW_US1.xlsx]Single Period!R209C38</stp>
        <stp>NOW US Equity</stp>
        <stp>CF_CHANGE_IN_ACCOUNTS_PAYABLE/1M</stp>
        <stp>FPR=2021Y</stp>
        <stp>FPT=A</stp>
        <stp>FA_ACT_EST_DATA=E, EST_SOURCE=RWB</stp>
        <stp>ACT_EST_MAPPING=PRECISE</stp>
        <stp>FS=MRC</stp>
        <stp>CURRENCY=USD</stp>
        <stp>XLFILL=b</stp>
        <tr r="AL209" s="2"/>
      </tp>
      <tp t="s">
        <v>#N/A Requesting Data...</v>
        <stp/>
        <stp>##V3_BQLV12</stp>
        <stp>[MODL_NOW_US1.xlsx]Single Period!R119C13</stp>
        <stp>NOW US Equity</stp>
        <stp>CB_IS_S_AND_M_EXPENSE/1M</stp>
        <stp>FPR=2021Y</stp>
        <stp>FPT=A</stp>
        <stp>FA_ACT_EST_DATA=E, EST_SOURCE=KEY</stp>
        <stp>ACT_EST_MAPPING=PRECISE</stp>
        <stp>FS=MRC</stp>
        <stp>CURRENCY=USD</stp>
        <stp>XLFILL=b</stp>
        <tr r="M119" s="2"/>
      </tp>
      <tp t="s">
        <v>#N/A Requesting Data...</v>
        <stp/>
        <stp>##V3_BQLV12</stp>
        <stp>[MODL_NOW_US1.xlsx]Single Period!R133C27</stp>
        <stp>NOW US Equity</stp>
        <stp>IS_SH_FOR_DILUTED_EPS/1M</stp>
        <stp>FPR=2021Y</stp>
        <stp>FPT=A</stp>
        <stp>FA_ACT_EST_DATA=E, EST_SOURCE=RBC</stp>
        <stp>ACT_EST_MAPPING=PRECISE</stp>
        <stp>FS=MRC</stp>
        <stp>CURRENCY=USD</stp>
        <stp>XLFILL=b</stp>
        <tr r="AA133" s="2"/>
      </tp>
      <tp t="s">
        <v>#N/A Requesting Data...</v>
        <stp/>
        <stp>##V3_BQLV12</stp>
        <stp>[MODL_NOW_US1.xlsx]Single Period!R143C48</stp>
        <stp>NOW US Equity</stp>
        <stp>IS_SBC_ATTRIBUTABLE_TO_R_AND_D_PRETX/1M</stp>
        <stp>FPR=2021Y</stp>
        <stp>FPT=A</stp>
        <stp>FA_ACT_EST_DATA=E, EST_SOURCE=CRC</stp>
        <stp>ACT_EST_MAPPING=PRECISE</stp>
        <stp>FS=MRC</stp>
        <stp>CURRENCY=USD</stp>
        <stp>XLFILL=b</stp>
        <tr r="AV143" s="2"/>
      </tp>
      <tp t="s">
        <v>#N/A Requesting Data...</v>
        <stp/>
        <stp>##V3_BQLV12</stp>
        <stp>[MODL_NOW_US1.xlsx]Single Period!R133C16</stp>
        <stp>NOW US Equity</stp>
        <stp>IS_SH_FOR_DILUTED_EPS/1M</stp>
        <stp>FPR=2021Y</stp>
        <stp>FPT=A</stp>
        <stp>FA_ACT_EST_DATA=E, EST_SOURCE=BCA</stp>
        <stp>ACT_EST_MAPPING=PRECISE</stp>
        <stp>FS=MRC</stp>
        <stp>CURRENCY=USD</stp>
        <stp>XLFILL=b</stp>
        <tr r="P133" s="2"/>
      </tp>
      <tp t="s">
        <v>#N/A Requesting Data...</v>
        <stp/>
        <stp>##V3_BQLV12</stp>
        <stp>[MODL_NOW_US1.xlsx]Single Period!R54C25</stp>
        <stp>NOW US Equity</stp>
        <stp>IS_FOREIGN_CURRENCY_TURNOVER/1M</stp>
        <stp>FPR=2021Y</stp>
        <stp>FPT=A</stp>
        <stp>FA_ACT_EST_DATA=E, EST_SOURCE=DBG</stp>
        <stp>ACT_EST_MAPPING=PRECISE</stp>
        <stp>FS=MRC</stp>
        <stp>CURRENCY=USD</stp>
        <stp>XLFILL=b</stp>
        <tr r="Y54" s="2"/>
      </tp>
      <tp t="s">
        <v>#N/A Requesting Data...</v>
        <stp/>
        <stp>##V3_BQLV12</stp>
        <stp>[MODL_NOW_US1.xlsx]Single Period!R66C12</stp>
        <stp>SEG0000230986 Segment</stp>
        <stp>SALES_REV_TURN/1M</stp>
        <stp>FPR=2021Y</stp>
        <stp>FPT=A</stp>
        <stp>FA_ACT_EST_DATA=E, EST_SOURCE=WBL</stp>
        <stp>ACT_EST_MAPPING=PRECISE</stp>
        <stp>FS=MRC</stp>
        <stp>CURRENCY=USD</stp>
        <stp>XLFILL=b</stp>
        <tr r="L66" s="2"/>
      </tp>
      <tp t="s">
        <v>#N/A Requesting Data...</v>
        <stp/>
        <stp>##V3_BQLV12</stp>
        <stp>[MODL_NOW_US1.xlsx]Single Period!R54C27</stp>
        <stp>NOW US Equity</stp>
        <stp>IS_FOREIGN_CURRENCY_TURNOVER/1M</stp>
        <stp>FPR=2021Y</stp>
        <stp>FPT=A</stp>
        <stp>FA_ACT_EST_DATA=E, EST_SOURCE=RBC</stp>
        <stp>ACT_EST_MAPPING=PRECISE</stp>
        <stp>FS=MRC</stp>
        <stp>CURRENCY=USD</stp>
        <stp>XLFILL=b</stp>
        <tr r="AA54" s="2"/>
      </tp>
      <tp t="s">
        <v>#N/A Requesting Data...</v>
        <stp/>
        <stp>##V3_BQLV12</stp>
        <stp>[MODL_NOW_US1.xlsx]Single Period!R99C21</stp>
        <stp>NOW US Equity</stp>
        <stp>IS_COMPARABLE_EBITDA/1M</stp>
        <stp>FPR=2021Y</stp>
        <stp>FPT=A</stp>
        <stp>FA_ACT_EST_DATA=E, EST_SOURCE=JMP</stp>
        <stp>ACT_EST_MAPPING=PRECISE</stp>
        <stp>FS=MRC</stp>
        <stp>CURRENCY=USD</stp>
        <stp>XLFILL=b</stp>
        <tr r="U99" s="2"/>
      </tp>
      <tp t="s">
        <v>#N/A Requesting Data...</v>
        <stp/>
        <stp>##V3_BQLV12</stp>
        <stp>[MODL_NOW_US1.xlsx]Single Period!R169C43</stp>
        <stp>NOW US Equity</stp>
        <stp>CB_BS_OTHER_NONCURRENT_ASSETS/1M</stp>
        <stp>FPR=2021Y</stp>
        <stp>FPT=A</stp>
        <stp>FA_ACT_EST_DATA=E, EST_SOURCE=WFT</stp>
        <stp>ACT_EST_MAPPING=PRECISE</stp>
        <stp>FS=MRC</stp>
        <stp>CURRENCY=USD</stp>
        <stp>XLFILL=b</stp>
        <tr r="AQ169" s="2"/>
      </tp>
      <tp t="s">
        <v>#N/A Requesting Data...</v>
        <stp/>
        <stp>##V3_BQLV12</stp>
        <stp>[MODL_NOW_US1.xlsx]Single Period!R66C26</stp>
        <stp>SEG0000230986 Segment</stp>
        <stp>SALES_REV_TURN/1M</stp>
        <stp>FPR=2021Y</stp>
        <stp>FPT=A</stp>
        <stp>FA_ACT_EST_DATA=E, EST_SOURCE=UBS</stp>
        <stp>ACT_EST_MAPPING=PRECISE</stp>
        <stp>FS=MRC</stp>
        <stp>CURRENCY=USD</stp>
        <stp>XLFILL=b</stp>
        <tr r="Z66" s="2"/>
      </tp>
      <tp t="s">
        <v>#N/A Requesting Data...</v>
        <stp/>
        <stp>##V3_BQLV12</stp>
        <stp>[MODL_NOW_US1.xlsx]Single Period!R83C26</stp>
        <stp>NOW US Equity</stp>
        <stp>IS_ADJUSTED_COGS_AS_REPORTED/1M</stp>
        <stp>FPR=2021Y</stp>
        <stp>FPT=A</stp>
        <stp>FA_ACT_EST_DATA=E, EST_SOURCE=UBS</stp>
        <stp>ACT_EST_MAPPING=PRECISE</stp>
        <stp>FS=MRC</stp>
        <stp>CURRENCY=USD</stp>
        <stp>XLFILL=b</stp>
        <tr r="Z83" s="2"/>
      </tp>
      <tp t="s">
        <v>#N/A Requesting Data...</v>
        <stp/>
        <stp>##V3_BQLV12</stp>
        <stp>[MODL_NOW_US1.xlsx]Single Period!R69C46</stp>
        <stp>SEG0000230986 Segment</stp>
        <stp>IS_ADJ_GROSS_PROFIT_AS_REPORTED/1M</stp>
        <stp>FPR=2021Y</stp>
        <stp>FPT=A</stp>
        <stp>FA_ACT_EST_DATA=E, EST_SOURCE=MZS</stp>
        <stp>ACT_EST_MAPPING=PRECISE</stp>
        <stp>FS=MRC</stp>
        <stp>CURRENCY=USD</stp>
        <stp>XLFILL=b</stp>
        <tr r="AT69" s="2"/>
      </tp>
      <tp t="s">
        <v>#N/A Requesting Data...</v>
        <stp/>
        <stp>##V3_BQLV12</stp>
        <stp>[MODL_NOW_US1.xlsx]Single Period!R169C27</stp>
        <stp>NOW US Equity</stp>
        <stp>CB_BS_OTHER_NONCURRENT_ASSETS/1M</stp>
        <stp>FPR=2021Y</stp>
        <stp>FPT=A</stp>
        <stp>FA_ACT_EST_DATA=E, EST_SOURCE=RBC</stp>
        <stp>ACT_EST_MAPPING=PRECISE</stp>
        <stp>FS=MRC</stp>
        <stp>CURRENCY=USD</stp>
        <stp>XLFILL=b</stp>
        <tr r="AA169" s="2"/>
      </tp>
      <tp t="s">
        <v>#N/A Requesting Data...</v>
        <stp/>
        <stp>##V3_BQLV12</stp>
        <stp>[MODL_NOW_US1.xlsx]Single Period!R119C22</stp>
        <stp>NOW US Equity</stp>
        <stp>CB_IS_S_AND_M_EXPENSE/1M</stp>
        <stp>FPR=2021Y</stp>
        <stp>FPT=A</stp>
        <stp>FA_ACT_EST_DATA=E, EST_SOURCE=NDH</stp>
        <stp>ACT_EST_MAPPING=PRECISE</stp>
        <stp>FS=MRC</stp>
        <stp>CURRENCY=USD</stp>
        <stp>XLFILL=b</stp>
        <tr r="V119" s="2"/>
      </tp>
      <tp t="s">
        <v>#N/A Requesting Data...</v>
        <stp/>
        <stp>##V3_BQLV12</stp>
        <stp>[MODL_NOW_US1.xlsx]Single Period!R169C16</stp>
        <stp>NOW US Equity</stp>
        <stp>CB_BS_OTHER_NONCURRENT_ASSETS/1M</stp>
        <stp>FPR=2021Y</stp>
        <stp>FPT=A</stp>
        <stp>FA_ACT_EST_DATA=E, EST_SOURCE=BCA</stp>
        <stp>ACT_EST_MAPPING=PRECISE</stp>
        <stp>FS=MRC</stp>
        <stp>CURRENCY=USD</stp>
        <stp>XLFILL=b</stp>
        <tr r="P169" s="2"/>
      </tp>
      <tp t="s">
        <v>#N/A Requesting Data...</v>
        <stp/>
        <stp>##V3_BQLV12</stp>
        <stp>[MODL_NOW_US1.xlsx]Single Period!R150C33</stp>
        <stp>NOW US Equity</stp>
        <stp>IS_INC_TAX_EFFECT_NONGAAP_REC/1M</stp>
        <stp>FPR=2021Y</stp>
        <stp>FPT=A</stp>
        <stp>FA_ACT_EST_DATA=E, EST_SOURCE=MAC</stp>
        <stp>ACT_EST_MAPPING=PRECISE</stp>
        <stp>FS=MRC</stp>
        <stp>CURRENCY=USD</stp>
        <stp>XLFILL=b</stp>
        <tr r="AG150" s="2"/>
      </tp>
      <tp t="s">
        <v>#N/A Requesting Data...</v>
        <stp/>
        <stp>##V3_BQLV12</stp>
        <stp>[MODL_NOW_US1.xlsx]Single Period!R102C25</stp>
        <stp>NOW US Equity</stp>
        <stp>IS_COMP_PTP_EX_STK_BASED_COMP/1M</stp>
        <stp>FPR=2021Y</stp>
        <stp>FPT=A</stp>
        <stp>FA_ACT_EST_DATA=E, EST_SOURCE=DBG</stp>
        <stp>ACT_EST_MAPPING=PRECISE</stp>
        <stp>FS=MRC</stp>
        <stp>CURRENCY=USD</stp>
        <stp>XLFILL=b</stp>
        <tr r="Y102" s="2"/>
      </tp>
      <tp t="s">
        <v>#N/A Requesting Data...</v>
        <stp/>
        <stp>##V3_BQLV12</stp>
        <stp>[MODL_NOW_US1.xlsx]Single Period!R54C26</stp>
        <stp>NOW US Equity</stp>
        <stp>IS_FOREIGN_CURRENCY_TURNOVER/1M</stp>
        <stp>FPR=2021Y</stp>
        <stp>FPT=A</stp>
        <stp>FA_ACT_EST_DATA=E, EST_SOURCE=UBS</stp>
        <stp>ACT_EST_MAPPING=PRECISE</stp>
        <stp>FS=MRC</stp>
        <stp>CURRENCY=USD</stp>
        <stp>XLFILL=b</stp>
        <tr r="Z54" s="2"/>
      </tp>
      <tp t="s">
        <v>#N/A Requesting Data...</v>
        <stp/>
        <stp>##V3_BQLV12</stp>
        <stp>[MODL_NOW_US1.xlsx]Single Period!R133C43</stp>
        <stp>NOW US Equity</stp>
        <stp>IS_SH_FOR_DILUTED_EPS/1M</stp>
        <stp>FPR=2021Y</stp>
        <stp>FPT=A</stp>
        <stp>FA_ACT_EST_DATA=E, EST_SOURCE=WFT</stp>
        <stp>ACT_EST_MAPPING=PRECISE</stp>
        <stp>FS=MRC</stp>
        <stp>CURRENCY=USD</stp>
        <stp>XLFILL=b</stp>
        <tr r="AQ133" s="2"/>
      </tp>
      <tp t="s">
        <v>#N/A Requesting Data...</v>
        <stp/>
        <stp>##V3_BQLV12</stp>
        <stp>[MODL_NOW_US1.xlsx]Single Period!R77C21</stp>
        <stp>SEG0000230969 Segment</stp>
        <stp>SALES_REV_TURN/1M</stp>
        <stp>FPR=2021Y</stp>
        <stp>FPT=A</stp>
        <stp>FA_ACT_EST_DATA=E, EST_SOURCE=JMP</stp>
        <stp>ACT_EST_MAPPING=PRECISE</stp>
        <stp>FS=MRC</stp>
        <stp>CURRENCY=USD</stp>
        <stp>XLFILL=b</stp>
        <tr r="U77" s="2"/>
      </tp>
      <tp t="s">
        <v>#N/A Requesting Data...</v>
        <stp/>
        <stp>##V3_BQLV12</stp>
        <stp>[MODL_NOW_US1.xlsx]Single Period!R201C19</stp>
        <stp>NOW US Equity</stp>
        <stp>D_AND_A_TO_SALES</stp>
        <stp>FPR=2021Y</stp>
        <stp>FPT=A</stp>
        <stp>FA_ACT_EST_DATA=E, EST_SOURCE=MSV</stp>
        <stp>ACT_EST_MAPPING=PRECISE</stp>
        <stp>FS=MRC</stp>
        <stp>CURRENCY=USD</stp>
        <stp>XLFILL=b</stp>
        <tr r="S201" s="2"/>
      </tp>
      <tp t="s">
        <v>#N/A Requesting Data...</v>
        <stp/>
        <stp>##V3_BQLV12</stp>
        <stp>[MODL_NOW_US1.xlsx]Single Period!R129C9</stp>
        <stp>NOW US Equity</stp>
        <stp>CONTRIBUTOR_STATS(EFF_TAX_RATE, MEDIAN)</stp>
        <stp>FPR=2021Y</stp>
        <stp>FPT=A</stp>
        <stp>FA_ACT_EST_DATA=E</stp>
        <stp>ACT_EST_MAPPING=PRECISE</stp>
        <stp>FS=MRC</stp>
        <stp>CURRENCY=USD</stp>
        <stp>XLFILL=b</stp>
        <tr r="I129" s="2"/>
      </tp>
      <tp t="s">
        <v>#N/A Requesting Data...</v>
        <stp/>
        <stp>##V3_BQLV12</stp>
        <stp>[MODL_NOW_US1.xlsx]Single Period!R201C48</stp>
        <stp>NOW US Equity</stp>
        <stp>D_AND_A_TO_SALES</stp>
        <stp>FPR=2021Y</stp>
        <stp>FPT=A</stp>
        <stp>FA_ACT_EST_DATA=E, EST_SOURCE=CRC</stp>
        <stp>ACT_EST_MAPPING=PRECISE</stp>
        <stp>FS=MRC</stp>
        <stp>CURRENCY=USD</stp>
        <stp>XLFILL=b</stp>
        <tr r="AV201" s="2"/>
      </tp>
      <tp t="s">
        <v>#N/A Requesting Data...</v>
        <stp/>
        <stp>##V3_BQLV12</stp>
        <stp>[MODL_NOW_US1.xlsx]Single Period!R98C8</stp>
        <stp>NOW US Equity</stp>
        <stp>CONTRIBUTOR_STATS(CF_DEPR_AMORT, STD)/1M</stp>
        <stp>FPR=2021Y</stp>
        <stp>FPT=A</stp>
        <stp>FA_ACT_EST_DATA=E</stp>
        <stp>ACT_EST_MAPPING=PRECISE</stp>
        <stp>FS=MRC</stp>
        <stp>CURRENCY=USD</stp>
        <stp>XLFILL=b</stp>
        <tr r="H98" s="2"/>
      </tp>
      <tp t="s">
        <v>#N/A Requesting Data...</v>
        <stp/>
        <stp>##V3_BQLV12</stp>
        <stp>[MODL_NOW_US1.xlsx]Single Period!R27C7</stp>
        <stp>NOW US Equity</stp>
        <stp>CONTRIBUTOR_STATS(IS_REV_INCLUDING_INTERSEG_REV, MAX)/1M</stp>
        <stp>FPR=2021Y</stp>
        <stp>FPT=A</stp>
        <stp>FA_ACT_EST_DATA=E</stp>
        <stp>ACT_EST_MAPPING=PRECISE</stp>
        <stp>FS=MRC</stp>
        <stp>CURRENCY=USD</stp>
        <stp>XLFILL=b</stp>
        <tr r="G27" s="2"/>
      </tp>
      <tp t="s">
        <v>#N/A Requesting Data...</v>
        <stp/>
        <stp>##V3_BQLV12</stp>
        <stp>[MODL_NOW_US1.xlsx]Single Period!R226C17</stp>
        <stp>NOW US Equity</stp>
        <stp>CF_OTHER_FINANCING_ACT_EXCL_FX/1M</stp>
        <stp>FPR=2021Y</stp>
        <stp>FPT=A</stp>
        <stp>FA_ACT_EST_DATA=E, EST_SOURCE=RHR</stp>
        <stp>ACT_EST_MAPPING=PRECISE</stp>
        <stp>FS=MRC</stp>
        <stp>CURRENCY=USD</stp>
        <stp>XLFILL=b</stp>
        <tr r="Q226" s="2"/>
      </tp>
      <tp t="s">
        <v>#N/A Requesting Data...</v>
        <stp/>
        <stp>##V3_BQLV12</stp>
        <stp>[MODL_NOW_US1.xlsx]Single Period!R40C46</stp>
        <stp>NOW US Equity</stp>
        <stp>BILLNG_AMOUNT_GROWTH_PCT</stp>
        <stp>FPR=2021Y</stp>
        <stp>FPT=A</stp>
        <stp>FA_ACT_EST_DATA=E, EST_SOURCE=MZS</stp>
        <stp>ACT_EST_MAPPING=PRECISE</stp>
        <stp>FS=MRC</stp>
        <stp>CURRENCY=USD</stp>
        <stp>XLFILL=b</stp>
        <tr r="AT40" s="2"/>
      </tp>
      <tp t="s">
        <v>#N/A Requesting Data...</v>
        <stp/>
        <stp>##V3_BQLV12</stp>
        <stp>[MODL_NOW_US1.xlsx]Single Period!R168C34</stp>
        <stp>NOW US Equity</stp>
        <stp>CB_BS_DEFERRED_COST_LT/1M</stp>
        <stp>FPR=2021Y</stp>
        <stp>FPT=A</stp>
        <stp>FA_ACT_EST_DATA=E, EST_SOURCE=PSG</stp>
        <stp>ACT_EST_MAPPING=PRECISE</stp>
        <stp>FS=MRC</stp>
        <stp>CURRENCY=USD</stp>
        <stp>XLFILL=b</stp>
        <tr r="AH168" s="2"/>
      </tp>
      <tp t="s">
        <v>#N/A Requesting Data...</v>
        <stp/>
        <stp>##V3_BQLV12</stp>
        <stp>[MODL_NOW_US1.xlsx]Single Period!R128C15</stp>
        <stp>NOW US Equity</stp>
        <stp>IS_INC_TAX_EXP/1M</stp>
        <stp>FPR=2021Y</stp>
        <stp>FPT=A</stp>
        <stp>FA_ACT_EST_DATA=E, EST_SOURCE=OPY</stp>
        <stp>ACT_EST_MAPPING=PRECISE</stp>
        <stp>FS=MRC</stp>
        <stp>CURRENCY=USD</stp>
        <stp>XLFILL=b</stp>
        <tr r="O128" s="2"/>
      </tp>
      <tp t="s">
        <v>#N/A Requesting Data...</v>
        <stp/>
        <stp>##V3_BQLV12</stp>
        <stp>[MODL_NOW_US1.xlsx]Single Period!R89C7</stp>
        <stp>NOW US Equity</stp>
        <stp>CONTRIBUTOR_STATS(IS_REV_INCLUDING_INTERSEG_REV, MAX)/1M</stp>
        <stp>FPR=2021Y</stp>
        <stp>FPT=A</stp>
        <stp>FA_ACT_EST_DATA=E</stp>
        <stp>ACT_EST_MAPPING=PRECISE</stp>
        <stp>FS=MRC</stp>
        <stp>CURRENCY=USD</stp>
        <stp>XLFILL=b</stp>
        <tr r="G89" s="2"/>
      </tp>
      <tp t="s">
        <v>#N/A Requesting Data...</v>
        <stp/>
        <stp>##V3_BQLV12</stp>
        <stp>[MODL_NOW_US1.xlsx]Single Period!R233C26</stp>
        <stp>NOW US Equity</stp>
        <stp>CF_CASH_AND_CASH_EQUIV_END_BAL/1M</stp>
        <stp>FPR=2021Y</stp>
        <stp>FPT=A</stp>
        <stp>FA_ACT_EST_DATA=E, EST_SOURCE=UBS</stp>
        <stp>ACT_EST_MAPPING=PRECISE</stp>
        <stp>FS=MRC</stp>
        <stp>CURRENCY=USD</stp>
        <stp>XLFILL=b</stp>
        <tr r="Z233" s="2"/>
      </tp>
      <tp t="s">
        <v>#N/A Requesting Data...</v>
        <stp/>
        <stp>##V3_BQLV12</stp>
        <stp>[MODL_NOW_US1.xlsx]Single Period!R156C48</stp>
        <stp>NOW US Equity</stp>
        <stp>BS_CASH_NEAR_CASH_ITEM/1M</stp>
        <stp>FPR=2021Y</stp>
        <stp>FPT=A</stp>
        <stp>FA_ACT_EST_DATA=E, EST_SOURCE=CRC</stp>
        <stp>ACT_EST_MAPPING=PRECISE</stp>
        <stp>FS=MRC</stp>
        <stp>CURRENCY=USD</stp>
        <stp>XLFILL=b</stp>
        <tr r="AV156" s="2"/>
      </tp>
      <tp t="s">
        <v>#N/A Requesting Data...</v>
        <stp/>
        <stp>##V3_BQLV12</stp>
        <stp>[MODL_NOW_US1.xlsx]Single Period!R233C12</stp>
        <stp>NOW US Equity</stp>
        <stp>CF_CASH_AND_CASH_EQUIV_END_BAL/1M</stp>
        <stp>FPR=2021Y</stp>
        <stp>FPT=A</stp>
        <stp>FA_ACT_EST_DATA=E, EST_SOURCE=WBL</stp>
        <stp>ACT_EST_MAPPING=PRECISE</stp>
        <stp>FS=MRC</stp>
        <stp>CURRENCY=USD</stp>
        <stp>XLFILL=b</stp>
        <tr r="L233" s="2"/>
      </tp>
      <tp t="s">
        <v>#N/A Requesting Data...</v>
        <stp/>
        <stp>##V3_BQLV12</stp>
        <stp>[MODL_NOW_US1.xlsx]Single Period!R70C48</stp>
        <stp>SEG0000230986 Segment</stp>
        <stp>IS_ADJ_GROSS_MARGIN_PCT_AR</stp>
        <stp>FPR=2021Y</stp>
        <stp>FPT=A</stp>
        <stp>FA_ACT_EST_DATA=E, EST_SOURCE=CRC</stp>
        <stp>ACT_EST_MAPPING=PRECISE</stp>
        <stp>FS=MRC</stp>
        <stp>CURRENCY=USD</stp>
        <stp>XLFILL=b</stp>
        <tr r="AV70" s="2"/>
      </tp>
      <tp t="s">
        <v>#N/A Requesting Data...</v>
        <stp/>
        <stp>##V3_BQLV12</stp>
        <stp>[MODL_NOW_US1.xlsx]Single Period!R22C48</stp>
        <stp>SEG0000230986 Segment</stp>
        <stp>IS_ADJ_GROSS_MARGIN_PCT_AR</stp>
        <stp>FPR=2021Y</stp>
        <stp>FPT=A</stp>
        <stp>FA_ACT_EST_DATA=E, EST_SOURCE=CRC</stp>
        <stp>ACT_EST_MAPPING=PRECISE</stp>
        <stp>FS=MRC</stp>
        <stp>CURRENCY=USD</stp>
        <stp>XLFILL=b</stp>
        <tr r="AV22" s="2"/>
      </tp>
      <tp t="s">
        <v>#N/A Requesting Data...</v>
        <stp/>
        <stp>##V3_BQLV12</stp>
        <stp>[MODL_NOW_US1.xlsx]Single Period!R156C41</stp>
        <stp>NOW US Equity</stp>
        <stp>BS_CASH_NEAR_CASH_ITEM/1M</stp>
        <stp>FPR=2021Y</stp>
        <stp>FPT=A</stp>
        <stp>FA_ACT_EST_DATA=E, EST_SOURCE=ARG</stp>
        <stp>ACT_EST_MAPPING=PRECISE</stp>
        <stp>FS=MRC</stp>
        <stp>CURRENCY=USD</stp>
        <stp>XLFILL=b</stp>
        <tr r="AO156" s="2"/>
      </tp>
      <tp t="s">
        <v>#N/A Requesting Data...</v>
        <stp/>
        <stp>##V3_BQLV12</stp>
        <stp>[MODL_NOW_US1.xlsx]Single Period!R70C41</stp>
        <stp>SEG0000230986 Segment</stp>
        <stp>IS_ADJ_GROSS_MARGIN_PCT_AR</stp>
        <stp>FPR=2021Y</stp>
        <stp>FPT=A</stp>
        <stp>FA_ACT_EST_DATA=E, EST_SOURCE=ARG</stp>
        <stp>ACT_EST_MAPPING=PRECISE</stp>
        <stp>FS=MRC</stp>
        <stp>CURRENCY=USD</stp>
        <stp>XLFILL=b</stp>
        <tr r="AO70" s="2"/>
      </tp>
      <tp t="s">
        <v>#N/A Requesting Data...</v>
        <stp/>
        <stp>##V3_BQLV12</stp>
        <stp>[MODL_NOW_US1.xlsx]Single Period!R22C41</stp>
        <stp>SEG0000230986 Segment</stp>
        <stp>IS_ADJ_GROSS_MARGIN_PCT_AR</stp>
        <stp>FPR=2021Y</stp>
        <stp>FPT=A</stp>
        <stp>FA_ACT_EST_DATA=E, EST_SOURCE=ARG</stp>
        <stp>ACT_EST_MAPPING=PRECISE</stp>
        <stp>FS=MRC</stp>
        <stp>CURRENCY=USD</stp>
        <stp>XLFILL=b</stp>
        <tr r="AO22" s="2"/>
      </tp>
      <tp t="s">
        <v>#N/A Requesting Data...</v>
        <stp/>
        <stp>##V3_BQLV12</stp>
        <stp>[MODL_NOW_US1.xlsx]Single Period!R156C44</stp>
        <stp>NOW US Equity</stp>
        <stp>BS_CASH_NEAR_CASH_ITEM/1M</stp>
        <stp>FPR=2021Y</stp>
        <stp>FPT=A</stp>
        <stp>FA_ACT_EST_DATA=E, EST_SOURCE=ARE</stp>
        <stp>ACT_EST_MAPPING=PRECISE</stp>
        <stp>FS=MRC</stp>
        <stp>CURRENCY=USD</stp>
        <stp>XLFILL=b</stp>
        <tr r="AR156" s="2"/>
      </tp>
      <tp t="s">
        <v>#N/A Requesting Data...</v>
        <stp/>
        <stp>##V3_BQLV12</stp>
        <stp>[MODL_NOW_US1.xlsx]Single Period!R22C44</stp>
        <stp>SEG0000230986 Segment</stp>
        <stp>IS_ADJ_GROSS_MARGIN_PCT_AR</stp>
        <stp>FPR=2021Y</stp>
        <stp>FPT=A</stp>
        <stp>FA_ACT_EST_DATA=E, EST_SOURCE=ARE</stp>
        <stp>ACT_EST_MAPPING=PRECISE</stp>
        <stp>FS=MRC</stp>
        <stp>CURRENCY=USD</stp>
        <stp>XLFILL=b</stp>
        <tr r="AR22" s="2"/>
      </tp>
      <tp t="s">
        <v>#N/A Requesting Data...</v>
        <stp/>
        <stp>##V3_BQLV12</stp>
        <stp>[MODL_NOW_US1.xlsx]Single Period!R70C44</stp>
        <stp>SEG0000230986 Segment</stp>
        <stp>IS_ADJ_GROSS_MARGIN_PCT_AR</stp>
        <stp>FPR=2021Y</stp>
        <stp>FPT=A</stp>
        <stp>FA_ACT_EST_DATA=E, EST_SOURCE=ARE</stp>
        <stp>ACT_EST_MAPPING=PRECISE</stp>
        <stp>FS=MRC</stp>
        <stp>CURRENCY=USD</stp>
        <stp>XLFILL=b</stp>
        <tr r="AR70" s="2"/>
      </tp>
      <tp t="s">
        <v>#N/A Requesting Data...</v>
        <stp/>
        <stp>##V3_BQLV12</stp>
        <stp>[MODL_NOW_US1.xlsx]Single Period!R168C19</stp>
        <stp>NOW US Equity</stp>
        <stp>CB_BS_DEFERRED_COST_LT/1M</stp>
        <stp>FPR=2021Y</stp>
        <stp>FPT=A</stp>
        <stp>FA_ACT_EST_DATA=E, EST_SOURCE=MSV</stp>
        <stp>ACT_EST_MAPPING=PRECISE</stp>
        <stp>FS=MRC</stp>
        <stp>CURRENCY=USD</stp>
        <stp>XLFILL=b</stp>
        <tr r="S168" s="2"/>
      </tp>
      <tp t="s">
        <v>#N/A Requesting Data...</v>
        <stp/>
        <stp>##V3_BQLV12</stp>
        <stp>[MODL_NOW_US1.xlsx]Single Period!R93C5</stp>
        <stp>NOW US Equity</stp>
        <stp>G_AND_A_COST_PCT_REVENUES</stp>
        <stp>FPR=2021Y</stp>
        <stp>FPT=A</stp>
        <stp>FA_ACT_EST_DATA=E</stp>
        <stp>ACT_EST_MAPPING=PRECISE</stp>
        <stp>FS=MRC</stp>
        <stp>CURRENCY=USD</stp>
        <stp>XLFILL=b</stp>
        <tr r="E93" s="2"/>
      </tp>
      <tp t="s">
        <v>#N/A Requesting Data...</v>
        <stp/>
        <stp>##V3_BQLV12</stp>
        <stp>[MODL_NOW_US1.xlsx]Single Period!R233C25</stp>
        <stp>NOW US Equity</stp>
        <stp>CF_CASH_AND_CASH_EQUIV_END_BAL/1M</stp>
        <stp>FPR=2021Y</stp>
        <stp>FPT=A</stp>
        <stp>FA_ACT_EST_DATA=E, EST_SOURCE=DBG</stp>
        <stp>ACT_EST_MAPPING=PRECISE</stp>
        <stp>FS=MRC</stp>
        <stp>CURRENCY=USD</stp>
        <stp>XLFILL=b</stp>
        <tr r="Y233" s="2"/>
      </tp>
      <tp t="s">
        <v>#N/A Requesting Data...</v>
        <stp/>
        <stp>##V3_BQLV12</stp>
        <stp>[MODL_NOW_US1.xlsx]Single Period!R168C35</stp>
        <stp>NOW US Equity</stp>
        <stp>CB_BS_DEFERRED_COST_LT/1M</stp>
        <stp>FPR=2021Y</stp>
        <stp>FPT=A</stp>
        <stp>FA_ACT_EST_DATA=E, EST_SOURCE=MSR</stp>
        <stp>ACT_EST_MAPPING=PRECISE</stp>
        <stp>FS=MRC</stp>
        <stp>CURRENCY=USD</stp>
        <stp>XLFILL=b</stp>
        <tr r="AI168" s="2"/>
      </tp>
      <tp t="s">
        <v>#N/A Requesting Data...</v>
        <stp/>
        <stp>##V3_BQLV12</stp>
        <stp>[MODL_NOW_US1.xlsx]Single Period!R168C31</stp>
        <stp>NOW US Equity</stp>
        <stp>CB_BS_DEFERRED_COST_LT/1M</stp>
        <stp>FPR=2021Y</stp>
        <stp>FPT=A</stp>
        <stp>FA_ACT_EST_DATA=E, EST_SOURCE=GSR</stp>
        <stp>ACT_EST_MAPPING=PRECISE</stp>
        <stp>FS=MRC</stp>
        <stp>CURRENCY=USD</stp>
        <stp>XLFILL=b</stp>
        <tr r="AE168" s="2"/>
      </tp>
      <tp t="s">
        <v>#N/A Requesting Data...</v>
        <stp/>
        <stp>##V3_BQLV12</stp>
        <stp>[MODL_NOW_US1.xlsx]Single Period!R128C11</stp>
        <stp>NOW US Equity</stp>
        <stp>IS_INC_TAX_EXP/1M</stp>
        <stp>FPR=2021Y</stp>
        <stp>FPT=A</stp>
        <stp>FA_ACT_EST_DATA=E, EST_SOURCE=JPM</stp>
        <stp>ACT_EST_MAPPING=PRECISE</stp>
        <stp>FS=MRC</stp>
        <stp>CURRENCY=USD</stp>
        <stp>XLFILL=b</stp>
        <tr r="K128" s="2"/>
      </tp>
      <tp t="s">
        <v>#N/A Requesting Data...</v>
        <stp/>
        <stp>##V3_BQLV12</stp>
        <stp>[MODL_NOW_US1.xlsx]Single Period!R233C32</stp>
        <stp>NOW US Equity</stp>
        <stp>CF_CASH_AND_CASH_EQUIV_END_BAL/1M</stp>
        <stp>FPR=2021Y</stp>
        <stp>FPT=A</stp>
        <stp>FA_ACT_EST_DATA=E, EST_SOURCE=FBC</stp>
        <stp>ACT_EST_MAPPING=PRECISE</stp>
        <stp>FS=MRC</stp>
        <stp>CURRENCY=USD</stp>
        <stp>XLFILL=b</stp>
        <tr r="AF233" s="2"/>
      </tp>
      <tp t="s">
        <v>#N/A Requesting Data...</v>
        <stp/>
        <stp>##V3_BQLV12</stp>
        <stp>[MODL_NOW_US1.xlsx]Single Period!R233C27</stp>
        <stp>NOW US Equity</stp>
        <stp>CF_CASH_AND_CASH_EQUIV_END_BAL/1M</stp>
        <stp>FPR=2021Y</stp>
        <stp>FPT=A</stp>
        <stp>FA_ACT_EST_DATA=E, EST_SOURCE=RBC</stp>
        <stp>ACT_EST_MAPPING=PRECISE</stp>
        <stp>FS=MRC</stp>
        <stp>CURRENCY=USD</stp>
        <stp>XLFILL=b</stp>
        <tr r="AA233" s="2"/>
      </tp>
      <tp t="s">
        <v>#N/A Requesting Data...</v>
        <stp/>
        <stp>##V3_BQLV12</stp>
        <stp>[MODL_NOW_US1.xlsx]Single Period!R180C47</stp>
        <stp>NOW US Equity</stp>
        <stp>BS_LT_OPERATING_LEASE_LIABS/1M</stp>
        <stp>FPR=2021Y</stp>
        <stp>FPT=A</stp>
        <stp>FA_ACT_EST_DATA=E, EST_SOURCE=SUM</stp>
        <stp>ACT_EST_MAPPING=PRECISE</stp>
        <stp>FS=MRC</stp>
        <stp>CURRENCY=USD</stp>
        <stp>XLFILL=b</stp>
        <tr r="AU180" s="2"/>
      </tp>
      <tp t="s">
        <v>#N/A Requesting Data...</v>
        <stp/>
        <stp>##V3_BQLV12</stp>
        <stp>[MODL_NOW_US1.xlsx]Single Period!R98C29</stp>
        <stp>NOW US Equity</stp>
        <stp>CF_DEPR_AMORT/1M</stp>
        <stp>FPR=2021Y</stp>
        <stp>FPT=A</stp>
        <stp>FA_ACT_EST_DATA=E, EST_SOURCE=BNS</stp>
        <stp>ACT_EST_MAPPING=PRECISE</stp>
        <stp>FS=MRC</stp>
        <stp>CURRENCY=USD</stp>
        <stp>XLFILL=b</stp>
        <tr r="AC98" s="2"/>
      </tp>
      <tp t="s">
        <v>#N/A Requesting Data...</v>
        <stp/>
        <stp>##V3_BQLV12</stp>
        <stp>[MODL_NOW_US1.xlsx]Single Period!R178C19</stp>
        <stp>NOW US Equity</stp>
        <stp>BS_ADJ_TOTAL_LT_LIABILITIES/1M</stp>
        <stp>FPR=2021Y</stp>
        <stp>FPT=A</stp>
        <stp>FA_ACT_EST_DATA=E, EST_SOURCE=MSV</stp>
        <stp>ACT_EST_MAPPING=PRECISE</stp>
        <stp>FS=MRC</stp>
        <stp>CURRENCY=USD</stp>
        <stp>XLFILL=b</stp>
        <tr r="S178" s="2"/>
      </tp>
      <tp t="s">
        <v>#N/A Requesting Data...</v>
        <stp/>
        <stp>##V3_BQLV12</stp>
        <stp>[MODL_NOW_US1.xlsx]Single Period!R27C47</stp>
        <stp>NOW US Equity</stp>
        <stp>IS_REV_INCLUDING_INTERSEG_REV/1M</stp>
        <stp>FPR=2021Y</stp>
        <stp>FPT=A</stp>
        <stp>FA_ACT_EST_DATA=E, EST_SOURCE=SUM</stp>
        <stp>ACT_EST_MAPPING=PRECISE</stp>
        <stp>FS=MRC</stp>
        <stp>CURRENCY=USD</stp>
        <stp>XLFILL=b</stp>
        <tr r="AU27" s="2"/>
      </tp>
      <tp t="s">
        <v>#N/A Requesting Data...</v>
        <stp/>
        <stp>##V3_BQLV12</stp>
        <stp>[MODL_NOW_US1.xlsx]Single Period!R203C26</stp>
        <stp>NOW US Equity</stp>
        <stp>AMORTIZATN_OF_FINNCNG_COSTS/1M</stp>
        <stp>FPR=2021Y</stp>
        <stp>FPT=A</stp>
        <stp>FA_ACT_EST_DATA=E, EST_SOURCE=UBS</stp>
        <stp>ACT_EST_MAPPING=PRECISE</stp>
        <stp>FS=MRC</stp>
        <stp>CURRENCY=USD</stp>
        <stp>XLFILL=b</stp>
        <tr r="Z203" s="2"/>
      </tp>
      <tp t="s">
        <v>#N/A Requesting Data...</v>
        <stp/>
        <stp>##V3_BQLV12</stp>
        <stp>[MODL_NOW_US1.xlsx]Single Period!R178C31</stp>
        <stp>NOW US Equity</stp>
        <stp>BS_ADJ_TOTAL_LT_LIABILITIES/1M</stp>
        <stp>FPR=2021Y</stp>
        <stp>FPT=A</stp>
        <stp>FA_ACT_EST_DATA=E, EST_SOURCE=GSR</stp>
        <stp>ACT_EST_MAPPING=PRECISE</stp>
        <stp>FS=MRC</stp>
        <stp>CURRENCY=USD</stp>
        <stp>XLFILL=b</stp>
        <tr r="AE178" s="2"/>
      </tp>
      <tp t="s">
        <v>#N/A Requesting Data...</v>
        <stp/>
        <stp>##V3_BQLV12</stp>
        <stp>[MODL_NOW_US1.xlsx]Single Period!R178C35</stp>
        <stp>NOW US Equity</stp>
        <stp>BS_ADJ_TOTAL_LT_LIABILITIES/1M</stp>
        <stp>FPR=2021Y</stp>
        <stp>FPT=A</stp>
        <stp>FA_ACT_EST_DATA=E, EST_SOURCE=MSR</stp>
        <stp>ACT_EST_MAPPING=PRECISE</stp>
        <stp>FS=MRC</stp>
        <stp>CURRENCY=USD</stp>
        <stp>XLFILL=b</stp>
        <tr r="AI178" s="2"/>
      </tp>
      <tp t="s">
        <v>#N/A Requesting Data...</v>
        <stp/>
        <stp>##V3_BQLV12</stp>
        <stp>[MODL_NOW_US1.xlsx]Single Period!R167C45</stp>
        <stp>NOW US Equity</stp>
        <stp>BS_GOODWILL/1M</stp>
        <stp>FPR=2021Y</stp>
        <stp>FPT=A</stp>
        <stp>FA_ACT_EST_DATA=E, EST_SOURCE=PJE</stp>
        <stp>ACT_EST_MAPPING=PRECISE</stp>
        <stp>FS=MRC</stp>
        <stp>CURRENCY=USD</stp>
        <stp>XLFILL=b</stp>
        <tr r="AS167" s="2"/>
      </tp>
      <tp t="s">
        <v>#N/A Requesting Data...</v>
        <stp/>
        <stp>##V3_BQLV12</stp>
        <stp>[MODL_NOW_US1.xlsx]Single Period!R124C26</stp>
        <stp>NOW US Equity</stp>
        <stp>IS_EBIT_AS_REPORTED/1M</stp>
        <stp>FPR=2021Y</stp>
        <stp>FPT=A</stp>
        <stp>FA_ACT_EST_DATA=E, EST_SOURCE=UBS</stp>
        <stp>ACT_EST_MAPPING=PRECISE</stp>
        <stp>FS=MRC</stp>
        <stp>CURRENCY=USD</stp>
        <stp>XLFILL=b</stp>
        <tr r="Z124" s="2"/>
      </tp>
      <tp t="s">
        <v>#N/A Requesting Data...</v>
        <stp/>
        <stp>##V3_BQLV12</stp>
        <stp>[MODL_NOW_US1.xlsx]Single Period!R161C38</stp>
        <stp>NOW US Equity</stp>
        <stp>BS_TOTAL_NON_CURRENT_ASSETS/1M</stp>
        <stp>FPR=2021Y</stp>
        <stp>FPT=A</stp>
        <stp>FA_ACT_EST_DATA=E, EST_SOURCE=RWB</stp>
        <stp>ACT_EST_MAPPING=PRECISE</stp>
        <stp>FS=MRC</stp>
        <stp>CURRENCY=USD</stp>
        <stp>XLFILL=b</stp>
        <tr r="AL161" s="2"/>
      </tp>
      <tp t="s">
        <v>#N/A Requesting Data...</v>
        <stp/>
        <stp>##V3_BQLV12</stp>
        <stp>[MODL_NOW_US1.xlsx]Single Period!R161C24</stp>
        <stp>NOW US Equity</stp>
        <stp>BS_TOTAL_NON_CURRENT_ASSETS/1M</stp>
        <stp>FPR=2021Y</stp>
        <stp>FPT=A</stp>
        <stp>FA_ACT_EST_DATA=E, EST_SOURCE=CWN</stp>
        <stp>ACT_EST_MAPPING=PRECISE</stp>
        <stp>FS=MRC</stp>
        <stp>CURRENCY=USD</stp>
        <stp>XLFILL=b</stp>
        <tr r="X161" s="2"/>
      </tp>
      <tp t="s">
        <v>#N/A Requesting Data...</v>
        <stp/>
        <stp>##V3_BQLV12</stp>
        <stp>[MODL_NOW_US1.xlsx]Single Period!R161C40</stp>
        <stp>NOW US Equity</stp>
        <stp>BS_TOTAL_NON_CURRENT_ASSETS/1M</stp>
        <stp>FPR=2021Y</stp>
        <stp>FPT=A</stp>
        <stp>FA_ACT_EST_DATA=E, EST_SOURCE=DWI</stp>
        <stp>ACT_EST_MAPPING=PRECISE</stp>
        <stp>FS=MRC</stp>
        <stp>CURRENCY=USD</stp>
        <stp>XLFILL=b</stp>
        <tr r="AN161" s="2"/>
      </tp>
      <tp t="s">
        <v>#N/A Requesting Data...</v>
        <stp/>
        <stp>##V3_BQLV12</stp>
        <stp>[MODL_NOW_US1.xlsx]Single Period!R191C11</stp>
        <stp>NOW US Equity</stp>
        <stp>ST_DEFERRED_REVENUE/1M</stp>
        <stp>FPR=2021Y</stp>
        <stp>FPT=A</stp>
        <stp>FA_ACT_EST_DATA=E, EST_SOURCE=JPM</stp>
        <stp>ACT_EST_MAPPING=PRECISE</stp>
        <stp>FS=MRC</stp>
        <stp>CURRENCY=USD</stp>
        <stp>XLFILL=b</stp>
        <tr r="K191" s="2"/>
      </tp>
      <tp t="s">
        <v>#N/A Requesting Data...</v>
        <stp/>
        <stp>##V3_BQLV12</stp>
        <stp>[MODL_NOW_US1.xlsx]Single Period!R176C11</stp>
        <stp>NOW US Equity</stp>
        <stp>ST_DEFERRED_REVENUE/1M</stp>
        <stp>FPR=2021Y</stp>
        <stp>FPT=A</stp>
        <stp>FA_ACT_EST_DATA=E, EST_SOURCE=JPM</stp>
        <stp>ACT_EST_MAPPING=PRECISE</stp>
        <stp>FS=MRC</stp>
        <stp>CURRENCY=USD</stp>
        <stp>XLFILL=b</stp>
        <tr r="K176" s="2"/>
      </tp>
      <tp t="s">
        <v>#N/A Requesting Data...</v>
        <stp/>
        <stp>##V3_BQLV12</stp>
        <stp>[MODL_NOW_US1.xlsx]Single Period!R179C11</stp>
        <stp>NOW US Equity</stp>
        <stp>LT_DEFERRED_REVENUE/1M</stp>
        <stp>FPR=2021Y</stp>
        <stp>FPT=A</stp>
        <stp>FA_ACT_EST_DATA=E, EST_SOURCE=JPM</stp>
        <stp>ACT_EST_MAPPING=PRECISE</stp>
        <stp>FS=MRC</stp>
        <stp>CURRENCY=USD</stp>
        <stp>XLFILL=b</stp>
        <tr r="K179" s="2"/>
      </tp>
      <tp t="s">
        <v>#N/A Requesting Data...</v>
        <stp/>
        <stp>##V3_BQLV12</stp>
        <stp>[MODL_NOW_US1.xlsx]Single Period!R192C11</stp>
        <stp>NOW US Equity</stp>
        <stp>LT_DEFERRED_REVENUE/1M</stp>
        <stp>FPR=2021Y</stp>
        <stp>FPT=A</stp>
        <stp>FA_ACT_EST_DATA=E, EST_SOURCE=JPM</stp>
        <stp>ACT_EST_MAPPING=PRECISE</stp>
        <stp>FS=MRC</stp>
        <stp>CURRENCY=USD</stp>
        <stp>XLFILL=b</stp>
        <tr r="K192" s="2"/>
      </tp>
      <tp t="s">
        <v>#N/A Requesting Data...</v>
        <stp/>
        <stp>##V3_BQLV12</stp>
        <stp>[MODL_NOW_US1.xlsx]Single Period!R158C47</stp>
        <stp>NOW US Equity</stp>
        <stp>BS_ACCTS_REC_EXCL_NOTES_REC/1M</stp>
        <stp>FPR=2021Y</stp>
        <stp>FPT=A</stp>
        <stp>FA_ACT_EST_DATA=E, EST_SOURCE=SUM</stp>
        <stp>ACT_EST_MAPPING=PRECISE</stp>
        <stp>FS=MRC</stp>
        <stp>CURRENCY=USD</stp>
        <stp>XLFILL=b</stp>
        <tr r="AU158" s="2"/>
      </tp>
      <tp t="s">
        <v>#N/A Requesting Data...</v>
        <stp/>
        <stp>##V3_BQLV12</stp>
        <stp>[MODL_NOW_US1.xlsx]Single Period!R178C34</stp>
        <stp>NOW US Equity</stp>
        <stp>BS_ADJ_TOTAL_LT_LIABILITIES/1M</stp>
        <stp>FPR=2021Y</stp>
        <stp>FPT=A</stp>
        <stp>FA_ACT_EST_DATA=E, EST_SOURCE=PSG</stp>
        <stp>ACT_EST_MAPPING=PRECISE</stp>
        <stp>FS=MRC</stp>
        <stp>CURRENCY=USD</stp>
        <stp>XLFILL=b</stp>
        <tr r="AH178" s="2"/>
      </tp>
      <tp t="s">
        <v>#N/A Requesting Data...</v>
        <stp/>
        <stp>##V3_BQLV12</stp>
        <stp>[MODL_NOW_US1.xlsx]Single Period!R203C32</stp>
        <stp>NOW US Equity</stp>
        <stp>AMORTIZATN_OF_FINNCNG_COSTS/1M</stp>
        <stp>FPR=2021Y</stp>
        <stp>FPT=A</stp>
        <stp>FA_ACT_EST_DATA=E, EST_SOURCE=FBC</stp>
        <stp>ACT_EST_MAPPING=PRECISE</stp>
        <stp>FS=MRC</stp>
        <stp>CURRENCY=USD</stp>
        <stp>XLFILL=b</stp>
        <tr r="AF203" s="2"/>
      </tp>
      <tp t="s">
        <v>#N/A Requesting Data...</v>
        <stp/>
        <stp>##V3_BQLV12</stp>
        <stp>[MODL_NOW_US1.xlsx]Single Period!R124C25</stp>
        <stp>NOW US Equity</stp>
        <stp>IS_EBIT_AS_REPORTED/1M</stp>
        <stp>FPR=2021Y</stp>
        <stp>FPT=A</stp>
        <stp>FA_ACT_EST_DATA=E, EST_SOURCE=DBG</stp>
        <stp>ACT_EST_MAPPING=PRECISE</stp>
        <stp>FS=MRC</stp>
        <stp>CURRENCY=USD</stp>
        <stp>XLFILL=b</stp>
        <tr r="Y124" s="2"/>
      </tp>
      <tp t="s">
        <v>#N/A Requesting Data...</v>
        <stp/>
        <stp>##V3_BQLV12</stp>
        <stp>[MODL_NOW_US1.xlsx]Single Period!R105C47</stp>
        <stp>NOW US Equity</stp>
        <stp>ADJ_PROFIT_MARGIN</stp>
        <stp>FPR=2021Y</stp>
        <stp>FPT=A</stp>
        <stp>FA_ACT_EST_DATA=E, EST_SOURCE=SUM</stp>
        <stp>ACT_EST_MAPPING=PRECISE</stp>
        <stp>FS=MRC</stp>
        <stp>CURRENCY=USD</stp>
        <stp>XLFILL=b</stp>
        <tr r="AU105" s="2"/>
      </tp>
      <tp t="s">
        <v>#N/A Requesting Data...</v>
        <stp/>
        <stp>##V3_BQLV12</stp>
        <stp>[MODL_NOW_US1.xlsx]Single Period!R80C24</stp>
        <stp>NOW US Equity</stp>
        <stp>IS_COMP_SALES/1M</stp>
        <stp>FPR=2021Y</stp>
        <stp>FPT=A</stp>
        <stp>FA_ACT_EST_DATA=E, EST_SOURCE=CWN</stp>
        <stp>ACT_EST_MAPPING=PRECISE</stp>
        <stp>FS=MRC</stp>
        <stp>CURRENCY=USD</stp>
        <stp>XLFILL=b</stp>
        <tr r="X80" s="2"/>
      </tp>
      <tp t="s">
        <v>#N/A Requesting Data...</v>
        <stp/>
        <stp>##V3_BQLV12</stp>
        <stp>[MODL_NOW_US1.xlsx]Single Period!R203C27</stp>
        <stp>NOW US Equity</stp>
        <stp>AMORTIZATN_OF_FINNCNG_COSTS/1M</stp>
        <stp>FPR=2021Y</stp>
        <stp>FPT=A</stp>
        <stp>FA_ACT_EST_DATA=E, EST_SOURCE=RBC</stp>
        <stp>ACT_EST_MAPPING=PRECISE</stp>
        <stp>FS=MRC</stp>
        <stp>CURRENCY=USD</stp>
        <stp>XLFILL=b</stp>
        <tr r="AA203" s="2"/>
      </tp>
      <tp t="s">
        <v>#N/A Requesting Data...</v>
        <stp/>
        <stp>##V3_BQLV12</stp>
        <stp>[MODL_NOW_US1.xlsx]Single Period!R210C47</stp>
        <stp>NOW US Equity</stp>
        <stp>CF_CHANGE_IN_PREPAID_EXPNSS/1M</stp>
        <stp>FPR=2021Y</stp>
        <stp>FPT=A</stp>
        <stp>FA_ACT_EST_DATA=E, EST_SOURCE=SUM</stp>
        <stp>ACT_EST_MAPPING=PRECISE</stp>
        <stp>FS=MRC</stp>
        <stp>CURRENCY=USD</stp>
        <stp>XLFILL=b</stp>
        <tr r="AU210" s="2"/>
      </tp>
      <tp t="s">
        <v>#N/A Requesting Data...</v>
        <stp/>
        <stp>##V3_BQLV12</stp>
        <stp>[MODL_NOW_US1.xlsx]Single Period!R98C25</stp>
        <stp>NOW US Equity</stp>
        <stp>CF_DEPR_AMORT/1M</stp>
        <stp>FPR=2021Y</stp>
        <stp>FPT=A</stp>
        <stp>FA_ACT_EST_DATA=E, EST_SOURCE=DBG</stp>
        <stp>ACT_EST_MAPPING=PRECISE</stp>
        <stp>FS=MRC</stp>
        <stp>CURRENCY=USD</stp>
        <stp>XLFILL=b</stp>
        <tr r="Y98" s="2"/>
      </tp>
      <tp t="s">
        <v>#N/A Requesting Data...</v>
        <stp/>
        <stp>##V3_BQLV12</stp>
        <stp>[MODL_NOW_US1.xlsx]Single Period!R124C27</stp>
        <stp>NOW US Equity</stp>
        <stp>IS_EBIT_AS_REPORTED/1M</stp>
        <stp>FPR=2021Y</stp>
        <stp>FPT=A</stp>
        <stp>FA_ACT_EST_DATA=E, EST_SOURCE=RBC</stp>
        <stp>ACT_EST_MAPPING=PRECISE</stp>
        <stp>FS=MRC</stp>
        <stp>CURRENCY=USD</stp>
        <stp>XLFILL=b</stp>
        <tr r="AA124" s="2"/>
      </tp>
      <tp t="s">
        <v>#N/A Requesting Data...</v>
        <stp/>
        <stp>##V3_BQLV12</stp>
        <stp>[MODL_NOW_US1.xlsx]Single Period!R124C32</stp>
        <stp>NOW US Equity</stp>
        <stp>IS_EBIT_AS_REPORTED/1M</stp>
        <stp>FPR=2021Y</stp>
        <stp>FPT=A</stp>
        <stp>FA_ACT_EST_DATA=E, EST_SOURCE=FBC</stp>
        <stp>ACT_EST_MAPPING=PRECISE</stp>
        <stp>FS=MRC</stp>
        <stp>CURRENCY=USD</stp>
        <stp>XLFILL=b</stp>
        <tr r="AF124" s="2"/>
      </tp>
      <tp t="s">
        <v>#N/A Requesting Data...</v>
        <stp/>
        <stp>##V3_BQLV12</stp>
        <stp>[MODL_NOW_US1.xlsx]Single Period!R203C25</stp>
        <stp>NOW US Equity</stp>
        <stp>AMORTIZATN_OF_FINNCNG_COSTS/1M</stp>
        <stp>FPR=2021Y</stp>
        <stp>FPT=A</stp>
        <stp>FA_ACT_EST_DATA=E, EST_SOURCE=DBG</stp>
        <stp>ACT_EST_MAPPING=PRECISE</stp>
        <stp>FS=MRC</stp>
        <stp>CURRENCY=USD</stp>
        <stp>XLFILL=b</stp>
        <tr r="Y203" s="2"/>
      </tp>
      <tp t="s">
        <v>#N/A Requesting Data...</v>
        <stp/>
        <stp>##V3_BQLV12</stp>
        <stp>[MODL_NOW_US1.xlsx]Single Period!R191C15</stp>
        <stp>NOW US Equity</stp>
        <stp>ST_DEFERRED_REVENUE/1M</stp>
        <stp>FPR=2021Y</stp>
        <stp>FPT=A</stp>
        <stp>FA_ACT_EST_DATA=E, EST_SOURCE=OPY</stp>
        <stp>ACT_EST_MAPPING=PRECISE</stp>
        <stp>FS=MRC</stp>
        <stp>CURRENCY=USD</stp>
        <stp>XLFILL=b</stp>
        <tr r="O191" s="2"/>
      </tp>
      <tp t="s">
        <v>#N/A Requesting Data...</v>
        <stp/>
        <stp>##V3_BQLV12</stp>
        <stp>[MODL_NOW_US1.xlsx]Single Period!R176C15</stp>
        <stp>NOW US Equity</stp>
        <stp>ST_DEFERRED_REVENUE/1M</stp>
        <stp>FPR=2021Y</stp>
        <stp>FPT=A</stp>
        <stp>FA_ACT_EST_DATA=E, EST_SOURCE=OPY</stp>
        <stp>ACT_EST_MAPPING=PRECISE</stp>
        <stp>FS=MRC</stp>
        <stp>CURRENCY=USD</stp>
        <stp>XLFILL=b</stp>
        <tr r="O176" s="2"/>
      </tp>
      <tp t="s">
        <v>#N/A Requesting Data...</v>
        <stp/>
        <stp>##V3_BQLV12</stp>
        <stp>[MODL_NOW_US1.xlsx]Single Period!R179C15</stp>
        <stp>NOW US Equity</stp>
        <stp>LT_DEFERRED_REVENUE/1M</stp>
        <stp>FPR=2021Y</stp>
        <stp>FPT=A</stp>
        <stp>FA_ACT_EST_DATA=E, EST_SOURCE=OPY</stp>
        <stp>ACT_EST_MAPPING=PRECISE</stp>
        <stp>FS=MRC</stp>
        <stp>CURRENCY=USD</stp>
        <stp>XLFILL=b</stp>
        <tr r="O179" s="2"/>
      </tp>
      <tp t="s">
        <v>#N/A Requesting Data...</v>
        <stp/>
        <stp>##V3_BQLV12</stp>
        <stp>[MODL_NOW_US1.xlsx]Single Period!R192C15</stp>
        <stp>NOW US Equity</stp>
        <stp>LT_DEFERRED_REVENUE/1M</stp>
        <stp>FPR=2021Y</stp>
        <stp>FPT=A</stp>
        <stp>FA_ACT_EST_DATA=E, EST_SOURCE=OPY</stp>
        <stp>ACT_EST_MAPPING=PRECISE</stp>
        <stp>FS=MRC</stp>
        <stp>CURRENCY=USD</stp>
        <stp>XLFILL=b</stp>
        <tr r="O192" s="2"/>
      </tp>
      <tp t="s">
        <v>#N/A Requesting Data...</v>
        <stp/>
        <stp>##V3_BQLV12</stp>
        <stp>[MODL_NOW_US1.xlsx]Single Period!R80C41</stp>
        <stp>NOW US Equity</stp>
        <stp>IS_COMP_SALES/1M</stp>
        <stp>FPR=2021Y</stp>
        <stp>FPT=A</stp>
        <stp>FA_ACT_EST_DATA=E, EST_SOURCE=ARG</stp>
        <stp>ACT_EST_MAPPING=PRECISE</stp>
        <stp>FS=MRC</stp>
        <stp>CURRENCY=USD</stp>
        <stp>XLFILL=b</stp>
        <tr r="AO80" s="2"/>
      </tp>
      <tp t="s">
        <v>#N/A Requesting Data...</v>
        <stp/>
        <stp>##V3_BQLV12</stp>
        <stp>[MODL_NOW_US1.xlsx]Single Period!R124C12</stp>
        <stp>NOW US Equity</stp>
        <stp>IS_EBIT_AS_REPORTED/1M</stp>
        <stp>FPR=2021Y</stp>
        <stp>FPT=A</stp>
        <stp>FA_ACT_EST_DATA=E, EST_SOURCE=WBL</stp>
        <stp>ACT_EST_MAPPING=PRECISE</stp>
        <stp>FS=MRC</stp>
        <stp>CURRENCY=USD</stp>
        <stp>XLFILL=b</stp>
        <tr r="L124" s="2"/>
      </tp>
      <tp t="s">
        <v>#N/A Requesting Data...</v>
        <stp/>
        <stp>##V3_BQLV12</stp>
        <stp>[MODL_NOW_US1.xlsx]Single Period!R27C31</stp>
        <stp>NOW US Equity</stp>
        <stp>IS_REV_INCLUDING_INTERSEG_REV/1M</stp>
        <stp>FPR=2021Y</stp>
        <stp>FPT=A</stp>
        <stp>FA_ACT_EST_DATA=E, EST_SOURCE=GSR</stp>
        <stp>ACT_EST_MAPPING=PRECISE</stp>
        <stp>FS=MRC</stp>
        <stp>CURRENCY=USD</stp>
        <stp>XLFILL=b</stp>
        <tr r="AE27" s="2"/>
      </tp>
      <tp t="s">
        <v>#N/A Requesting Data...</v>
        <stp/>
        <stp>##V3_BQLV12</stp>
        <stp>[MODL_NOW_US1.xlsx]Single Period!R80C37</stp>
        <stp>NOW US Equity</stp>
        <stp>IS_COMP_SALES/1M</stp>
        <stp>FPR=2021Y</stp>
        <stp>FPT=A</stp>
        <stp>FA_ACT_EST_DATA=E, EST_SOURCE=TTC</stp>
        <stp>ACT_EST_MAPPING=PRECISE</stp>
        <stp>FS=MRC</stp>
        <stp>CURRENCY=USD</stp>
        <stp>XLFILL=b</stp>
        <tr r="AK80" s="2"/>
      </tp>
      <tp t="s">
        <v>#N/A Requesting Data...</v>
        <stp/>
        <stp>##V3_BQLV12</stp>
        <stp>[MODL_NOW_US1.xlsx]Single Period!R80C39</stp>
        <stp>NOW US Equity</stp>
        <stp>IS_COMP_SALES/1M</stp>
        <stp>FPR=2021Y</stp>
        <stp>FPT=A</stp>
        <stp>FA_ACT_EST_DATA=E, EST_SOURCE=DZB</stp>
        <stp>ACT_EST_MAPPING=PRECISE</stp>
        <stp>FS=MRC</stp>
        <stp>CURRENCY=USD</stp>
        <stp>XLFILL=b</stp>
        <tr r="AM80" s="2"/>
      </tp>
      <tp t="s">
        <v>#N/A Requesting Data...</v>
        <stp/>
        <stp>##V3_BQLV12</stp>
        <stp>[MODL_NOW_US1.xlsx]Single Period!R203C12</stp>
        <stp>NOW US Equity</stp>
        <stp>AMORTIZATN_OF_FINNCNG_COSTS/1M</stp>
        <stp>FPR=2021Y</stp>
        <stp>FPT=A</stp>
        <stp>FA_ACT_EST_DATA=E, EST_SOURCE=WBL</stp>
        <stp>ACT_EST_MAPPING=PRECISE</stp>
        <stp>FS=MRC</stp>
        <stp>CURRENCY=USD</stp>
        <stp>XLFILL=b</stp>
        <tr r="L203" s="2"/>
      </tp>
      <tp t="s">
        <v>#N/A Requesting Data...</v>
        <stp/>
        <stp>##V3_BQLV12</stp>
        <stp>[MODL_NOW_US1.xlsx]Single Period!R16C14</stp>
        <stp>SEG0000230969 Segment</stp>
        <stp>SALES_REV_TURN/1M</stp>
        <stp>FPR=2021Y</stp>
        <stp>FPT=A</stp>
        <stp>FA_ACT_EST_DATA=E, EST_SOURCE=BMO</stp>
        <stp>ACT_EST_MAPPING=PRECISE</stp>
        <stp>FS=MRC</stp>
        <stp>CURRENCY=USD</stp>
        <stp>XLFILL=b</stp>
        <tr r="N16" s="2"/>
      </tp>
      <tp t="s">
        <v>#N/A Requesting Data...</v>
        <stp/>
        <stp>##V3_BQLV12</stp>
        <stp>[MODL_NOW_US1.xlsx]Single Period!R58C27</stp>
        <stp>SEG0000230975 Segment</stp>
        <stp>SALES_REV_TURN/1M</stp>
        <stp>FPR=2021Y</stp>
        <stp>FPT=A</stp>
        <stp>FA_ACT_EST_DATA=E, EST_SOURCE=RBC</stp>
        <stp>ACT_EST_MAPPING=PRECISE</stp>
        <stp>FS=MRC</stp>
        <stp>CURRENCY=USD</stp>
        <stp>XLFILL=b</stp>
        <tr r="AA58" s="2"/>
      </tp>
      <tp t="s">
        <v>#N/A Requesting Data...</v>
        <stp/>
        <stp>##V3_BQLV12</stp>
        <stp>[MODL_NOW_US1.xlsx]Single Period!R58C32</stp>
        <stp>SEG0000230975 Segment</stp>
        <stp>SALES_REV_TURN/1M</stp>
        <stp>FPR=2021Y</stp>
        <stp>FPT=A</stp>
        <stp>FA_ACT_EST_DATA=E, EST_SOURCE=FBC</stp>
        <stp>ACT_EST_MAPPING=PRECISE</stp>
        <stp>FS=MRC</stp>
        <stp>CURRENCY=USD</stp>
        <stp>XLFILL=b</stp>
        <tr r="AF58" s="2"/>
      </tp>
      <tp t="s">
        <v>#N/A Requesting Data...</v>
        <stp/>
        <stp>##V3_BQLV12</stp>
        <stp>[MODL_NOW_US1.xlsx]Single Period!R66C16</stp>
        <stp>SEG0000230986 Segment</stp>
        <stp>SALES_REV_TURN/1M</stp>
        <stp>FPR=2021Y</stp>
        <stp>FPT=A</stp>
        <stp>FA_ACT_EST_DATA=E, EST_SOURCE=BCA</stp>
        <stp>ACT_EST_MAPPING=PRECISE</stp>
        <stp>FS=MRC</stp>
        <stp>CURRENCY=USD</stp>
        <stp>XLFILL=b</stp>
        <tr r="P66" s="2"/>
      </tp>
      <tp t="s">
        <v>#N/A Requesting Data...</v>
        <stp/>
        <stp>##V3_BQLV12</stp>
        <stp>[MODL_NOW_US1.xlsx]Single Period!R83C32</stp>
        <stp>NOW US Equity</stp>
        <stp>IS_ADJUSTED_COGS_AS_REPORTED/1M</stp>
        <stp>FPR=2021Y</stp>
        <stp>FPT=A</stp>
        <stp>FA_ACT_EST_DATA=E, EST_SOURCE=FBC</stp>
        <stp>ACT_EST_MAPPING=PRECISE</stp>
        <stp>FS=MRC</stp>
        <stp>CURRENCY=USD</stp>
        <stp>XLFILL=b</stp>
        <tr r="AF83" s="2"/>
      </tp>
      <tp t="s">
        <v>#N/A Requesting Data...</v>
        <stp/>
        <stp>##V3_BQLV12</stp>
        <stp>[MODL_NOW_US1.xlsx]Single Period!R102C13</stp>
        <stp>NOW US Equity</stp>
        <stp>IS_COMP_PTP_EX_STK_BASED_COMP/1M</stp>
        <stp>FPR=2021Y</stp>
        <stp>FPT=A</stp>
        <stp>FA_ACT_EST_DATA=E, EST_SOURCE=KEY</stp>
        <stp>ACT_EST_MAPPING=PRECISE</stp>
        <stp>FS=MRC</stp>
        <stp>CURRENCY=USD</stp>
        <stp>XLFILL=b</stp>
        <tr r="M102" s="2"/>
      </tp>
      <tp t="s">
        <v>#N/A Requesting Data...</v>
        <stp/>
        <stp>##V3_BQLV12</stp>
        <stp>[MODL_NOW_US1.xlsx]Single Period!R66C49</stp>
        <stp>SEG0000230986 Segment</stp>
        <stp>SALES_REV_TURN/1M</stp>
        <stp>FPR=2021Y</stp>
        <stp>FPT=A</stp>
        <stp>FA_ACT_EST_DATA=E, EST_SOURCE=SCB</stp>
        <stp>ACT_EST_MAPPING=PRECISE</stp>
        <stp>FS=MRC</stp>
        <stp>CURRENCY=USD</stp>
        <stp>XLFILL=b</stp>
        <tr r="AW66" s="2"/>
      </tp>
      <tp t="s">
        <v>#N/A Requesting Data...</v>
        <stp/>
        <stp>##V3_BQLV12</stp>
        <stp>[MODL_NOW_US1.xlsx]Single Period!R119C29</stp>
        <stp>NOW US Equity</stp>
        <stp>CB_IS_S_AND_M_EXPENSE/1M</stp>
        <stp>FPR=2021Y</stp>
        <stp>FPT=A</stp>
        <stp>FA_ACT_EST_DATA=E, EST_SOURCE=BNS</stp>
        <stp>ACT_EST_MAPPING=PRECISE</stp>
        <stp>FS=MRC</stp>
        <stp>CURRENCY=USD</stp>
        <stp>XLFILL=b</stp>
        <tr r="AC119" s="2"/>
      </tp>
      <tp t="s">
        <v>#N/A Requesting Data...</v>
        <stp/>
        <stp>##V3_BQLV12</stp>
        <stp>[MODL_NOW_US1.xlsx]Single Period!R58C25</stp>
        <stp>SEG0000230975 Segment</stp>
        <stp>SALES_REV_TURN/1M</stp>
        <stp>FPR=2021Y</stp>
        <stp>FPT=A</stp>
        <stp>FA_ACT_EST_DATA=E, EST_SOURCE=DBG</stp>
        <stp>ACT_EST_MAPPING=PRECISE</stp>
        <stp>FS=MRC</stp>
        <stp>CURRENCY=USD</stp>
        <stp>XLFILL=b</stp>
        <tr r="Y58" s="2"/>
      </tp>
      <tp t="s">
        <v>#N/A Requesting Data...</v>
        <stp/>
        <stp>##V3_BQLV12</stp>
        <stp>[MODL_NOW_US1.xlsx]Single Period!R20C36</stp>
        <stp>SEG0000230986 Segment</stp>
        <stp>SALES_REV_TURN/1M</stp>
        <stp>FPR=2021Y</stp>
        <stp>FPT=A</stp>
        <stp>FA_ACT_EST_DATA=E, EST_SOURCE=JEF</stp>
        <stp>ACT_EST_MAPPING=PRECISE</stp>
        <stp>FS=MRC</stp>
        <stp>CURRENCY=USD</stp>
        <stp>XLFILL=b</stp>
        <tr r="AJ20" s="2"/>
      </tp>
      <tp t="s">
        <v>#N/A Requesting Data...</v>
        <stp/>
        <stp>##V3_BQLV12</stp>
        <stp>[MODL_NOW_US1.xlsx]Single Period!R143C37</stp>
        <stp>NOW US Equity</stp>
        <stp>IS_SBC_ATTRIBUTABLE_TO_R_AND_D_PRETX/1M</stp>
        <stp>FPR=2021Y</stp>
        <stp>FPT=A</stp>
        <stp>FA_ACT_EST_DATA=E, EST_SOURCE=TTC</stp>
        <stp>ACT_EST_MAPPING=PRECISE</stp>
        <stp>FS=MRC</stp>
        <stp>CURRENCY=USD</stp>
        <stp>XLFILL=b</stp>
        <tr r="AK143" s="2"/>
      </tp>
      <tp t="s">
        <v>#N/A Requesting Data...</v>
        <stp/>
        <stp>##V3_BQLV12</stp>
        <stp>[MODL_NOW_US1.xlsx]Single Period!R15C33</stp>
        <stp>SEG0000230992 Segment</stp>
        <stp>SALES_REV_TURN/1M</stp>
        <stp>FPR=2021Y</stp>
        <stp>FPT=A</stp>
        <stp>FA_ACT_EST_DATA=E, EST_SOURCE=MAC</stp>
        <stp>ACT_EST_MAPPING=PRECISE</stp>
        <stp>FS=MRC</stp>
        <stp>CURRENCY=USD</stp>
        <stp>XLFILL=b</stp>
        <tr r="AG15" s="2"/>
      </tp>
      <tp t="s">
        <v>#N/A Requesting Data...</v>
        <stp/>
        <stp>##V3_BQLV12</stp>
        <stp>[MODL_NOW_US1.xlsx]Single Period!R75C33</stp>
        <stp>SEG0000230992 Segment</stp>
        <stp>SALES_REV_TURN/1M</stp>
        <stp>FPR=2021Y</stp>
        <stp>FPT=A</stp>
        <stp>FA_ACT_EST_DATA=E, EST_SOURCE=MAC</stp>
        <stp>ACT_EST_MAPPING=PRECISE</stp>
        <stp>FS=MRC</stp>
        <stp>CURRENCY=USD</stp>
        <stp>XLFILL=b</stp>
        <tr r="AG75" s="2"/>
      </tp>
      <tp t="s">
        <v>#N/A Requesting Data...</v>
        <stp/>
        <stp>##V3_BQLV12</stp>
        <stp>[MODL_NOW_US1.xlsx]Single Period!R169C26</stp>
        <stp>NOW US Equity</stp>
        <stp>CB_BS_OTHER_NONCURRENT_ASSETS/1M</stp>
        <stp>FPR=2021Y</stp>
        <stp>FPT=A</stp>
        <stp>FA_ACT_EST_DATA=E, EST_SOURCE=UBS</stp>
        <stp>ACT_EST_MAPPING=PRECISE</stp>
        <stp>FS=MRC</stp>
        <stp>CURRENCY=USD</stp>
        <stp>XLFILL=b</stp>
        <tr r="Z169" s="2"/>
      </tp>
      <tp t="s">
        <v>#N/A Requesting Data...</v>
        <stp/>
        <stp>##V3_BQLV12</stp>
        <stp>[MODL_NOW_US1.xlsx]Single Period!R54C32</stp>
        <stp>NOW US Equity</stp>
        <stp>IS_FOREIGN_CURRENCY_TURNOVER/1M</stp>
        <stp>FPR=2021Y</stp>
        <stp>FPT=A</stp>
        <stp>FA_ACT_EST_DATA=E, EST_SOURCE=FBC</stp>
        <stp>ACT_EST_MAPPING=PRECISE</stp>
        <stp>FS=MRC</stp>
        <stp>CURRENCY=USD</stp>
        <stp>XLFILL=b</stp>
        <tr r="AF54" s="2"/>
      </tp>
      <tp t="s">
        <v>#N/A Requesting Data...</v>
        <stp/>
        <stp>##V3_BQLV12</stp>
        <stp>[MODL_NOW_US1.xlsx]Single Period!R102C18</stp>
        <stp>NOW US Equity</stp>
        <stp>IS_COMP_PTP_EX_STK_BASED_COMP/1M</stp>
        <stp>FPR=2021Y</stp>
        <stp>FPT=A</stp>
        <stp>FA_ACT_EST_DATA=E, EST_SOURCE=SNR</stp>
        <stp>ACT_EST_MAPPING=PRECISE</stp>
        <stp>FS=MRC</stp>
        <stp>CURRENCY=USD</stp>
        <stp>XLFILL=b</stp>
        <tr r="R102" s="2"/>
      </tp>
      <tp t="s">
        <v>#N/A Requesting Data...</v>
        <stp/>
        <stp>##V3_BQLV12</stp>
        <stp>[MODL_NOW_US1.xlsx]Single Period!R75C30</stp>
        <stp>SEG0000230992 Segment</stp>
        <stp>SALES_REV_TURN/1M</stp>
        <stp>FPR=2021Y</stp>
        <stp>FPT=A</stp>
        <stp>FA_ACT_EST_DATA=E, EST_SOURCE=BAM</stp>
        <stp>ACT_EST_MAPPING=PRECISE</stp>
        <stp>FS=MRC</stp>
        <stp>CURRENCY=USD</stp>
        <stp>XLFILL=b</stp>
        <tr r="AD75" s="2"/>
      </tp>
      <tp t="s">
        <v>#N/A Requesting Data...</v>
        <stp/>
        <stp>##V3_BQLV12</stp>
        <stp>[MODL_NOW_US1.xlsx]Single Period!R15C30</stp>
        <stp>SEG0000230992 Segment</stp>
        <stp>SALES_REV_TURN/1M</stp>
        <stp>FPR=2021Y</stp>
        <stp>FPT=A</stp>
        <stp>FA_ACT_EST_DATA=E, EST_SOURCE=BAM</stp>
        <stp>ACT_EST_MAPPING=PRECISE</stp>
        <stp>FS=MRC</stp>
        <stp>CURRENCY=USD</stp>
        <stp>XLFILL=b</stp>
        <tr r="AD15" s="2"/>
      </tp>
      <tp t="s">
        <v>#N/A Requesting Data...</v>
        <stp/>
        <stp>##V3_BQLV12</stp>
        <stp>[MODL_NOW_US1.xlsx]Single Period!R75C20</stp>
        <stp>SEG0000230992 Segment</stp>
        <stp>SALES_REV_TURN/1M</stp>
        <stp>FPR=2021Y</stp>
        <stp>FPT=A</stp>
        <stp>FA_ACT_EST_DATA=E, EST_SOURCE=CAN</stp>
        <stp>ACT_EST_MAPPING=PRECISE</stp>
        <stp>FS=MRC</stp>
        <stp>CURRENCY=USD</stp>
        <stp>XLFILL=b</stp>
        <tr r="T75" s="2"/>
      </tp>
      <tp t="s">
        <v>#N/A Requesting Data...</v>
        <stp/>
        <stp>##V3_BQLV12</stp>
        <stp>[MODL_NOW_US1.xlsx]Single Period!R15C20</stp>
        <stp>SEG0000230992 Segment</stp>
        <stp>SALES_REV_TURN/1M</stp>
        <stp>FPR=2021Y</stp>
        <stp>FPT=A</stp>
        <stp>FA_ACT_EST_DATA=E, EST_SOURCE=CAN</stp>
        <stp>ACT_EST_MAPPING=PRECISE</stp>
        <stp>FS=MRC</stp>
        <stp>CURRENCY=USD</stp>
        <stp>XLFILL=b</stp>
        <tr r="T15" s="2"/>
      </tp>
      <tp t="s">
        <v>#N/A Requesting Data...</v>
        <stp/>
        <stp>##V3_BQLV12</stp>
        <stp>[MODL_NOW_US1.xlsx]Single Period!R235C33</stp>
        <stp>NOW US Equity</stp>
        <stp>CF_FREE_CASH_FLOW_AS_REPORTED/1M</stp>
        <stp>FPR=2021Y</stp>
        <stp>FPT=A</stp>
        <stp>FA_ACT_EST_DATA=E, EST_SOURCE=MAC</stp>
        <stp>ACT_EST_MAPPING=PRECISE</stp>
        <stp>FS=MRC</stp>
        <stp>CURRENCY=USD</stp>
        <stp>XLFILL=b</stp>
        <tr r="AG235" s="2"/>
      </tp>
      <tp t="s">
        <v>#N/A Requesting Data...</v>
        <stp/>
        <stp>##V3_BQLV12</stp>
        <stp>[MODL_NOW_US1.xlsx]Single Period!R131C45</stp>
        <stp>NOW US Equity</stp>
        <stp>IS_AVG_NUM_SH_FOR_EPS/1M</stp>
        <stp>FPR=2021Y</stp>
        <stp>FPT=A</stp>
        <stp>FA_ACT_EST_DATA=E, EST_SOURCE=PJE</stp>
        <stp>ACT_EST_MAPPING=PRECISE</stp>
        <stp>FS=MRC</stp>
        <stp>CURRENCY=USD</stp>
        <stp>XLFILL=b</stp>
        <tr r="AS131" s="2"/>
      </tp>
      <tp t="s">
        <v>#N/A Requesting Data...</v>
        <stp/>
        <stp>##V3_BQLV12</stp>
        <stp>[MODL_NOW_US1.xlsx]Single Period!R58C12</stp>
        <stp>SEG0000230975 Segment</stp>
        <stp>SALES_REV_TURN/1M</stp>
        <stp>FPR=2021Y</stp>
        <stp>FPT=A</stp>
        <stp>FA_ACT_EST_DATA=E, EST_SOURCE=WBL</stp>
        <stp>ACT_EST_MAPPING=PRECISE</stp>
        <stp>FS=MRC</stp>
        <stp>CURRENCY=USD</stp>
        <stp>XLFILL=b</stp>
        <tr r="L58" s="2"/>
      </tp>
      <tp t="s">
        <v>#N/A Requesting Data...</v>
        <stp/>
        <stp>##V3_BQLV12</stp>
        <stp>[MODL_NOW_US1.xlsx]Single Period!R14C29</stp>
        <stp>SEG0000230975 Segment</stp>
        <stp>SALES_REV_TURN/1M</stp>
        <stp>FPR=2021Y</stp>
        <stp>FPT=A</stp>
        <stp>FA_ACT_EST_DATA=E, EST_SOURCE=BNS</stp>
        <stp>ACT_EST_MAPPING=PRECISE</stp>
        <stp>FS=MRC</stp>
        <stp>CURRENCY=USD</stp>
        <stp>XLFILL=b</stp>
        <tr r="AC14" s="2"/>
      </tp>
      <tp t="s">
        <v>#N/A Requesting Data...</v>
        <stp/>
        <stp>##V3_BQLV12</stp>
        <stp>[MODL_NOW_US1.xlsx]Single Period!R58C26</stp>
        <stp>SEG0000230975 Segment</stp>
        <stp>SALES_REV_TURN/1M</stp>
        <stp>FPR=2021Y</stp>
        <stp>FPT=A</stp>
        <stp>FA_ACT_EST_DATA=E, EST_SOURCE=UBS</stp>
        <stp>ACT_EST_MAPPING=PRECISE</stp>
        <stp>FS=MRC</stp>
        <stp>CURRENCY=USD</stp>
        <stp>XLFILL=b</stp>
        <tr r="Z58" s="2"/>
      </tp>
      <tp t="s">
        <v>#N/A Requesting Data...</v>
        <stp/>
        <stp>##V3_BQLV12</stp>
        <stp>[MODL_NOW_US1.xlsx]Single Period!R14C18</stp>
        <stp>SEG0000230975 Segment</stp>
        <stp>SALES_REV_TURN/1M</stp>
        <stp>FPR=2021Y</stp>
        <stp>FPT=A</stp>
        <stp>FA_ACT_EST_DATA=E, EST_SOURCE=SNR</stp>
        <stp>ACT_EST_MAPPING=PRECISE</stp>
        <stp>FS=MRC</stp>
        <stp>CURRENCY=USD</stp>
        <stp>XLFILL=b</stp>
        <tr r="R14" s="2"/>
      </tp>
      <tp t="s">
        <v>#N/A Requesting Data...</v>
        <stp/>
        <stp>##V3_BQLV12</stp>
        <stp>[MODL_NOW_US1.xlsx]Single Period!R102C22</stp>
        <stp>NOW US Equity</stp>
        <stp>IS_COMP_PTP_EX_STK_BASED_COMP/1M</stp>
        <stp>FPR=2021Y</stp>
        <stp>FPT=A</stp>
        <stp>FA_ACT_EST_DATA=E, EST_SOURCE=NDH</stp>
        <stp>ACT_EST_MAPPING=PRECISE</stp>
        <stp>FS=MRC</stp>
        <stp>CURRENCY=USD</stp>
        <stp>XLFILL=b</stp>
        <tr r="V102" s="2"/>
      </tp>
      <tp t="s">
        <v>#N/A Requesting Data...</v>
        <stp/>
        <stp>##V3_BQLV12</stp>
        <stp>[MODL_NOW_US1.xlsx]Single Period!R61C23</stp>
        <stp>SEG0000230975 Segment</stp>
        <stp>IS_ADJ_GROSS_PROFIT_AS_REPORTED/1M</stp>
        <stp>FPR=2021Y</stp>
        <stp>FPT=A</stp>
        <stp>FA_ACT_EST_DATA=E, EST_SOURCE=ZXS</stp>
        <stp>ACT_EST_MAPPING=PRECISE</stp>
        <stp>FS=MRC</stp>
        <stp>CURRENCY=USD</stp>
        <stp>XLFILL=b</stp>
        <tr r="W61" s="2"/>
      </tp>
      <tp t="s">
        <v>#N/A Requesting Data...</v>
        <stp/>
        <stp>##V3_BQLV12</stp>
        <stp>[MODL_NOW_US1.xlsx]Single Period!R119C25</stp>
        <stp>NOW US Equity</stp>
        <stp>CB_IS_S_AND_M_EXPENSE/1M</stp>
        <stp>FPR=2021Y</stp>
        <stp>FPT=A</stp>
        <stp>FA_ACT_EST_DATA=E, EST_SOURCE=DBG</stp>
        <stp>ACT_EST_MAPPING=PRECISE</stp>
        <stp>FS=MRC</stp>
        <stp>CURRENCY=USD</stp>
        <stp>XLFILL=b</stp>
        <tr r="Y119" s="2"/>
      </tp>
      <tp t="s">
        <v>#N/A Requesting Data...</v>
        <stp/>
        <stp>##V3_BQLV12</stp>
        <stp>[MODL_NOW_US1.xlsx]Single Period!R200C46</stp>
        <stp>NOW US Equity</stp>
        <stp>CF_DEPR_AMORT/1M</stp>
        <stp>FPR=2021Y</stp>
        <stp>FPT=A</stp>
        <stp>FA_ACT_EST_DATA=E, EST_SOURCE=MZS</stp>
        <stp>ACT_EST_MAPPING=PRECISE</stp>
        <stp>FS=MRC</stp>
        <stp>CURRENCY=USD</stp>
        <stp>XLFILL=b</stp>
        <tr r="AT200" s="2"/>
      </tp>
      <tp t="s">
        <v>#N/A Requesting Data...</v>
        <stp/>
        <stp>##V3_BQLV12</stp>
        <stp>[MODL_NOW_US1.xlsx]Single Period!R209C28</stp>
        <stp>NOW US Equity</stp>
        <stp>CF_CHANGE_IN_ACCOUNTS_PAYABLE/1M</stp>
        <stp>FPR=2021Y</stp>
        <stp>FPT=A</stp>
        <stp>FA_ACT_EST_DATA=E, EST_SOURCE=EVR</stp>
        <stp>ACT_EST_MAPPING=PRECISE</stp>
        <stp>FS=MRC</stp>
        <stp>CURRENCY=USD</stp>
        <stp>XLFILL=b</stp>
        <tr r="AB209" s="2"/>
      </tp>
      <tp t="s">
        <v>#N/A Requesting Data...</v>
        <stp/>
        <stp>##V3_BQLV12</stp>
        <stp>[MODL_NOW_US1.xlsx]Single Period!R133C26</stp>
        <stp>NOW US Equity</stp>
        <stp>IS_SH_FOR_DILUTED_EPS/1M</stp>
        <stp>FPR=2021Y</stp>
        <stp>FPT=A</stp>
        <stp>FA_ACT_EST_DATA=E, EST_SOURCE=UBS</stp>
        <stp>ACT_EST_MAPPING=PRECISE</stp>
        <stp>FS=MRC</stp>
        <stp>CURRENCY=USD</stp>
        <stp>XLFILL=b</stp>
        <tr r="Z133" s="2"/>
      </tp>
      <tp t="s">
        <v>#N/A Requesting Data...</v>
        <stp/>
        <stp>##V3_BQLV12</stp>
        <stp>[MODL_NOW_US1.xlsx]Single Period!R20C13</stp>
        <stp>SEG0000230986 Segment</stp>
        <stp>SALES_REV_TURN/1M</stp>
        <stp>FPR=2021Y</stp>
        <stp>FPT=A</stp>
        <stp>FA_ACT_EST_DATA=E, EST_SOURCE=KEY</stp>
        <stp>ACT_EST_MAPPING=PRECISE</stp>
        <stp>FS=MRC</stp>
        <stp>CURRENCY=USD</stp>
        <stp>XLFILL=b</stp>
        <tr r="M20" s="2"/>
      </tp>
      <tp t="s">
        <v>#N/A Requesting Data...</v>
        <stp/>
        <stp>##V3_BQLV12</stp>
        <stp>[MODL_NOW_US1.xlsx]Single Period!R131C17</stp>
        <stp>NOW US Equity</stp>
        <stp>IS_AVG_NUM_SH_FOR_EPS/1M</stp>
        <stp>FPR=2021Y</stp>
        <stp>FPT=A</stp>
        <stp>FA_ACT_EST_DATA=E, EST_SOURCE=RHR</stp>
        <stp>ACT_EST_MAPPING=PRECISE</stp>
        <stp>FS=MRC</stp>
        <stp>CURRENCY=USD</stp>
        <stp>XLFILL=b</stp>
        <tr r="Q131" s="2"/>
      </tp>
      <tp t="s">
        <v>#N/A Requesting Data...</v>
        <stp/>
        <stp>##V3_BQLV12</stp>
        <stp>[MODL_NOW_US1.xlsx]Single Period!R99C45</stp>
        <stp>NOW US Equity</stp>
        <stp>IS_COMPARABLE_EBITDA/1M</stp>
        <stp>FPR=2021Y</stp>
        <stp>FPT=A</stp>
        <stp>FA_ACT_EST_DATA=E, EST_SOURCE=PJE</stp>
        <stp>ACT_EST_MAPPING=PRECISE</stp>
        <stp>FS=MRC</stp>
        <stp>CURRENCY=USD</stp>
        <stp>XLFILL=b</stp>
        <tr r="AS99" s="2"/>
      </tp>
      <tp t="s">
        <v>#N/A Requesting Data...</v>
        <stp/>
        <stp>##V3_BQLV12</stp>
        <stp>[MODL_NOW_US1.xlsx]Single Period!R150C36</stp>
        <stp>NOW US Equity</stp>
        <stp>IS_INC_TAX_EFFECT_NONGAAP_REC/1M</stp>
        <stp>FPR=2021Y</stp>
        <stp>FPT=A</stp>
        <stp>FA_ACT_EST_DATA=E, EST_SOURCE=JEF</stp>
        <stp>ACT_EST_MAPPING=PRECISE</stp>
        <stp>FS=MRC</stp>
        <stp>CURRENCY=USD</stp>
        <stp>XLFILL=b</stp>
        <tr r="AJ150" s="2"/>
      </tp>
      <tp t="s">
        <v>#N/A Requesting Data...</v>
        <stp/>
        <stp>##V3_BQLV12</stp>
        <stp>[MODL_NOW_US1.xlsx]Single Period!R16C21</stp>
        <stp>SEG0000230969 Segment</stp>
        <stp>SALES_REV_TURN/1M</stp>
        <stp>FPR=2021Y</stp>
        <stp>FPT=A</stp>
        <stp>FA_ACT_EST_DATA=E, EST_SOURCE=JMP</stp>
        <stp>ACT_EST_MAPPING=PRECISE</stp>
        <stp>FS=MRC</stp>
        <stp>CURRENCY=USD</stp>
        <stp>XLFILL=b</stp>
        <tr r="U16" s="2"/>
      </tp>
      <tp t="s">
        <v>#N/A Requesting Data...</v>
        <stp/>
        <stp>##V3_BQLV12</stp>
        <stp>[MODL_NOW_US1.xlsx]Single Period!R25C19</stp>
        <stp>NOW US Equity</stp>
        <stp>IS_COMP_GROSS_MARGIN_PERCENTAGE</stp>
        <stp>FPR=2021Y</stp>
        <stp>FPT=A</stp>
        <stp>FA_ACT_EST_DATA=E, EST_SOURCE=MSV</stp>
        <stp>ACT_EST_MAPPING=PRECISE</stp>
        <stp>FS=MRC</stp>
        <stp>CURRENCY=USD</stp>
        <stp>XLFILL=b</stp>
        <tr r="S25" s="2"/>
      </tp>
      <tp t="s">
        <v>#N/A Requesting Data...</v>
        <stp/>
        <stp>##V3_BQLV12</stp>
        <stp>[MODL_NOW_US1.xlsx]Single Period!R3C22</stp>
        <stp>NOW US Equity</stp>
        <stp>LAST(IS_COMP_SALES(FA_ACT_EST_DATA=E, EST_SOURCE=NDH).firm_name)</stp>
        <stp>FPR=2021Y</stp>
        <stp>FPT=A</stp>
        <stp>ACT_EST_MAPPING=PRECISE</stp>
        <stp>FS=MRC</stp>
        <stp>CURRENCY=USD</stp>
        <stp>XLFILL=b</stp>
        <tr r="V3" s="2"/>
      </tp>
      <tp t="s">
        <v>#N/A Requesting Data...</v>
        <stp/>
        <stp>##V3_BQLV12</stp>
        <stp>[MODL_NOW_US1.xlsx]Single Period!R85C19</stp>
        <stp>NOW US Equity</stp>
        <stp>IS_COMP_GROSS_MARGIN_PERCENTAGE</stp>
        <stp>FPR=2021Y</stp>
        <stp>FPT=A</stp>
        <stp>FA_ACT_EST_DATA=E, EST_SOURCE=MSV</stp>
        <stp>ACT_EST_MAPPING=PRECISE</stp>
        <stp>FS=MRC</stp>
        <stp>CURRENCY=USD</stp>
        <stp>XLFILL=b</stp>
        <tr r="S85" s="2"/>
      </tp>
      <tp t="s">
        <v>#N/A Requesting Data...</v>
        <stp/>
        <stp>##V3_BQLV12</stp>
        <stp>[MODL_NOW_US1.xlsx]Single Period!R201C43</stp>
        <stp>NOW US Equity</stp>
        <stp>D_AND_A_TO_SALES</stp>
        <stp>FPR=2021Y</stp>
        <stp>FPT=A</stp>
        <stp>FA_ACT_EST_DATA=E, EST_SOURCE=WFT</stp>
        <stp>ACT_EST_MAPPING=PRECISE</stp>
        <stp>FS=MRC</stp>
        <stp>CURRENCY=USD</stp>
        <stp>XLFILL=b</stp>
        <tr r="AQ201" s="2"/>
      </tp>
      <tp t="s">
        <v>#N/A Requesting Data...</v>
        <stp/>
        <stp>##V3_BQLV12</stp>
        <stp>[MODL_NOW_US1.xlsx]Single Period!R134C34</stp>
        <stp>NOW US Equity</stp>
        <stp>IS_COMP_EPS_GAAP</stp>
        <stp>FPR=2021Y</stp>
        <stp>FPT=A</stp>
        <stp>FA_ACT_EST_DATA=E, EST_SOURCE=PSG</stp>
        <stp>ACT_EST_MAPPING=PRECISE</stp>
        <stp>FS=MRC</stp>
        <stp>CURRENCY=USD</stp>
        <stp>XLFILL=b</stp>
        <tr r="AH134" s="2"/>
      </tp>
      <tp t="s">
        <v>#N/A Requesting Data...</v>
        <stp/>
        <stp>##V3_BQLV12</stp>
        <stp>[MODL_NOW_US1.xlsx]Single Period!R201C16</stp>
        <stp>NOW US Equity</stp>
        <stp>D_AND_A_TO_SALES</stp>
        <stp>FPR=2021Y</stp>
        <stp>FPT=A</stp>
        <stp>FA_ACT_EST_DATA=E, EST_SOURCE=BCA</stp>
        <stp>ACT_EST_MAPPING=PRECISE</stp>
        <stp>FS=MRC</stp>
        <stp>CURRENCY=USD</stp>
        <stp>XLFILL=b</stp>
        <tr r="P201" s="2"/>
      </tp>
      <tp t="s">
        <v>#N/A Requesting Data...</v>
        <stp/>
        <stp>##V3_BQLV12</stp>
        <stp>[MODL_NOW_US1.xlsx]Single Period!R134C40</stp>
        <stp>NOW US Equity</stp>
        <stp>IS_COMP_EPS_GAAP</stp>
        <stp>FPR=2021Y</stp>
        <stp>FPT=A</stp>
        <stp>FA_ACT_EST_DATA=E, EST_SOURCE=DWI</stp>
        <stp>ACT_EST_MAPPING=PRECISE</stp>
        <stp>FS=MRC</stp>
        <stp>CURRENCY=USD</stp>
        <stp>XLFILL=b</stp>
        <tr r="AN134" s="2"/>
      </tp>
      <tp t="s">
        <v>#N/A Requesting Data...</v>
        <stp/>
        <stp>##V3_BQLV12</stp>
        <stp>[MODL_NOW_US1.xlsx]Single Period!R201C27</stp>
        <stp>NOW US Equity</stp>
        <stp>D_AND_A_TO_SALES</stp>
        <stp>FPR=2021Y</stp>
        <stp>FPT=A</stp>
        <stp>FA_ACT_EST_DATA=E, EST_SOURCE=RBC</stp>
        <stp>ACT_EST_MAPPING=PRECISE</stp>
        <stp>FS=MRC</stp>
        <stp>CURRENCY=USD</stp>
        <stp>XLFILL=b</stp>
        <tr r="AA201" s="2"/>
      </tp>
      <tp t="s">
        <v>#N/A Requesting Data...</v>
        <stp/>
        <stp>##V3_BQLV12</stp>
        <stp>[MODL_NOW_US1.xlsx]Single Period!R195C20</stp>
        <stp>NOW US Equity</stp>
        <stp>CB_BS_DEFERRED_COST_LT/1M</stp>
        <stp>FPR=2021Y</stp>
        <stp>FPT=A</stp>
        <stp>FA_ACT_EST_DATA=E, EST_SOURCE=CAN</stp>
        <stp>ACT_EST_MAPPING=PRECISE</stp>
        <stp>FS=MRC</stp>
        <stp>CURRENCY=USD</stp>
        <stp>XLFILL=b</stp>
        <tr r="T195" s="2"/>
      </tp>
      <tp t="s">
        <v>#N/A Requesting Data...</v>
        <stp/>
        <stp>##V3_BQLV12</stp>
        <stp>[MODL_NOW_US1.xlsx]Single Period!R195C30</stp>
        <stp>NOW US Equity</stp>
        <stp>CB_BS_DEFERRED_COST_LT/1M</stp>
        <stp>FPR=2021Y</stp>
        <stp>FPT=A</stp>
        <stp>FA_ACT_EST_DATA=E, EST_SOURCE=BAM</stp>
        <stp>ACT_EST_MAPPING=PRECISE</stp>
        <stp>FS=MRC</stp>
        <stp>CURRENCY=USD</stp>
        <stp>XLFILL=b</stp>
        <tr r="AD195" s="2"/>
      </tp>
      <tp t="s">
        <v>#N/A Requesting Data...</v>
        <stp/>
        <stp>##V3_BQLV12</stp>
        <stp>[MODL_NOW_US1.xlsx]Single Period!R146C42</stp>
        <stp>NOW US Equity</stp>
        <stp>IS_AMORT_ACQD_INTANGIBLES_COGS/1M</stp>
        <stp>FPR=2021Y</stp>
        <stp>FPT=A</stp>
        <stp>FA_ACT_EST_DATA=E, EST_SOURCE=CTI</stp>
        <stp>ACT_EST_MAPPING=PRECISE</stp>
        <stp>FS=MRC</stp>
        <stp>CURRENCY=USD</stp>
        <stp>XLFILL=b</stp>
        <tr r="AP146" s="2"/>
      </tp>
      <tp t="s">
        <v>#N/A Requesting Data...</v>
        <stp/>
        <stp>##V3_BQLV12</stp>
        <stp>[MODL_NOW_US1.xlsx]Single Period!R156C21</stp>
        <stp>NOW US Equity</stp>
        <stp>BS_CASH_NEAR_CASH_ITEM/1M</stp>
        <stp>FPR=2021Y</stp>
        <stp>FPT=A</stp>
        <stp>FA_ACT_EST_DATA=E, EST_SOURCE=JMP</stp>
        <stp>ACT_EST_MAPPING=PRECISE</stp>
        <stp>FS=MRC</stp>
        <stp>CURRENCY=USD</stp>
        <stp>XLFILL=b</stp>
        <tr r="U156" s="2"/>
      </tp>
      <tp t="s">
        <v>#N/A Requesting Data...</v>
        <stp/>
        <stp>##V3_BQLV12</stp>
        <stp>[MODL_NOW_US1.xlsx]Single Period!R126C26</stp>
        <stp>NOW US Equity</stp>
        <stp>IS_NON_OPERATING_INC_LOSS_GAAP/1M</stp>
        <stp>FPR=2021Y</stp>
        <stp>FPT=A</stp>
        <stp>FA_ACT_EST_DATA=E, EST_SOURCE=UBS</stp>
        <stp>ACT_EST_MAPPING=PRECISE</stp>
        <stp>FS=MRC</stp>
        <stp>CURRENCY=USD</stp>
        <stp>XLFILL=b</stp>
        <tr r="Z126" s="2"/>
      </tp>
      <tp t="s">
        <v>#N/A Requesting Data...</v>
        <stp/>
        <stp>##V3_BQLV12</stp>
        <stp>[MODL_NOW_US1.xlsx]Single Period!R62C18</stp>
        <stp>SEG0000230975 Segment</stp>
        <stp>IS_ADJ_GROSS_MARGIN_PCT_AR</stp>
        <stp>FPR=2021Y</stp>
        <stp>FPT=A</stp>
        <stp>FA_ACT_EST_DATA=E, EST_SOURCE=SNR</stp>
        <stp>ACT_EST_MAPPING=PRECISE</stp>
        <stp>FS=MRC</stp>
        <stp>CURRENCY=USD</stp>
        <stp>XLFILL=b</stp>
        <tr r="R62" s="2"/>
      </tp>
      <tp t="s">
        <v>#N/A Requesting Data...</v>
        <stp/>
        <stp>##V3_BQLV12</stp>
        <stp>[MODL_NOW_US1.xlsx]Single Period!R18C18</stp>
        <stp>SEG0000230975 Segment</stp>
        <stp>IS_ADJ_GROSS_MARGIN_PCT_AR</stp>
        <stp>FPR=2021Y</stp>
        <stp>FPT=A</stp>
        <stp>FA_ACT_EST_DATA=E, EST_SOURCE=SNR</stp>
        <stp>ACT_EST_MAPPING=PRECISE</stp>
        <stp>FS=MRC</stp>
        <stp>CURRENCY=USD</stp>
        <stp>XLFILL=b</stp>
        <tr r="R18" s="2"/>
      </tp>
      <tp t="s">
        <v>#N/A Requesting Data...</v>
        <stp/>
        <stp>##V3_BQLV12</stp>
        <stp>[MODL_NOW_US1.xlsx]Single Period!R70C21</stp>
        <stp>SEG0000230986 Segment</stp>
        <stp>IS_ADJ_GROSS_MARGIN_PCT_AR</stp>
        <stp>FPR=2021Y</stp>
        <stp>FPT=A</stp>
        <stp>FA_ACT_EST_DATA=E, EST_SOURCE=JMP</stp>
        <stp>ACT_EST_MAPPING=PRECISE</stp>
        <stp>FS=MRC</stp>
        <stp>CURRENCY=USD</stp>
        <stp>XLFILL=b</stp>
        <tr r="U70" s="2"/>
      </tp>
      <tp t="s">
        <v>#N/A Requesting Data...</v>
        <stp/>
        <stp>##V3_BQLV12</stp>
        <stp>[MODL_NOW_US1.xlsx]Single Period!R211C42</stp>
        <stp>NOW US Equity</stp>
        <stp>CF_CHG_IN_DEFER_UNEARND_REV_ST/1M</stp>
        <stp>FPR=2021Y</stp>
        <stp>FPT=A</stp>
        <stp>FA_ACT_EST_DATA=E, EST_SOURCE=CTI</stp>
        <stp>ACT_EST_MAPPING=PRECISE</stp>
        <stp>FS=MRC</stp>
        <stp>CURRENCY=USD</stp>
        <stp>XLFILL=b</stp>
        <tr r="AP211" s="2"/>
      </tp>
      <tp t="s">
        <v>#N/A Requesting Data...</v>
        <stp/>
        <stp>##V3_BQLV12</stp>
        <stp>[MODL_NOW_US1.xlsx]Single Period!R22C21</stp>
        <stp>SEG0000230986 Segment</stp>
        <stp>IS_ADJ_GROSS_MARGIN_PCT_AR</stp>
        <stp>FPR=2021Y</stp>
        <stp>FPT=A</stp>
        <stp>FA_ACT_EST_DATA=E, EST_SOURCE=JMP</stp>
        <stp>ACT_EST_MAPPING=PRECISE</stp>
        <stp>FS=MRC</stp>
        <stp>CURRENCY=USD</stp>
        <stp>XLFILL=b</stp>
        <tr r="U22" s="2"/>
      </tp>
      <tp t="s">
        <v>#N/A Requesting Data...</v>
        <stp/>
        <stp>##V3_BQLV12</stp>
        <stp>[MODL_NOW_US1.xlsx]Single Period!R62C29</stp>
        <stp>SEG0000230975 Segment</stp>
        <stp>IS_ADJ_GROSS_MARGIN_PCT_AR</stp>
        <stp>FPR=2021Y</stp>
        <stp>FPT=A</stp>
        <stp>FA_ACT_EST_DATA=E, EST_SOURCE=BNS</stp>
        <stp>ACT_EST_MAPPING=PRECISE</stp>
        <stp>FS=MRC</stp>
        <stp>CURRENCY=USD</stp>
        <stp>XLFILL=b</stp>
        <tr r="AC62" s="2"/>
      </tp>
      <tp t="s">
        <v>#N/A Requesting Data...</v>
        <stp/>
        <stp>##V3_BQLV12</stp>
        <stp>[MODL_NOW_US1.xlsx]Single Period!R18C29</stp>
        <stp>SEG0000230975 Segment</stp>
        <stp>IS_ADJ_GROSS_MARGIN_PCT_AR</stp>
        <stp>FPR=2021Y</stp>
        <stp>FPT=A</stp>
        <stp>FA_ACT_EST_DATA=E, EST_SOURCE=BNS</stp>
        <stp>ACT_EST_MAPPING=PRECISE</stp>
        <stp>FS=MRC</stp>
        <stp>CURRENCY=USD</stp>
        <stp>XLFILL=b</stp>
        <tr r="AC18" s="2"/>
      </tp>
      <tp t="s">
        <v>#N/A Requesting Data...</v>
        <stp/>
        <stp>##V3_BQLV12</stp>
        <stp>[MODL_NOW_US1.xlsx]Single Period!R10C18</stp>
        <stp>NOW US Equity</stp>
        <stp>BILLNG_AMOUNT_GROWTH_PCT</stp>
        <stp>FPR=2021Y</stp>
        <stp>FPT=A</stp>
        <stp>FA_ACT_EST_DATA=E, EST_SOURCE=SNR</stp>
        <stp>ACT_EST_MAPPING=PRECISE</stp>
        <stp>FS=MRC</stp>
        <stp>CURRENCY=USD</stp>
        <stp>XLFILL=b</stp>
        <tr r="R10" s="2"/>
      </tp>
      <tp t="s">
        <v>#N/A Requesting Data...</v>
        <stp/>
        <stp>##V3_BQLV12</stp>
        <stp>[MODL_NOW_US1.xlsx]Single Period!R146C37</stp>
        <stp>NOW US Equity</stp>
        <stp>IS_AMORT_ACQD_INTANGIBLES_COGS/1M</stp>
        <stp>FPR=2021Y</stp>
        <stp>FPT=A</stp>
        <stp>FA_ACT_EST_DATA=E, EST_SOURCE=TTC</stp>
        <stp>ACT_EST_MAPPING=PRECISE</stp>
        <stp>FS=MRC</stp>
        <stp>CURRENCY=USD</stp>
        <stp>XLFILL=b</stp>
        <tr r="AK146" s="2"/>
      </tp>
      <tp t="s">
        <v>#N/A Requesting Data...</v>
        <stp/>
        <stp>##V3_BQLV12</stp>
        <stp>[MODL_NOW_US1.xlsx]Single Period!R195C33</stp>
        <stp>NOW US Equity</stp>
        <stp>CB_BS_DEFERRED_COST_LT/1M</stp>
        <stp>FPR=2021Y</stp>
        <stp>FPT=A</stp>
        <stp>FA_ACT_EST_DATA=E, EST_SOURCE=MAC</stp>
        <stp>ACT_EST_MAPPING=PRECISE</stp>
        <stp>FS=MRC</stp>
        <stp>CURRENCY=USD</stp>
        <stp>XLFILL=b</stp>
        <tr r="AG195" s="2"/>
      </tp>
      <tp t="s">
        <v>#N/A Requesting Data...</v>
        <stp/>
        <stp>##V3_BQLV12</stp>
        <stp>[MODL_NOW_US1.xlsx]Single Period!R10C13</stp>
        <stp>NOW US Equity</stp>
        <stp>BILLNG_AMOUNT_GROWTH_PCT</stp>
        <stp>FPR=2021Y</stp>
        <stp>FPT=A</stp>
        <stp>FA_ACT_EST_DATA=E, EST_SOURCE=KEY</stp>
        <stp>ACT_EST_MAPPING=PRECISE</stp>
        <stp>FS=MRC</stp>
        <stp>CURRENCY=USD</stp>
        <stp>XLFILL=b</stp>
        <tr r="M10" s="2"/>
      </tp>
      <tp t="s">
        <v>#N/A Requesting Data...</v>
        <stp/>
        <stp>##V3_BQLV12</stp>
        <stp>[MODL_NOW_US1.xlsx]Single Period!R211C37</stp>
        <stp>NOW US Equity</stp>
        <stp>CF_CHG_IN_DEFER_UNEARND_REV_ST/1M</stp>
        <stp>FPR=2021Y</stp>
        <stp>FPT=A</stp>
        <stp>FA_ACT_EST_DATA=E, EST_SOURCE=TTC</stp>
        <stp>ACT_EST_MAPPING=PRECISE</stp>
        <stp>FS=MRC</stp>
        <stp>CURRENCY=USD</stp>
        <stp>XLFILL=b</stp>
        <tr r="AK211" s="2"/>
      </tp>
      <tp t="s">
        <v>#N/A Requesting Data...</v>
        <stp/>
        <stp>##V3_BQLV12</stp>
        <stp>[MODL_NOW_US1.xlsx]Single Period!R126C25</stp>
        <stp>NOW US Equity</stp>
        <stp>IS_NON_OPERATING_INC_LOSS_GAAP/1M</stp>
        <stp>FPR=2021Y</stp>
        <stp>FPT=A</stp>
        <stp>FA_ACT_EST_DATA=E, EST_SOURCE=DBG</stp>
        <stp>ACT_EST_MAPPING=PRECISE</stp>
        <stp>FS=MRC</stp>
        <stp>CURRENCY=USD</stp>
        <stp>XLFILL=b</stp>
        <tr r="Y126" s="2"/>
      </tp>
      <tp t="s">
        <v>#N/A Requesting Data...</v>
        <stp/>
        <stp>##V3_BQLV12</stp>
        <stp>[MODL_NOW_US1.xlsx]Single Period!R123C43</stp>
        <stp>NOW US Equity</stp>
        <stp>TOTAL_OPERATING_EXPENSES_RATIO/1M</stp>
        <stp>FPR=2021Y</stp>
        <stp>FPT=A</stp>
        <stp>FA_ACT_EST_DATA=E, EST_SOURCE=WFT</stp>
        <stp>ACT_EST_MAPPING=PRECISE</stp>
        <stp>FS=MRC</stp>
        <stp>CURRENCY=USD</stp>
        <stp>XLFILL=b</stp>
        <tr r="AQ123" s="2"/>
      </tp>
      <tp t="s">
        <v>#N/A Requesting Data...</v>
        <stp/>
        <stp>##V3_BQLV12</stp>
        <stp>[MODL_NOW_US1.xlsx]Single Period!R40C36</stp>
        <stp>NOW US Equity</stp>
        <stp>BILLNG_AMOUNT_GROWTH_PCT</stp>
        <stp>FPR=2021Y</stp>
        <stp>FPT=A</stp>
        <stp>FA_ACT_EST_DATA=E, EST_SOURCE=JEF</stp>
        <stp>ACT_EST_MAPPING=PRECISE</stp>
        <stp>FS=MRC</stp>
        <stp>CURRENCY=USD</stp>
        <stp>XLFILL=b</stp>
        <tr r="AJ40" s="2"/>
      </tp>
      <tp t="s">
        <v>#N/A Requesting Data...</v>
        <stp/>
        <stp>##V3_BQLV12</stp>
        <stp>[MODL_NOW_US1.xlsx]Single Period!R226C38</stp>
        <stp>NOW US Equity</stp>
        <stp>CF_OTHER_FINANCING_ACT_EXCL_FX/1M</stp>
        <stp>FPR=2021Y</stp>
        <stp>FPT=A</stp>
        <stp>FA_ACT_EST_DATA=E, EST_SOURCE=RWB</stp>
        <stp>ACT_EST_MAPPING=PRECISE</stp>
        <stp>FS=MRC</stp>
        <stp>CURRENCY=USD</stp>
        <stp>XLFILL=b</stp>
        <tr r="AL226" s="2"/>
      </tp>
      <tp t="s">
        <v>#N/A Requesting Data...</v>
        <stp/>
        <stp>##V3_BQLV12</stp>
        <stp>[MODL_NOW_US1.xlsx]Single Period!R126C32</stp>
        <stp>NOW US Equity</stp>
        <stp>IS_NON_OPERATING_INC_LOSS_GAAP/1M</stp>
        <stp>FPR=2021Y</stp>
        <stp>FPT=A</stp>
        <stp>FA_ACT_EST_DATA=E, EST_SOURCE=FBC</stp>
        <stp>ACT_EST_MAPPING=PRECISE</stp>
        <stp>FS=MRC</stp>
        <stp>CURRENCY=USD</stp>
        <stp>XLFILL=b</stp>
        <tr r="AF126" s="2"/>
      </tp>
      <tp t="s">
        <v>#N/A Requesting Data...</v>
        <stp/>
        <stp>##V3_BQLV12</stp>
        <stp>[MODL_NOW_US1.xlsx]Single Period!R126C27</stp>
        <stp>NOW US Equity</stp>
        <stp>IS_NON_OPERATING_INC_LOSS_GAAP/1M</stp>
        <stp>FPR=2021Y</stp>
        <stp>FPT=A</stp>
        <stp>FA_ACT_EST_DATA=E, EST_SOURCE=RBC</stp>
        <stp>ACT_EST_MAPPING=PRECISE</stp>
        <stp>FS=MRC</stp>
        <stp>CURRENCY=USD</stp>
        <stp>XLFILL=b</stp>
        <tr r="AA126" s="2"/>
      </tp>
      <tp t="s">
        <v>#N/A Requesting Data...</v>
        <stp/>
        <stp>##V3_BQLV12</stp>
        <stp>[MODL_NOW_US1.xlsx]Single Period!R226C40</stp>
        <stp>NOW US Equity</stp>
        <stp>CF_OTHER_FINANCING_ACT_EXCL_FX/1M</stp>
        <stp>FPR=2021Y</stp>
        <stp>FPT=A</stp>
        <stp>FA_ACT_EST_DATA=E, EST_SOURCE=DWI</stp>
        <stp>ACT_EST_MAPPING=PRECISE</stp>
        <stp>FS=MRC</stp>
        <stp>CURRENCY=USD</stp>
        <stp>XLFILL=b</stp>
        <tr r="AN226" s="2"/>
      </tp>
      <tp t="s">
        <v>#N/A Requesting Data...</v>
        <stp/>
        <stp>##V3_BQLV12</stp>
        <stp>[MODL_NOW_US1.xlsx]Single Period!R22C14</stp>
        <stp>SEG0000230986 Segment</stp>
        <stp>IS_ADJ_GROSS_MARGIN_PCT_AR</stp>
        <stp>FPR=2021Y</stp>
        <stp>FPT=A</stp>
        <stp>FA_ACT_EST_DATA=E, EST_SOURCE=BMO</stp>
        <stp>ACT_EST_MAPPING=PRECISE</stp>
        <stp>FS=MRC</stp>
        <stp>CURRENCY=USD</stp>
        <stp>XLFILL=b</stp>
        <tr r="N22" s="2"/>
      </tp>
      <tp t="s">
        <v>#N/A Requesting Data...</v>
        <stp/>
        <stp>##V3_BQLV12</stp>
        <stp>[MODL_NOW_US1.xlsx]Single Period!R70C14</stp>
        <stp>SEG0000230986 Segment</stp>
        <stp>IS_ADJ_GROSS_MARGIN_PCT_AR</stp>
        <stp>FPR=2021Y</stp>
        <stp>FPT=A</stp>
        <stp>FA_ACT_EST_DATA=E, EST_SOURCE=BMO</stp>
        <stp>ACT_EST_MAPPING=PRECISE</stp>
        <stp>FS=MRC</stp>
        <stp>CURRENCY=USD</stp>
        <stp>XLFILL=b</stp>
        <tr r="N70" s="2"/>
      </tp>
      <tp t="s">
        <v>#N/A Requesting Data...</v>
        <stp/>
        <stp>##V3_BQLV12</stp>
        <stp>[MODL_NOW_US1.xlsx]Single Period!R126C12</stp>
        <stp>NOW US Equity</stp>
        <stp>IS_NON_OPERATING_INC_LOSS_GAAP/1M</stp>
        <stp>FPR=2021Y</stp>
        <stp>FPT=A</stp>
        <stp>FA_ACT_EST_DATA=E, EST_SOURCE=WBL</stp>
        <stp>ACT_EST_MAPPING=PRECISE</stp>
        <stp>FS=MRC</stp>
        <stp>CURRENCY=USD</stp>
        <stp>XLFILL=b</stp>
        <tr r="L126" s="2"/>
      </tp>
      <tp t="s">
        <v>#N/A Requesting Data...</v>
        <stp/>
        <stp>##V3_BQLV12</stp>
        <stp>[MODL_NOW_US1.xlsx]Single Period!R156C14</stp>
        <stp>NOW US Equity</stp>
        <stp>BS_CASH_NEAR_CASH_ITEM/1M</stp>
        <stp>FPR=2021Y</stp>
        <stp>FPT=A</stp>
        <stp>FA_ACT_EST_DATA=E, EST_SOURCE=BMO</stp>
        <stp>ACT_EST_MAPPING=PRECISE</stp>
        <stp>FS=MRC</stp>
        <stp>CURRENCY=USD</stp>
        <stp>XLFILL=b</stp>
        <tr r="N156" s="2"/>
      </tp>
      <tp t="s">
        <v>#N/A Requesting Data...</v>
        <stp/>
        <stp>##V3_BQLV12</stp>
        <stp>[MODL_NOW_US1.xlsx]Single Period!R10C22</stp>
        <stp>NOW US Equity</stp>
        <stp>BILLNG_AMOUNT_GROWTH_PCT</stp>
        <stp>FPR=2021Y</stp>
        <stp>FPT=A</stp>
        <stp>FA_ACT_EST_DATA=E, EST_SOURCE=NDH</stp>
        <stp>ACT_EST_MAPPING=PRECISE</stp>
        <stp>FS=MRC</stp>
        <stp>CURRENCY=USD</stp>
        <stp>XLFILL=b</stp>
        <tr r="V10" s="2"/>
      </tp>
      <tp t="s">
        <v>#N/A Requesting Data...</v>
        <stp/>
        <stp>##V3_BQLV12</stp>
        <stp>[MODL_NOW_US1.xlsx]Single Period!R226C24</stp>
        <stp>NOW US Equity</stp>
        <stp>CF_OTHER_FINANCING_ACT_EXCL_FX/1M</stp>
        <stp>FPR=2021Y</stp>
        <stp>FPT=A</stp>
        <stp>FA_ACT_EST_DATA=E, EST_SOURCE=CWN</stp>
        <stp>ACT_EST_MAPPING=PRECISE</stp>
        <stp>FS=MRC</stp>
        <stp>CURRENCY=USD</stp>
        <stp>XLFILL=b</stp>
        <tr r="X226" s="2"/>
      </tp>
      <tp t="s">
        <v>#N/A Requesting Data...</v>
        <stp/>
        <stp>##V3_BQLV12</stp>
        <stp>[MODL_NOW_US1.xlsx]Single Period!R142C26</stp>
        <stp>NOW US Equity</stp>
        <stp>IS_SBC_ATT_TO_S_AND_M_PRETX/1M</stp>
        <stp>FPR=2021Y</stp>
        <stp>FPT=A</stp>
        <stp>FA_ACT_EST_DATA=E, EST_SOURCE=UBS</stp>
        <stp>ACT_EST_MAPPING=PRECISE</stp>
        <stp>FS=MRC</stp>
        <stp>CURRENCY=USD</stp>
        <stp>XLFILL=b</stp>
        <tr r="Z142" s="2"/>
      </tp>
      <tp t="s">
        <v>#N/A Requesting Data...</v>
        <stp/>
        <stp>##V3_BQLV12</stp>
        <stp>[MODL_NOW_US1.xlsx]Single Period!R139C49</stp>
        <stp>NOW US Equity</stp>
        <stp>IS_SBC_ATTRIB_TO_COGS_PRETX/1M</stp>
        <stp>FPR=2021Y</stp>
        <stp>FPT=A</stp>
        <stp>FA_ACT_EST_DATA=E, EST_SOURCE=SCB</stp>
        <stp>ACT_EST_MAPPING=PRECISE</stp>
        <stp>FS=MRC</stp>
        <stp>CURRENCY=USD</stp>
        <stp>XLFILL=b</stp>
        <tr r="AW139" s="2"/>
      </tp>
      <tp t="s">
        <v>#N/A Requesting Data...</v>
        <stp/>
        <stp>##V3_BQLV12</stp>
        <stp>[MODL_NOW_US1.xlsx]Single Period!R189C25</stp>
        <stp>NOW US Equity</stp>
        <stp>CUR_RATIO</stp>
        <stp>FPR=2021Y</stp>
        <stp>FPT=A</stp>
        <stp>FA_ACT_EST_DATA=E, EST_SOURCE=DBG</stp>
        <stp>ACT_EST_MAPPING=PRECISE</stp>
        <stp>FS=MRC</stp>
        <stp>CURRENCY=USD</stp>
        <stp>XLFILL=b</stp>
        <tr r="Y189" s="2"/>
      </tp>
      <tp t="s">
        <v>#N/A Requesting Data...</v>
        <stp/>
        <stp>##V3_BQLV12</stp>
        <stp>[MODL_NOW_US1.xlsx]Single Period!R139C16</stp>
        <stp>NOW US Equity</stp>
        <stp>IS_SBC_ATTRIB_TO_COGS_PRETX/1M</stp>
        <stp>FPR=2021Y</stp>
        <stp>FPT=A</stp>
        <stp>FA_ACT_EST_DATA=E, EST_SOURCE=BCA</stp>
        <stp>ACT_EST_MAPPING=PRECISE</stp>
        <stp>FS=MRC</stp>
        <stp>CURRENCY=USD</stp>
        <stp>XLFILL=b</stp>
        <tr r="P139" s="2"/>
      </tp>
      <tp t="s">
        <v>#N/A Requesting Data...</v>
        <stp/>
        <stp>##V3_BQLV12</stp>
        <stp>[MODL_NOW_US1.xlsx]Single Period!R158C45</stp>
        <stp>NOW US Equity</stp>
        <stp>BS_ACCTS_REC_EXCL_NOTES_REC/1M</stp>
        <stp>FPR=2021Y</stp>
        <stp>FPT=A</stp>
        <stp>FA_ACT_EST_DATA=E, EST_SOURCE=PJE</stp>
        <stp>ACT_EST_MAPPING=PRECISE</stp>
        <stp>FS=MRC</stp>
        <stp>CURRENCY=USD</stp>
        <stp>XLFILL=b</stp>
        <tr r="AS158" s="2"/>
      </tp>
      <tp t="s">
        <v>#N/A Requesting Data...</v>
        <stp/>
        <stp>##V3_BQLV12</stp>
        <stp>[MODL_NOW_US1.xlsx]Single Period!R89C25</stp>
        <stp>NOW US Equity</stp>
        <stp>IS_REV_INCLUDING_INTERSEG_REV/1M</stp>
        <stp>FPR=2021Y</stp>
        <stp>FPT=A</stp>
        <stp>FA_ACT_EST_DATA=E, EST_SOURCE=DBG</stp>
        <stp>ACT_EST_MAPPING=PRECISE</stp>
        <stp>FS=MRC</stp>
        <stp>CURRENCY=USD</stp>
        <stp>XLFILL=b</stp>
        <tr r="Y89" s="2"/>
      </tp>
      <tp t="s">
        <v>#N/A Requesting Data...</v>
        <stp/>
        <stp>##V3_BQLV12</stp>
        <stp>[MODL_NOW_US1.xlsx]Single Period!R189C27</stp>
        <stp>NOW US Equity</stp>
        <stp>CUR_RATIO</stp>
        <stp>FPR=2021Y</stp>
        <stp>FPT=A</stp>
        <stp>FA_ACT_EST_DATA=E, EST_SOURCE=RBC</stp>
        <stp>ACT_EST_MAPPING=PRECISE</stp>
        <stp>FS=MRC</stp>
        <stp>CURRENCY=USD</stp>
        <stp>XLFILL=b</stp>
        <tr r="AA189" s="2"/>
      </tp>
      <tp t="s">
        <v>#N/A Requesting Data...</v>
        <stp/>
        <stp>##V3_BQLV12</stp>
        <stp>[MODL_NOW_US1.xlsx]Single Period!R189C32</stp>
        <stp>NOW US Equity</stp>
        <stp>CUR_RATIO</stp>
        <stp>FPR=2021Y</stp>
        <stp>FPT=A</stp>
        <stp>FA_ACT_EST_DATA=E, EST_SOURCE=FBC</stp>
        <stp>ACT_EST_MAPPING=PRECISE</stp>
        <stp>FS=MRC</stp>
        <stp>CURRENCY=USD</stp>
        <stp>XLFILL=b</stp>
        <tr r="AF189" s="2"/>
      </tp>
      <tp t="s">
        <v>#N/A Requesting Data...</v>
        <stp/>
        <stp>##V3_BQLV12</stp>
        <stp>[MODL_NOW_US1.xlsx]Single Period!R189C12</stp>
        <stp>NOW US Equity</stp>
        <stp>CUR_RATIO</stp>
        <stp>FPR=2021Y</stp>
        <stp>FPT=A</stp>
        <stp>FA_ACT_EST_DATA=E, EST_SOURCE=WBL</stp>
        <stp>ACT_EST_MAPPING=PRECISE</stp>
        <stp>FS=MRC</stp>
        <stp>CURRENCY=USD</stp>
        <stp>XLFILL=b</stp>
        <tr r="L189" s="2"/>
      </tp>
      <tp t="s">
        <v>#N/A Requesting Data...</v>
        <stp/>
        <stp>##V3_BQLV12</stp>
        <stp>[MODL_NOW_US1.xlsx]Single Period!R92C45</stp>
        <stp>NOW US Equity</stp>
        <stp>IS_ADJ_GENL_AND_ADMIN_EXPN_AR/1M</stp>
        <stp>FPR=2021Y</stp>
        <stp>FPT=A</stp>
        <stp>FA_ACT_EST_DATA=E, EST_SOURCE=PJE</stp>
        <stp>ACT_EST_MAPPING=PRECISE</stp>
        <stp>FS=MRC</stp>
        <stp>CURRENCY=USD</stp>
        <stp>XLFILL=b</stp>
        <tr r="AS92" s="2"/>
      </tp>
      <tp t="s">
        <v>#N/A Requesting Data...</v>
        <stp/>
        <stp>##V3_BQLV12</stp>
        <stp>[MODL_NOW_US1.xlsx]Single Period!R180C45</stp>
        <stp>NOW US Equity</stp>
        <stp>BS_LT_OPERATING_LEASE_LIABS/1M</stp>
        <stp>FPR=2021Y</stp>
        <stp>FPT=A</stp>
        <stp>FA_ACT_EST_DATA=E, EST_SOURCE=PJE</stp>
        <stp>ACT_EST_MAPPING=PRECISE</stp>
        <stp>FS=MRC</stp>
        <stp>CURRENCY=USD</stp>
        <stp>XLFILL=b</stp>
        <tr r="AS180" s="2"/>
      </tp>
      <tp t="s">
        <v>#N/A Requesting Data...</v>
        <stp/>
        <stp>##V3_BQLV12</stp>
        <stp>[MODL_NOW_US1.xlsx]Single Period!R30C17</stp>
        <stp>NOW US Equity</stp>
        <stp>CF_FREE_CASH_FLOW_AS_REPORTED/1M</stp>
        <stp>FPR=2021Y</stp>
        <stp>FPT=A</stp>
        <stp>FA_ACT_EST_DATA=E, EST_SOURCE=RHR</stp>
        <stp>ACT_EST_MAPPING=PRECISE</stp>
        <stp>FS=MRC</stp>
        <stp>CURRENCY=USD</stp>
        <stp>XLFILL=b</stp>
        <tr r="Q30" s="2"/>
      </tp>
      <tp t="s">
        <v>#N/A Requesting Data...</v>
        <stp/>
        <stp>##V3_BQLV12</stp>
        <stp>[MODL_NOW_US1.xlsx]Single Period!R9C11</stp>
        <stp>NOW US Equity</stp>
        <stp>IS_BILLINGS/1M</stp>
        <stp>FPR=2021Y</stp>
        <stp>FPT=A</stp>
        <stp>FA_ACT_EST_DATA=E, EST_SOURCE=JPM</stp>
        <stp>ACT_EST_MAPPING=PRECISE</stp>
        <stp>FS=MRC</stp>
        <stp>CURRENCY=USD</stp>
        <stp>XLFILL=b</stp>
        <tr r="K9" s="2"/>
      </tp>
      <tp t="s">
        <v>#N/A Requesting Data...</v>
        <stp/>
        <stp>##V3_BQLV12</stp>
        <stp>[MODL_NOW_US1.xlsx]Single Period!R167C47</stp>
        <stp>NOW US Equity</stp>
        <stp>BS_GOODWILL/1M</stp>
        <stp>FPR=2021Y</stp>
        <stp>FPT=A</stp>
        <stp>FA_ACT_EST_DATA=E, EST_SOURCE=SUM</stp>
        <stp>ACT_EST_MAPPING=PRECISE</stp>
        <stp>FS=MRC</stp>
        <stp>CURRENCY=USD</stp>
        <stp>XLFILL=b</stp>
        <tr r="AU167" s="2"/>
      </tp>
      <tp t="s">
        <v>#N/A Requesting Data...</v>
        <stp/>
        <stp>##V3_BQLV12</stp>
        <stp>[MODL_NOW_US1.xlsx]Single Period!R80C21</stp>
        <stp>NOW US Equity</stp>
        <stp>IS_COMP_SALES/1M</stp>
        <stp>FPR=2021Y</stp>
        <stp>FPT=A</stp>
        <stp>FA_ACT_EST_DATA=E, EST_SOURCE=JMP</stp>
        <stp>ACT_EST_MAPPING=PRECISE</stp>
        <stp>FS=MRC</stp>
        <stp>CURRENCY=USD</stp>
        <stp>XLFILL=b</stp>
        <tr r="U80" s="2"/>
      </tp>
      <tp t="s">
        <v>#N/A Requesting Data...</v>
        <stp/>
        <stp>##V3_BQLV12</stp>
        <stp>[MODL_NOW_US1.xlsx]Single Period!R142C27</stp>
        <stp>NOW US Equity</stp>
        <stp>IS_SBC_ATT_TO_S_AND_M_PRETX/1M</stp>
        <stp>FPR=2021Y</stp>
        <stp>FPT=A</stp>
        <stp>FA_ACT_EST_DATA=E, EST_SOURCE=RBC</stp>
        <stp>ACT_EST_MAPPING=PRECISE</stp>
        <stp>FS=MRC</stp>
        <stp>CURRENCY=USD</stp>
        <stp>XLFILL=b</stp>
        <tr r="AA142" s="2"/>
      </tp>
      <tp t="s">
        <v>#N/A Requesting Data...</v>
        <stp/>
        <stp>##V3_BQLV12</stp>
        <stp>[MODL_NOW_US1.xlsx]Single Period!R10C7</stp>
        <stp>NOW US Equity</stp>
        <stp>CONTRIBUTOR_STATS(BILLNG_AMOUNT_GROWTH_PCT, MAX)</stp>
        <stp>FPR=2021Y</stp>
        <stp>FPT=A</stp>
        <stp>FA_ACT_EST_DATA=E</stp>
        <stp>ACT_EST_MAPPING=PRECISE</stp>
        <stp>FS=MRC</stp>
        <stp>CURRENCY=USD</stp>
        <stp>XLFILL=b</stp>
        <tr r="G10" s="2"/>
      </tp>
      <tp t="s">
        <v>#N/A Requesting Data...</v>
        <stp/>
        <stp>##V3_BQLV12</stp>
        <stp>[MODL_NOW_US1.xlsx]Single Period!R142C32</stp>
        <stp>NOW US Equity</stp>
        <stp>IS_SBC_ATT_TO_S_AND_M_PRETX/1M</stp>
        <stp>FPR=2021Y</stp>
        <stp>FPT=A</stp>
        <stp>FA_ACT_EST_DATA=E, EST_SOURCE=FBC</stp>
        <stp>ACT_EST_MAPPING=PRECISE</stp>
        <stp>FS=MRC</stp>
        <stp>CURRENCY=USD</stp>
        <stp>XLFILL=b</stp>
        <tr r="AF142" s="2"/>
      </tp>
      <tp t="s">
        <v>#N/A Requesting Data...</v>
        <stp/>
        <stp>##V3_BQLV12</stp>
        <stp>[MODL_NOW_US1.xlsx]Single Period!R89C29</stp>
        <stp>NOW US Equity</stp>
        <stp>IS_REV_INCLUDING_INTERSEG_REV/1M</stp>
        <stp>FPR=2021Y</stp>
        <stp>FPT=A</stp>
        <stp>FA_ACT_EST_DATA=E, EST_SOURCE=BNS</stp>
        <stp>ACT_EST_MAPPING=PRECISE</stp>
        <stp>FS=MRC</stp>
        <stp>CURRENCY=USD</stp>
        <stp>XLFILL=b</stp>
        <tr r="AC89" s="2"/>
      </tp>
      <tp t="s">
        <v>#N/A Requesting Data...</v>
        <stp/>
        <stp>##V3_BQLV12</stp>
        <stp>[MODL_NOW_US1.xlsx]Single Period!R40C7</stp>
        <stp>NOW US Equity</stp>
        <stp>CONTRIBUTOR_STATS(BILLNG_AMOUNT_GROWTH_PCT, MAX)</stp>
        <stp>FPR=2021Y</stp>
        <stp>FPT=A</stp>
        <stp>FA_ACT_EST_DATA=E</stp>
        <stp>ACT_EST_MAPPING=PRECISE</stp>
        <stp>FS=MRC</stp>
        <stp>CURRENCY=USD</stp>
        <stp>XLFILL=b</stp>
        <tr r="G40" s="2"/>
      </tp>
      <tp t="s">
        <v>#N/A Requesting Data...</v>
        <stp/>
        <stp>##V3_BQLV12</stp>
        <stp>[MODL_NOW_US1.xlsx]Single Period!R142C25</stp>
        <stp>NOW US Equity</stp>
        <stp>IS_SBC_ATT_TO_S_AND_M_PRETX/1M</stp>
        <stp>FPR=2021Y</stp>
        <stp>FPT=A</stp>
        <stp>FA_ACT_EST_DATA=E, EST_SOURCE=DBG</stp>
        <stp>ACT_EST_MAPPING=PRECISE</stp>
        <stp>FS=MRC</stp>
        <stp>CURRENCY=USD</stp>
        <stp>XLFILL=b</stp>
        <tr r="Y142" s="2"/>
      </tp>
      <tp t="s">
        <v>#N/A Requesting Data...</v>
        <stp/>
        <stp>##V3_BQLV12</stp>
        <stp>[MODL_NOW_US1.xlsx]Single Period!R161C17</stp>
        <stp>NOW US Equity</stp>
        <stp>BS_TOTAL_NON_CURRENT_ASSETS/1M</stp>
        <stp>FPR=2021Y</stp>
        <stp>FPT=A</stp>
        <stp>FA_ACT_EST_DATA=E, EST_SOURCE=RHR</stp>
        <stp>ACT_EST_MAPPING=PRECISE</stp>
        <stp>FS=MRC</stp>
        <stp>CURRENCY=USD</stp>
        <stp>XLFILL=b</stp>
        <tr r="Q161" s="2"/>
      </tp>
      <tp t="s">
        <v>#N/A Requesting Data...</v>
        <stp/>
        <stp>##V3_BQLV12</stp>
        <stp>[MODL_NOW_US1.xlsx]Single Period!R189C26</stp>
        <stp>NOW US Equity</stp>
        <stp>CUR_RATIO</stp>
        <stp>FPR=2021Y</stp>
        <stp>FPT=A</stp>
        <stp>FA_ACT_EST_DATA=E, EST_SOURCE=UBS</stp>
        <stp>ACT_EST_MAPPING=PRECISE</stp>
        <stp>FS=MRC</stp>
        <stp>CURRENCY=USD</stp>
        <stp>XLFILL=b</stp>
        <tr r="Z189" s="2"/>
      </tp>
      <tp t="s">
        <v>#N/A Requesting Data...</v>
        <stp/>
        <stp>##V3_BQLV12</stp>
        <stp>[MODL_NOW_US1.xlsx]Single Period!R9C15</stp>
        <stp>NOW US Equity</stp>
        <stp>IS_BILLINGS/1M</stp>
        <stp>FPR=2021Y</stp>
        <stp>FPT=A</stp>
        <stp>FA_ACT_EST_DATA=E, EST_SOURCE=OPY</stp>
        <stp>ACT_EST_MAPPING=PRECISE</stp>
        <stp>FS=MRC</stp>
        <stp>CURRENCY=USD</stp>
        <stp>XLFILL=b</stp>
        <tr r="O9" s="2"/>
      </tp>
      <tp t="s">
        <v>#N/A Requesting Data...</v>
        <stp/>
        <stp>##V3_BQLV12</stp>
        <stp>[MODL_NOW_US1.xlsx]Single Period!R105C45</stp>
        <stp>NOW US Equity</stp>
        <stp>ADJ_PROFIT_MARGIN</stp>
        <stp>FPR=2021Y</stp>
        <stp>FPT=A</stp>
        <stp>FA_ACT_EST_DATA=E, EST_SOURCE=PJE</stp>
        <stp>ACT_EST_MAPPING=PRECISE</stp>
        <stp>FS=MRC</stp>
        <stp>CURRENCY=USD</stp>
        <stp>XLFILL=b</stp>
        <tr r="AS105" s="2"/>
      </tp>
      <tp t="s">
        <v>#N/A Requesting Data...</v>
        <stp/>
        <stp>##V3_BQLV12</stp>
        <stp>[MODL_NOW_US1.xlsx]Single Period!R154C28</stp>
        <stp>NOW US Equity</stp>
        <stp>BS_CUR_ASSET_REPORT/1M</stp>
        <stp>FPR=2021Y</stp>
        <stp>FPT=A</stp>
        <stp>FA_ACT_EST_DATA=E, EST_SOURCE=EVR</stp>
        <stp>ACT_EST_MAPPING=PRECISE</stp>
        <stp>FS=MRC</stp>
        <stp>CURRENCY=USD</stp>
        <stp>XLFILL=b</stp>
        <tr r="AB154" s="2"/>
      </tp>
      <tp t="s">
        <v>#N/A Requesting Data...</v>
        <stp/>
        <stp>##V3_BQLV12</stp>
        <stp>[MODL_NOW_US1.xlsx]Single Period!R30C45</stp>
        <stp>NOW US Equity</stp>
        <stp>CF_FREE_CASH_FLOW_AS_REPORTED/1M</stp>
        <stp>FPR=2021Y</stp>
        <stp>FPT=A</stp>
        <stp>FA_ACT_EST_DATA=E, EST_SOURCE=PJE</stp>
        <stp>ACT_EST_MAPPING=PRECISE</stp>
        <stp>FS=MRC</stp>
        <stp>CURRENCY=USD</stp>
        <stp>XLFILL=b</stp>
        <tr r="AS30" s="2"/>
      </tp>
      <tp t="s">
        <v>#N/A Requesting Data...</v>
        <stp/>
        <stp>##V3_BQLV12</stp>
        <stp>[MODL_NOW_US1.xlsx]Single Period!R210C45</stp>
        <stp>NOW US Equity</stp>
        <stp>CF_CHANGE_IN_PREPAID_EXPNSS/1M</stp>
        <stp>FPR=2021Y</stp>
        <stp>FPT=A</stp>
        <stp>FA_ACT_EST_DATA=E, EST_SOURCE=PJE</stp>
        <stp>ACT_EST_MAPPING=PRECISE</stp>
        <stp>FS=MRC</stp>
        <stp>CURRENCY=USD</stp>
        <stp>XLFILL=b</stp>
        <tr r="AS210" s="2"/>
      </tp>
      <tp t="s">
        <v>#N/A Requesting Data...</v>
        <stp/>
        <stp>##V3_BQLV12</stp>
        <stp>[MODL_NOW_US1.xlsx]Single Period!R142C12</stp>
        <stp>NOW US Equity</stp>
        <stp>IS_SBC_ATT_TO_S_AND_M_PRETX/1M</stp>
        <stp>FPR=2021Y</stp>
        <stp>FPT=A</stp>
        <stp>FA_ACT_EST_DATA=E, EST_SOURCE=WBL</stp>
        <stp>ACT_EST_MAPPING=PRECISE</stp>
        <stp>FS=MRC</stp>
        <stp>CURRENCY=USD</stp>
        <stp>XLFILL=b</stp>
        <tr r="L142" s="2"/>
      </tp>
      <tp t="s">
        <v>#N/A Requesting Data...</v>
        <stp/>
        <stp>##V3_BQLV12</stp>
        <stp>[MODL_NOW_US1.xlsx]Single Period!R92C17</stp>
        <stp>NOW US Equity</stp>
        <stp>IS_ADJ_GENL_AND_ADMIN_EXPN_AR/1M</stp>
        <stp>FPR=2021Y</stp>
        <stp>FPT=A</stp>
        <stp>FA_ACT_EST_DATA=E, EST_SOURCE=RHR</stp>
        <stp>ACT_EST_MAPPING=PRECISE</stp>
        <stp>FS=MRC</stp>
        <stp>CURRENCY=USD</stp>
        <stp>XLFILL=b</stp>
        <tr r="Q92" s="2"/>
      </tp>
      <tp t="s">
        <v>#N/A Requesting Data...</v>
        <stp/>
        <stp>##V3_BQLV12</stp>
        <stp>[MODL_NOW_US1.xlsx]Single Period!R99C15</stp>
        <stp>NOW US Equity</stp>
        <stp>IS_COMPARABLE_EBITDA/1M</stp>
        <stp>FPR=2021Y</stp>
        <stp>FPT=A</stp>
        <stp>FA_ACT_EST_DATA=E, EST_SOURCE=OPY</stp>
        <stp>ACT_EST_MAPPING=PRECISE</stp>
        <stp>FS=MRC</stp>
        <stp>CURRENCY=USD</stp>
        <stp>XLFILL=b</stp>
        <tr r="O99" s="2"/>
      </tp>
      <tp t="s">
        <v>#N/A Requesting Data...</v>
        <stp/>
        <stp>##V3_BQLV12</stp>
        <stp>[MODL_NOW_US1.xlsx]Single Period!R207C28</stp>
        <stp>NOW US Equity</stp>
        <stp>CB_CF_CHANGE_IN_ACCOUNTS_RECEIVABLE/1M</stp>
        <stp>FPR=2021Y</stp>
        <stp>FPT=A</stp>
        <stp>FA_ACT_EST_DATA=E, EST_SOURCE=EVR</stp>
        <stp>ACT_EST_MAPPING=PRECISE</stp>
        <stp>FS=MRC</stp>
        <stp>CURRENCY=USD</stp>
        <stp>XLFILL=b</stp>
        <tr r="AB207" s="2"/>
      </tp>
      <tp t="s">
        <v>#N/A Requesting Data...</v>
        <stp/>
        <stp>##V3_BQLV12</stp>
        <stp>[MODL_NOW_US1.xlsx]Single Period!R20C39</stp>
        <stp>SEG0000230986 Segment</stp>
        <stp>SALES_REV_TURN/1M</stp>
        <stp>FPR=2021Y</stp>
        <stp>FPT=A</stp>
        <stp>FA_ACT_EST_DATA=E, EST_SOURCE=DZB</stp>
        <stp>ACT_EST_MAPPING=PRECISE</stp>
        <stp>FS=MRC</stp>
        <stp>CURRENCY=USD</stp>
        <stp>XLFILL=b</stp>
        <tr r="AM20" s="2"/>
      </tp>
      <tp t="s">
        <v>#N/A Requesting Data...</v>
        <stp/>
        <stp>##V3_BQLV12</stp>
        <stp>[MODL_NOW_US1.xlsx]Single Period!R209C20</stp>
        <stp>NOW US Equity</stp>
        <stp>CF_CHANGE_IN_ACCOUNTS_PAYABLE/1M</stp>
        <stp>FPR=2021Y</stp>
        <stp>FPT=A</stp>
        <stp>FA_ACT_EST_DATA=E, EST_SOURCE=CAN</stp>
        <stp>ACT_EST_MAPPING=PRECISE</stp>
        <stp>FS=MRC</stp>
        <stp>CURRENCY=USD</stp>
        <stp>XLFILL=b</stp>
        <tr r="T209" s="2"/>
      </tp>
      <tp t="s">
        <v>#N/A Requesting Data...</v>
        <stp/>
        <stp>##V3_BQLV12</stp>
        <stp>[MODL_NOW_US1.xlsx]Single Period!R209C30</stp>
        <stp>NOW US Equity</stp>
        <stp>CF_CHANGE_IN_ACCOUNTS_PAYABLE/1M</stp>
        <stp>FPR=2021Y</stp>
        <stp>FPT=A</stp>
        <stp>FA_ACT_EST_DATA=E, EST_SOURCE=BAM</stp>
        <stp>ACT_EST_MAPPING=PRECISE</stp>
        <stp>FS=MRC</stp>
        <stp>CURRENCY=USD</stp>
        <stp>XLFILL=b</stp>
        <tr r="AD209" s="2"/>
      </tp>
      <tp t="s">
        <v>#N/A Requesting Data...</v>
        <stp/>
        <stp>##V3_BQLV12</stp>
        <stp>[MODL_NOW_US1.xlsx]Single Period!R169C23</stp>
        <stp>NOW US Equity</stp>
        <stp>CB_BS_OTHER_NONCURRENT_ASSETS/1M</stp>
        <stp>FPR=2021Y</stp>
        <stp>FPT=A</stp>
        <stp>FA_ACT_EST_DATA=E, EST_SOURCE=ZXS</stp>
        <stp>ACT_EST_MAPPING=PRECISE</stp>
        <stp>FS=MRC</stp>
        <stp>CURRENCY=USD</stp>
        <stp>XLFILL=b</stp>
        <tr r="W169" s="2"/>
      </tp>
      <tp t="s">
        <v>#N/A Requesting Data...</v>
        <stp/>
        <stp>##V3_BQLV12</stp>
        <stp>[MODL_NOW_US1.xlsx]Single Period!R77C34</stp>
        <stp>SEG0000230969 Segment</stp>
        <stp>SALES_REV_TURN/1M</stp>
        <stp>FPR=2021Y</stp>
        <stp>FPT=A</stp>
        <stp>FA_ACT_EST_DATA=E, EST_SOURCE=PSG</stp>
        <stp>ACT_EST_MAPPING=PRECISE</stp>
        <stp>FS=MRC</stp>
        <stp>CURRENCY=USD</stp>
        <stp>XLFILL=b</stp>
        <tr r="AH77" s="2"/>
      </tp>
      <tp t="s">
        <v>#N/A Requesting Data...</v>
        <stp/>
        <stp>##V3_BQLV12</stp>
        <stp>[MODL_NOW_US1.xlsx]Single Period!R16C41</stp>
        <stp>SEG0000230969 Segment</stp>
        <stp>SALES_REV_TURN/1M</stp>
        <stp>FPR=2021Y</stp>
        <stp>FPT=A</stp>
        <stp>FA_ACT_EST_DATA=E, EST_SOURCE=ARG</stp>
        <stp>ACT_EST_MAPPING=PRECISE</stp>
        <stp>FS=MRC</stp>
        <stp>CURRENCY=USD</stp>
        <stp>XLFILL=b</stp>
        <tr r="AO16" s="2"/>
      </tp>
      <tp t="s">
        <v>#N/A Requesting Data...</v>
        <stp/>
        <stp>##V3_BQLV12</stp>
        <stp>[MODL_NOW_US1.xlsx]Single Period!R69C22</stp>
        <stp>SEG0000230986 Segment</stp>
        <stp>IS_ADJ_GROSS_PROFIT_AS_REPORTED/1M</stp>
        <stp>FPR=2021Y</stp>
        <stp>FPT=A</stp>
        <stp>FA_ACT_EST_DATA=E, EST_SOURCE=NDH</stp>
        <stp>ACT_EST_MAPPING=PRECISE</stp>
        <stp>FS=MRC</stp>
        <stp>CURRENCY=USD</stp>
        <stp>XLFILL=b</stp>
        <tr r="V69" s="2"/>
      </tp>
      <tp t="s">
        <v>#N/A Requesting Data...</v>
        <stp/>
        <stp>##V3_BQLV12</stp>
        <stp>[MODL_NOW_US1.xlsx]Single Period!R101C29</stp>
        <stp>NOW US Equity</stp>
        <stp>CB_IS_OTHER_NON_OPER_INC_EXPN/1M</stp>
        <stp>FPR=2021Y</stp>
        <stp>FPT=A</stp>
        <stp>FA_ACT_EST_DATA=E, EST_SOURCE=BNS</stp>
        <stp>ACT_EST_MAPPING=PRECISE</stp>
        <stp>FS=MRC</stp>
        <stp>CURRENCY=USD</stp>
        <stp>XLFILL=b</stp>
        <tr r="AC101" s="2"/>
      </tp>
      <tp t="s">
        <v>#N/A Requesting Data...</v>
        <stp/>
        <stp>##V3_BQLV12</stp>
        <stp>[MODL_NOW_US1.xlsx]Single Period!R150C46</stp>
        <stp>NOW US Equity</stp>
        <stp>IS_INC_TAX_EFFECT_NONGAAP_REC/1M</stp>
        <stp>FPR=2021Y</stp>
        <stp>FPT=A</stp>
        <stp>FA_ACT_EST_DATA=E, EST_SOURCE=MZS</stp>
        <stp>ACT_EST_MAPPING=PRECISE</stp>
        <stp>FS=MRC</stp>
        <stp>CURRENCY=USD</stp>
        <stp>XLFILL=b</stp>
        <tr r="AT150" s="2"/>
      </tp>
      <tp t="s">
        <v>#N/A Requesting Data...</v>
        <stp/>
        <stp>##V3_BQLV12</stp>
        <stp>[MODL_NOW_US1.xlsx]Single Period!R16C44</stp>
        <stp>SEG0000230969 Segment</stp>
        <stp>SALES_REV_TURN/1M</stp>
        <stp>FPR=2021Y</stp>
        <stp>FPT=A</stp>
        <stp>FA_ACT_EST_DATA=E, EST_SOURCE=ARE</stp>
        <stp>ACT_EST_MAPPING=PRECISE</stp>
        <stp>FS=MRC</stp>
        <stp>CURRENCY=USD</stp>
        <stp>XLFILL=b</stp>
        <tr r="AR16" s="2"/>
      </tp>
      <tp t="s">
        <v>#N/A Requesting Data...</v>
        <stp/>
        <stp>##V3_BQLV12</stp>
        <stp>[MODL_NOW_US1.xlsx]Single Period!R16C48</stp>
        <stp>SEG0000230969 Segment</stp>
        <stp>SALES_REV_TURN/1M</stp>
        <stp>FPR=2021Y</stp>
        <stp>FPT=A</stp>
        <stp>FA_ACT_EST_DATA=E, EST_SOURCE=CRC</stp>
        <stp>ACT_EST_MAPPING=PRECISE</stp>
        <stp>FS=MRC</stp>
        <stp>CURRENCY=USD</stp>
        <stp>XLFILL=b</stp>
        <tr r="AV16" s="2"/>
      </tp>
      <tp t="s">
        <v>#N/A Requesting Data...</v>
        <stp/>
        <stp>##V3_BQLV12</stp>
        <stp>[MODL_NOW_US1.xlsx]Single Period!R200C36</stp>
        <stp>NOW US Equity</stp>
        <stp>CF_DEPR_AMORT/1M</stp>
        <stp>FPR=2021Y</stp>
        <stp>FPT=A</stp>
        <stp>FA_ACT_EST_DATA=E, EST_SOURCE=JEF</stp>
        <stp>ACT_EST_MAPPING=PRECISE</stp>
        <stp>FS=MRC</stp>
        <stp>CURRENCY=USD</stp>
        <stp>XLFILL=b</stp>
        <tr r="AJ200" s="2"/>
      </tp>
      <tp t="s">
        <v>#N/A Requesting Data...</v>
        <stp/>
        <stp>##V3_BQLV12</stp>
        <stp>[MODL_NOW_US1.xlsx]Single Period!R99C11</stp>
        <stp>NOW US Equity</stp>
        <stp>IS_COMPARABLE_EBITDA/1M</stp>
        <stp>FPR=2021Y</stp>
        <stp>FPT=A</stp>
        <stp>FA_ACT_EST_DATA=E, EST_SOURCE=JPM</stp>
        <stp>ACT_EST_MAPPING=PRECISE</stp>
        <stp>FS=MRC</stp>
        <stp>CURRENCY=USD</stp>
        <stp>XLFILL=b</stp>
        <tr r="K99" s="2"/>
      </tp>
      <tp t="s">
        <v>#N/A Requesting Data...</v>
        <stp/>
        <stp>##V3_BQLV12</stp>
        <stp>[MODL_NOW_US1.xlsx]Single Period!R92C9</stp>
        <stp>NOW US Equity</stp>
        <stp>CONTRIBUTOR_STATS(IS_ADJ_GENL_AND_ADMIN_EXPN_AR, MEDIAN)/1M</stp>
        <stp>FPR=2021Y</stp>
        <stp>FPT=A</stp>
        <stp>FA_ACT_EST_DATA=E</stp>
        <stp>ACT_EST_MAPPING=PRECISE</stp>
        <stp>FS=MRC</stp>
        <stp>CURRENCY=USD</stp>
        <stp>XLFILL=b</stp>
        <tr r="I92" s="2"/>
      </tp>
      <tp t="s">
        <v>#N/A Requesting Data...</v>
        <stp/>
        <stp>##V3_BQLV12</stp>
        <stp>[MODL_NOW_US1.xlsx]Single Period!R20C46</stp>
        <stp>SEG0000230986 Segment</stp>
        <stp>SALES_REV_TURN/1M</stp>
        <stp>FPR=2021Y</stp>
        <stp>FPT=A</stp>
        <stp>FA_ACT_EST_DATA=E, EST_SOURCE=MZS</stp>
        <stp>ACT_EST_MAPPING=PRECISE</stp>
        <stp>FS=MRC</stp>
        <stp>CURRENCY=USD</stp>
        <stp>XLFILL=b</stp>
        <tr r="AT20" s="2"/>
      </tp>
      <tp t="s">
        <v>#N/A Requesting Data...</v>
        <stp/>
        <stp>##V3_BQLV12</stp>
        <stp>[MODL_NOW_US1.xlsx]Single Period!R83C46</stp>
        <stp>NOW US Equity</stp>
        <stp>IS_ADJUSTED_COGS_AS_REPORTED/1M</stp>
        <stp>FPR=2021Y</stp>
        <stp>FPT=A</stp>
        <stp>FA_ACT_EST_DATA=E, EST_SOURCE=MZS</stp>
        <stp>ACT_EST_MAPPING=PRECISE</stp>
        <stp>FS=MRC</stp>
        <stp>CURRENCY=USD</stp>
        <stp>XLFILL=b</stp>
        <tr r="AT83" s="2"/>
      </tp>
      <tp t="s">
        <v>#N/A Requesting Data...</v>
        <stp/>
        <stp>##V3_BQLV12</stp>
        <stp>[MODL_NOW_US1.xlsx]Single Period!R99C47</stp>
        <stp>NOW US Equity</stp>
        <stp>IS_COMPARABLE_EBITDA/1M</stp>
        <stp>FPR=2021Y</stp>
        <stp>FPT=A</stp>
        <stp>FA_ACT_EST_DATA=E, EST_SOURCE=SUM</stp>
        <stp>ACT_EST_MAPPING=PRECISE</stp>
        <stp>FS=MRC</stp>
        <stp>CURRENCY=USD</stp>
        <stp>XLFILL=b</stp>
        <tr r="AU99" s="2"/>
      </tp>
      <tp t="s">
        <v>#N/A Requesting Data...</v>
        <stp/>
        <stp>##V3_BQLV12</stp>
        <stp>[MODL_NOW_US1.xlsx]Single Period!R133C23</stp>
        <stp>NOW US Equity</stp>
        <stp>IS_SH_FOR_DILUTED_EPS/1M</stp>
        <stp>FPR=2021Y</stp>
        <stp>FPT=A</stp>
        <stp>FA_ACT_EST_DATA=E, EST_SOURCE=ZXS</stp>
        <stp>ACT_EST_MAPPING=PRECISE</stp>
        <stp>FS=MRC</stp>
        <stp>CURRENCY=USD</stp>
        <stp>XLFILL=b</stp>
        <tr r="W133" s="2"/>
      </tp>
      <tp t="s">
        <v>#N/A Requesting Data...</v>
        <stp/>
        <stp>##V3_BQLV12</stp>
        <stp>[MODL_NOW_US1.xlsx]Single Period!R77C19</stp>
        <stp>SEG0000230969 Segment</stp>
        <stp>SALES_REV_TURN/1M</stp>
        <stp>FPR=2021Y</stp>
        <stp>FPT=A</stp>
        <stp>FA_ACT_EST_DATA=E, EST_SOURCE=MSV</stp>
        <stp>ACT_EST_MAPPING=PRECISE</stp>
        <stp>FS=MRC</stp>
        <stp>CURRENCY=USD</stp>
        <stp>XLFILL=b</stp>
        <tr r="S77" s="2"/>
      </tp>
      <tp t="s">
        <v>#N/A Requesting Data...</v>
        <stp/>
        <stp>##V3_BQLV12</stp>
        <stp>[MODL_NOW_US1.xlsx]Single Period!R54C46</stp>
        <stp>NOW US Equity</stp>
        <stp>IS_FOREIGN_CURRENCY_TURNOVER/1M</stp>
        <stp>FPR=2021Y</stp>
        <stp>FPT=A</stp>
        <stp>FA_ACT_EST_DATA=E, EST_SOURCE=MZS</stp>
        <stp>ACT_EST_MAPPING=PRECISE</stp>
        <stp>FS=MRC</stp>
        <stp>CURRENCY=USD</stp>
        <stp>XLFILL=b</stp>
        <tr r="AT54" s="2"/>
      </tp>
      <tp t="s">
        <v>#N/A Requesting Data...</v>
        <stp/>
        <stp>##V3_BQLV12</stp>
        <stp>[MODL_NOW_US1.xlsx]Single Period!R101C25</stp>
        <stp>NOW US Equity</stp>
        <stp>CB_IS_OTHER_NON_OPER_INC_EXPN/1M</stp>
        <stp>FPR=2021Y</stp>
        <stp>FPT=A</stp>
        <stp>FA_ACT_EST_DATA=E, EST_SOURCE=DBG</stp>
        <stp>ACT_EST_MAPPING=PRECISE</stp>
        <stp>FS=MRC</stp>
        <stp>CURRENCY=USD</stp>
        <stp>XLFILL=b</stp>
        <tr r="Y101" s="2"/>
      </tp>
      <tp t="s">
        <v>#N/A Requesting Data...</v>
        <stp/>
        <stp>##V3_BQLV12</stp>
        <stp>[MODL_NOW_US1.xlsx]Single Period!R77C35</stp>
        <stp>SEG0000230969 Segment</stp>
        <stp>SALES_REV_TURN/1M</stp>
        <stp>FPR=2021Y</stp>
        <stp>FPT=A</stp>
        <stp>FA_ACT_EST_DATA=E, EST_SOURCE=MSR</stp>
        <stp>ACT_EST_MAPPING=PRECISE</stp>
        <stp>FS=MRC</stp>
        <stp>CURRENCY=USD</stp>
        <stp>XLFILL=b</stp>
        <tr r="AI77" s="2"/>
      </tp>
      <tp t="s">
        <v>#N/A Requesting Data...</v>
        <stp/>
        <stp>##V3_BQLV12</stp>
        <stp>[MODL_NOW_US1.xlsx]Single Period!R77C31</stp>
        <stp>SEG0000230969 Segment</stp>
        <stp>SALES_REV_TURN/1M</stp>
        <stp>FPR=2021Y</stp>
        <stp>FPT=A</stp>
        <stp>FA_ACT_EST_DATA=E, EST_SOURCE=GSR</stp>
        <stp>ACT_EST_MAPPING=PRECISE</stp>
        <stp>FS=MRC</stp>
        <stp>CURRENCY=USD</stp>
        <stp>XLFILL=b</stp>
        <tr r="AE77" s="2"/>
      </tp>
      <tp t="s">
        <v>#N/A Requesting Data...</v>
        <stp/>
        <stp>##V3_BQLV12</stp>
        <stp>[MODL_NOW_US1.xlsx]Single Period!R134C35</stp>
        <stp>NOW US Equity</stp>
        <stp>IS_COMP_EPS_GAAP</stp>
        <stp>FPR=2021Y</stp>
        <stp>FPT=A</stp>
        <stp>FA_ACT_EST_DATA=E, EST_SOURCE=MSR</stp>
        <stp>ACT_EST_MAPPING=PRECISE</stp>
        <stp>FS=MRC</stp>
        <stp>CURRENCY=USD</stp>
        <stp>XLFILL=b</stp>
        <tr r="AI134" s="2"/>
      </tp>
      <tp t="s">
        <v>#N/A Requesting Data...</v>
        <stp/>
        <stp>##V3_BQLV12</stp>
        <stp>[MODL_NOW_US1.xlsx]Single Period!R3C36</stp>
        <stp>NOW US Equity</stp>
        <stp>LAST(IS_COMP_SALES(FA_ACT_EST_DATA=E, EST_SOURCE=JEF).firm_name)</stp>
        <stp>FPR=2021Y</stp>
        <stp>FPT=A</stp>
        <stp>ACT_EST_MAPPING=PRECISE</stp>
        <stp>FS=MRC</stp>
        <stp>CURRENCY=USD</stp>
        <stp>XLFILL=b</stp>
        <tr r="AJ3" s="2"/>
      </tp>
      <tp t="s">
        <v>#N/A Requesting Data...</v>
        <stp/>
        <stp>##V3_BQLV12</stp>
        <stp>[MODL_NOW_US1.xlsx]Single Period!R201C26</stp>
        <stp>NOW US Equity</stp>
        <stp>D_AND_A_TO_SALES</stp>
        <stp>FPR=2021Y</stp>
        <stp>FPT=A</stp>
        <stp>FA_ACT_EST_DATA=E, EST_SOURCE=UBS</stp>
        <stp>ACT_EST_MAPPING=PRECISE</stp>
        <stp>FS=MRC</stp>
        <stp>CURRENCY=USD</stp>
        <stp>XLFILL=b</stp>
        <tr r="Z201" s="2"/>
      </tp>
      <tp t="s">
        <v>#N/A Requesting Data...</v>
        <stp/>
        <stp>##V3_BQLV12</stp>
        <stp>[MODL_NOW_US1.xlsx]Single Period!R134C44</stp>
        <stp>NOW US Equity</stp>
        <stp>IS_COMP_EPS_GAAP</stp>
        <stp>FPR=2021Y</stp>
        <stp>FPT=A</stp>
        <stp>FA_ACT_EST_DATA=E, EST_SOURCE=ARE</stp>
        <stp>ACT_EST_MAPPING=PRECISE</stp>
        <stp>FS=MRC</stp>
        <stp>CURRENCY=USD</stp>
        <stp>XLFILL=b</stp>
        <tr r="AR134" s="2"/>
      </tp>
      <tp t="s">
        <v>#N/A Requesting Data...</v>
        <stp/>
        <stp>##V3_BQLV12</stp>
        <stp>[MODL_NOW_US1.xlsx]Single Period!R25C40</stp>
        <stp>NOW US Equity</stp>
        <stp>IS_COMP_GROSS_MARGIN_PERCENTAGE</stp>
        <stp>FPR=2021Y</stp>
        <stp>FPT=A</stp>
        <stp>FA_ACT_EST_DATA=E, EST_SOURCE=DWI</stp>
        <stp>ACT_EST_MAPPING=PRECISE</stp>
        <stp>FS=MRC</stp>
        <stp>CURRENCY=USD</stp>
        <stp>XLFILL=b</stp>
        <tr r="AN25" s="2"/>
      </tp>
      <tp t="s">
        <v>#N/A Requesting Data...</v>
        <stp/>
        <stp>##V3_BQLV12</stp>
        <stp>[MODL_NOW_US1.xlsx]Single Period!R3C13</stp>
        <stp>NOW US Equity</stp>
        <stp>LAST(IS_COMP_SALES(FA_ACT_EST_DATA=E, EST_SOURCE=KEY).firm_name)</stp>
        <stp>FPR=2021Y</stp>
        <stp>FPT=A</stp>
        <stp>ACT_EST_MAPPING=PRECISE</stp>
        <stp>FS=MRC</stp>
        <stp>CURRENCY=USD</stp>
        <stp>XLFILL=b</stp>
        <tr r="M3" s="2"/>
      </tp>
      <tp t="s">
        <v>#N/A Requesting Data...</v>
        <stp/>
        <stp>##V3_BQLV12</stp>
        <stp>[MODL_NOW_US1.xlsx]Single Period!R162C10</stp>
        <stp>NOW US Equity</stp>
        <stp>BS_LONG_TERM_INVESTMENTS/1M</stp>
        <stp>FPR=2021Y</stp>
        <stp>FPT=A</stp>
        <stp>FA_ACT_EST_DATA=E, EST_SOURCE=CMPY</stp>
        <stp>ACT_EST_MAPPING=PRECISE</stp>
        <stp>FS=MRC</stp>
        <stp>CURRENCY=USD</stp>
        <stp>XLFILL=b</stp>
        <tr r="J162" s="2"/>
      </tp>
      <tp t="s">
        <v>#N/A Requesting Data...</v>
        <stp/>
        <stp>##V3_BQLV12</stp>
        <stp>[MODL_NOW_US1.xlsx]Single Period!R134C42</stp>
        <stp>NOW US Equity</stp>
        <stp>IS_COMP_EPS_GAAP</stp>
        <stp>FPR=2021Y</stp>
        <stp>FPT=A</stp>
        <stp>FA_ACT_EST_DATA=E, EST_SOURCE=CTI</stp>
        <stp>ACT_EST_MAPPING=PRECISE</stp>
        <stp>FS=MRC</stp>
        <stp>CURRENCY=USD</stp>
        <stp>XLFILL=b</stp>
        <tr r="AP134" s="2"/>
      </tp>
      <tp t="s">
        <v>#N/A Requesting Data...</v>
        <stp/>
        <stp>##V3_BQLV12</stp>
        <stp>[MODL_NOW_US1.xlsx]Single Period!R85C40</stp>
        <stp>NOW US Equity</stp>
        <stp>IS_COMP_GROSS_MARGIN_PERCENTAGE</stp>
        <stp>FPR=2021Y</stp>
        <stp>FPT=A</stp>
        <stp>FA_ACT_EST_DATA=E, EST_SOURCE=DWI</stp>
        <stp>ACT_EST_MAPPING=PRECISE</stp>
        <stp>FS=MRC</stp>
        <stp>CURRENCY=USD</stp>
        <stp>XLFILL=b</stp>
        <tr r="AN85" s="2"/>
      </tp>
      <tp t="s">
        <v>#N/A Requesting Data...</v>
        <stp/>
        <stp>##V3_BQLV12</stp>
        <stp>[MODL_NOW_US1.xlsx]Single Period!R168C14</stp>
        <stp>NOW US Equity</stp>
        <stp>CB_BS_DEFERRED_COST_LT/1M</stp>
        <stp>FPR=2021Y</stp>
        <stp>FPT=A</stp>
        <stp>FA_ACT_EST_DATA=E, EST_SOURCE=BMO</stp>
        <stp>ACT_EST_MAPPING=PRECISE</stp>
        <stp>FS=MRC</stp>
        <stp>CURRENCY=USD</stp>
        <stp>XLFILL=b</stp>
        <tr r="N168" s="2"/>
      </tp>
      <tp t="s">
        <v>#N/A Requesting Data...</v>
        <stp/>
        <stp>##V3_BQLV12</stp>
        <stp>[MODL_NOW_US1.xlsx]Single Period!R128C18</stp>
        <stp>NOW US Equity</stp>
        <stp>IS_INC_TAX_EXP/1M</stp>
        <stp>FPR=2021Y</stp>
        <stp>FPT=A</stp>
        <stp>FA_ACT_EST_DATA=E, EST_SOURCE=SNR</stp>
        <stp>ACT_EST_MAPPING=PRECISE</stp>
        <stp>FS=MRC</stp>
        <stp>CURRENCY=USD</stp>
        <stp>XLFILL=b</stp>
        <tr r="R128" s="2"/>
      </tp>
      <tp t="s">
        <v>#N/A Requesting Data...</v>
        <stp/>
        <stp>##V3_BQLV12</stp>
        <stp>[MODL_NOW_US1.xlsx]Single Period!R128C29</stp>
        <stp>NOW US Equity</stp>
        <stp>IS_INC_TAX_EXP/1M</stp>
        <stp>FPR=2021Y</stp>
        <stp>FPT=A</stp>
        <stp>FA_ACT_EST_DATA=E, EST_SOURCE=BNS</stp>
        <stp>ACT_EST_MAPPING=PRECISE</stp>
        <stp>FS=MRC</stp>
        <stp>CURRENCY=USD</stp>
        <stp>XLFILL=b</stp>
        <tr r="AC128" s="2"/>
      </tp>
      <tp t="s">
        <v>#N/A Requesting Data...</v>
        <stp/>
        <stp>##V3_BQLV12</stp>
        <stp>[MODL_NOW_US1.xlsx]Single Period!R211C47</stp>
        <stp>NOW US Equity</stp>
        <stp>CF_CHG_IN_DEFER_UNEARND_REV_ST/1M</stp>
        <stp>FPR=2021Y</stp>
        <stp>FPT=A</stp>
        <stp>FA_ACT_EST_DATA=E, EST_SOURCE=SUM</stp>
        <stp>ACT_EST_MAPPING=PRECISE</stp>
        <stp>FS=MRC</stp>
        <stp>CURRENCY=USD</stp>
        <stp>XLFILL=b</stp>
        <tr r="AU211" s="2"/>
      </tp>
      <tp t="s">
        <v>#N/A Requesting Data...</v>
        <stp/>
        <stp>##V3_BQLV12</stp>
        <stp>[MODL_NOW_US1.xlsx]Single Period!R53C10</stp>
        <stp>NOW US Equity</stp>
        <stp>ANNUALIZED_DAYS_SALES_OUTSTDG</stp>
        <stp>FPR=2021Y</stp>
        <stp>FPT=A</stp>
        <stp>FA_ACT_EST_DATA=E, EST_SOURCE=CMPY</stp>
        <stp>ACT_EST_MAPPING=PRECISE</stp>
        <stp>FS=MRC</stp>
        <stp>CURRENCY=USD</stp>
        <stp>XLFILL=b</stp>
        <tr r="J53" s="2"/>
      </tp>
      <tp t="s">
        <v>#N/A Requesting Data...</v>
        <stp/>
        <stp>##V3_BQLV12</stp>
        <stp>[MODL_NOW_US1.xlsx]Single Period!R226C28</stp>
        <stp>NOW US Equity</stp>
        <stp>CF_OTHER_FINANCING_ACT_EXCL_FX/1M</stp>
        <stp>FPR=2021Y</stp>
        <stp>FPT=A</stp>
        <stp>FA_ACT_EST_DATA=E, EST_SOURCE=EVR</stp>
        <stp>ACT_EST_MAPPING=PRECISE</stp>
        <stp>FS=MRC</stp>
        <stp>CURRENCY=USD</stp>
        <stp>XLFILL=b</stp>
        <tr r="AB226" s="2"/>
      </tp>
      <tp t="s">
        <v>#N/A Requesting Data...</v>
        <stp/>
        <stp>##V3_BQLV12</stp>
        <stp>[MODL_NOW_US1.xlsx]Single Period!R146C47</stp>
        <stp>NOW US Equity</stp>
        <stp>IS_AMORT_ACQD_INTANGIBLES_COGS/1M</stp>
        <stp>FPR=2021Y</stp>
        <stp>FPT=A</stp>
        <stp>FA_ACT_EST_DATA=E, EST_SOURCE=SUM</stp>
        <stp>ACT_EST_MAPPING=PRECISE</stp>
        <stp>FS=MRC</stp>
        <stp>CURRENCY=USD</stp>
        <stp>XLFILL=b</stp>
        <tr r="AU146" s="2"/>
      </tp>
      <tp t="s">
        <v>#N/A Requesting Data...</v>
        <stp/>
        <stp>##V3_BQLV12</stp>
        <stp>[MODL_NOW_US1.xlsx]Single Period!R10C29</stp>
        <stp>NOW US Equity</stp>
        <stp>BILLNG_AMOUNT_GROWTH_PCT</stp>
        <stp>FPR=2021Y</stp>
        <stp>FPT=A</stp>
        <stp>FA_ACT_EST_DATA=E, EST_SOURCE=BNS</stp>
        <stp>ACT_EST_MAPPING=PRECISE</stp>
        <stp>FS=MRC</stp>
        <stp>CURRENCY=USD</stp>
        <stp>XLFILL=b</stp>
        <tr r="AC10" s="2"/>
      </tp>
      <tp t="s">
        <v>#N/A Requesting Data...</v>
        <stp/>
        <stp>##V3_BQLV12</stp>
        <stp>[MODL_NOW_US1.xlsx]Single Period!R204C33</stp>
        <stp>NOW US Equity</stp>
        <stp>CF_DEF_INC_TAX/1M</stp>
        <stp>FPR=2021Y</stp>
        <stp>FPT=A</stp>
        <stp>FA_ACT_EST_DATA=E, EST_SOURCE=MAC</stp>
        <stp>ACT_EST_MAPPING=PRECISE</stp>
        <stp>FS=MRC</stp>
        <stp>CURRENCY=USD</stp>
        <stp>XLFILL=b</stp>
        <tr r="AG204" s="2"/>
      </tp>
      <tp t="s">
        <v>#N/A Requesting Data...</v>
        <stp/>
        <stp>##V3_BQLV12</stp>
        <stp>[MODL_NOW_US1.xlsx]Single Period!R10C25</stp>
        <stp>NOW US Equity</stp>
        <stp>BILLNG_AMOUNT_GROWTH_PCT</stp>
        <stp>FPR=2021Y</stp>
        <stp>FPT=A</stp>
        <stp>FA_ACT_EST_DATA=E, EST_SOURCE=DBG</stp>
        <stp>ACT_EST_MAPPING=PRECISE</stp>
        <stp>FS=MRC</stp>
        <stp>CURRENCY=USD</stp>
        <stp>XLFILL=b</stp>
        <tr r="Y10" s="2"/>
      </tp>
      <tp t="s">
        <v>#N/A Requesting Data...</v>
        <stp/>
        <stp>##V3_BQLV12</stp>
        <stp>[MODL_NOW_US1.xlsx]Single Period!R126C49</stp>
        <stp>NOW US Equity</stp>
        <stp>IS_NON_OPERATING_INC_LOSS_GAAP/1M</stp>
        <stp>FPR=2021Y</stp>
        <stp>FPT=A</stp>
        <stp>FA_ACT_EST_DATA=E, EST_SOURCE=SCB</stp>
        <stp>ACT_EST_MAPPING=PRECISE</stp>
        <stp>FS=MRC</stp>
        <stp>CURRENCY=USD</stp>
        <stp>XLFILL=b</stp>
        <tr r="AW126" s="2"/>
      </tp>
      <tp t="s">
        <v>#N/A Requesting Data...</v>
        <stp/>
        <stp>##V3_BQLV12</stp>
        <stp>[MODL_NOW_US1.xlsx]Single Period!R126C16</stp>
        <stp>NOW US Equity</stp>
        <stp>IS_NON_OPERATING_INC_LOSS_GAAP/1M</stp>
        <stp>FPR=2021Y</stp>
        <stp>FPT=A</stp>
        <stp>FA_ACT_EST_DATA=E, EST_SOURCE=BCA</stp>
        <stp>ACT_EST_MAPPING=PRECISE</stp>
        <stp>FS=MRC</stp>
        <stp>CURRENCY=USD</stp>
        <stp>XLFILL=b</stp>
        <tr r="P126" s="2"/>
      </tp>
      <tp t="s">
        <v>#N/A Requesting Data...</v>
        <stp/>
        <stp>##V3_BQLV12</stp>
        <stp>[MODL_NOW_US1.xlsx]Single Period!R40C33</stp>
        <stp>NOW US Equity</stp>
        <stp>BILLNG_AMOUNT_GROWTH_PCT</stp>
        <stp>FPR=2021Y</stp>
        <stp>FPT=A</stp>
        <stp>FA_ACT_EST_DATA=E, EST_SOURCE=MAC</stp>
        <stp>ACT_EST_MAPPING=PRECISE</stp>
        <stp>FS=MRC</stp>
        <stp>CURRENCY=USD</stp>
        <stp>XLFILL=b</stp>
        <tr r="AG40" s="2"/>
      </tp>
      <tp t="s">
        <v>#N/A Requesting Data...</v>
        <stp/>
        <stp>##V3_BQLV12</stp>
        <stp>[MODL_NOW_US1.xlsx]Single Period!R204C20</stp>
        <stp>NOW US Equity</stp>
        <stp>CF_DEF_INC_TAX/1M</stp>
        <stp>FPR=2021Y</stp>
        <stp>FPT=A</stp>
        <stp>FA_ACT_EST_DATA=E, EST_SOURCE=CAN</stp>
        <stp>ACT_EST_MAPPING=PRECISE</stp>
        <stp>FS=MRC</stp>
        <stp>CURRENCY=USD</stp>
        <stp>XLFILL=b</stp>
        <tr r="T204" s="2"/>
      </tp>
      <tp t="s">
        <v>#N/A Requesting Data...</v>
        <stp/>
        <stp>##V3_BQLV12</stp>
        <stp>[MODL_NOW_US1.xlsx]Single Period!R168C21</stp>
        <stp>NOW US Equity</stp>
        <stp>CB_BS_DEFERRED_COST_LT/1M</stp>
        <stp>FPR=2021Y</stp>
        <stp>FPT=A</stp>
        <stp>FA_ACT_EST_DATA=E, EST_SOURCE=JMP</stp>
        <stp>ACT_EST_MAPPING=PRECISE</stp>
        <stp>FS=MRC</stp>
        <stp>CURRENCY=USD</stp>
        <stp>XLFILL=b</stp>
        <tr r="U168" s="2"/>
      </tp>
      <tp t="s">
        <v>#N/A Requesting Data...</v>
        <stp/>
        <stp>##V3_BQLV12</stp>
        <stp>[MODL_NOW_US1.xlsx]Single Period!R204C30</stp>
        <stp>NOW US Equity</stp>
        <stp>CF_DEF_INC_TAX/1M</stp>
        <stp>FPR=2021Y</stp>
        <stp>FPT=A</stp>
        <stp>FA_ACT_EST_DATA=E, EST_SOURCE=BAM</stp>
        <stp>ACT_EST_MAPPING=PRECISE</stp>
        <stp>FS=MRC</stp>
        <stp>CURRENCY=USD</stp>
        <stp>XLFILL=b</stp>
        <tr r="AD204" s="2"/>
      </tp>
      <tp t="s">
        <v>#N/A Requesting Data...</v>
        <stp/>
        <stp>##V3_BQLV12</stp>
        <stp>[MODL_NOW_US1.xlsx]Single Period!R139C25</stp>
        <stp>NOW US Equity</stp>
        <stp>IS_SBC_ATTRIB_TO_COGS_PRETX/1M</stp>
        <stp>FPR=2021Y</stp>
        <stp>FPT=A</stp>
        <stp>FA_ACT_EST_DATA=E, EST_SOURCE=DBG</stp>
        <stp>ACT_EST_MAPPING=PRECISE</stp>
        <stp>FS=MRC</stp>
        <stp>CURRENCY=USD</stp>
        <stp>XLFILL=b</stp>
        <tr r="Y139" s="2"/>
      </tp>
      <tp t="s">
        <v>#N/A Requesting Data...</v>
        <stp/>
        <stp>##V3_BQLV12</stp>
        <stp>[MODL_NOW_US1.xlsx]Single Period!R139C32</stp>
        <stp>NOW US Equity</stp>
        <stp>IS_SBC_ATTRIB_TO_COGS_PRETX/1M</stp>
        <stp>FPR=2021Y</stp>
        <stp>FPT=A</stp>
        <stp>FA_ACT_EST_DATA=E, EST_SOURCE=FBC</stp>
        <stp>ACT_EST_MAPPING=PRECISE</stp>
        <stp>FS=MRC</stp>
        <stp>CURRENCY=USD</stp>
        <stp>XLFILL=b</stp>
        <tr r="AF139" s="2"/>
      </tp>
      <tp t="s">
        <v>#N/A Requesting Data...</v>
        <stp/>
        <stp>##V3_BQLV12</stp>
        <stp>[MODL_NOW_US1.xlsx]Single Period!R139C27</stp>
        <stp>NOW US Equity</stp>
        <stp>IS_SBC_ATTRIB_TO_COGS_PRETX/1M</stp>
        <stp>FPR=2021Y</stp>
        <stp>FPT=A</stp>
        <stp>FA_ACT_EST_DATA=E, EST_SOURCE=RBC</stp>
        <stp>ACT_EST_MAPPING=PRECISE</stp>
        <stp>FS=MRC</stp>
        <stp>CURRENCY=USD</stp>
        <stp>XLFILL=b</stp>
        <tr r="AA139" s="2"/>
      </tp>
      <tp t="s">
        <v>#N/A Requesting Data...</v>
        <stp/>
        <stp>##V3_BQLV12</stp>
        <stp>[MODL_NOW_US1.xlsx]Single Period!R167C37</stp>
        <stp>NOW US Equity</stp>
        <stp>BS_GOODWILL/1M</stp>
        <stp>FPR=2021Y</stp>
        <stp>FPT=A</stp>
        <stp>FA_ACT_EST_DATA=E, EST_SOURCE=TTC</stp>
        <stp>ACT_EST_MAPPING=PRECISE</stp>
        <stp>FS=MRC</stp>
        <stp>CURRENCY=USD</stp>
        <stp>XLFILL=b</stp>
        <tr r="AK167" s="2"/>
      </tp>
      <tp t="s">
        <v>#N/A Requesting Data...</v>
        <stp/>
        <stp>##V3_BQLV12</stp>
        <stp>[MODL_NOW_US1.xlsx]Single Period!R189C16</stp>
        <stp>NOW US Equity</stp>
        <stp>CUR_RATIO</stp>
        <stp>FPR=2021Y</stp>
        <stp>FPT=A</stp>
        <stp>FA_ACT_EST_DATA=E, EST_SOURCE=BCA</stp>
        <stp>ACT_EST_MAPPING=PRECISE</stp>
        <stp>FS=MRC</stp>
        <stp>CURRENCY=USD</stp>
        <stp>XLFILL=b</stp>
        <tr r="P189" s="2"/>
      </tp>
      <tp t="s">
        <v>#N/A Requesting Data...</v>
        <stp/>
        <stp>##V3_BQLV12</stp>
        <stp>[MODL_NOW_US1.xlsx]Single Period!R154C40</stp>
        <stp>NOW US Equity</stp>
        <stp>BS_CUR_ASSET_REPORT/1M</stp>
        <stp>FPR=2021Y</stp>
        <stp>FPT=A</stp>
        <stp>FA_ACT_EST_DATA=E, EST_SOURCE=DWI</stp>
        <stp>ACT_EST_MAPPING=PRECISE</stp>
        <stp>FS=MRC</stp>
        <stp>CURRENCY=USD</stp>
        <stp>XLFILL=b</stp>
        <tr r="AN154" s="2"/>
      </tp>
      <tp t="s">
        <v>#N/A Requesting Data...</v>
        <stp/>
        <stp>##V3_BQLV12</stp>
        <stp>[MODL_NOW_US1.xlsx]Single Period!R189C49</stp>
        <stp>NOW US Equity</stp>
        <stp>CUR_RATIO</stp>
        <stp>FPR=2021Y</stp>
        <stp>FPT=A</stp>
        <stp>FA_ACT_EST_DATA=E, EST_SOURCE=SCB</stp>
        <stp>ACT_EST_MAPPING=PRECISE</stp>
        <stp>FS=MRC</stp>
        <stp>CURRENCY=USD</stp>
        <stp>XLFILL=b</stp>
        <tr r="AW189" s="2"/>
      </tp>
      <tp t="s">
        <v>#N/A Requesting Data...</v>
        <stp/>
        <stp>##V3_BQLV12</stp>
        <stp>[MODL_NOW_US1.xlsx]Single Period!R154C24</stp>
        <stp>NOW US Equity</stp>
        <stp>BS_CUR_ASSET_REPORT/1M</stp>
        <stp>FPR=2021Y</stp>
        <stp>FPT=A</stp>
        <stp>FA_ACT_EST_DATA=E, EST_SOURCE=CWN</stp>
        <stp>ACT_EST_MAPPING=PRECISE</stp>
        <stp>FS=MRC</stp>
        <stp>CURRENCY=USD</stp>
        <stp>XLFILL=b</stp>
        <tr r="X154" s="2"/>
      </tp>
      <tp t="s">
        <v>#N/A Requesting Data...</v>
        <stp/>
        <stp>##V3_BQLV12</stp>
        <stp>[MODL_NOW_US1.xlsx]Single Period!R178C21</stp>
        <stp>NOW US Equity</stp>
        <stp>BS_ADJ_TOTAL_LT_LIABILITIES/1M</stp>
        <stp>FPR=2021Y</stp>
        <stp>FPT=A</stp>
        <stp>FA_ACT_EST_DATA=E, EST_SOURCE=JMP</stp>
        <stp>ACT_EST_MAPPING=PRECISE</stp>
        <stp>FS=MRC</stp>
        <stp>CURRENCY=USD</stp>
        <stp>XLFILL=b</stp>
        <tr r="U178" s="2"/>
      </tp>
      <tp t="s">
        <v>#N/A Requesting Data...</v>
        <stp/>
        <stp>##V3_BQLV12</stp>
        <stp>[MODL_NOW_US1.xlsx]Single Period!R89C22</stp>
        <stp>NOW US Equity</stp>
        <stp>IS_REV_INCLUDING_INTERSEG_REV/1M</stp>
        <stp>FPR=2021Y</stp>
        <stp>FPT=A</stp>
        <stp>FA_ACT_EST_DATA=E, EST_SOURCE=NDH</stp>
        <stp>ACT_EST_MAPPING=PRECISE</stp>
        <stp>FS=MRC</stp>
        <stp>CURRENCY=USD</stp>
        <stp>XLFILL=b</stp>
        <tr r="V89" s="2"/>
      </tp>
      <tp t="s">
        <v>#N/A Requesting Data...</v>
        <stp/>
        <stp>##V3_BQLV12</stp>
        <stp>[MODL_NOW_US1.xlsx]Single Period!R167C42</stp>
        <stp>NOW US Equity</stp>
        <stp>BS_GOODWILL/1M</stp>
        <stp>FPR=2021Y</stp>
        <stp>FPT=A</stp>
        <stp>FA_ACT_EST_DATA=E, EST_SOURCE=CTI</stp>
        <stp>ACT_EST_MAPPING=PRECISE</stp>
        <stp>FS=MRC</stp>
        <stp>CURRENCY=USD</stp>
        <stp>XLFILL=b</stp>
        <tr r="AP167" s="2"/>
      </tp>
      <tp t="s">
        <v>#N/A Requesting Data...</v>
        <stp/>
        <stp>##V3_BQLV12</stp>
        <stp>[MODL_NOW_US1.xlsx]Single Period!R139C12</stp>
        <stp>NOW US Equity</stp>
        <stp>IS_SBC_ATTRIB_TO_COGS_PRETX/1M</stp>
        <stp>FPR=2021Y</stp>
        <stp>FPT=A</stp>
        <stp>FA_ACT_EST_DATA=E, EST_SOURCE=WBL</stp>
        <stp>ACT_EST_MAPPING=PRECISE</stp>
        <stp>FS=MRC</stp>
        <stp>CURRENCY=USD</stp>
        <stp>XLFILL=b</stp>
        <tr r="L139" s="2"/>
      </tp>
      <tp t="s">
        <v>#N/A Requesting Data...</v>
        <stp/>
        <stp>##V3_BQLV12</stp>
        <stp>[MODL_NOW_US1.xlsx]Single Period!R154C38</stp>
        <stp>NOW US Equity</stp>
        <stp>BS_CUR_ASSET_REPORT/1M</stp>
        <stp>FPR=2021Y</stp>
        <stp>FPT=A</stp>
        <stp>FA_ACT_EST_DATA=E, EST_SOURCE=RWB</stp>
        <stp>ACT_EST_MAPPING=PRECISE</stp>
        <stp>FS=MRC</stp>
        <stp>CURRENCY=USD</stp>
        <stp>XLFILL=b</stp>
        <tr r="AL154" s="2"/>
      </tp>
      <tp t="s">
        <v>#N/A Requesting Data...</v>
        <stp/>
        <stp>##V3_BQLV12</stp>
        <stp>[MODL_NOW_US1.xlsx]Single Period!R176C29</stp>
        <stp>NOW US Equity</stp>
        <stp>ST_DEFERRED_REVENUE/1M</stp>
        <stp>FPR=2021Y</stp>
        <stp>FPT=A</stp>
        <stp>FA_ACT_EST_DATA=E, EST_SOURCE=BNS</stp>
        <stp>ACT_EST_MAPPING=PRECISE</stp>
        <stp>FS=MRC</stp>
        <stp>CURRENCY=USD</stp>
        <stp>XLFILL=b</stp>
        <tr r="AC176" s="2"/>
      </tp>
      <tp t="s">
        <v>#N/A Requesting Data...</v>
        <stp/>
        <stp>##V3_BQLV12</stp>
        <stp>[MODL_NOW_US1.xlsx]Single Period!R191C29</stp>
        <stp>NOW US Equity</stp>
        <stp>ST_DEFERRED_REVENUE/1M</stp>
        <stp>FPR=2021Y</stp>
        <stp>FPT=A</stp>
        <stp>FA_ACT_EST_DATA=E, EST_SOURCE=BNS</stp>
        <stp>ACT_EST_MAPPING=PRECISE</stp>
        <stp>FS=MRC</stp>
        <stp>CURRENCY=USD</stp>
        <stp>XLFILL=b</stp>
        <tr r="AC191" s="2"/>
      </tp>
      <tp t="s">
        <v>#N/A Requesting Data...</v>
        <stp/>
        <stp>##V3_BQLV12</stp>
        <stp>[MODL_NOW_US1.xlsx]Single Period!R192C29</stp>
        <stp>NOW US Equity</stp>
        <stp>LT_DEFERRED_REVENUE/1M</stp>
        <stp>FPR=2021Y</stp>
        <stp>FPT=A</stp>
        <stp>FA_ACT_EST_DATA=E, EST_SOURCE=BNS</stp>
        <stp>ACT_EST_MAPPING=PRECISE</stp>
        <stp>FS=MRC</stp>
        <stp>CURRENCY=USD</stp>
        <stp>XLFILL=b</stp>
        <tr r="AC192" s="2"/>
      </tp>
      <tp t="s">
        <v>#N/A Requesting Data...</v>
        <stp/>
        <stp>##V3_BQLV12</stp>
        <stp>[MODL_NOW_US1.xlsx]Single Period!R230C30</stp>
        <stp>NOW US Equity</stp>
        <stp>CF_EFFECT_FOREIGN_EXCHANGES/1M</stp>
        <stp>FPR=2021Y</stp>
        <stp>FPT=A</stp>
        <stp>FA_ACT_EST_DATA=E, EST_SOURCE=BAM</stp>
        <stp>ACT_EST_MAPPING=PRECISE</stp>
        <stp>FS=MRC</stp>
        <stp>CURRENCY=USD</stp>
        <stp>XLFILL=b</stp>
        <tr r="AD230" s="2"/>
      </tp>
      <tp t="s">
        <v>#N/A Requesting Data...</v>
        <stp/>
        <stp>##V3_BQLV12</stp>
        <stp>[MODL_NOW_US1.xlsx]Single Period!R179C29</stp>
        <stp>NOW US Equity</stp>
        <stp>LT_DEFERRED_REVENUE/1M</stp>
        <stp>FPR=2021Y</stp>
        <stp>FPT=A</stp>
        <stp>FA_ACT_EST_DATA=E, EST_SOURCE=BNS</stp>
        <stp>ACT_EST_MAPPING=PRECISE</stp>
        <stp>FS=MRC</stp>
        <stp>CURRENCY=USD</stp>
        <stp>XLFILL=b</stp>
        <tr r="AC179" s="2"/>
      </tp>
      <tp t="s">
        <v>#N/A Requesting Data...</v>
        <stp/>
        <stp>##V3_BQLV12</stp>
        <stp>[MODL_NOW_US1.xlsx]Single Period!R142C16</stp>
        <stp>NOW US Equity</stp>
        <stp>IS_SBC_ATT_TO_S_AND_M_PRETX/1M</stp>
        <stp>FPR=2021Y</stp>
        <stp>FPT=A</stp>
        <stp>FA_ACT_EST_DATA=E, EST_SOURCE=BCA</stp>
        <stp>ACT_EST_MAPPING=PRECISE</stp>
        <stp>FS=MRC</stp>
        <stp>CURRENCY=USD</stp>
        <stp>XLFILL=b</stp>
        <tr r="P142" s="2"/>
      </tp>
      <tp t="s">
        <v>#N/A Requesting Data...</v>
        <stp/>
        <stp>##V3_BQLV12</stp>
        <stp>[MODL_NOW_US1.xlsx]Single Period!R89C18</stp>
        <stp>NOW US Equity</stp>
        <stp>IS_REV_INCLUDING_INTERSEG_REV/1M</stp>
        <stp>FPR=2021Y</stp>
        <stp>FPT=A</stp>
        <stp>FA_ACT_EST_DATA=E, EST_SOURCE=SNR</stp>
        <stp>ACT_EST_MAPPING=PRECISE</stp>
        <stp>FS=MRC</stp>
        <stp>CURRENCY=USD</stp>
        <stp>XLFILL=b</stp>
        <tr r="R89" s="2"/>
      </tp>
      <tp t="s">
        <v>#N/A Requesting Data...</v>
        <stp/>
        <stp>##V3_BQLV12</stp>
        <stp>[MODL_NOW_US1.xlsx]Single Period!R176C18</stp>
        <stp>NOW US Equity</stp>
        <stp>ST_DEFERRED_REVENUE/1M</stp>
        <stp>FPR=2021Y</stp>
        <stp>FPT=A</stp>
        <stp>FA_ACT_EST_DATA=E, EST_SOURCE=SNR</stp>
        <stp>ACT_EST_MAPPING=PRECISE</stp>
        <stp>FS=MRC</stp>
        <stp>CURRENCY=USD</stp>
        <stp>XLFILL=b</stp>
        <tr r="R176" s="2"/>
      </tp>
      <tp t="s">
        <v>#N/A Requesting Data...</v>
        <stp/>
        <stp>##V3_BQLV12</stp>
        <stp>[MODL_NOW_US1.xlsx]Single Period!R191C18</stp>
        <stp>NOW US Equity</stp>
        <stp>ST_DEFERRED_REVENUE/1M</stp>
        <stp>FPR=2021Y</stp>
        <stp>FPT=A</stp>
        <stp>FA_ACT_EST_DATA=E, EST_SOURCE=SNR</stp>
        <stp>ACT_EST_MAPPING=PRECISE</stp>
        <stp>FS=MRC</stp>
        <stp>CURRENCY=USD</stp>
        <stp>XLFILL=b</stp>
        <tr r="R191" s="2"/>
      </tp>
      <tp t="s">
        <v>#N/A Requesting Data...</v>
        <stp/>
        <stp>##V3_BQLV12</stp>
        <stp>[MODL_NOW_US1.xlsx]Single Period!R192C18</stp>
        <stp>NOW US Equity</stp>
        <stp>LT_DEFERRED_REVENUE/1M</stp>
        <stp>FPR=2021Y</stp>
        <stp>FPT=A</stp>
        <stp>FA_ACT_EST_DATA=E, EST_SOURCE=SNR</stp>
        <stp>ACT_EST_MAPPING=PRECISE</stp>
        <stp>FS=MRC</stp>
        <stp>CURRENCY=USD</stp>
        <stp>XLFILL=b</stp>
        <tr r="R192" s="2"/>
      </tp>
      <tp t="s">
        <v>#N/A Requesting Data...</v>
        <stp/>
        <stp>##V3_BQLV12</stp>
        <stp>[MODL_NOW_US1.xlsx]Single Period!R230C20</stp>
        <stp>NOW US Equity</stp>
        <stp>CF_EFFECT_FOREIGN_EXCHANGES/1M</stp>
        <stp>FPR=2021Y</stp>
        <stp>FPT=A</stp>
        <stp>FA_ACT_EST_DATA=E, EST_SOURCE=CAN</stp>
        <stp>ACT_EST_MAPPING=PRECISE</stp>
        <stp>FS=MRC</stp>
        <stp>CURRENCY=USD</stp>
        <stp>XLFILL=b</stp>
        <tr r="T230" s="2"/>
      </tp>
      <tp t="s">
        <v>#N/A Requesting Data...</v>
        <stp/>
        <stp>##V3_BQLV12</stp>
        <stp>[MODL_NOW_US1.xlsx]Single Period!R179C18</stp>
        <stp>NOW US Equity</stp>
        <stp>LT_DEFERRED_REVENUE/1M</stp>
        <stp>FPR=2021Y</stp>
        <stp>FPT=A</stp>
        <stp>FA_ACT_EST_DATA=E, EST_SOURCE=SNR</stp>
        <stp>ACT_EST_MAPPING=PRECISE</stp>
        <stp>FS=MRC</stp>
        <stp>CURRENCY=USD</stp>
        <stp>XLFILL=b</stp>
        <tr r="R179" s="2"/>
      </tp>
      <tp t="s">
        <v>#N/A Requesting Data...</v>
        <stp/>
        <stp>##V3_BQLV12</stp>
        <stp>[MODL_NOW_US1.xlsx]Single Period!R173C30</stp>
        <stp>NOW US Equity</stp>
        <stp>BS_CUR_LIAB/1M</stp>
        <stp>FPR=2021Y</stp>
        <stp>FPT=A</stp>
        <stp>FA_ACT_EST_DATA=E, EST_SOURCE=BAM</stp>
        <stp>ACT_EST_MAPPING=PRECISE</stp>
        <stp>FS=MRC</stp>
        <stp>CURRENCY=USD</stp>
        <stp>XLFILL=b</stp>
        <tr r="AD173" s="2"/>
      </tp>
      <tp t="s">
        <v>#N/A Requesting Data...</v>
        <stp/>
        <stp>##V3_BQLV12</stp>
        <stp>[MODL_NOW_US1.xlsx]Single Period!R139C26</stp>
        <stp>NOW US Equity</stp>
        <stp>IS_SBC_ATTRIB_TO_COGS_PRETX/1M</stp>
        <stp>FPR=2021Y</stp>
        <stp>FPT=A</stp>
        <stp>FA_ACT_EST_DATA=E, EST_SOURCE=UBS</stp>
        <stp>ACT_EST_MAPPING=PRECISE</stp>
        <stp>FS=MRC</stp>
        <stp>CURRENCY=USD</stp>
        <stp>XLFILL=b</stp>
        <tr r="Z139" s="2"/>
      </tp>
      <tp t="s">
        <v>#N/A Requesting Data...</v>
        <stp/>
        <stp>##V3_BQLV12</stp>
        <stp>[MODL_NOW_US1.xlsx]Single Period!R173C20</stp>
        <stp>NOW US Equity</stp>
        <stp>BS_CUR_LIAB/1M</stp>
        <stp>FPR=2021Y</stp>
        <stp>FPT=A</stp>
        <stp>FA_ACT_EST_DATA=E, EST_SOURCE=CAN</stp>
        <stp>ACT_EST_MAPPING=PRECISE</stp>
        <stp>FS=MRC</stp>
        <stp>CURRENCY=USD</stp>
        <stp>XLFILL=b</stp>
        <tr r="T173" s="2"/>
      </tp>
      <tp t="s">
        <v>#N/A Requesting Data...</v>
        <stp/>
        <stp>##V3_BQLV12</stp>
        <stp>[MODL_NOW_US1.xlsx]Single Period!R142C49</stp>
        <stp>NOW US Equity</stp>
        <stp>IS_SBC_ATT_TO_S_AND_M_PRETX/1M</stp>
        <stp>FPR=2021Y</stp>
        <stp>FPT=A</stp>
        <stp>FA_ACT_EST_DATA=E, EST_SOURCE=SCB</stp>
        <stp>ACT_EST_MAPPING=PRECISE</stp>
        <stp>FS=MRC</stp>
        <stp>CURRENCY=USD</stp>
        <stp>XLFILL=b</stp>
        <tr r="AW142" s="2"/>
      </tp>
      <tp t="s">
        <v>#N/A Requesting Data...</v>
        <stp/>
        <stp>##V3_BQLV12</stp>
        <stp>[MODL_NOW_US1.xlsx]Single Period!R217C5</stp>
        <stp>NOW US Equity</stp>
        <stp>CAP_EXPEND_TO_SALES</stp>
        <stp>FPR=2021Y</stp>
        <stp>FPT=A</stp>
        <stp>FA_ACT_EST_DATA=E</stp>
        <stp>ACT_EST_MAPPING=PRECISE</stp>
        <stp>FS=MRC</stp>
        <stp>CURRENCY=USD</stp>
        <stp>XLFILL=b</stp>
        <tr r="E217" s="2"/>
      </tp>
      <tp t="s">
        <v>#N/A Requesting Data...</v>
        <stp/>
        <stp>##V3_BQLV12</stp>
        <stp>[MODL_NOW_US1.xlsx]Single Period!R89C13</stp>
        <stp>NOW US Equity</stp>
        <stp>IS_REV_INCLUDING_INTERSEG_REV/1M</stp>
        <stp>FPR=2021Y</stp>
        <stp>FPT=A</stp>
        <stp>FA_ACT_EST_DATA=E, EST_SOURCE=KEY</stp>
        <stp>ACT_EST_MAPPING=PRECISE</stp>
        <stp>FS=MRC</stp>
        <stp>CURRENCY=USD</stp>
        <stp>XLFILL=b</stp>
        <tr r="M89" s="2"/>
      </tp>
      <tp t="s">
        <v>#N/A Requesting Data...</v>
        <stp/>
        <stp>##V3_BQLV12</stp>
        <stp>[MODL_NOW_US1.xlsx]Single Period!R10C6</stp>
        <stp>NOW US Equity</stp>
        <stp>CONTRIBUTOR_STATS(BILLNG_AMOUNT_GROWTH_PCT, MIN)</stp>
        <stp>FPR=2021Y</stp>
        <stp>FPT=A</stp>
        <stp>FA_ACT_EST_DATA=E</stp>
        <stp>ACT_EST_MAPPING=PRECISE</stp>
        <stp>FS=MRC</stp>
        <stp>CURRENCY=USD</stp>
        <stp>XLFILL=b</stp>
        <tr r="F10" s="2"/>
      </tp>
      <tp t="s">
        <v>#N/A Requesting Data...</v>
        <stp/>
        <stp>##V3_BQLV12</stp>
        <stp>[MODL_NOW_US1.xlsx]Single Period!R173C33</stp>
        <stp>NOW US Equity</stp>
        <stp>BS_CUR_LIAB/1M</stp>
        <stp>FPR=2021Y</stp>
        <stp>FPT=A</stp>
        <stp>FA_ACT_EST_DATA=E, EST_SOURCE=MAC</stp>
        <stp>ACT_EST_MAPPING=PRECISE</stp>
        <stp>FS=MRC</stp>
        <stp>CURRENCY=USD</stp>
        <stp>XLFILL=b</stp>
        <tr r="AG173" s="2"/>
      </tp>
      <tp t="s">
        <v>#N/A Requesting Data...</v>
        <stp/>
        <stp>##V3_BQLV12</stp>
        <stp>[MODL_NOW_US1.xlsx]Single Period!R178C14</stp>
        <stp>NOW US Equity</stp>
        <stp>BS_ADJ_TOTAL_LT_LIABILITIES/1M</stp>
        <stp>FPR=2021Y</stp>
        <stp>FPT=A</stp>
        <stp>FA_ACT_EST_DATA=E, EST_SOURCE=BMO</stp>
        <stp>ACT_EST_MAPPING=PRECISE</stp>
        <stp>FS=MRC</stp>
        <stp>CURRENCY=USD</stp>
        <stp>XLFILL=b</stp>
        <tr r="N178" s="2"/>
      </tp>
      <tp t="s">
        <v>#N/A Requesting Data...</v>
        <stp/>
        <stp>##V3_BQLV12</stp>
        <stp>[MODL_NOW_US1.xlsx]Single Period!R40C6</stp>
        <stp>NOW US Equity</stp>
        <stp>CONTRIBUTOR_STATS(BILLNG_AMOUNT_GROWTH_PCT, MIN)</stp>
        <stp>FPR=2021Y</stp>
        <stp>FPT=A</stp>
        <stp>FA_ACT_EST_DATA=E</stp>
        <stp>ACT_EST_MAPPING=PRECISE</stp>
        <stp>FS=MRC</stp>
        <stp>CURRENCY=USD</stp>
        <stp>XLFILL=b</stp>
        <tr r="F40" s="2"/>
      </tp>
      <tp t="s">
        <v>#N/A Requesting Data...</v>
        <stp/>
        <stp>##V3_BQLV12</stp>
        <stp>[MODL_NOW_US1.xlsx]Single Period!R27C21</stp>
        <stp>NOW US Equity</stp>
        <stp>IS_REV_INCLUDING_INTERSEG_REV/1M</stp>
        <stp>FPR=2021Y</stp>
        <stp>FPT=A</stp>
        <stp>FA_ACT_EST_DATA=E, EST_SOURCE=JMP</stp>
        <stp>ACT_EST_MAPPING=PRECISE</stp>
        <stp>FS=MRC</stp>
        <stp>CURRENCY=USD</stp>
        <stp>XLFILL=b</stp>
        <tr r="U27" s="2"/>
      </tp>
      <tp t="s">
        <v>#N/A Requesting Data...</v>
        <stp/>
        <stp>##V3_BQLV12</stp>
        <stp>[MODL_NOW_US1.xlsx]Single Period!R230C33</stp>
        <stp>NOW US Equity</stp>
        <stp>CF_EFFECT_FOREIGN_EXCHANGES/1M</stp>
        <stp>FPR=2021Y</stp>
        <stp>FPT=A</stp>
        <stp>FA_ACT_EST_DATA=E, EST_SOURCE=MAC</stp>
        <stp>ACT_EST_MAPPING=PRECISE</stp>
        <stp>FS=MRC</stp>
        <stp>CURRENCY=USD</stp>
        <stp>XLFILL=b</stp>
        <tr r="AG230" s="2"/>
      </tp>
      <tp t="s">
        <v>#N/A Requesting Data...</v>
        <stp/>
        <stp>##V3_BQLV12</stp>
        <stp>[MODL_NOW_US1.xlsx]Single Period!R101C13</stp>
        <stp>NOW US Equity</stp>
        <stp>CB_IS_OTHER_NON_OPER_INC_EXPN/1M</stp>
        <stp>FPR=2021Y</stp>
        <stp>FPT=A</stp>
        <stp>FA_ACT_EST_DATA=E, EST_SOURCE=KEY</stp>
        <stp>ACT_EST_MAPPING=PRECISE</stp>
        <stp>FS=MRC</stp>
        <stp>CURRENCY=USD</stp>
        <stp>XLFILL=b</stp>
        <tr r="M101" s="2"/>
      </tp>
      <tp t="s">
        <v>#N/A Requesting Data...</v>
        <stp/>
        <stp>##V3_BQLV12</stp>
        <stp>[MODL_NOW_US1.xlsx]Single Period!R131C11</stp>
        <stp>NOW US Equity</stp>
        <stp>IS_AVG_NUM_SH_FOR_EPS/1M</stp>
        <stp>FPR=2021Y</stp>
        <stp>FPT=A</stp>
        <stp>FA_ACT_EST_DATA=E, EST_SOURCE=JPM</stp>
        <stp>ACT_EST_MAPPING=PRECISE</stp>
        <stp>FS=MRC</stp>
        <stp>CURRENCY=USD</stp>
        <stp>XLFILL=b</stp>
        <tr r="K131" s="2"/>
      </tp>
      <tp t="s">
        <v>#N/A Requesting Data...</v>
        <stp/>
        <stp>##V3_BQLV12</stp>
        <stp>[MODL_NOW_US1.xlsx]Single Period!R146C5</stp>
        <stp>NOW US Equity</stp>
        <stp>IS_AMORT_ACQD_INTANGIBLES_COGS/1M</stp>
        <stp>FPR=2021Y</stp>
        <stp>FPT=A</stp>
        <stp>FA_ACT_EST_DATA=E</stp>
        <stp>ACT_EST_MAPPING=PRECISE</stp>
        <stp>FS=MRC</stp>
        <stp>CURRENCY=USD</stp>
        <stp>XLFILL=b</stp>
        <tr r="E146" s="2"/>
      </tp>
      <tp t="s">
        <v>#N/A Requesting Data...</v>
        <stp/>
        <stp>##V3_BQLV12</stp>
        <stp>[MODL_NOW_US1.xlsx]Single Period!R209C12</stp>
        <stp>NOW US Equity</stp>
        <stp>CF_CHANGE_IN_ACCOUNTS_PAYABLE/1M</stp>
        <stp>FPR=2021Y</stp>
        <stp>FPT=A</stp>
        <stp>FA_ACT_EST_DATA=E, EST_SOURCE=WBL</stp>
        <stp>ACT_EST_MAPPING=PRECISE</stp>
        <stp>FS=MRC</stp>
        <stp>CURRENCY=USD</stp>
        <stp>XLFILL=b</stp>
        <tr r="L209" s="2"/>
      </tp>
      <tp t="s">
        <v>#N/A Requesting Data...</v>
        <stp/>
        <stp>##V3_BQLV12</stp>
        <stp>[MODL_NOW_US1.xlsx]Single Period!R69C36</stp>
        <stp>SEG0000230986 Segment</stp>
        <stp>IS_ADJ_GROSS_PROFIT_AS_REPORTED/1M</stp>
        <stp>FPR=2021Y</stp>
        <stp>FPT=A</stp>
        <stp>FA_ACT_EST_DATA=E, EST_SOURCE=JEF</stp>
        <stp>ACT_EST_MAPPING=PRECISE</stp>
        <stp>FS=MRC</stp>
        <stp>CURRENCY=USD</stp>
        <stp>XLFILL=b</stp>
        <tr r="AJ69" s="2"/>
      </tp>
      <tp t="s">
        <v>#N/A Requesting Data...</v>
        <stp/>
        <stp>##V3_BQLV12</stp>
        <stp>[MODL_NOW_US1.xlsx]Single Period!R209C32</stp>
        <stp>NOW US Equity</stp>
        <stp>CF_CHANGE_IN_ACCOUNTS_PAYABLE/1M</stp>
        <stp>FPR=2021Y</stp>
        <stp>FPT=A</stp>
        <stp>FA_ACT_EST_DATA=E, EST_SOURCE=FBC</stp>
        <stp>ACT_EST_MAPPING=PRECISE</stp>
        <stp>FS=MRC</stp>
        <stp>CURRENCY=USD</stp>
        <stp>XLFILL=b</stp>
        <tr r="AF209" s="2"/>
      </tp>
      <tp t="s">
        <v>#N/A Requesting Data...</v>
        <stp/>
        <stp>##V3_BQLV12</stp>
        <stp>[MODL_NOW_US1.xlsx]Single Period!R200C33</stp>
        <stp>NOW US Equity</stp>
        <stp>CF_DEPR_AMORT/1M</stp>
        <stp>FPR=2021Y</stp>
        <stp>FPT=A</stp>
        <stp>FA_ACT_EST_DATA=E, EST_SOURCE=MAC</stp>
        <stp>ACT_EST_MAPPING=PRECISE</stp>
        <stp>FS=MRC</stp>
        <stp>CURRENCY=USD</stp>
        <stp>XLFILL=b</stp>
        <tr r="AG200" s="2"/>
      </tp>
      <tp t="s">
        <v>#N/A Requesting Data...</v>
        <stp/>
        <stp>##V3_BQLV12</stp>
        <stp>[MODL_NOW_US1.xlsx]Single Period!R101C18</stp>
        <stp>NOW US Equity</stp>
        <stp>CB_IS_OTHER_NON_OPER_INC_EXPN/1M</stp>
        <stp>FPR=2021Y</stp>
        <stp>FPT=A</stp>
        <stp>FA_ACT_EST_DATA=E, EST_SOURCE=SNR</stp>
        <stp>ACT_EST_MAPPING=PRECISE</stp>
        <stp>FS=MRC</stp>
        <stp>CURRENCY=USD</stp>
        <stp>XLFILL=b</stp>
        <tr r="R101" s="2"/>
      </tp>
      <tp t="s">
        <v>#N/A Requesting Data...</v>
        <stp/>
        <stp>##V3_BQLV12</stp>
        <stp>[MODL_NOW_US1.xlsx]Single Period!R16C34</stp>
        <stp>SEG0000230969 Segment</stp>
        <stp>SALES_REV_TURN/1M</stp>
        <stp>FPR=2021Y</stp>
        <stp>FPT=A</stp>
        <stp>FA_ACT_EST_DATA=E, EST_SOURCE=PSG</stp>
        <stp>ACT_EST_MAPPING=PRECISE</stp>
        <stp>FS=MRC</stp>
        <stp>CURRENCY=USD</stp>
        <stp>XLFILL=b</stp>
        <tr r="AH16" s="2"/>
      </tp>
      <tp t="s">
        <v>#N/A Requesting Data...</v>
        <stp/>
        <stp>##V3_BQLV12</stp>
        <stp>[MODL_NOW_US1.xlsx]Single Period!R77C41</stp>
        <stp>SEG0000230969 Segment</stp>
        <stp>SALES_REV_TURN/1M</stp>
        <stp>FPR=2021Y</stp>
        <stp>FPT=A</stp>
        <stp>FA_ACT_EST_DATA=E, EST_SOURCE=ARG</stp>
        <stp>ACT_EST_MAPPING=PRECISE</stp>
        <stp>FS=MRC</stp>
        <stp>CURRENCY=USD</stp>
        <stp>XLFILL=b</stp>
        <tr r="AO77" s="2"/>
      </tp>
      <tp t="s">
        <v>#N/A Requesting Data...</v>
        <stp/>
        <stp>##V3_BQLV12</stp>
        <stp>[MODL_NOW_US1.xlsx]Single Period!R133C48</stp>
        <stp>NOW US Equity</stp>
        <stp>IS_SH_FOR_DILUTED_EPS/1M</stp>
        <stp>FPR=2021Y</stp>
        <stp>FPT=A</stp>
        <stp>FA_ACT_EST_DATA=E, EST_SOURCE=CRC</stp>
        <stp>ACT_EST_MAPPING=PRECISE</stp>
        <stp>FS=MRC</stp>
        <stp>CURRENCY=USD</stp>
        <stp>XLFILL=b</stp>
        <tr r="AV133" s="2"/>
      </tp>
      <tp t="s">
        <v>#N/A Requesting Data...</v>
        <stp/>
        <stp>##V3_BQLV12</stp>
        <stp>[MODL_NOW_US1.xlsx]Single Period!R77C44</stp>
        <stp>SEG0000230969 Segment</stp>
        <stp>SALES_REV_TURN/1M</stp>
        <stp>FPR=2021Y</stp>
        <stp>FPT=A</stp>
        <stp>FA_ACT_EST_DATA=E, EST_SOURCE=ARE</stp>
        <stp>ACT_EST_MAPPING=PRECISE</stp>
        <stp>FS=MRC</stp>
        <stp>CURRENCY=USD</stp>
        <stp>XLFILL=b</stp>
        <tr r="AR77" s="2"/>
      </tp>
      <tp t="s">
        <v>#N/A Requesting Data...</v>
        <stp/>
        <stp>##V3_BQLV12</stp>
        <stp>[MODL_NOW_US1.xlsx]Single Period!R99C35</stp>
        <stp>NOW US Equity</stp>
        <stp>IS_COMPARABLE_EBITDA/1M</stp>
        <stp>FPR=2021Y</stp>
        <stp>FPT=A</stp>
        <stp>FA_ACT_EST_DATA=E, EST_SOURCE=MSR</stp>
        <stp>ACT_EST_MAPPING=PRECISE</stp>
        <stp>FS=MRC</stp>
        <stp>CURRENCY=USD</stp>
        <stp>XLFILL=b</stp>
        <tr r="AI99" s="2"/>
      </tp>
      <tp t="s">
        <v>#N/A Requesting Data...</v>
        <stp/>
        <stp>##V3_BQLV12</stp>
        <stp>[MODL_NOW_US1.xlsx]Single Period!R77C48</stp>
        <stp>SEG0000230969 Segment</stp>
        <stp>SALES_REV_TURN/1M</stp>
        <stp>FPR=2021Y</stp>
        <stp>FPT=A</stp>
        <stp>FA_ACT_EST_DATA=E, EST_SOURCE=CRC</stp>
        <stp>ACT_EST_MAPPING=PRECISE</stp>
        <stp>FS=MRC</stp>
        <stp>CURRENCY=USD</stp>
        <stp>XLFILL=b</stp>
        <tr r="AV77" s="2"/>
      </tp>
      <tp t="s">
        <v>#N/A Requesting Data...</v>
        <stp/>
        <stp>##V3_BQLV12</stp>
        <stp>[MODL_NOW_US1.xlsx]Single Period!R169C19</stp>
        <stp>NOW US Equity</stp>
        <stp>CB_BS_OTHER_NONCURRENT_ASSETS/1M</stp>
        <stp>FPR=2021Y</stp>
        <stp>FPT=A</stp>
        <stp>FA_ACT_EST_DATA=E, EST_SOURCE=MSV</stp>
        <stp>ACT_EST_MAPPING=PRECISE</stp>
        <stp>FS=MRC</stp>
        <stp>CURRENCY=USD</stp>
        <stp>XLFILL=b</stp>
        <tr r="S169" s="2"/>
      </tp>
      <tp t="s">
        <v>#N/A Requesting Data...</v>
        <stp/>
        <stp>##V3_BQLV12</stp>
        <stp>[MODL_NOW_US1.xlsx]Single Period!R14C11</stp>
        <stp>SEG0000230975 Segment</stp>
        <stp>SALES_REV_TURN/1M</stp>
        <stp>FPR=2021Y</stp>
        <stp>FPT=A</stp>
        <stp>FA_ACT_EST_DATA=E, EST_SOURCE=JPM</stp>
        <stp>ACT_EST_MAPPING=PRECISE</stp>
        <stp>FS=MRC</stp>
        <stp>CURRENCY=USD</stp>
        <stp>XLFILL=b</stp>
        <tr r="K14" s="2"/>
      </tp>
      <tp t="s">
        <v>#N/A Requesting Data...</v>
        <stp/>
        <stp>##V3_BQLV12</stp>
        <stp>[MODL_NOW_US1.xlsx]Single Period!R99C31</stp>
        <stp>NOW US Equity</stp>
        <stp>IS_COMPARABLE_EBITDA/1M</stp>
        <stp>FPR=2021Y</stp>
        <stp>FPT=A</stp>
        <stp>FA_ACT_EST_DATA=E, EST_SOURCE=GSR</stp>
        <stp>ACT_EST_MAPPING=PRECISE</stp>
        <stp>FS=MRC</stp>
        <stp>CURRENCY=USD</stp>
        <stp>XLFILL=b</stp>
        <tr r="AE99" s="2"/>
      </tp>
      <tp t="s">
        <v>#N/A Requesting Data...</v>
        <stp/>
        <stp>##V3_BQLV12</stp>
        <stp>[MODL_NOW_US1.xlsx]Single Period!R207C38</stp>
        <stp>NOW US Equity</stp>
        <stp>CB_CF_CHANGE_IN_ACCOUNTS_RECEIVABLE/1M</stp>
        <stp>FPR=2021Y</stp>
        <stp>FPT=A</stp>
        <stp>FA_ACT_EST_DATA=E, EST_SOURCE=RWB</stp>
        <stp>ACT_EST_MAPPING=PRECISE</stp>
        <stp>FS=MRC</stp>
        <stp>CURRENCY=USD</stp>
        <stp>XLFILL=b</stp>
        <tr r="AL207" s="2"/>
      </tp>
      <tp t="s">
        <v>#N/A Requesting Data...</v>
        <stp/>
        <stp>##V3_BQLV12</stp>
        <stp>[MODL_NOW_US1.xlsx]Single Period!R101C22</stp>
        <stp>NOW US Equity</stp>
        <stp>CB_IS_OTHER_NON_OPER_INC_EXPN/1M</stp>
        <stp>FPR=2021Y</stp>
        <stp>FPT=A</stp>
        <stp>FA_ACT_EST_DATA=E, EST_SOURCE=NDH</stp>
        <stp>ACT_EST_MAPPING=PRECISE</stp>
        <stp>FS=MRC</stp>
        <stp>CURRENCY=USD</stp>
        <stp>XLFILL=b</stp>
        <tr r="V101" s="2"/>
      </tp>
      <tp t="s">
        <v>#N/A Requesting Data...</v>
        <stp/>
        <stp>##V3_BQLV12</stp>
        <stp>[MODL_NOW_US1.xlsx]Single Period!R61C43</stp>
        <stp>SEG0000230975 Segment</stp>
        <stp>IS_ADJ_GROSS_PROFIT_AS_REPORTED/1M</stp>
        <stp>FPR=2021Y</stp>
        <stp>FPT=A</stp>
        <stp>FA_ACT_EST_DATA=E, EST_SOURCE=WFT</stp>
        <stp>ACT_EST_MAPPING=PRECISE</stp>
        <stp>FS=MRC</stp>
        <stp>CURRENCY=USD</stp>
        <stp>XLFILL=b</stp>
        <tr r="AQ61" s="2"/>
      </tp>
      <tp t="s">
        <v>#N/A Requesting Data...</v>
        <stp/>
        <stp>##V3_BQLV12</stp>
        <stp>[MODL_NOW_US1.xlsx]Single Period!R99C42</stp>
        <stp>NOW US Equity</stp>
        <stp>IS_COMPARABLE_EBITDA/1M</stp>
        <stp>FPR=2021Y</stp>
        <stp>FPT=A</stp>
        <stp>FA_ACT_EST_DATA=E, EST_SOURCE=CTI</stp>
        <stp>ACT_EST_MAPPING=PRECISE</stp>
        <stp>FS=MRC</stp>
        <stp>CURRENCY=USD</stp>
        <stp>XLFILL=b</stp>
        <tr r="AP99" s="2"/>
      </tp>
      <tp t="s">
        <v>#N/A Requesting Data...</v>
        <stp/>
        <stp>##V3_BQLV12</stp>
        <stp>[MODL_NOW_US1.xlsx]Single Period!R143C17</stp>
        <stp>NOW US Equity</stp>
        <stp>IS_SBC_ATTRIBUTABLE_TO_R_AND_D_PRETX/1M</stp>
        <stp>FPR=2021Y</stp>
        <stp>FPT=A</stp>
        <stp>FA_ACT_EST_DATA=E, EST_SOURCE=RHR</stp>
        <stp>ACT_EST_MAPPING=PRECISE</stp>
        <stp>FS=MRC</stp>
        <stp>CURRENCY=USD</stp>
        <stp>XLFILL=b</stp>
        <tr r="Q143" s="2"/>
      </tp>
      <tp t="s">
        <v>#N/A Requesting Data...</v>
        <stp/>
        <stp>##V3_BQLV12</stp>
        <stp>[MODL_NOW_US1.xlsx]Single Period!R169C48</stp>
        <stp>NOW US Equity</stp>
        <stp>CB_BS_OTHER_NONCURRENT_ASSETS/1M</stp>
        <stp>FPR=2021Y</stp>
        <stp>FPT=A</stp>
        <stp>FA_ACT_EST_DATA=E, EST_SOURCE=CRC</stp>
        <stp>ACT_EST_MAPPING=PRECISE</stp>
        <stp>FS=MRC</stp>
        <stp>CURRENCY=USD</stp>
        <stp>XLFILL=b</stp>
        <tr r="AV169" s="2"/>
      </tp>
      <tp t="s">
        <v>#N/A Requesting Data...</v>
        <stp/>
        <stp>##V3_BQLV12</stp>
        <stp>[MODL_NOW_US1.xlsx]Single Period!R16C19</stp>
        <stp>SEG0000230969 Segment</stp>
        <stp>SALES_REV_TURN/1M</stp>
        <stp>FPR=2021Y</stp>
        <stp>FPT=A</stp>
        <stp>FA_ACT_EST_DATA=E, EST_SOURCE=MSV</stp>
        <stp>ACT_EST_MAPPING=PRECISE</stp>
        <stp>FS=MRC</stp>
        <stp>CURRENCY=USD</stp>
        <stp>XLFILL=b</stp>
        <tr r="S16" s="2"/>
      </tp>
      <tp t="s">
        <v>#N/A Requesting Data...</v>
        <stp/>
        <stp>##V3_BQLV12</stp>
        <stp>[MODL_NOW_US1.xlsx]Single Period!R14C15</stp>
        <stp>SEG0000230975 Segment</stp>
        <stp>SALES_REV_TURN/1M</stp>
        <stp>FPR=2021Y</stp>
        <stp>FPT=A</stp>
        <stp>FA_ACT_EST_DATA=E, EST_SOURCE=OPY</stp>
        <stp>ACT_EST_MAPPING=PRECISE</stp>
        <stp>FS=MRC</stp>
        <stp>CURRENCY=USD</stp>
        <stp>XLFILL=b</stp>
        <tr r="O14" s="2"/>
      </tp>
      <tp t="s">
        <v>#N/A Requesting Data...</v>
        <stp/>
        <stp>##V3_BQLV12</stp>
        <stp>[MODL_NOW_US1.xlsx]Single Period!R69C13</stp>
        <stp>SEG0000230986 Segment</stp>
        <stp>IS_ADJ_GROSS_PROFIT_AS_REPORTED/1M</stp>
        <stp>FPR=2021Y</stp>
        <stp>FPT=A</stp>
        <stp>FA_ACT_EST_DATA=E, EST_SOURCE=KEY</stp>
        <stp>ACT_EST_MAPPING=PRECISE</stp>
        <stp>FS=MRC</stp>
        <stp>CURRENCY=USD</stp>
        <stp>XLFILL=b</stp>
        <tr r="M69" s="2"/>
      </tp>
      <tp t="s">
        <v>#N/A Requesting Data...</v>
        <stp/>
        <stp>##V3_BQLV12</stp>
        <stp>[MODL_NOW_US1.xlsx]Single Period!R133C19</stp>
        <stp>NOW US Equity</stp>
        <stp>IS_SH_FOR_DILUTED_EPS/1M</stp>
        <stp>FPR=2021Y</stp>
        <stp>FPT=A</stp>
        <stp>FA_ACT_EST_DATA=E, EST_SOURCE=MSV</stp>
        <stp>ACT_EST_MAPPING=PRECISE</stp>
        <stp>FS=MRC</stp>
        <stp>CURRENCY=USD</stp>
        <stp>XLFILL=b</stp>
        <tr r="S133" s="2"/>
      </tp>
      <tp t="s">
        <v>#N/A Requesting Data...</v>
        <stp/>
        <stp>##V3_BQLV12</stp>
        <stp>[MODL_NOW_US1.xlsx]Single Period!R207C40</stp>
        <stp>NOW US Equity</stp>
        <stp>CB_CF_CHANGE_IN_ACCOUNTS_RECEIVABLE/1M</stp>
        <stp>FPR=2021Y</stp>
        <stp>FPT=A</stp>
        <stp>FA_ACT_EST_DATA=E, EST_SOURCE=DWI</stp>
        <stp>ACT_EST_MAPPING=PRECISE</stp>
        <stp>FS=MRC</stp>
        <stp>CURRENCY=USD</stp>
        <stp>XLFILL=b</stp>
        <tr r="AN207" s="2"/>
      </tp>
      <tp t="s">
        <v>#N/A Requesting Data...</v>
        <stp/>
        <stp>##V3_BQLV12</stp>
        <stp>[MODL_NOW_US1.xlsx]Single Period!R235C46</stp>
        <stp>NOW US Equity</stp>
        <stp>CF_FREE_CASH_FLOW_AS_REPORTED/1M</stp>
        <stp>FPR=2021Y</stp>
        <stp>FPT=A</stp>
        <stp>FA_ACT_EST_DATA=E, EST_SOURCE=MZS</stp>
        <stp>ACT_EST_MAPPING=PRECISE</stp>
        <stp>FS=MRC</stp>
        <stp>CURRENCY=USD</stp>
        <stp>XLFILL=b</stp>
        <tr r="AT235" s="2"/>
      </tp>
      <tp t="s">
        <v>#N/A Requesting Data...</v>
        <stp/>
        <stp>##V3_BQLV12</stp>
        <stp>[MODL_NOW_US1.xlsx]Single Period!R16C35</stp>
        <stp>SEG0000230969 Segment</stp>
        <stp>SALES_REV_TURN/1M</stp>
        <stp>FPR=2021Y</stp>
        <stp>FPT=A</stp>
        <stp>FA_ACT_EST_DATA=E, EST_SOURCE=MSR</stp>
        <stp>ACT_EST_MAPPING=PRECISE</stp>
        <stp>FS=MRC</stp>
        <stp>CURRENCY=USD</stp>
        <stp>XLFILL=b</stp>
        <tr r="AI16" s="2"/>
      </tp>
      <tp t="s">
        <v>#N/A Requesting Data...</v>
        <stp/>
        <stp>##V3_BQLV12</stp>
        <stp>[MODL_NOW_US1.xlsx]Single Period!R16C31</stp>
        <stp>SEG0000230969 Segment</stp>
        <stp>SALES_REV_TURN/1M</stp>
        <stp>FPR=2021Y</stp>
        <stp>FPT=A</stp>
        <stp>FA_ACT_EST_DATA=E, EST_SOURCE=GSR</stp>
        <stp>ACT_EST_MAPPING=PRECISE</stp>
        <stp>FS=MRC</stp>
        <stp>CURRENCY=USD</stp>
        <stp>XLFILL=b</stp>
        <tr r="AE16" s="2"/>
      </tp>
      <tp t="s">
        <v>#N/A Requesting Data...</v>
        <stp/>
        <stp>##V3_BQLV12</stp>
        <stp>[MODL_NOW_US1.xlsx]Single Period!R207C24</stp>
        <stp>NOW US Equity</stp>
        <stp>CB_CF_CHANGE_IN_ACCOUNTS_RECEIVABLE/1M</stp>
        <stp>FPR=2021Y</stp>
        <stp>FPT=A</stp>
        <stp>FA_ACT_EST_DATA=E, EST_SOURCE=CWN</stp>
        <stp>ACT_EST_MAPPING=PRECISE</stp>
        <stp>FS=MRC</stp>
        <stp>CURRENCY=USD</stp>
        <stp>XLFILL=b</stp>
        <tr r="X207" s="2"/>
      </tp>
      <tp t="s">
        <v>#N/A Requesting Data...</v>
        <stp/>
        <stp>##V3_BQLV12</stp>
        <stp>[MODL_NOW_US1.xlsx]Single Period!R99C34</stp>
        <stp>NOW US Equity</stp>
        <stp>IS_COMPARABLE_EBITDA/1M</stp>
        <stp>FPR=2021Y</stp>
        <stp>FPT=A</stp>
        <stp>FA_ACT_EST_DATA=E, EST_SOURCE=PSG</stp>
        <stp>ACT_EST_MAPPING=PRECISE</stp>
        <stp>FS=MRC</stp>
        <stp>CURRENCY=USD</stp>
        <stp>XLFILL=b</stp>
        <tr r="AH99" s="2"/>
      </tp>
      <tp t="s">
        <v>#N/A Requesting Data...</v>
        <stp/>
        <stp>##V3_BQLV12</stp>
        <stp>[MODL_NOW_US1.xlsx]Single Period!R85C35</stp>
        <stp>NOW US Equity</stp>
        <stp>IS_COMP_GROSS_MARGIN_PERCENTAGE</stp>
        <stp>FPR=2021Y</stp>
        <stp>FPT=A</stp>
        <stp>FA_ACT_EST_DATA=E, EST_SOURCE=MSR</stp>
        <stp>ACT_EST_MAPPING=PRECISE</stp>
        <stp>FS=MRC</stp>
        <stp>CURRENCY=USD</stp>
        <stp>XLFILL=b</stp>
        <tr r="AI85" s="2"/>
      </tp>
      <tp t="s">
        <v>#N/A Requesting Data...</v>
        <stp/>
        <stp>##V3_BQLV12</stp>
        <stp>[MODL_NOW_US1.xlsx]Single Period!R85C31</stp>
        <stp>NOW US Equity</stp>
        <stp>IS_COMP_GROSS_MARGIN_PERCENTAGE</stp>
        <stp>FPR=2021Y</stp>
        <stp>FPT=A</stp>
        <stp>FA_ACT_EST_DATA=E, EST_SOURCE=GSR</stp>
        <stp>ACT_EST_MAPPING=PRECISE</stp>
        <stp>FS=MRC</stp>
        <stp>CURRENCY=USD</stp>
        <stp>XLFILL=b</stp>
        <tr r="AE85" s="2"/>
      </tp>
      <tp t="s">
        <v>#N/A Requesting Data...</v>
        <stp/>
        <stp>##V3_BQLV12</stp>
        <stp>[MODL_NOW_US1.xlsx]Single Period!R233C10</stp>
        <stp>NOW US Equity</stp>
        <stp>CF_CASH_AND_CASH_EQUIV_END_BAL/1M</stp>
        <stp>FPR=2021Y</stp>
        <stp>FPT=A</stp>
        <stp>FA_ACT_EST_DATA=E, EST_SOURCE=CMPY</stp>
        <stp>ACT_EST_MAPPING=PRECISE</stp>
        <stp>FS=MRC</stp>
        <stp>CURRENCY=USD</stp>
        <stp>XLFILL=b</stp>
        <tr r="J233" s="2"/>
      </tp>
      <tp t="s">
        <v>#N/A Requesting Data...</v>
        <stp/>
        <stp>##V3_BQLV12</stp>
        <stp>[MODL_NOW_US1.xlsx]Single Period!R25C35</stp>
        <stp>NOW US Equity</stp>
        <stp>IS_COMP_GROSS_MARGIN_PERCENTAGE</stp>
        <stp>FPR=2021Y</stp>
        <stp>FPT=A</stp>
        <stp>FA_ACT_EST_DATA=E, EST_SOURCE=MSR</stp>
        <stp>ACT_EST_MAPPING=PRECISE</stp>
        <stp>FS=MRC</stp>
        <stp>CURRENCY=USD</stp>
        <stp>XLFILL=b</stp>
        <tr r="AI25" s="2"/>
      </tp>
      <tp t="s">
        <v>#N/A Requesting Data...</v>
        <stp/>
        <stp>##V3_BQLV12</stp>
        <stp>[MODL_NOW_US1.xlsx]Single Period!R134C15</stp>
        <stp>NOW US Equity</stp>
        <stp>IS_COMP_EPS_GAAP</stp>
        <stp>FPR=2021Y</stp>
        <stp>FPT=A</stp>
        <stp>FA_ACT_EST_DATA=E, EST_SOURCE=OPY</stp>
        <stp>ACT_EST_MAPPING=PRECISE</stp>
        <stp>FS=MRC</stp>
        <stp>CURRENCY=USD</stp>
        <stp>XLFILL=b</stp>
        <tr r="O134" s="2"/>
      </tp>
      <tp t="s">
        <v>#N/A Requesting Data...</v>
        <stp/>
        <stp>##V3_BQLV12</stp>
        <stp>[MODL_NOW_US1.xlsx]Single Period!R232C10</stp>
        <stp>NOW US Equity</stp>
        <stp>CF_CASH_AND_CASH_EQUIV_BEG_BAL/1M</stp>
        <stp>FPR=2021Y</stp>
        <stp>FPT=A</stp>
        <stp>FA_ACT_EST_DATA=E, EST_SOURCE=CMPY</stp>
        <stp>ACT_EST_MAPPING=PRECISE</stp>
        <stp>FS=MRC</stp>
        <stp>CURRENCY=USD</stp>
        <stp>XLFILL=b</stp>
        <tr r="J232" s="2"/>
      </tp>
      <tp t="s">
        <v>#N/A Requesting Data...</v>
        <stp/>
        <stp>##V3_BQLV12</stp>
        <stp>[MODL_NOW_US1.xlsx]Single Period!R25C31</stp>
        <stp>NOW US Equity</stp>
        <stp>IS_COMP_GROSS_MARGIN_PERCENTAGE</stp>
        <stp>FPR=2021Y</stp>
        <stp>FPT=A</stp>
        <stp>FA_ACT_EST_DATA=E, EST_SOURCE=GSR</stp>
        <stp>ACT_EST_MAPPING=PRECISE</stp>
        <stp>FS=MRC</stp>
        <stp>CURRENCY=USD</stp>
        <stp>XLFILL=b</stp>
        <tr r="AE25" s="2"/>
      </tp>
      <tp t="s">
        <v>#N/A Requesting Data...</v>
        <stp/>
        <stp>##V3_BQLV12</stp>
        <stp>[MODL_NOW_US1.xlsx]Single Period!R201C29</stp>
        <stp>NOW US Equity</stp>
        <stp>D_AND_A_TO_SALES</stp>
        <stp>FPR=2021Y</stp>
        <stp>FPT=A</stp>
        <stp>FA_ACT_EST_DATA=E, EST_SOURCE=BNS</stp>
        <stp>ACT_EST_MAPPING=PRECISE</stp>
        <stp>FS=MRC</stp>
        <stp>CURRENCY=USD</stp>
        <stp>XLFILL=b</stp>
        <tr r="AC201" s="2"/>
      </tp>
      <tp t="s">
        <v>#N/A Requesting Data...</v>
        <stp/>
        <stp>##V3_BQLV12</stp>
        <stp>[MODL_NOW_US1.xlsx]Single Period!R85C34</stp>
        <stp>NOW US Equity</stp>
        <stp>IS_COMP_GROSS_MARGIN_PERCENTAGE</stp>
        <stp>FPR=2021Y</stp>
        <stp>FPT=A</stp>
        <stp>FA_ACT_EST_DATA=E, EST_SOURCE=PSG</stp>
        <stp>ACT_EST_MAPPING=PRECISE</stp>
        <stp>FS=MRC</stp>
        <stp>CURRENCY=USD</stp>
        <stp>XLFILL=b</stp>
        <tr r="AH85" s="2"/>
      </tp>
      <tp t="s">
        <v>#N/A Requesting Data...</v>
        <stp/>
        <stp>##V3_BQLV12</stp>
        <stp>[MODL_NOW_US1.xlsx]Single Period!R25C42</stp>
        <stp>NOW US Equity</stp>
        <stp>IS_COMP_GROSS_MARGIN_PERCENTAGE</stp>
        <stp>FPR=2021Y</stp>
        <stp>FPT=A</stp>
        <stp>FA_ACT_EST_DATA=E, EST_SOURCE=CTI</stp>
        <stp>ACT_EST_MAPPING=PRECISE</stp>
        <stp>FS=MRC</stp>
        <stp>CURRENCY=USD</stp>
        <stp>XLFILL=b</stp>
        <tr r="AP25" s="2"/>
      </tp>
      <tp t="s">
        <v>#N/A Requesting Data...</v>
        <stp/>
        <stp>##V3_BQLV12</stp>
        <stp>[MODL_NOW_US1.xlsx]Single Period!R201C25</stp>
        <stp>NOW US Equity</stp>
        <stp>D_AND_A_TO_SALES</stp>
        <stp>FPR=2021Y</stp>
        <stp>FPT=A</stp>
        <stp>FA_ACT_EST_DATA=E, EST_SOURCE=DBG</stp>
        <stp>ACT_EST_MAPPING=PRECISE</stp>
        <stp>FS=MRC</stp>
        <stp>CURRENCY=USD</stp>
        <stp>XLFILL=b</stp>
        <tr r="Y201" s="2"/>
      </tp>
      <tp t="s">
        <v>#N/A Requesting Data...</v>
        <stp/>
        <stp>##V3_BQLV12</stp>
        <stp>[MODL_NOW_US1.xlsx]Single Period!R85C42</stp>
        <stp>NOW US Equity</stp>
        <stp>IS_COMP_GROSS_MARGIN_PERCENTAGE</stp>
        <stp>FPR=2021Y</stp>
        <stp>FPT=A</stp>
        <stp>FA_ACT_EST_DATA=E, EST_SOURCE=CTI</stp>
        <stp>ACT_EST_MAPPING=PRECISE</stp>
        <stp>FS=MRC</stp>
        <stp>CURRENCY=USD</stp>
        <stp>XLFILL=b</stp>
        <tr r="AP85" s="2"/>
      </tp>
      <tp t="s">
        <v>#N/A Requesting Data...</v>
        <stp/>
        <stp>##V3_BQLV12</stp>
        <stp>[MODL_NOW_US1.xlsx]Single Period!R3C43</stp>
        <stp>NOW US Equity</stp>
        <stp>LAST(IS_COMP_SALES(FA_ACT_EST_DATA=E, EST_SOURCE=WFT).firm_name)</stp>
        <stp>FPR=2021Y</stp>
        <stp>FPT=A</stp>
        <stp>ACT_EST_MAPPING=PRECISE</stp>
        <stp>FS=MRC</stp>
        <stp>CURRENCY=USD</stp>
        <stp>XLFILL=b</stp>
        <tr r="AQ3" s="2"/>
      </tp>
      <tp t="s">
        <v>#N/A Requesting Data...</v>
        <stp/>
        <stp>##V3_BQLV12</stp>
        <stp>[MODL_NOW_US1.xlsx]Single Period!R25C34</stp>
        <stp>NOW US Equity</stp>
        <stp>IS_COMP_GROSS_MARGIN_PERCENTAGE</stp>
        <stp>FPR=2021Y</stp>
        <stp>FPT=A</stp>
        <stp>FA_ACT_EST_DATA=E, EST_SOURCE=PSG</stp>
        <stp>ACT_EST_MAPPING=PRECISE</stp>
        <stp>FS=MRC</stp>
        <stp>CURRENCY=USD</stp>
        <stp>XLFILL=b</stp>
        <tr r="AH25" s="2"/>
      </tp>
      <tp t="s">
        <v>#N/A Requesting Data...</v>
        <stp/>
        <stp>##V3_BQLV12</stp>
        <stp>[MODL_NOW_US1.xlsx]Single Period!R204C26</stp>
        <stp>NOW US Equity</stp>
        <stp>CF_DEF_INC_TAX/1M</stp>
        <stp>FPR=2021Y</stp>
        <stp>FPT=A</stp>
        <stp>FA_ACT_EST_DATA=E, EST_SOURCE=UBS</stp>
        <stp>ACT_EST_MAPPING=PRECISE</stp>
        <stp>FS=MRC</stp>
        <stp>CURRENCY=USD</stp>
        <stp>XLFILL=b</stp>
        <tr r="Z204" s="2"/>
      </tp>
      <tp t="s">
        <v>#N/A Requesting Data...</v>
        <stp/>
        <stp>##V3_BQLV12</stp>
        <stp>[MODL_NOW_US1.xlsx]Single Period!R128C21</stp>
        <stp>NOW US Equity</stp>
        <stp>IS_INC_TAX_EXP/1M</stp>
        <stp>FPR=2021Y</stp>
        <stp>FPT=A</stp>
        <stp>FA_ACT_EST_DATA=E, EST_SOURCE=JMP</stp>
        <stp>ACT_EST_MAPPING=PRECISE</stp>
        <stp>FS=MRC</stp>
        <stp>CURRENCY=USD</stp>
        <stp>XLFILL=b</stp>
        <tr r="U128" s="2"/>
      </tp>
      <tp t="s">
        <v>#N/A Requesting Data...</v>
        <stp/>
        <stp>##V3_BQLV12</stp>
        <stp>[MODL_NOW_US1.xlsx]Single Period!R10C26</stp>
        <stp>NOW US Equity</stp>
        <stp>BILLNG_AMOUNT_GROWTH_PCT</stp>
        <stp>FPR=2021Y</stp>
        <stp>FPT=A</stp>
        <stp>FA_ACT_EST_DATA=E, EST_SOURCE=UBS</stp>
        <stp>ACT_EST_MAPPING=PRECISE</stp>
        <stp>FS=MRC</stp>
        <stp>CURRENCY=USD</stp>
        <stp>XLFILL=b</stp>
        <tr r="Z10" s="2"/>
      </tp>
      <tp t="s">
        <v>#N/A Requesting Data...</v>
        <stp/>
        <stp>##V3_BQLV12</stp>
        <stp>[MODL_NOW_US1.xlsx]Single Period!R123C22</stp>
        <stp>NOW US Equity</stp>
        <stp>TOTAL_OPERATING_EXPENSES_RATIO/1M</stp>
        <stp>FPR=2021Y</stp>
        <stp>FPT=A</stp>
        <stp>FA_ACT_EST_DATA=E, EST_SOURCE=NDH</stp>
        <stp>ACT_EST_MAPPING=PRECISE</stp>
        <stp>FS=MRC</stp>
        <stp>CURRENCY=USD</stp>
        <stp>XLFILL=b</stp>
        <tr r="V123" s="2"/>
      </tp>
      <tp t="s">
        <v>#N/A Requesting Data...</v>
        <stp/>
        <stp>##V3_BQLV12</stp>
        <stp>[MODL_NOW_US1.xlsx]Single Period!R195C49</stp>
        <stp>NOW US Equity</stp>
        <stp>CB_BS_DEFERRED_COST_LT/1M</stp>
        <stp>FPR=2021Y</stp>
        <stp>FPT=A</stp>
        <stp>FA_ACT_EST_DATA=E, EST_SOURCE=SCB</stp>
        <stp>ACT_EST_MAPPING=PRECISE</stp>
        <stp>FS=MRC</stp>
        <stp>CURRENCY=USD</stp>
        <stp>XLFILL=b</stp>
        <tr r="AW195" s="2"/>
      </tp>
      <tp t="s">
        <v>#N/A Requesting Data...</v>
        <stp/>
        <stp>##V3_BQLV12</stp>
        <stp>[MODL_NOW_US1.xlsx]Single Period!R195C16</stp>
        <stp>NOW US Equity</stp>
        <stp>CB_BS_DEFERRED_COST_LT/1M</stp>
        <stp>FPR=2021Y</stp>
        <stp>FPT=A</stp>
        <stp>FA_ACT_EST_DATA=E, EST_SOURCE=BCA</stp>
        <stp>ACT_EST_MAPPING=PRECISE</stp>
        <stp>FS=MRC</stp>
        <stp>CURRENCY=USD</stp>
        <stp>XLFILL=b</stp>
        <tr r="P195" s="2"/>
      </tp>
      <tp t="s">
        <v>#N/A Requesting Data...</v>
        <stp/>
        <stp>##V3_BQLV12</stp>
        <stp>[MODL_NOW_US1.xlsx]Single Period!R204C32</stp>
        <stp>NOW US Equity</stp>
        <stp>CF_DEF_INC_TAX/1M</stp>
        <stp>FPR=2021Y</stp>
        <stp>FPT=A</stp>
        <stp>FA_ACT_EST_DATA=E, EST_SOURCE=FBC</stp>
        <stp>ACT_EST_MAPPING=PRECISE</stp>
        <stp>FS=MRC</stp>
        <stp>CURRENCY=USD</stp>
        <stp>XLFILL=b</stp>
        <tr r="AF204" s="2"/>
      </tp>
      <tp t="s">
        <v>#N/A Requesting Data...</v>
        <stp/>
        <stp>##V3_BQLV12</stp>
        <stp>[MODL_NOW_US1.xlsx]Single Period!R204C27</stp>
        <stp>NOW US Equity</stp>
        <stp>CF_DEF_INC_TAX/1M</stp>
        <stp>FPR=2021Y</stp>
        <stp>FPT=A</stp>
        <stp>FA_ACT_EST_DATA=E, EST_SOURCE=RBC</stp>
        <stp>ACT_EST_MAPPING=PRECISE</stp>
        <stp>FS=MRC</stp>
        <stp>CURRENCY=USD</stp>
        <stp>XLFILL=b</stp>
        <tr r="AA204" s="2"/>
      </tp>
      <tp t="s">
        <v>#N/A Requesting Data...</v>
        <stp/>
        <stp>##V3_BQLV12</stp>
        <stp>[MODL_NOW_US1.xlsx]Single Period!R204C25</stp>
        <stp>NOW US Equity</stp>
        <stp>CF_DEF_INC_TAX/1M</stp>
        <stp>FPR=2021Y</stp>
        <stp>FPT=A</stp>
        <stp>FA_ACT_EST_DATA=E, EST_SOURCE=DBG</stp>
        <stp>ACT_EST_MAPPING=PRECISE</stp>
        <stp>FS=MRC</stp>
        <stp>CURRENCY=USD</stp>
        <stp>XLFILL=b</stp>
        <tr r="Y204" s="2"/>
      </tp>
      <tp t="s">
        <v>#N/A Requesting Data...</v>
        <stp/>
        <stp>##V3_BQLV12</stp>
        <stp>[MODL_NOW_US1.xlsx]Single Period!R146C28</stp>
        <stp>NOW US Equity</stp>
        <stp>IS_AMORT_ACQD_INTANGIBLES_COGS/1M</stp>
        <stp>FPR=2021Y</stp>
        <stp>FPT=A</stp>
        <stp>FA_ACT_EST_DATA=E, EST_SOURCE=EVR</stp>
        <stp>ACT_EST_MAPPING=PRECISE</stp>
        <stp>FS=MRC</stp>
        <stp>CURRENCY=USD</stp>
        <stp>XLFILL=b</stp>
        <tr r="AB146" s="2"/>
      </tp>
      <tp t="s">
        <v>#N/A Requesting Data...</v>
        <stp/>
        <stp>##V3_BQLV12</stp>
        <stp>[MODL_NOW_US1.xlsx]Single Period!R40C30</stp>
        <stp>NOW US Equity</stp>
        <stp>BILLNG_AMOUNT_GROWTH_PCT</stp>
        <stp>FPR=2021Y</stp>
        <stp>FPT=A</stp>
        <stp>FA_ACT_EST_DATA=E, EST_SOURCE=BAM</stp>
        <stp>ACT_EST_MAPPING=PRECISE</stp>
        <stp>FS=MRC</stp>
        <stp>CURRENCY=USD</stp>
        <stp>XLFILL=b</stp>
        <tr r="AD40" s="2"/>
      </tp>
      <tp t="s">
        <v>#N/A Requesting Data...</v>
        <stp/>
        <stp>##V3_BQLV12</stp>
        <stp>[MODL_NOW_US1.xlsx]Single Period!R40C20</stp>
        <stp>NOW US Equity</stp>
        <stp>BILLNG_AMOUNT_GROWTH_PCT</stp>
        <stp>FPR=2021Y</stp>
        <stp>FPT=A</stp>
        <stp>FA_ACT_EST_DATA=E, EST_SOURCE=CAN</stp>
        <stp>ACT_EST_MAPPING=PRECISE</stp>
        <stp>FS=MRC</stp>
        <stp>CURRENCY=USD</stp>
        <stp>XLFILL=b</stp>
        <tr r="T40" s="2"/>
      </tp>
      <tp t="s">
        <v>#N/A Requesting Data...</v>
        <stp/>
        <stp>##V3_BQLV12</stp>
        <stp>[MODL_NOW_US1.xlsx]Single Period!R168C29</stp>
        <stp>NOW US Equity</stp>
        <stp>CB_BS_DEFERRED_COST_LT/1M</stp>
        <stp>FPR=2021Y</stp>
        <stp>FPT=A</stp>
        <stp>FA_ACT_EST_DATA=E, EST_SOURCE=BNS</stp>
        <stp>ACT_EST_MAPPING=PRECISE</stp>
        <stp>FS=MRC</stp>
        <stp>CURRENCY=USD</stp>
        <stp>XLFILL=b</stp>
        <tr r="AC168" s="2"/>
      </tp>
      <tp t="s">
        <v>#N/A Requesting Data...</v>
        <stp/>
        <stp>##V3_BQLV12</stp>
        <stp>[MODL_NOW_US1.xlsx]Single Period!R226C47</stp>
        <stp>NOW US Equity</stp>
        <stp>CF_OTHER_FINANCING_ACT_EXCL_FX/1M</stp>
        <stp>FPR=2021Y</stp>
        <stp>FPT=A</stp>
        <stp>FA_ACT_EST_DATA=E, EST_SOURCE=SUM</stp>
        <stp>ACT_EST_MAPPING=PRECISE</stp>
        <stp>FS=MRC</stp>
        <stp>CURRENCY=USD</stp>
        <stp>XLFILL=b</stp>
        <tr r="AU226" s="2"/>
      </tp>
      <tp t="s">
        <v>#N/A Requesting Data...</v>
        <stp/>
        <stp>##V3_BQLV12</stp>
        <stp>[MODL_NOW_US1.xlsx]Single Period!R168C18</stp>
        <stp>NOW US Equity</stp>
        <stp>CB_BS_DEFERRED_COST_LT/1M</stp>
        <stp>FPR=2021Y</stp>
        <stp>FPT=A</stp>
        <stp>FA_ACT_EST_DATA=E, EST_SOURCE=SNR</stp>
        <stp>ACT_EST_MAPPING=PRECISE</stp>
        <stp>FS=MRC</stp>
        <stp>CURRENCY=USD</stp>
        <stp>XLFILL=b</stp>
        <tr r="R168" s="2"/>
      </tp>
      <tp t="s">
        <v>#N/A Requesting Data...</v>
        <stp/>
        <stp>##V3_BQLV12</stp>
        <stp>[MODL_NOW_US1.xlsx]Single Period!R128C14</stp>
        <stp>NOW US Equity</stp>
        <stp>IS_INC_TAX_EXP/1M</stp>
        <stp>FPR=2021Y</stp>
        <stp>FPT=A</stp>
        <stp>FA_ACT_EST_DATA=E, EST_SOURCE=BMO</stp>
        <stp>ACT_EST_MAPPING=PRECISE</stp>
        <stp>FS=MRC</stp>
        <stp>CURRENCY=USD</stp>
        <stp>XLFILL=b</stp>
        <tr r="N128" s="2"/>
      </tp>
      <tp t="s">
        <v>#N/A Requesting Data...</v>
        <stp/>
        <stp>##V3_BQLV12</stp>
        <stp>[MODL_NOW_US1.xlsx]Single Period!R204C12</stp>
        <stp>NOW US Equity</stp>
        <stp>CF_DEF_INC_TAX/1M</stp>
        <stp>FPR=2021Y</stp>
        <stp>FPT=A</stp>
        <stp>FA_ACT_EST_DATA=E, EST_SOURCE=WBL</stp>
        <stp>ACT_EST_MAPPING=PRECISE</stp>
        <stp>FS=MRC</stp>
        <stp>CURRENCY=USD</stp>
        <stp>XLFILL=b</stp>
        <tr r="L204" s="2"/>
      </tp>
      <tp t="s">
        <v>#N/A Requesting Data...</v>
        <stp/>
        <stp>##V3_BQLV12</stp>
        <stp>[MODL_NOW_US1.xlsx]Single Period!R211C28</stp>
        <stp>NOW US Equity</stp>
        <stp>CF_CHG_IN_DEFER_UNEARND_REV_ST/1M</stp>
        <stp>FPR=2021Y</stp>
        <stp>FPT=A</stp>
        <stp>FA_ACT_EST_DATA=E, EST_SOURCE=EVR</stp>
        <stp>ACT_EST_MAPPING=PRECISE</stp>
        <stp>FS=MRC</stp>
        <stp>CURRENCY=USD</stp>
        <stp>XLFILL=b</stp>
        <tr r="AB211" s="2"/>
      </tp>
      <tp t="s">
        <v>#N/A Requesting Data...</v>
        <stp/>
        <stp>##V3_BQLV12</stp>
        <stp>[MODL_NOW_US1.xlsx]Single Period!R92C8</stp>
        <stp>NOW US Equity</stp>
        <stp>CONTRIBUTOR_STATS(IS_ADJ_GENL_AND_ADMIN_EXPN_AR, STD)/1M</stp>
        <stp>FPR=2021Y</stp>
        <stp>FPT=A</stp>
        <stp>FA_ACT_EST_DATA=E</stp>
        <stp>ACT_EST_MAPPING=PRECISE</stp>
        <stp>FS=MRC</stp>
        <stp>CURRENCY=USD</stp>
        <stp>XLFILL=b</stp>
        <tr r="H92" s="2"/>
      </tp>
      <tp t="s">
        <v>#N/A Requesting Data...</v>
        <stp/>
        <stp>##V3_BQLV12</stp>
        <stp>[MODL_NOW_US1.xlsx]Single Period!R112C6</stp>
        <stp>SEG0000230975 Segment</stp>
        <stp>CONTRIBUTOR_STATS(IS_COGS_TO_FE_AND_PP_AND_G, MIN)/1M</stp>
        <stp>FPR=2021Y</stp>
        <stp>FPT=A</stp>
        <stp>FA_ACT_EST_DATA=E</stp>
        <stp>ACT_EST_MAPPING=PRECISE</stp>
        <stp>FS=MRC</stp>
        <stp>CURRENCY=USD</stp>
        <stp>XLFILL=b</stp>
        <tr r="F112" s="2"/>
      </tp>
      <tp t="s">
        <v>#N/A Requesting Data...</v>
        <stp/>
        <stp>##V3_BQLV12</stp>
        <stp>[MODL_NOW_US1.xlsx]Single Period!R112C7</stp>
        <stp>SEG0000230975 Segment</stp>
        <stp>CONTRIBUTOR_STATS(IS_COGS_TO_FE_AND_PP_AND_G, MAX)/1M</stp>
        <stp>FPR=2021Y</stp>
        <stp>FPT=A</stp>
        <stp>FA_ACT_EST_DATA=E</stp>
        <stp>ACT_EST_MAPPING=PRECISE</stp>
        <stp>FS=MRC</stp>
        <stp>CURRENCY=USD</stp>
        <stp>XLFILL=b</stp>
        <tr r="G112" s="2"/>
      </tp>
      <tp t="s">
        <v>#N/A Requesting Data...</v>
        <stp/>
        <stp>##V3_BQLV12</stp>
        <stp>[MODL_NOW_US1.xlsx]Single Period!R89C16</stp>
        <stp>NOW US Equity</stp>
        <stp>IS_REV_INCLUDING_INTERSEG_REV/1M</stp>
        <stp>FPR=2021Y</stp>
        <stp>FPT=A</stp>
        <stp>FA_ACT_EST_DATA=E, EST_SOURCE=BCA</stp>
        <stp>ACT_EST_MAPPING=PRECISE</stp>
        <stp>FS=MRC</stp>
        <stp>CURRENCY=USD</stp>
        <stp>XLFILL=b</stp>
        <tr r="P89" s="2"/>
      </tp>
      <tp t="s">
        <v>#N/A Requesting Data...</v>
        <stp/>
        <stp>##V3_BQLV12</stp>
        <stp>[MODL_NOW_US1.xlsx]Single Period!R9C44</stp>
        <stp>NOW US Equity</stp>
        <stp>IS_BILLINGS/1M</stp>
        <stp>FPR=2021Y</stp>
        <stp>FPT=A</stp>
        <stp>FA_ACT_EST_DATA=E, EST_SOURCE=ARE</stp>
        <stp>ACT_EST_MAPPING=PRECISE</stp>
        <stp>FS=MRC</stp>
        <stp>CURRENCY=USD</stp>
        <stp>XLFILL=b</stp>
        <tr r="AR9" s="2"/>
      </tp>
      <tp t="s">
        <v>#N/A Requesting Data...</v>
        <stp/>
        <stp>##V3_BQLV12</stp>
        <stp>[MODL_NOW_US1.xlsx]Single Period!R89C27</stp>
        <stp>NOW US Equity</stp>
        <stp>IS_REV_INCLUDING_INTERSEG_REV/1M</stp>
        <stp>FPR=2021Y</stp>
        <stp>FPT=A</stp>
        <stp>FA_ACT_EST_DATA=E, EST_SOURCE=RBC</stp>
        <stp>ACT_EST_MAPPING=PRECISE</stp>
        <stp>FS=MRC</stp>
        <stp>CURRENCY=USD</stp>
        <stp>XLFILL=b</stp>
        <tr r="AA89" s="2"/>
      </tp>
      <tp t="s">
        <v>#N/A Requesting Data...</v>
        <stp/>
        <stp>##V3_BQLV12</stp>
        <stp>[MODL_NOW_US1.xlsx]Single Period!R9C41</stp>
        <stp>NOW US Equity</stp>
        <stp>IS_BILLINGS/1M</stp>
        <stp>FPR=2021Y</stp>
        <stp>FPT=A</stp>
        <stp>FA_ACT_EST_DATA=E, EST_SOURCE=ARG</stp>
        <stp>ACT_EST_MAPPING=PRECISE</stp>
        <stp>FS=MRC</stp>
        <stp>CURRENCY=USD</stp>
        <stp>XLFILL=b</stp>
        <tr r="AO9" s="2"/>
      </tp>
      <tp t="s">
        <v>#N/A Requesting Data...</v>
        <stp/>
        <stp>##V3_BQLV12</stp>
        <stp>[MODL_NOW_US1.xlsx]Single Period!R139C33</stp>
        <stp>NOW US Equity</stp>
        <stp>IS_SBC_ATTRIB_TO_COGS_PRETX/1M</stp>
        <stp>FPR=2021Y</stp>
        <stp>FPT=A</stp>
        <stp>FA_ACT_EST_DATA=E, EST_SOURCE=MAC</stp>
        <stp>ACT_EST_MAPPING=PRECISE</stp>
        <stp>FS=MRC</stp>
        <stp>CURRENCY=USD</stp>
        <stp>XLFILL=b</stp>
        <tr r="AG139" s="2"/>
      </tp>
      <tp t="s">
        <v>#N/A Requesting Data...</v>
        <stp/>
        <stp>##V3_BQLV12</stp>
        <stp>[MODL_NOW_US1.xlsx]Single Period!R178C29</stp>
        <stp>NOW US Equity</stp>
        <stp>BS_ADJ_TOTAL_LT_LIABILITIES/1M</stp>
        <stp>FPR=2021Y</stp>
        <stp>FPT=A</stp>
        <stp>FA_ACT_EST_DATA=E, EST_SOURCE=BNS</stp>
        <stp>ACT_EST_MAPPING=PRECISE</stp>
        <stp>FS=MRC</stp>
        <stp>CURRENCY=USD</stp>
        <stp>XLFILL=b</stp>
        <tr r="AC178" s="2"/>
      </tp>
      <tp t="s">
        <v>#N/A Requesting Data...</v>
        <stp/>
        <stp>##V3_BQLV12</stp>
        <stp>[MODL_NOW_US1.xlsx]Single Period!R167C38</stp>
        <stp>NOW US Equity</stp>
        <stp>BS_GOODWILL/1M</stp>
        <stp>FPR=2021Y</stp>
        <stp>FPT=A</stp>
        <stp>FA_ACT_EST_DATA=E, EST_SOURCE=RWB</stp>
        <stp>ACT_EST_MAPPING=PRECISE</stp>
        <stp>FS=MRC</stp>
        <stp>CURRENCY=USD</stp>
        <stp>XLFILL=b</stp>
        <tr r="AL167" s="2"/>
      </tp>
      <tp t="s">
        <v>#N/A Requesting Data...</v>
        <stp/>
        <stp>##V3_BQLV12</stp>
        <stp>[MODL_NOW_US1.xlsx]Single Period!R84C8</stp>
        <stp>NOW US Equity</stp>
        <stp>CONTRIBUTOR_STATS(IS_ADJ_GROSS_PROFIT_AS_REPORTED, STD)/1M</stp>
        <stp>FPR=2021Y</stp>
        <stp>FPT=A</stp>
        <stp>FA_ACT_EST_DATA=E</stp>
        <stp>ACT_EST_MAPPING=PRECISE</stp>
        <stp>FS=MRC</stp>
        <stp>CURRENCY=USD</stp>
        <stp>XLFILL=b</stp>
        <tr r="H84" s="2"/>
      </tp>
      <tp t="s">
        <v>#N/A Requesting Data...</v>
        <stp/>
        <stp>##V3_BQLV12</stp>
        <stp>[MODL_NOW_US1.xlsx]Single Period!R24C8</stp>
        <stp>NOW US Equity</stp>
        <stp>CONTRIBUTOR_STATS(IS_ADJ_GROSS_PROFIT_AS_REPORTED, STD)/1M</stp>
        <stp>FPR=2021Y</stp>
        <stp>FPT=A</stp>
        <stp>FA_ACT_EST_DATA=E</stp>
        <stp>ACT_EST_MAPPING=PRECISE</stp>
        <stp>FS=MRC</stp>
        <stp>CURRENCY=USD</stp>
        <stp>XLFILL=b</stp>
        <tr r="H24" s="2"/>
      </tp>
      <tp t="s">
        <v>#N/A Requesting Data...</v>
        <stp/>
        <stp>##V3_BQLV12</stp>
        <stp>[MODL_NOW_US1.xlsx]Single Period!R178C18</stp>
        <stp>NOW US Equity</stp>
        <stp>BS_ADJ_TOTAL_LT_LIABILITIES/1M</stp>
        <stp>FPR=2021Y</stp>
        <stp>FPT=A</stp>
        <stp>FA_ACT_EST_DATA=E, EST_SOURCE=SNR</stp>
        <stp>ACT_EST_MAPPING=PRECISE</stp>
        <stp>FS=MRC</stp>
        <stp>CURRENCY=USD</stp>
        <stp>XLFILL=b</stp>
        <tr r="R178" s="2"/>
      </tp>
      <tp t="s">
        <v>#N/A Requesting Data...</v>
        <stp/>
        <stp>##V3_BQLV12</stp>
        <stp>[MODL_NOW_US1.xlsx]Single Period!R154C42</stp>
        <stp>NOW US Equity</stp>
        <stp>BS_CUR_ASSET_REPORT/1M</stp>
        <stp>FPR=2021Y</stp>
        <stp>FPT=A</stp>
        <stp>FA_ACT_EST_DATA=E, EST_SOURCE=CTI</stp>
        <stp>ACT_EST_MAPPING=PRECISE</stp>
        <stp>FS=MRC</stp>
        <stp>CURRENCY=USD</stp>
        <stp>XLFILL=b</stp>
        <tr r="AP154" s="2"/>
      </tp>
      <tp t="s">
        <v>#N/A Requesting Data...</v>
        <stp/>
        <stp>##V3_BQLV12</stp>
        <stp>[MODL_NOW_US1.xlsx]Single Period!R98C19</stp>
        <stp>NOW US Equity</stp>
        <stp>CF_DEPR_AMORT/1M</stp>
        <stp>FPR=2021Y</stp>
        <stp>FPT=A</stp>
        <stp>FA_ACT_EST_DATA=E, EST_SOURCE=MSV</stp>
        <stp>ACT_EST_MAPPING=PRECISE</stp>
        <stp>FS=MRC</stp>
        <stp>CURRENCY=USD</stp>
        <stp>XLFILL=b</stp>
        <tr r="S98" s="2"/>
      </tp>
      <tp t="s">
        <v>#N/A Requesting Data...</v>
        <stp/>
        <stp>##V3_BQLV12</stp>
        <stp>[MODL_NOW_US1.xlsx]Single Period!R9C48</stp>
        <stp>NOW US Equity</stp>
        <stp>IS_BILLINGS/1M</stp>
        <stp>FPR=2021Y</stp>
        <stp>FPT=A</stp>
        <stp>FA_ACT_EST_DATA=E, EST_SOURCE=CRC</stp>
        <stp>ACT_EST_MAPPING=PRECISE</stp>
        <stp>FS=MRC</stp>
        <stp>CURRENCY=USD</stp>
        <stp>XLFILL=b</stp>
        <tr r="AV9" s="2"/>
      </tp>
      <tp t="s">
        <v>#N/A Requesting Data...</v>
        <stp/>
        <stp>##V3_BQLV12</stp>
        <stp>[MODL_NOW_US1.xlsx]Single Period!R161C45</stp>
        <stp>NOW US Equity</stp>
        <stp>BS_TOTAL_NON_CURRENT_ASSETS/1M</stp>
        <stp>FPR=2021Y</stp>
        <stp>FPT=A</stp>
        <stp>FA_ACT_EST_DATA=E, EST_SOURCE=PJE</stp>
        <stp>ACT_EST_MAPPING=PRECISE</stp>
        <stp>FS=MRC</stp>
        <stp>CURRENCY=USD</stp>
        <stp>XLFILL=b</stp>
        <tr r="AS161" s="2"/>
      </tp>
      <tp t="s">
        <v>#N/A Requesting Data...</v>
        <stp/>
        <stp>##V3_BQLV12</stp>
        <stp>[MODL_NOW_US1.xlsx]Single Period!R139C20</stp>
        <stp>NOW US Equity</stp>
        <stp>IS_SBC_ATTRIB_TO_COGS_PRETX/1M</stp>
        <stp>FPR=2021Y</stp>
        <stp>FPT=A</stp>
        <stp>FA_ACT_EST_DATA=E, EST_SOURCE=CAN</stp>
        <stp>ACT_EST_MAPPING=PRECISE</stp>
        <stp>FS=MRC</stp>
        <stp>CURRENCY=USD</stp>
        <stp>XLFILL=b</stp>
        <tr r="T139" s="2"/>
      </tp>
      <tp t="s">
        <v>#N/A Requesting Data...</v>
        <stp/>
        <stp>##V3_BQLV12</stp>
        <stp>[MODL_NOW_US1.xlsx]Single Period!R167C40</stp>
        <stp>NOW US Equity</stp>
        <stp>BS_GOODWILL/1M</stp>
        <stp>FPR=2021Y</stp>
        <stp>FPT=A</stp>
        <stp>FA_ACT_EST_DATA=E, EST_SOURCE=DWI</stp>
        <stp>ACT_EST_MAPPING=PRECISE</stp>
        <stp>FS=MRC</stp>
        <stp>CURRENCY=USD</stp>
        <stp>XLFILL=b</stp>
        <tr r="AN167" s="2"/>
      </tp>
      <tp t="s">
        <v>#N/A Requesting Data...</v>
        <stp/>
        <stp>##V3_BQLV12</stp>
        <stp>[MODL_NOW_US1.xlsx]Single Period!R167C24</stp>
        <stp>NOW US Equity</stp>
        <stp>BS_GOODWILL/1M</stp>
        <stp>FPR=2021Y</stp>
        <stp>FPT=A</stp>
        <stp>FA_ACT_EST_DATA=E, EST_SOURCE=CWN</stp>
        <stp>ACT_EST_MAPPING=PRECISE</stp>
        <stp>FS=MRC</stp>
        <stp>CURRENCY=USD</stp>
        <stp>XLFILL=b</stp>
        <tr r="X167" s="2"/>
      </tp>
      <tp t="s">
        <v>#N/A Requesting Data...</v>
        <stp/>
        <stp>##V3_BQLV12</stp>
        <stp>[MODL_NOW_US1.xlsx]Single Period!R139C30</stp>
        <stp>NOW US Equity</stp>
        <stp>IS_SBC_ATTRIB_TO_COGS_PRETX/1M</stp>
        <stp>FPR=2021Y</stp>
        <stp>FPT=A</stp>
        <stp>FA_ACT_EST_DATA=E, EST_SOURCE=BAM</stp>
        <stp>ACT_EST_MAPPING=PRECISE</stp>
        <stp>FS=MRC</stp>
        <stp>CURRENCY=USD</stp>
        <stp>XLFILL=b</stp>
        <tr r="AD139" s="2"/>
      </tp>
      <tp t="s">
        <v>#N/A Requesting Data...</v>
        <stp/>
        <stp>##V3_BQLV12</stp>
        <stp>[MODL_NOW_US1.xlsx]Single Period!R27C45</stp>
        <stp>NOW US Equity</stp>
        <stp>IS_REV_INCLUDING_INTERSEG_REV/1M</stp>
        <stp>FPR=2021Y</stp>
        <stp>FPT=A</stp>
        <stp>FA_ACT_EST_DATA=E, EST_SOURCE=PJE</stp>
        <stp>ACT_EST_MAPPING=PRECISE</stp>
        <stp>FS=MRC</stp>
        <stp>CURRENCY=USD</stp>
        <stp>XLFILL=b</stp>
        <tr r="AS27" s="2"/>
      </tp>
      <tp t="s">
        <v>#N/A Requesting Data...</v>
        <stp/>
        <stp>##V3_BQLV12</stp>
        <stp>[MODL_NOW_US1.xlsx]Single Period!R154C37</stp>
        <stp>NOW US Equity</stp>
        <stp>BS_CUR_ASSET_REPORT/1M</stp>
        <stp>FPR=2021Y</stp>
        <stp>FPT=A</stp>
        <stp>FA_ACT_EST_DATA=E, EST_SOURCE=TTC</stp>
        <stp>ACT_EST_MAPPING=PRECISE</stp>
        <stp>FS=MRC</stp>
        <stp>CURRENCY=USD</stp>
        <stp>XLFILL=b</stp>
        <tr r="AK154" s="2"/>
      </tp>
      <tp t="s">
        <v>#N/A Requesting Data...</v>
        <stp/>
        <stp>##V3_BQLV12</stp>
        <stp>[MODL_NOW_US1.xlsx]Single Period!R173C26</stp>
        <stp>NOW US Equity</stp>
        <stp>BS_CUR_LIAB/1M</stp>
        <stp>FPR=2021Y</stp>
        <stp>FPT=A</stp>
        <stp>FA_ACT_EST_DATA=E, EST_SOURCE=UBS</stp>
        <stp>ACT_EST_MAPPING=PRECISE</stp>
        <stp>FS=MRC</stp>
        <stp>CURRENCY=USD</stp>
        <stp>XLFILL=b</stp>
        <tr r="Z173" s="2"/>
      </tp>
      <tp t="s">
        <v>#N/A Requesting Data...</v>
        <stp/>
        <stp>##V3_BQLV12</stp>
        <stp>[MODL_NOW_US1.xlsx]Single Period!R105C17</stp>
        <stp>NOW US Equity</stp>
        <stp>ADJ_PROFIT_MARGIN</stp>
        <stp>FPR=2021Y</stp>
        <stp>FPT=A</stp>
        <stp>FA_ACT_EST_DATA=E, EST_SOURCE=RHR</stp>
        <stp>ACT_EST_MAPPING=PRECISE</stp>
        <stp>FS=MRC</stp>
        <stp>CURRENCY=USD</stp>
        <stp>XLFILL=b</stp>
        <tr r="Q105" s="2"/>
      </tp>
      <tp t="s">
        <v>#N/A Requesting Data...</v>
        <stp/>
        <stp>##V3_BQLV12</stp>
        <stp>[MODL_NOW_US1.xlsx]Single Period!R210C17</stp>
        <stp>NOW US Equity</stp>
        <stp>CF_CHANGE_IN_PREPAID_EXPNSS/1M</stp>
        <stp>FPR=2021Y</stp>
        <stp>FPT=A</stp>
        <stp>FA_ACT_EST_DATA=E, EST_SOURCE=RHR</stp>
        <stp>ACT_EST_MAPPING=PRECISE</stp>
        <stp>FS=MRC</stp>
        <stp>CURRENCY=USD</stp>
        <stp>XLFILL=b</stp>
        <tr r="Q210" s="2"/>
      </tp>
      <tp t="s">
        <v>#N/A Requesting Data...</v>
        <stp/>
        <stp>##V3_BQLV12</stp>
        <stp>[MODL_NOW_US1.xlsx]Single Period!R191C14</stp>
        <stp>NOW US Equity</stp>
        <stp>ST_DEFERRED_REVENUE/1M</stp>
        <stp>FPR=2021Y</stp>
        <stp>FPT=A</stp>
        <stp>FA_ACT_EST_DATA=E, EST_SOURCE=BMO</stp>
        <stp>ACT_EST_MAPPING=PRECISE</stp>
        <stp>FS=MRC</stp>
        <stp>CURRENCY=USD</stp>
        <stp>XLFILL=b</stp>
        <tr r="N191" s="2"/>
      </tp>
      <tp t="s">
        <v>#N/A Requesting Data...</v>
        <stp/>
        <stp>##V3_BQLV12</stp>
        <stp>[MODL_NOW_US1.xlsx]Single Period!R176C14</stp>
        <stp>NOW US Equity</stp>
        <stp>ST_DEFERRED_REVENUE/1M</stp>
        <stp>FPR=2021Y</stp>
        <stp>FPT=A</stp>
        <stp>FA_ACT_EST_DATA=E, EST_SOURCE=BMO</stp>
        <stp>ACT_EST_MAPPING=PRECISE</stp>
        <stp>FS=MRC</stp>
        <stp>CURRENCY=USD</stp>
        <stp>XLFILL=b</stp>
        <tr r="N176" s="2"/>
      </tp>
      <tp t="s">
        <v>#N/A Requesting Data...</v>
        <stp/>
        <stp>##V3_BQLV12</stp>
        <stp>[MODL_NOW_US1.xlsx]Single Period!R179C14</stp>
        <stp>NOW US Equity</stp>
        <stp>LT_DEFERRED_REVENUE/1M</stp>
        <stp>FPR=2021Y</stp>
        <stp>FPT=A</stp>
        <stp>FA_ACT_EST_DATA=E, EST_SOURCE=BMO</stp>
        <stp>ACT_EST_MAPPING=PRECISE</stp>
        <stp>FS=MRC</stp>
        <stp>CURRENCY=USD</stp>
        <stp>XLFILL=b</stp>
        <tr r="N179" s="2"/>
      </tp>
      <tp t="s">
        <v>#N/A Requesting Data...</v>
        <stp/>
        <stp>##V3_BQLV12</stp>
        <stp>[MODL_NOW_US1.xlsx]Single Period!R230C26</stp>
        <stp>NOW US Equity</stp>
        <stp>CF_EFFECT_FOREIGN_EXCHANGES/1M</stp>
        <stp>FPR=2021Y</stp>
        <stp>FPT=A</stp>
        <stp>FA_ACT_EST_DATA=E, EST_SOURCE=UBS</stp>
        <stp>ACT_EST_MAPPING=PRECISE</stp>
        <stp>FS=MRC</stp>
        <stp>CURRENCY=USD</stp>
        <stp>XLFILL=b</stp>
        <tr r="Z230" s="2"/>
      </tp>
      <tp t="s">
        <v>#N/A Requesting Data...</v>
        <stp/>
        <stp>##V3_BQLV12</stp>
        <stp>[MODL_NOW_US1.xlsx]Single Period!R192C14</stp>
        <stp>NOW US Equity</stp>
        <stp>LT_DEFERRED_REVENUE/1M</stp>
        <stp>FPR=2021Y</stp>
        <stp>FPT=A</stp>
        <stp>FA_ACT_EST_DATA=E, EST_SOURCE=BMO</stp>
        <stp>ACT_EST_MAPPING=PRECISE</stp>
        <stp>FS=MRC</stp>
        <stp>CURRENCY=USD</stp>
        <stp>XLFILL=b</stp>
        <tr r="N192" s="2"/>
      </tp>
      <tp t="s">
        <v>#N/A Requesting Data...</v>
        <stp/>
        <stp>##V3_BQLV12</stp>
        <stp>[MODL_NOW_US1.xlsx]Single Period!R98C48</stp>
        <stp>NOW US Equity</stp>
        <stp>CF_DEPR_AMORT/1M</stp>
        <stp>FPR=2021Y</stp>
        <stp>FPT=A</stp>
        <stp>FA_ACT_EST_DATA=E, EST_SOURCE=CRC</stp>
        <stp>ACT_EST_MAPPING=PRECISE</stp>
        <stp>FS=MRC</stp>
        <stp>CURRENCY=USD</stp>
        <stp>XLFILL=b</stp>
        <tr r="AV98" s="2"/>
      </tp>
      <tp t="s">
        <v>#N/A Requesting Data...</v>
        <stp/>
        <stp>##V3_BQLV12</stp>
        <stp>[MODL_NOW_US1.xlsx]Single Period!R191C21</stp>
        <stp>NOW US Equity</stp>
        <stp>ST_DEFERRED_REVENUE/1M</stp>
        <stp>FPR=2021Y</stp>
        <stp>FPT=A</stp>
        <stp>FA_ACT_EST_DATA=E, EST_SOURCE=JMP</stp>
        <stp>ACT_EST_MAPPING=PRECISE</stp>
        <stp>FS=MRC</stp>
        <stp>CURRENCY=USD</stp>
        <stp>XLFILL=b</stp>
        <tr r="U191" s="2"/>
      </tp>
      <tp t="s">
        <v>#N/A Requesting Data...</v>
        <stp/>
        <stp>##V3_BQLV12</stp>
        <stp>[MODL_NOW_US1.xlsx]Single Period!R176C21</stp>
        <stp>NOW US Equity</stp>
        <stp>ST_DEFERRED_REVENUE/1M</stp>
        <stp>FPR=2021Y</stp>
        <stp>FPT=A</stp>
        <stp>FA_ACT_EST_DATA=E, EST_SOURCE=JMP</stp>
        <stp>ACT_EST_MAPPING=PRECISE</stp>
        <stp>FS=MRC</stp>
        <stp>CURRENCY=USD</stp>
        <stp>XLFILL=b</stp>
        <tr r="U176" s="2"/>
      </tp>
      <tp t="s">
        <v>#N/A Requesting Data...</v>
        <stp/>
        <stp>##V3_BQLV12</stp>
        <stp>[MODL_NOW_US1.xlsx]Single Period!R179C21</stp>
        <stp>NOW US Equity</stp>
        <stp>LT_DEFERRED_REVENUE/1M</stp>
        <stp>FPR=2021Y</stp>
        <stp>FPT=A</stp>
        <stp>FA_ACT_EST_DATA=E, EST_SOURCE=JMP</stp>
        <stp>ACT_EST_MAPPING=PRECISE</stp>
        <stp>FS=MRC</stp>
        <stp>CURRENCY=USD</stp>
        <stp>XLFILL=b</stp>
        <tr r="U179" s="2"/>
      </tp>
      <tp t="s">
        <v>#N/A Requesting Data...</v>
        <stp/>
        <stp>##V3_BQLV12</stp>
        <stp>[MODL_NOW_US1.xlsx]Single Period!R192C21</stp>
        <stp>NOW US Equity</stp>
        <stp>LT_DEFERRED_REVENUE/1M</stp>
        <stp>FPR=2021Y</stp>
        <stp>FPT=A</stp>
        <stp>FA_ACT_EST_DATA=E, EST_SOURCE=JMP</stp>
        <stp>ACT_EST_MAPPING=PRECISE</stp>
        <stp>FS=MRC</stp>
        <stp>CURRENCY=USD</stp>
        <stp>XLFILL=b</stp>
        <tr r="U192" s="2"/>
      </tp>
      <tp t="s">
        <v>#N/A Requesting Data...</v>
        <stp/>
        <stp>##V3_BQLV12</stp>
        <stp>[MODL_NOW_US1.xlsx]Single Period!R230C12</stp>
        <stp>NOW US Equity</stp>
        <stp>CF_EFFECT_FOREIGN_EXCHANGES/1M</stp>
        <stp>FPR=2021Y</stp>
        <stp>FPT=A</stp>
        <stp>FA_ACT_EST_DATA=E, EST_SOURCE=WBL</stp>
        <stp>ACT_EST_MAPPING=PRECISE</stp>
        <stp>FS=MRC</stp>
        <stp>CURRENCY=USD</stp>
        <stp>XLFILL=b</stp>
        <tr r="L230" s="2"/>
      </tp>
      <tp t="s">
        <v>#N/A Requesting Data...</v>
        <stp/>
        <stp>##V3_BQLV12</stp>
        <stp>[MODL_NOW_US1.xlsx]Single Period!R89C43</stp>
        <stp>NOW US Equity</stp>
        <stp>IS_REV_INCLUDING_INTERSEG_REV/1M</stp>
        <stp>FPR=2021Y</stp>
        <stp>FPT=A</stp>
        <stp>FA_ACT_EST_DATA=E, EST_SOURCE=WFT</stp>
        <stp>ACT_EST_MAPPING=PRECISE</stp>
        <stp>FS=MRC</stp>
        <stp>CURRENCY=USD</stp>
        <stp>XLFILL=b</stp>
        <tr r="AQ89" s="2"/>
      </tp>
      <tp t="s">
        <v>#N/A Requesting Data...</v>
        <stp/>
        <stp>##V3_BQLV12</stp>
        <stp>[MODL_NOW_US1.xlsx]Single Period!R158C17</stp>
        <stp>NOW US Equity</stp>
        <stp>BS_ACCTS_REC_EXCL_NOTES_REC/1M</stp>
        <stp>FPR=2021Y</stp>
        <stp>FPT=A</stp>
        <stp>FA_ACT_EST_DATA=E, EST_SOURCE=RHR</stp>
        <stp>ACT_EST_MAPPING=PRECISE</stp>
        <stp>FS=MRC</stp>
        <stp>CURRENCY=USD</stp>
        <stp>XLFILL=b</stp>
        <tr r="Q158" s="2"/>
      </tp>
      <tp t="s">
        <v>#N/A Requesting Data...</v>
        <stp/>
        <stp>##V3_BQLV12</stp>
        <stp>[MODL_NOW_US1.xlsx]Single Period!R173C12</stp>
        <stp>NOW US Equity</stp>
        <stp>BS_CUR_LIAB/1M</stp>
        <stp>FPR=2021Y</stp>
        <stp>FPT=A</stp>
        <stp>FA_ACT_EST_DATA=E, EST_SOURCE=WBL</stp>
        <stp>ACT_EST_MAPPING=PRECISE</stp>
        <stp>FS=MRC</stp>
        <stp>CURRENCY=USD</stp>
        <stp>XLFILL=b</stp>
        <tr r="L173" s="2"/>
      </tp>
      <tp t="s">
        <v>#N/A Requesting Data...</v>
        <stp/>
        <stp>##V3_BQLV12</stp>
        <stp>[MODL_NOW_US1.xlsx]Single Period!R173C32</stp>
        <stp>NOW US Equity</stp>
        <stp>BS_CUR_LIAB/1M</stp>
        <stp>FPR=2021Y</stp>
        <stp>FPT=A</stp>
        <stp>FA_ACT_EST_DATA=E, EST_SOURCE=FBC</stp>
        <stp>ACT_EST_MAPPING=PRECISE</stp>
        <stp>FS=MRC</stp>
        <stp>CURRENCY=USD</stp>
        <stp>XLFILL=b</stp>
        <tr r="AF173" s="2"/>
      </tp>
      <tp t="s">
        <v>#N/A Requesting Data...</v>
        <stp/>
        <stp>##V3_BQLV12</stp>
        <stp>[MODL_NOW_US1.xlsx]Single Period!R24C6</stp>
        <stp>NOW US Equity</stp>
        <stp>CONTRIBUTOR_STATS(IS_ADJ_GROSS_PROFIT_AS_REPORTED, MIN)/1M</stp>
        <stp>FPR=2021Y</stp>
        <stp>FPT=A</stp>
        <stp>FA_ACT_EST_DATA=E</stp>
        <stp>ACT_EST_MAPPING=PRECISE</stp>
        <stp>FS=MRC</stp>
        <stp>CURRENCY=USD</stp>
        <stp>XLFILL=b</stp>
        <tr r="F24" s="2"/>
      </tp>
      <tp t="s">
        <v>#N/A Requesting Data...</v>
        <stp/>
        <stp>##V3_BQLV12</stp>
        <stp>[MODL_NOW_US1.xlsx]Single Period!R84C6</stp>
        <stp>NOW US Equity</stp>
        <stp>CONTRIBUTOR_STATS(IS_ADJ_GROSS_PROFIT_AS_REPORTED, MIN)/1M</stp>
        <stp>FPR=2021Y</stp>
        <stp>FPT=A</stp>
        <stp>FA_ACT_EST_DATA=E</stp>
        <stp>ACT_EST_MAPPING=PRECISE</stp>
        <stp>FS=MRC</stp>
        <stp>CURRENCY=USD</stp>
        <stp>XLFILL=b</stp>
        <tr r="F84" s="2"/>
      </tp>
      <tp t="s">
        <v>#N/A Requesting Data...</v>
        <stp/>
        <stp>##V3_BQLV12</stp>
        <stp>[MODL_NOW_US1.xlsx]Single Period!R24C7</stp>
        <stp>NOW US Equity</stp>
        <stp>CONTRIBUTOR_STATS(IS_ADJ_GROSS_PROFIT_AS_REPORTED, MAX)/1M</stp>
        <stp>FPR=2021Y</stp>
        <stp>FPT=A</stp>
        <stp>FA_ACT_EST_DATA=E</stp>
        <stp>ACT_EST_MAPPING=PRECISE</stp>
        <stp>FS=MRC</stp>
        <stp>CURRENCY=USD</stp>
        <stp>XLFILL=b</stp>
        <tr r="G24" s="2"/>
      </tp>
      <tp t="s">
        <v>#N/A Requesting Data...</v>
        <stp/>
        <stp>##V3_BQLV12</stp>
        <stp>[MODL_NOW_US1.xlsx]Single Period!R84C7</stp>
        <stp>NOW US Equity</stp>
        <stp>CONTRIBUTOR_STATS(IS_ADJ_GROSS_PROFIT_AS_REPORTED, MAX)/1M</stp>
        <stp>FPR=2021Y</stp>
        <stp>FPT=A</stp>
        <stp>FA_ACT_EST_DATA=E</stp>
        <stp>ACT_EST_MAPPING=PRECISE</stp>
        <stp>FS=MRC</stp>
        <stp>CURRENCY=USD</stp>
        <stp>XLFILL=b</stp>
        <tr r="G84" s="2"/>
      </tp>
      <tp t="s">
        <v>#N/A Requesting Data...</v>
        <stp/>
        <stp>##V3_BQLV12</stp>
        <stp>[MODL_NOW_US1.xlsx]Single Period!R173C27</stp>
        <stp>NOW US Equity</stp>
        <stp>BS_CUR_LIAB/1M</stp>
        <stp>FPR=2021Y</stp>
        <stp>FPT=A</stp>
        <stp>FA_ACT_EST_DATA=E, EST_SOURCE=RBC</stp>
        <stp>ACT_EST_MAPPING=PRECISE</stp>
        <stp>FS=MRC</stp>
        <stp>CURRENCY=USD</stp>
        <stp>XLFILL=b</stp>
        <tr r="AA173" s="2"/>
      </tp>
      <tp t="s">
        <v>#N/A Requesting Data...</v>
        <stp/>
        <stp>##V3_BQLV12</stp>
        <stp>[MODL_NOW_US1.xlsx]Single Period!R180C17</stp>
        <stp>NOW US Equity</stp>
        <stp>BS_LT_OPERATING_LEASE_LIABS/1M</stp>
        <stp>FPR=2021Y</stp>
        <stp>FPT=A</stp>
        <stp>FA_ACT_EST_DATA=E, EST_SOURCE=RHR</stp>
        <stp>ACT_EST_MAPPING=PRECISE</stp>
        <stp>FS=MRC</stp>
        <stp>CURRENCY=USD</stp>
        <stp>XLFILL=b</stp>
        <tr r="Q180" s="2"/>
      </tp>
      <tp t="s">
        <v>#N/A Requesting Data...</v>
        <stp/>
        <stp>##V3_BQLV12</stp>
        <stp>[MODL_NOW_US1.xlsx]Single Period!R230C25</stp>
        <stp>NOW US Equity</stp>
        <stp>CF_EFFECT_FOREIGN_EXCHANGES/1M</stp>
        <stp>FPR=2021Y</stp>
        <stp>FPT=A</stp>
        <stp>FA_ACT_EST_DATA=E, EST_SOURCE=DBG</stp>
        <stp>ACT_EST_MAPPING=PRECISE</stp>
        <stp>FS=MRC</stp>
        <stp>CURRENCY=USD</stp>
        <stp>XLFILL=b</stp>
        <tr r="Y230" s="2"/>
      </tp>
      <tp t="s">
        <v>#N/A Requesting Data...</v>
        <stp/>
        <stp>##V3_BQLV12</stp>
        <stp>[MODL_NOW_US1.xlsx]Single Period!R27C17</stp>
        <stp>NOW US Equity</stp>
        <stp>IS_REV_INCLUDING_INTERSEG_REV/1M</stp>
        <stp>FPR=2021Y</stp>
        <stp>FPT=A</stp>
        <stp>FA_ACT_EST_DATA=E, EST_SOURCE=RHR</stp>
        <stp>ACT_EST_MAPPING=PRECISE</stp>
        <stp>FS=MRC</stp>
        <stp>CURRENCY=USD</stp>
        <stp>XLFILL=b</stp>
        <tr r="Q27" s="2"/>
      </tp>
      <tp t="s">
        <v>#N/A Requesting Data...</v>
        <stp/>
        <stp>##V3_BQLV12</stp>
        <stp>[MODL_NOW_US1.xlsx]Single Period!R112C8</stp>
        <stp>SEG0000230975 Segment</stp>
        <stp>CONTRIBUTOR_STATS(IS_COGS_TO_FE_AND_PP_AND_G, STD)/1M</stp>
        <stp>FPR=2021Y</stp>
        <stp>FPT=A</stp>
        <stp>FA_ACT_EST_DATA=E</stp>
        <stp>ACT_EST_MAPPING=PRECISE</stp>
        <stp>FS=MRC</stp>
        <stp>CURRENCY=USD</stp>
        <stp>XLFILL=b</stp>
        <tr r="H112" s="2"/>
      </tp>
      <tp t="s">
        <v>#N/A Requesting Data...</v>
        <stp/>
        <stp>##V3_BQLV12</stp>
        <stp>[MODL_NOW_US1.xlsx]Single Period!R230C32</stp>
        <stp>NOW US Equity</stp>
        <stp>CF_EFFECT_FOREIGN_EXCHANGES/1M</stp>
        <stp>FPR=2021Y</stp>
        <stp>FPT=A</stp>
        <stp>FA_ACT_EST_DATA=E, EST_SOURCE=FBC</stp>
        <stp>ACT_EST_MAPPING=PRECISE</stp>
        <stp>FS=MRC</stp>
        <stp>CURRENCY=USD</stp>
        <stp>XLFILL=b</stp>
        <tr r="AF230" s="2"/>
      </tp>
      <tp t="s">
        <v>#N/A Requesting Data...</v>
        <stp/>
        <stp>##V3_BQLV12</stp>
        <stp>[MODL_NOW_US1.xlsx]Single Period!R173C25</stp>
        <stp>NOW US Equity</stp>
        <stp>BS_CUR_LIAB/1M</stp>
        <stp>FPR=2021Y</stp>
        <stp>FPT=A</stp>
        <stp>FA_ACT_EST_DATA=E, EST_SOURCE=DBG</stp>
        <stp>ACT_EST_MAPPING=PRECISE</stp>
        <stp>FS=MRC</stp>
        <stp>CURRENCY=USD</stp>
        <stp>XLFILL=b</stp>
        <tr r="Y173" s="2"/>
      </tp>
      <tp t="s">
        <v>#N/A Requesting Data...</v>
        <stp/>
        <stp>##V3_BQLV12</stp>
        <stp>[MODL_NOW_US1.xlsx]Single Period!R230C27</stp>
        <stp>NOW US Equity</stp>
        <stp>CF_EFFECT_FOREIGN_EXCHANGES/1M</stp>
        <stp>FPR=2021Y</stp>
        <stp>FPT=A</stp>
        <stp>FA_ACT_EST_DATA=E, EST_SOURCE=RBC</stp>
        <stp>ACT_EST_MAPPING=PRECISE</stp>
        <stp>FS=MRC</stp>
        <stp>CURRENCY=USD</stp>
        <stp>XLFILL=b</stp>
        <tr r="AA230" s="2"/>
      </tp>
      <tp t="s">
        <v>#N/A Requesting Data...</v>
        <stp/>
        <stp>##V3_BQLV12</stp>
        <stp>[MODL_NOW_US1.xlsx]Single Period!R16C11</stp>
        <stp>SEG0000230969 Segment</stp>
        <stp>SALES_REV_TURN/1M</stp>
        <stp>FPR=2021Y</stp>
        <stp>FPT=A</stp>
        <stp>FA_ACT_EST_DATA=E, EST_SOURCE=JPM</stp>
        <stp>ACT_EST_MAPPING=PRECISE</stp>
        <stp>FS=MRC</stp>
        <stp>CURRENCY=USD</stp>
        <stp>XLFILL=b</stp>
        <tr r="K16" s="2"/>
      </tp>
      <tp t="s">
        <v>#N/A Requesting Data...</v>
        <stp/>
        <stp>##V3_BQLV12</stp>
        <stp>[MODL_NOW_US1.xlsx]Single Period!R14C34</stp>
        <stp>SEG0000230975 Segment</stp>
        <stp>SALES_REV_TURN/1M</stp>
        <stp>FPR=2021Y</stp>
        <stp>FPT=A</stp>
        <stp>FA_ACT_EST_DATA=E, EST_SOURCE=PSG</stp>
        <stp>ACT_EST_MAPPING=PRECISE</stp>
        <stp>FS=MRC</stp>
        <stp>CURRENCY=USD</stp>
        <stp>XLFILL=b</stp>
        <tr r="AH14" s="2"/>
      </tp>
      <tp t="s">
        <v>#N/A Requesting Data...</v>
        <stp/>
        <stp>##V3_BQLV12</stp>
        <stp>[MODL_NOW_US1.xlsx]Single Period!R200C20</stp>
        <stp>NOW US Equity</stp>
        <stp>CF_DEPR_AMORT/1M</stp>
        <stp>FPR=2021Y</stp>
        <stp>FPT=A</stp>
        <stp>FA_ACT_EST_DATA=E, EST_SOURCE=CAN</stp>
        <stp>ACT_EST_MAPPING=PRECISE</stp>
        <stp>FS=MRC</stp>
        <stp>CURRENCY=USD</stp>
        <stp>XLFILL=b</stp>
        <tr r="T200" s="2"/>
      </tp>
      <tp t="s">
        <v>#N/A Requesting Data...</v>
        <stp/>
        <stp>##V3_BQLV12</stp>
        <stp>[MODL_NOW_US1.xlsx]Single Period!R131C47</stp>
        <stp>NOW US Equity</stp>
        <stp>IS_AVG_NUM_SH_FOR_EPS/1M</stp>
        <stp>FPR=2021Y</stp>
        <stp>FPT=A</stp>
        <stp>FA_ACT_EST_DATA=E, EST_SOURCE=SUM</stp>
        <stp>ACT_EST_MAPPING=PRECISE</stp>
        <stp>FS=MRC</stp>
        <stp>CURRENCY=USD</stp>
        <stp>XLFILL=b</stp>
        <tr r="AU131" s="2"/>
      </tp>
      <tp t="s">
        <v>#N/A Requesting Data...</v>
        <stp/>
        <stp>##V3_BQLV12</stp>
        <stp>[MODL_NOW_US1.xlsx]Single Period!R200C30</stp>
        <stp>NOW US Equity</stp>
        <stp>CF_DEPR_AMORT/1M</stp>
        <stp>FPR=2021Y</stp>
        <stp>FPT=A</stp>
        <stp>FA_ACT_EST_DATA=E, EST_SOURCE=BAM</stp>
        <stp>ACT_EST_MAPPING=PRECISE</stp>
        <stp>FS=MRC</stp>
        <stp>CURRENCY=USD</stp>
        <stp>XLFILL=b</stp>
        <tr r="AD200" s="2"/>
      </tp>
      <tp t="s">
        <v>#N/A Requesting Data...</v>
        <stp/>
        <stp>##V3_BQLV12</stp>
        <stp>[MODL_NOW_US1.xlsx]Single Period!R119C19</stp>
        <stp>NOW US Equity</stp>
        <stp>CB_IS_S_AND_M_EXPENSE/1M</stp>
        <stp>FPR=2021Y</stp>
        <stp>FPT=A</stp>
        <stp>FA_ACT_EST_DATA=E, EST_SOURCE=MSV</stp>
        <stp>ACT_EST_MAPPING=PRECISE</stp>
        <stp>FS=MRC</stp>
        <stp>CURRENCY=USD</stp>
        <stp>XLFILL=b</stp>
        <tr r="S119" s="2"/>
      </tp>
      <tp t="s">
        <v>#N/A Requesting Data...</v>
        <stp/>
        <stp>##V3_BQLV12</stp>
        <stp>[MODL_NOW_US1.xlsx]Single Period!R61C36</stp>
        <stp>SEG0000230975 Segment</stp>
        <stp>IS_ADJ_GROSS_PROFIT_AS_REPORTED/1M</stp>
        <stp>FPR=2021Y</stp>
        <stp>FPT=A</stp>
        <stp>FA_ACT_EST_DATA=E, EST_SOURCE=JEF</stp>
        <stp>ACT_EST_MAPPING=PRECISE</stp>
        <stp>FS=MRC</stp>
        <stp>CURRENCY=USD</stp>
        <stp>XLFILL=b</stp>
        <tr r="AJ61" s="2"/>
      </tp>
      <tp t="s">
        <v>#N/A Requesting Data...</v>
        <stp/>
        <stp>##V3_BQLV12</stp>
        <stp>[MODL_NOW_US1.xlsx]Single Period!R102C23</stp>
        <stp>NOW US Equity</stp>
        <stp>IS_COMP_PTP_EX_STK_BASED_COMP/1M</stp>
        <stp>FPR=2021Y</stp>
        <stp>FPT=A</stp>
        <stp>FA_ACT_EST_DATA=E, EST_SOURCE=ZXS</stp>
        <stp>ACT_EST_MAPPING=PRECISE</stp>
        <stp>FS=MRC</stp>
        <stp>CURRENCY=USD</stp>
        <stp>XLFILL=b</stp>
        <tr r="W102" s="2"/>
      </tp>
      <tp t="s">
        <v>#N/A Requesting Data...</v>
        <stp/>
        <stp>##V3_BQLV12</stp>
        <stp>[MODL_NOW_US1.xlsx]Single Period!R150C28</stp>
        <stp>NOW US Equity</stp>
        <stp>IS_INC_TAX_EFFECT_NONGAAP_REC/1M</stp>
        <stp>FPR=2021Y</stp>
        <stp>FPT=A</stp>
        <stp>FA_ACT_EST_DATA=E, EST_SOURCE=EVR</stp>
        <stp>ACT_EST_MAPPING=PRECISE</stp>
        <stp>FS=MRC</stp>
        <stp>CURRENCY=USD</stp>
        <stp>XLFILL=b</stp>
        <tr r="AB150" s="2"/>
      </tp>
      <tp t="s">
        <v>#N/A Requesting Data...</v>
        <stp/>
        <stp>##V3_BQLV12</stp>
        <stp>[MODL_NOW_US1.xlsx]Single Period!R235C38</stp>
        <stp>NOW US Equity</stp>
        <stp>CF_FREE_CASH_FLOW_AS_REPORTED/1M</stp>
        <stp>FPR=2021Y</stp>
        <stp>FPT=A</stp>
        <stp>FA_ACT_EST_DATA=E, EST_SOURCE=RWB</stp>
        <stp>ACT_EST_MAPPING=PRECISE</stp>
        <stp>FS=MRC</stp>
        <stp>CURRENCY=USD</stp>
        <stp>XLFILL=b</stp>
        <tr r="AL235" s="2"/>
      </tp>
      <tp t="s">
        <v>#N/A Requesting Data...</v>
        <stp/>
        <stp>##V3_BQLV12</stp>
        <stp>[MODL_NOW_US1.xlsx]Single Period!R209C36</stp>
        <stp>NOW US Equity</stp>
        <stp>CF_CHANGE_IN_ACCOUNTS_PAYABLE/1M</stp>
        <stp>FPR=2021Y</stp>
        <stp>FPT=A</stp>
        <stp>FA_ACT_EST_DATA=E, EST_SOURCE=JEF</stp>
        <stp>ACT_EST_MAPPING=PRECISE</stp>
        <stp>FS=MRC</stp>
        <stp>CURRENCY=USD</stp>
        <stp>XLFILL=b</stp>
        <tr r="AJ209" s="2"/>
      </tp>
      <tp t="s">
        <v>#N/A Requesting Data...</v>
        <stp/>
        <stp>##V3_BQLV12</stp>
        <stp>[MODL_NOW_US1.xlsx]Single Period!R101C43</stp>
        <stp>NOW US Equity</stp>
        <stp>CB_IS_OTHER_NON_OPER_INC_EXPN/1M</stp>
        <stp>FPR=2021Y</stp>
        <stp>FPT=A</stp>
        <stp>FA_ACT_EST_DATA=E, EST_SOURCE=WFT</stp>
        <stp>ACT_EST_MAPPING=PRECISE</stp>
        <stp>FS=MRC</stp>
        <stp>CURRENCY=USD</stp>
        <stp>XLFILL=b</stp>
        <tr r="AQ101" s="2"/>
      </tp>
      <tp t="s">
        <v>#N/A Requesting Data...</v>
        <stp/>
        <stp>##V3_BQLV12</stp>
        <stp>[MODL_NOW_US1.xlsx]Single Period!R14C35</stp>
        <stp>SEG0000230975 Segment</stp>
        <stp>SALES_REV_TURN/1M</stp>
        <stp>FPR=2021Y</stp>
        <stp>FPT=A</stp>
        <stp>FA_ACT_EST_DATA=E, EST_SOURCE=MSR</stp>
        <stp>ACT_EST_MAPPING=PRECISE</stp>
        <stp>FS=MRC</stp>
        <stp>CURRENCY=USD</stp>
        <stp>XLFILL=b</stp>
        <tr r="AI14" s="2"/>
      </tp>
      <tp t="s">
        <v>#N/A Requesting Data...</v>
        <stp/>
        <stp>##V3_BQLV12</stp>
        <stp>[MODL_NOW_US1.xlsx]Single Period!R14C31</stp>
        <stp>SEG0000230975 Segment</stp>
        <stp>SALES_REV_TURN/1M</stp>
        <stp>FPR=2021Y</stp>
        <stp>FPT=A</stp>
        <stp>FA_ACT_EST_DATA=E, EST_SOURCE=GSR</stp>
        <stp>ACT_EST_MAPPING=PRECISE</stp>
        <stp>FS=MRC</stp>
        <stp>CURRENCY=USD</stp>
        <stp>XLFILL=b</stp>
        <tr r="AE14" s="2"/>
      </tp>
      <tp t="s">
        <v>#N/A Requesting Data...</v>
        <stp/>
        <stp>##V3_BQLV12</stp>
        <stp>[MODL_NOW_US1.xlsx]Single Period!R207C37</stp>
        <stp>NOW US Equity</stp>
        <stp>CB_CF_CHANGE_IN_ACCOUNTS_RECEIVABLE/1M</stp>
        <stp>FPR=2021Y</stp>
        <stp>FPT=A</stp>
        <stp>FA_ACT_EST_DATA=E, EST_SOURCE=TTC</stp>
        <stp>ACT_EST_MAPPING=PRECISE</stp>
        <stp>FS=MRC</stp>
        <stp>CURRENCY=USD</stp>
        <stp>XLFILL=b</stp>
        <tr r="AK207" s="2"/>
      </tp>
      <tp t="s">
        <v>#N/A Requesting Data...</v>
        <stp/>
        <stp>##V3_BQLV12</stp>
        <stp>[MODL_NOW_US1.xlsx]Single Period!R69C43</stp>
        <stp>SEG0000230986 Segment</stp>
        <stp>IS_ADJ_GROSS_PROFIT_AS_REPORTED/1M</stp>
        <stp>FPR=2021Y</stp>
        <stp>FPT=A</stp>
        <stp>FA_ACT_EST_DATA=E, EST_SOURCE=WFT</stp>
        <stp>ACT_EST_MAPPING=PRECISE</stp>
        <stp>FS=MRC</stp>
        <stp>CURRENCY=USD</stp>
        <stp>XLFILL=b</stp>
        <tr r="AQ69" s="2"/>
      </tp>
      <tp t="s">
        <v>#N/A Requesting Data...</v>
        <stp/>
        <stp>##V3_BQLV12</stp>
        <stp>[MODL_NOW_US1.xlsx]Single Period!R119C48</stp>
        <stp>NOW US Equity</stp>
        <stp>CB_IS_S_AND_M_EXPENSE/1M</stp>
        <stp>FPR=2021Y</stp>
        <stp>FPT=A</stp>
        <stp>FA_ACT_EST_DATA=E, EST_SOURCE=CRC</stp>
        <stp>ACT_EST_MAPPING=PRECISE</stp>
        <stp>FS=MRC</stp>
        <stp>CURRENCY=USD</stp>
        <stp>XLFILL=b</stp>
        <tr r="AV119" s="2"/>
      </tp>
      <tp t="s">
        <v>#N/A Requesting Data...</v>
        <stp/>
        <stp>##V3_BQLV12</stp>
        <stp>[MODL_NOW_US1.xlsx]Single Period!R20C23</stp>
        <stp>SEG0000230986 Segment</stp>
        <stp>SALES_REV_TURN/1M</stp>
        <stp>FPR=2021Y</stp>
        <stp>FPT=A</stp>
        <stp>FA_ACT_EST_DATA=E, EST_SOURCE=ZXS</stp>
        <stp>ACT_EST_MAPPING=PRECISE</stp>
        <stp>FS=MRC</stp>
        <stp>CURRENCY=USD</stp>
        <stp>XLFILL=b</stp>
        <tr r="W20" s="2"/>
      </tp>
      <tp t="s">
        <v>#N/A Requesting Data...</v>
        <stp/>
        <stp>##V3_BQLV12</stp>
        <stp>[MODL_NOW_US1.xlsx]Single Period!R14C19</stp>
        <stp>SEG0000230975 Segment</stp>
        <stp>SALES_REV_TURN/1M</stp>
        <stp>FPR=2021Y</stp>
        <stp>FPT=A</stp>
        <stp>FA_ACT_EST_DATA=E, EST_SOURCE=MSV</stp>
        <stp>ACT_EST_MAPPING=PRECISE</stp>
        <stp>FS=MRC</stp>
        <stp>CURRENCY=USD</stp>
        <stp>XLFILL=b</stp>
        <tr r="S14" s="2"/>
      </tp>
      <tp t="s">
        <v>#N/A Requesting Data...</v>
        <stp/>
        <stp>##V3_BQLV12</stp>
        <stp>[MODL_NOW_US1.xlsx]Single Period!R99C40</stp>
        <stp>NOW US Equity</stp>
        <stp>IS_COMPARABLE_EBITDA/1M</stp>
        <stp>FPR=2021Y</stp>
        <stp>FPT=A</stp>
        <stp>FA_ACT_EST_DATA=E, EST_SOURCE=DWI</stp>
        <stp>ACT_EST_MAPPING=PRECISE</stp>
        <stp>FS=MRC</stp>
        <stp>CURRENCY=USD</stp>
        <stp>XLFILL=b</stp>
        <tr r="AN99" s="2"/>
      </tp>
      <tp t="s">
        <v>#N/A Requesting Data...</v>
        <stp/>
        <stp>##V3_BQLV12</stp>
        <stp>[MODL_NOW_US1.xlsx]Single Period!R16C15</stp>
        <stp>SEG0000230969 Segment</stp>
        <stp>SALES_REV_TURN/1M</stp>
        <stp>FPR=2021Y</stp>
        <stp>FPT=A</stp>
        <stp>FA_ACT_EST_DATA=E, EST_SOURCE=OPY</stp>
        <stp>ACT_EST_MAPPING=PRECISE</stp>
        <stp>FS=MRC</stp>
        <stp>CURRENCY=USD</stp>
        <stp>XLFILL=b</stp>
        <tr r="O16" s="2"/>
      </tp>
      <tp t="s">
        <v>#N/A Requesting Data...</v>
        <stp/>
        <stp>##V3_BQLV12</stp>
        <stp>[MODL_NOW_US1.xlsx]Single Period!R101C27</stp>
        <stp>NOW US Equity</stp>
        <stp>CB_IS_OTHER_NON_OPER_INC_EXPN/1M</stp>
        <stp>FPR=2021Y</stp>
        <stp>FPT=A</stp>
        <stp>FA_ACT_EST_DATA=E, EST_SOURCE=RBC</stp>
        <stp>ACT_EST_MAPPING=PRECISE</stp>
        <stp>FS=MRC</stp>
        <stp>CURRENCY=USD</stp>
        <stp>XLFILL=b</stp>
        <tr r="AA101" s="2"/>
      </tp>
      <tp t="s">
        <v>#N/A Requesting Data...</v>
        <stp/>
        <stp>##V3_BQLV12</stp>
        <stp>[MODL_NOW_US1.xlsx]Single Period!R131C31</stp>
        <stp>NOW US Equity</stp>
        <stp>IS_AVG_NUM_SH_FOR_EPS/1M</stp>
        <stp>FPR=2021Y</stp>
        <stp>FPT=A</stp>
        <stp>FA_ACT_EST_DATA=E, EST_SOURCE=GSR</stp>
        <stp>ACT_EST_MAPPING=PRECISE</stp>
        <stp>FS=MRC</stp>
        <stp>CURRENCY=USD</stp>
        <stp>XLFILL=b</stp>
        <tr r="AE131" s="2"/>
      </tp>
      <tp t="s">
        <v>#N/A Requesting Data...</v>
        <stp/>
        <stp>##V3_BQLV12</stp>
        <stp>[MODL_NOW_US1.xlsx]Single Period!R61C13</stp>
        <stp>SEG0000230975 Segment</stp>
        <stp>IS_ADJ_GROSS_PROFIT_AS_REPORTED/1M</stp>
        <stp>FPR=2021Y</stp>
        <stp>FPT=A</stp>
        <stp>FA_ACT_EST_DATA=E, EST_SOURCE=KEY</stp>
        <stp>ACT_EST_MAPPING=PRECISE</stp>
        <stp>FS=MRC</stp>
        <stp>CURRENCY=USD</stp>
        <stp>XLFILL=b</stp>
        <tr r="M61" s="2"/>
      </tp>
      <tp t="s">
        <v>#N/A Requesting Data...</v>
        <stp/>
        <stp>##V3_BQLV12</stp>
        <stp>[MODL_NOW_US1.xlsx]Single Period!R101C16</stp>
        <stp>NOW US Equity</stp>
        <stp>CB_IS_OTHER_NON_OPER_INC_EXPN/1M</stp>
        <stp>FPR=2021Y</stp>
        <stp>FPT=A</stp>
        <stp>FA_ACT_EST_DATA=E, EST_SOURCE=BCA</stp>
        <stp>ACT_EST_MAPPING=PRECISE</stp>
        <stp>FS=MRC</stp>
        <stp>CURRENCY=USD</stp>
        <stp>XLFILL=b</stp>
        <tr r="P101" s="2"/>
      </tp>
      <tp t="s">
        <v>#N/A Requesting Data...</v>
        <stp/>
        <stp>##V3_BQLV12</stp>
        <stp>[MODL_NOW_US1.xlsx]Single Period!R207C42</stp>
        <stp>NOW US Equity</stp>
        <stp>CB_CF_CHANGE_IN_ACCOUNTS_RECEIVABLE/1M</stp>
        <stp>FPR=2021Y</stp>
        <stp>FPT=A</stp>
        <stp>FA_ACT_EST_DATA=E, EST_SOURCE=CTI</stp>
        <stp>ACT_EST_MAPPING=PRECISE</stp>
        <stp>FS=MRC</stp>
        <stp>CURRENCY=USD</stp>
        <stp>XLFILL=b</stp>
        <tr r="AP207" s="2"/>
      </tp>
      <tp t="s">
        <v>#N/A Requesting Data...</v>
        <stp/>
        <stp>##V3_BQLV12</stp>
        <stp>[MODL_NOW_US1.xlsx]Single Period!R25C15</stp>
        <stp>NOW US Equity</stp>
        <stp>IS_COMP_GROSS_MARGIN_PERCENTAGE</stp>
        <stp>FPR=2021Y</stp>
        <stp>FPT=A</stp>
        <stp>FA_ACT_EST_DATA=E, EST_SOURCE=OPY</stp>
        <stp>ACT_EST_MAPPING=PRECISE</stp>
        <stp>FS=MRC</stp>
        <stp>CURRENCY=USD</stp>
        <stp>XLFILL=b</stp>
        <tr r="O25" s="2"/>
      </tp>
      <tp t="s">
        <v>#N/A Requesting Data...</v>
        <stp/>
        <stp>##V3_BQLV12</stp>
        <stp>[MODL_NOW_US1.xlsx]Single Period!R201C13</stp>
        <stp>NOW US Equity</stp>
        <stp>D_AND_A_TO_SALES</stp>
        <stp>FPR=2021Y</stp>
        <stp>FPT=A</stp>
        <stp>FA_ACT_EST_DATA=E, EST_SOURCE=KEY</stp>
        <stp>ACT_EST_MAPPING=PRECISE</stp>
        <stp>FS=MRC</stp>
        <stp>CURRENCY=USD</stp>
        <stp>XLFILL=b</stp>
        <tr r="M201" s="2"/>
      </tp>
      <tp t="s">
        <v>#N/A Requesting Data...</v>
        <stp/>
        <stp>##V3_BQLV12</stp>
        <stp>[MODL_NOW_US1.xlsx]Single Period!R26C7</stp>
        <stp>NOW US Equity</stp>
        <stp>CONTRIBUTOR_STATS(IS_ADJ_SELLING_AND_MRKTG_EXPN_AR, MAX)/1M</stp>
        <stp>FPR=2021Y</stp>
        <stp>FPT=A</stp>
        <stp>FA_ACT_EST_DATA=E</stp>
        <stp>ACT_EST_MAPPING=PRECISE</stp>
        <stp>FS=MRC</stp>
        <stp>CURRENCY=USD</stp>
        <stp>XLFILL=b</stp>
        <tr r="G26" s="2"/>
      </tp>
      <tp t="s">
        <v>#N/A Requesting Data...</v>
        <stp/>
        <stp>##V3_BQLV12</stp>
        <stp>[MODL_NOW_US1.xlsx]Single Period!R88C7</stp>
        <stp>NOW US Equity</stp>
        <stp>CONTRIBUTOR_STATS(IS_ADJ_SELLING_AND_MRKTG_EXPN_AR, MAX)/1M</stp>
        <stp>FPR=2021Y</stp>
        <stp>FPT=A</stp>
        <stp>FA_ACT_EST_DATA=E</stp>
        <stp>ACT_EST_MAPPING=PRECISE</stp>
        <stp>FS=MRC</stp>
        <stp>CURRENCY=USD</stp>
        <stp>XLFILL=b</stp>
        <tr r="G88" s="2"/>
      </tp>
      <tp t="s">
        <v>#N/A Requesting Data...</v>
        <stp/>
        <stp>##V3_BQLV12</stp>
        <stp>[MODL_NOW_US1.xlsx]Single Period!R88C6</stp>
        <stp>NOW US Equity</stp>
        <stp>CONTRIBUTOR_STATS(IS_ADJ_SELLING_AND_MRKTG_EXPN_AR, MIN)/1M</stp>
        <stp>FPR=2021Y</stp>
        <stp>FPT=A</stp>
        <stp>FA_ACT_EST_DATA=E</stp>
        <stp>ACT_EST_MAPPING=PRECISE</stp>
        <stp>FS=MRC</stp>
        <stp>CURRENCY=USD</stp>
        <stp>XLFILL=b</stp>
        <tr r="F88" s="2"/>
      </tp>
      <tp t="s">
        <v>#N/A Requesting Data...</v>
        <stp/>
        <stp>##V3_BQLV12</stp>
        <stp>[MODL_NOW_US1.xlsx]Single Period!R26C6</stp>
        <stp>NOW US Equity</stp>
        <stp>CONTRIBUTOR_STATS(IS_ADJ_SELLING_AND_MRKTG_EXPN_AR, MIN)/1M</stp>
        <stp>FPR=2021Y</stp>
        <stp>FPT=A</stp>
        <stp>FA_ACT_EST_DATA=E</stp>
        <stp>ACT_EST_MAPPING=PRECISE</stp>
        <stp>FS=MRC</stp>
        <stp>CURRENCY=USD</stp>
        <stp>XLFILL=b</stp>
        <tr r="F26" s="2"/>
      </tp>
      <tp t="s">
        <v>#N/A Requesting Data...</v>
        <stp/>
        <stp>##V3_BQLV12</stp>
        <stp>[MODL_NOW_US1.xlsx]Single Period!R85C15</stp>
        <stp>NOW US Equity</stp>
        <stp>IS_COMP_GROSS_MARGIN_PERCENTAGE</stp>
        <stp>FPR=2021Y</stp>
        <stp>FPT=A</stp>
        <stp>FA_ACT_EST_DATA=E, EST_SOURCE=OPY</stp>
        <stp>ACT_EST_MAPPING=PRECISE</stp>
        <stp>FS=MRC</stp>
        <stp>CURRENCY=USD</stp>
        <stp>XLFILL=b</stp>
        <tr r="O85" s="2"/>
      </tp>
      <tp t="s">
        <v>#N/A Requesting Data...</v>
        <stp/>
        <stp>##V3_BQLV12</stp>
        <stp>[MODL_NOW_US1.xlsx]Single Period!R201C18</stp>
        <stp>NOW US Equity</stp>
        <stp>D_AND_A_TO_SALES</stp>
        <stp>FPR=2021Y</stp>
        <stp>FPT=A</stp>
        <stp>FA_ACT_EST_DATA=E, EST_SOURCE=SNR</stp>
        <stp>ACT_EST_MAPPING=PRECISE</stp>
        <stp>FS=MRC</stp>
        <stp>CURRENCY=USD</stp>
        <stp>XLFILL=b</stp>
        <tr r="R201" s="2"/>
      </tp>
      <tp t="s">
        <v>#N/A Requesting Data...</v>
        <stp/>
        <stp>##V3_BQLV12</stp>
        <stp>[MODL_NOW_US1.xlsx]Single Period!R25C11</stp>
        <stp>NOW US Equity</stp>
        <stp>IS_COMP_GROSS_MARGIN_PERCENTAGE</stp>
        <stp>FPR=2021Y</stp>
        <stp>FPT=A</stp>
        <stp>FA_ACT_EST_DATA=E, EST_SOURCE=JPM</stp>
        <stp>ACT_EST_MAPPING=PRECISE</stp>
        <stp>FS=MRC</stp>
        <stp>CURRENCY=USD</stp>
        <stp>XLFILL=b</stp>
        <tr r="K25" s="2"/>
      </tp>
      <tp t="s">
        <v>#N/A Requesting Data...</v>
        <stp/>
        <stp>##V3_BQLV12</stp>
        <stp>[MODL_NOW_US1.xlsx]Single Period!R201C22</stp>
        <stp>NOW US Equity</stp>
        <stp>D_AND_A_TO_SALES</stp>
        <stp>FPR=2021Y</stp>
        <stp>FPT=A</stp>
        <stp>FA_ACT_EST_DATA=E, EST_SOURCE=NDH</stp>
        <stp>ACT_EST_MAPPING=PRECISE</stp>
        <stp>FS=MRC</stp>
        <stp>CURRENCY=USD</stp>
        <stp>XLFILL=b</stp>
        <tr r="V201" s="2"/>
      </tp>
      <tp t="s">
        <v>#N/A Requesting Data...</v>
        <stp/>
        <stp>##V3_BQLV12</stp>
        <stp>[MODL_NOW_US1.xlsx]Single Period!R26C8</stp>
        <stp>NOW US Equity</stp>
        <stp>CONTRIBUTOR_STATS(IS_ADJ_SELLING_AND_MRKTG_EXPN_AR, STD)/1M</stp>
        <stp>FPR=2021Y</stp>
        <stp>FPT=A</stp>
        <stp>FA_ACT_EST_DATA=E</stp>
        <stp>ACT_EST_MAPPING=PRECISE</stp>
        <stp>FS=MRC</stp>
        <stp>CURRENCY=USD</stp>
        <stp>XLFILL=b</stp>
        <tr r="H26" s="2"/>
      </tp>
      <tp t="s">
        <v>#N/A Requesting Data...</v>
        <stp/>
        <stp>##V3_BQLV12</stp>
        <stp>[MODL_NOW_US1.xlsx]Single Period!R88C8</stp>
        <stp>NOW US Equity</stp>
        <stp>CONTRIBUTOR_STATS(IS_ADJ_SELLING_AND_MRKTG_EXPN_AR, STD)/1M</stp>
        <stp>FPR=2021Y</stp>
        <stp>FPT=A</stp>
        <stp>FA_ACT_EST_DATA=E</stp>
        <stp>ACT_EST_MAPPING=PRECISE</stp>
        <stp>FS=MRC</stp>
        <stp>CURRENCY=USD</stp>
        <stp>XLFILL=b</stp>
        <tr r="H88" s="2"/>
      </tp>
      <tp t="s">
        <v>#N/A Requesting Data...</v>
        <stp/>
        <stp>##V3_BQLV12</stp>
        <stp>[MODL_NOW_US1.xlsx]Single Period!R25C47</stp>
        <stp>NOW US Equity</stp>
        <stp>IS_COMP_GROSS_MARGIN_PERCENTAGE</stp>
        <stp>FPR=2021Y</stp>
        <stp>FPT=A</stp>
        <stp>FA_ACT_EST_DATA=E, EST_SOURCE=SUM</stp>
        <stp>ACT_EST_MAPPING=PRECISE</stp>
        <stp>FS=MRC</stp>
        <stp>CURRENCY=USD</stp>
        <stp>XLFILL=b</stp>
        <tr r="AU25" s="2"/>
      </tp>
      <tp t="s">
        <v>#N/A Requesting Data...</v>
        <stp/>
        <stp>##V3_BQLV12</stp>
        <stp>[MODL_NOW_US1.xlsx]Single Period!R85C11</stp>
        <stp>NOW US Equity</stp>
        <stp>IS_COMP_GROSS_MARGIN_PERCENTAGE</stp>
        <stp>FPR=2021Y</stp>
        <stp>FPT=A</stp>
        <stp>FA_ACT_EST_DATA=E, EST_SOURCE=JPM</stp>
        <stp>ACT_EST_MAPPING=PRECISE</stp>
        <stp>FS=MRC</stp>
        <stp>CURRENCY=USD</stp>
        <stp>XLFILL=b</stp>
        <tr r="K85" s="2"/>
      </tp>
      <tp t="s">
        <v>#N/A Requesting Data...</v>
        <stp/>
        <stp>##V3_BQLV12</stp>
        <stp>[MODL_NOW_US1.xlsx]Single Period!R85C47</stp>
        <stp>NOW US Equity</stp>
        <stp>IS_COMP_GROSS_MARGIN_PERCENTAGE</stp>
        <stp>FPR=2021Y</stp>
        <stp>FPT=A</stp>
        <stp>FA_ACT_EST_DATA=E, EST_SOURCE=SUM</stp>
        <stp>ACT_EST_MAPPING=PRECISE</stp>
        <stp>FS=MRC</stp>
        <stp>CURRENCY=USD</stp>
        <stp>XLFILL=b</stp>
        <tr r="AU85" s="2"/>
      </tp>
      <tp t="s">
        <v>#N/A Requesting Data...</v>
        <stp/>
        <stp>##V3_BQLV12</stp>
        <stp>[MODL_NOW_US1.xlsx]Single Period!R156C29</stp>
        <stp>NOW US Equity</stp>
        <stp>BS_CASH_NEAR_CASH_ITEM/1M</stp>
        <stp>FPR=2021Y</stp>
        <stp>FPT=A</stp>
        <stp>FA_ACT_EST_DATA=E, EST_SOURCE=BNS</stp>
        <stp>ACT_EST_MAPPING=PRECISE</stp>
        <stp>FS=MRC</stp>
        <stp>CURRENCY=USD</stp>
        <stp>XLFILL=b</stp>
        <tr r="AC156" s="2"/>
      </tp>
      <tp t="s">
        <v>#N/A Requesting Data...</v>
        <stp/>
        <stp>##V3_BQLV12</stp>
        <stp>[MODL_NOW_US1.xlsx]Single Period!R10C43</stp>
        <stp>NOW US Equity</stp>
        <stp>BILLNG_AMOUNT_GROWTH_PCT</stp>
        <stp>FPR=2021Y</stp>
        <stp>FPT=A</stp>
        <stp>FA_ACT_EST_DATA=E, EST_SOURCE=WFT</stp>
        <stp>ACT_EST_MAPPING=PRECISE</stp>
        <stp>FS=MRC</stp>
        <stp>CURRENCY=USD</stp>
        <stp>XLFILL=b</stp>
        <tr r="AQ10" s="2"/>
      </tp>
      <tp t="s">
        <v>#N/A Requesting Data...</v>
        <stp/>
        <stp>##V3_BQLV12</stp>
        <stp>[MODL_NOW_US1.xlsx]Single Period!R156C18</stp>
        <stp>NOW US Equity</stp>
        <stp>BS_CASH_NEAR_CASH_ITEM/1M</stp>
        <stp>FPR=2021Y</stp>
        <stp>FPT=A</stp>
        <stp>FA_ACT_EST_DATA=E, EST_SOURCE=SNR</stp>
        <stp>ACT_EST_MAPPING=PRECISE</stp>
        <stp>FS=MRC</stp>
        <stp>CURRENCY=USD</stp>
        <stp>XLFILL=b</stp>
        <tr r="R156" s="2"/>
      </tp>
      <tp t="s">
        <v>#N/A Requesting Data...</v>
        <stp/>
        <stp>##V3_BQLV12</stp>
        <stp>[MODL_NOW_US1.xlsx]Single Period!R211C24</stp>
        <stp>NOW US Equity</stp>
        <stp>CF_CHG_IN_DEFER_UNEARND_REV_ST/1M</stp>
        <stp>FPR=2021Y</stp>
        <stp>FPT=A</stp>
        <stp>FA_ACT_EST_DATA=E, EST_SOURCE=CWN</stp>
        <stp>ACT_EST_MAPPING=PRECISE</stp>
        <stp>FS=MRC</stp>
        <stp>CURRENCY=USD</stp>
        <stp>XLFILL=b</stp>
        <tr r="X211" s="2"/>
      </tp>
      <tp t="s">
        <v>#N/A Requesting Data...</v>
        <stp/>
        <stp>##V3_BQLV12</stp>
        <stp>[MODL_NOW_US1.xlsx]Single Period!R123C36</stp>
        <stp>NOW US Equity</stp>
        <stp>TOTAL_OPERATING_EXPENSES_RATIO/1M</stp>
        <stp>FPR=2021Y</stp>
        <stp>FPT=A</stp>
        <stp>FA_ACT_EST_DATA=E, EST_SOURCE=JEF</stp>
        <stp>ACT_EST_MAPPING=PRECISE</stp>
        <stp>FS=MRC</stp>
        <stp>CURRENCY=USD</stp>
        <stp>XLFILL=b</stp>
        <tr r="AJ123" s="2"/>
      </tp>
      <tp t="s">
        <v>#N/A Requesting Data...</v>
        <stp/>
        <stp>##V3_BQLV12</stp>
        <stp>[MODL_NOW_US1.xlsx]Single Period!R146C40</stp>
        <stp>NOW US Equity</stp>
        <stp>IS_AMORT_ACQD_INTANGIBLES_COGS/1M</stp>
        <stp>FPR=2021Y</stp>
        <stp>FPT=A</stp>
        <stp>FA_ACT_EST_DATA=E, EST_SOURCE=DWI</stp>
        <stp>ACT_EST_MAPPING=PRECISE</stp>
        <stp>FS=MRC</stp>
        <stp>CURRENCY=USD</stp>
        <stp>XLFILL=b</stp>
        <tr r="AN146" s="2"/>
      </tp>
      <tp t="s">
        <v>#N/A Requesting Data...</v>
        <stp/>
        <stp>##V3_BQLV12</stp>
        <stp>[MODL_NOW_US1.xlsx]Single Period!R195C12</stp>
        <stp>NOW US Equity</stp>
        <stp>CB_BS_DEFERRED_COST_LT/1M</stp>
        <stp>FPR=2021Y</stp>
        <stp>FPT=A</stp>
        <stp>FA_ACT_EST_DATA=E, EST_SOURCE=WBL</stp>
        <stp>ACT_EST_MAPPING=PRECISE</stp>
        <stp>FS=MRC</stp>
        <stp>CURRENCY=USD</stp>
        <stp>XLFILL=b</stp>
        <tr r="L195" s="2"/>
      </tp>
      <tp t="s">
        <v>#N/A Requesting Data...</v>
        <stp/>
        <stp>##V3_BQLV12</stp>
        <stp>[MODL_NOW_US1.xlsx]Single Period!R70C18</stp>
        <stp>SEG0000230986 Segment</stp>
        <stp>IS_ADJ_GROSS_MARGIN_PCT_AR</stp>
        <stp>FPR=2021Y</stp>
        <stp>FPT=A</stp>
        <stp>FA_ACT_EST_DATA=E, EST_SOURCE=SNR</stp>
        <stp>ACT_EST_MAPPING=PRECISE</stp>
        <stp>FS=MRC</stp>
        <stp>CURRENCY=USD</stp>
        <stp>XLFILL=b</stp>
        <tr r="R70" s="2"/>
      </tp>
      <tp t="s">
        <v>#N/A Requesting Data...</v>
        <stp/>
        <stp>##V3_BQLV12</stp>
        <stp>[MODL_NOW_US1.xlsx]Single Period!R22C18</stp>
        <stp>SEG0000230986 Segment</stp>
        <stp>IS_ADJ_GROSS_MARGIN_PCT_AR</stp>
        <stp>FPR=2021Y</stp>
        <stp>FPT=A</stp>
        <stp>FA_ACT_EST_DATA=E, EST_SOURCE=SNR</stp>
        <stp>ACT_EST_MAPPING=PRECISE</stp>
        <stp>FS=MRC</stp>
        <stp>CURRENCY=USD</stp>
        <stp>XLFILL=b</stp>
        <tr r="R22" s="2"/>
      </tp>
      <tp t="s">
        <v>#N/A Requesting Data...</v>
        <stp/>
        <stp>##V3_BQLV12</stp>
        <stp>[MODL_NOW_US1.xlsx]Single Period!R62C21</stp>
        <stp>SEG0000230975 Segment</stp>
        <stp>IS_ADJ_GROSS_MARGIN_PCT_AR</stp>
        <stp>FPR=2021Y</stp>
        <stp>FPT=A</stp>
        <stp>FA_ACT_EST_DATA=E, EST_SOURCE=JMP</stp>
        <stp>ACT_EST_MAPPING=PRECISE</stp>
        <stp>FS=MRC</stp>
        <stp>CURRENCY=USD</stp>
        <stp>XLFILL=b</stp>
        <tr r="U62" s="2"/>
      </tp>
      <tp t="s">
        <v>#N/A Requesting Data...</v>
        <stp/>
        <stp>##V3_BQLV12</stp>
        <stp>[MODL_NOW_US1.xlsx]Single Period!R18C21</stp>
        <stp>SEG0000230975 Segment</stp>
        <stp>IS_ADJ_GROSS_MARGIN_PCT_AR</stp>
        <stp>FPR=2021Y</stp>
        <stp>FPT=A</stp>
        <stp>FA_ACT_EST_DATA=E, EST_SOURCE=JMP</stp>
        <stp>ACT_EST_MAPPING=PRECISE</stp>
        <stp>FS=MRC</stp>
        <stp>CURRENCY=USD</stp>
        <stp>XLFILL=b</stp>
        <tr r="U18" s="2"/>
      </tp>
      <tp t="s">
        <v>#N/A Requesting Data...</v>
        <stp/>
        <stp>##V3_BQLV12</stp>
        <stp>[MODL_NOW_US1.xlsx]Single Period!R211C40</stp>
        <stp>NOW US Equity</stp>
        <stp>CF_CHG_IN_DEFER_UNEARND_REV_ST/1M</stp>
        <stp>FPR=2021Y</stp>
        <stp>FPT=A</stp>
        <stp>FA_ACT_EST_DATA=E, EST_SOURCE=DWI</stp>
        <stp>ACT_EST_MAPPING=PRECISE</stp>
        <stp>FS=MRC</stp>
        <stp>CURRENCY=USD</stp>
        <stp>XLFILL=b</stp>
        <tr r="AN211" s="2"/>
      </tp>
      <tp t="s">
        <v>#N/A Requesting Data...</v>
        <stp/>
        <stp>##V3_BQLV12</stp>
        <stp>[MODL_NOW_US1.xlsx]Single Period!R146C24</stp>
        <stp>NOW US Equity</stp>
        <stp>IS_AMORT_ACQD_INTANGIBLES_COGS/1M</stp>
        <stp>FPR=2021Y</stp>
        <stp>FPT=A</stp>
        <stp>FA_ACT_EST_DATA=E, EST_SOURCE=CWN</stp>
        <stp>ACT_EST_MAPPING=PRECISE</stp>
        <stp>FS=MRC</stp>
        <stp>CURRENCY=USD</stp>
        <stp>XLFILL=b</stp>
        <tr r="X146" s="2"/>
      </tp>
      <tp t="s">
        <v>#N/A Requesting Data...</v>
        <stp/>
        <stp>##V3_BQLV12</stp>
        <stp>[MODL_NOW_US1.xlsx]Single Period!R70C29</stp>
        <stp>SEG0000230986 Segment</stp>
        <stp>IS_ADJ_GROSS_MARGIN_PCT_AR</stp>
        <stp>FPR=2021Y</stp>
        <stp>FPT=A</stp>
        <stp>FA_ACT_EST_DATA=E, EST_SOURCE=BNS</stp>
        <stp>ACT_EST_MAPPING=PRECISE</stp>
        <stp>FS=MRC</stp>
        <stp>CURRENCY=USD</stp>
        <stp>XLFILL=b</stp>
        <tr r="AC70" s="2"/>
      </tp>
      <tp t="s">
        <v>#N/A Requesting Data...</v>
        <stp/>
        <stp>##V3_BQLV12</stp>
        <stp>[MODL_NOW_US1.xlsx]Single Period!R22C29</stp>
        <stp>SEG0000230986 Segment</stp>
        <stp>IS_ADJ_GROSS_MARGIN_PCT_AR</stp>
        <stp>FPR=2021Y</stp>
        <stp>FPT=A</stp>
        <stp>FA_ACT_EST_DATA=E, EST_SOURCE=BNS</stp>
        <stp>ACT_EST_MAPPING=PRECISE</stp>
        <stp>FS=MRC</stp>
        <stp>CURRENCY=USD</stp>
        <stp>XLFILL=b</stp>
        <tr r="AC22" s="2"/>
      </tp>
      <tp t="s">
        <v>#N/A Requesting Data...</v>
        <stp/>
        <stp>##V3_BQLV12</stp>
        <stp>[MODL_NOW_US1.xlsx]Single Period!R195C25</stp>
        <stp>NOW US Equity</stp>
        <stp>CB_BS_DEFERRED_COST_LT/1M</stp>
        <stp>FPR=2021Y</stp>
        <stp>FPT=A</stp>
        <stp>FA_ACT_EST_DATA=E, EST_SOURCE=DBG</stp>
        <stp>ACT_EST_MAPPING=PRECISE</stp>
        <stp>FS=MRC</stp>
        <stp>CURRENCY=USD</stp>
        <stp>XLFILL=b</stp>
        <tr r="Y195" s="2"/>
      </tp>
      <tp t="s">
        <v>#N/A Requesting Data...</v>
        <stp/>
        <stp>##V3_BQLV12</stp>
        <stp>[MODL_NOW_US1.xlsx]Single Period!R146C38</stp>
        <stp>NOW US Equity</stp>
        <stp>IS_AMORT_ACQD_INTANGIBLES_COGS/1M</stp>
        <stp>FPR=2021Y</stp>
        <stp>FPT=A</stp>
        <stp>FA_ACT_EST_DATA=E, EST_SOURCE=RWB</stp>
        <stp>ACT_EST_MAPPING=PRECISE</stp>
        <stp>FS=MRC</stp>
        <stp>CURRENCY=USD</stp>
        <stp>XLFILL=b</stp>
        <tr r="AL146" s="2"/>
      </tp>
      <tp t="s">
        <v>#N/A Requesting Data...</v>
        <stp/>
        <stp>##V3_BQLV12</stp>
        <stp>[MODL_NOW_US1.xlsx]Single Period!R195C27</stp>
        <stp>NOW US Equity</stp>
        <stp>CB_BS_DEFERRED_COST_LT/1M</stp>
        <stp>FPR=2021Y</stp>
        <stp>FPT=A</stp>
        <stp>FA_ACT_EST_DATA=E, EST_SOURCE=RBC</stp>
        <stp>ACT_EST_MAPPING=PRECISE</stp>
        <stp>FS=MRC</stp>
        <stp>CURRENCY=USD</stp>
        <stp>XLFILL=b</stp>
        <tr r="AA195" s="2"/>
      </tp>
      <tp t="s">
        <v>#N/A Requesting Data...</v>
        <stp/>
        <stp>##V3_BQLV12</stp>
        <stp>[MODL_NOW_US1.xlsx]Single Period!R195C32</stp>
        <stp>NOW US Equity</stp>
        <stp>CB_BS_DEFERRED_COST_LT/1M</stp>
        <stp>FPR=2021Y</stp>
        <stp>FPT=A</stp>
        <stp>FA_ACT_EST_DATA=E, EST_SOURCE=FBC</stp>
        <stp>ACT_EST_MAPPING=PRECISE</stp>
        <stp>FS=MRC</stp>
        <stp>CURRENCY=USD</stp>
        <stp>XLFILL=b</stp>
        <tr r="AF195" s="2"/>
      </tp>
      <tp t="s">
        <v>#N/A Requesting Data...</v>
        <stp/>
        <stp>##V3_BQLV12</stp>
        <stp>[MODL_NOW_US1.xlsx]Single Period!R211C38</stp>
        <stp>NOW US Equity</stp>
        <stp>CF_CHG_IN_DEFER_UNEARND_REV_ST/1M</stp>
        <stp>FPR=2021Y</stp>
        <stp>FPT=A</stp>
        <stp>FA_ACT_EST_DATA=E, EST_SOURCE=RWB</stp>
        <stp>ACT_EST_MAPPING=PRECISE</stp>
        <stp>FS=MRC</stp>
        <stp>CURRENCY=USD</stp>
        <stp>XLFILL=b</stp>
        <tr r="AL211" s="2"/>
      </tp>
      <tp t="s">
        <v>#N/A Requesting Data...</v>
        <stp/>
        <stp>##V3_BQLV12</stp>
        <stp>[MODL_NOW_US1.xlsx]Single Period!R204C49</stp>
        <stp>NOW US Equity</stp>
        <stp>CF_DEF_INC_TAX/1M</stp>
        <stp>FPR=2021Y</stp>
        <stp>FPT=A</stp>
        <stp>FA_ACT_EST_DATA=E, EST_SOURCE=SCB</stp>
        <stp>ACT_EST_MAPPING=PRECISE</stp>
        <stp>FS=MRC</stp>
        <stp>CURRENCY=USD</stp>
        <stp>XLFILL=b</stp>
        <tr r="AW204" s="2"/>
      </tp>
      <tp t="s">
        <v>#N/A Requesting Data...</v>
        <stp/>
        <stp>##V3_BQLV12</stp>
        <stp>[MODL_NOW_US1.xlsx]Single Period!R226C37</stp>
        <stp>NOW US Equity</stp>
        <stp>CF_OTHER_FINANCING_ACT_EXCL_FX/1M</stp>
        <stp>FPR=2021Y</stp>
        <stp>FPT=A</stp>
        <stp>FA_ACT_EST_DATA=E, EST_SOURCE=TTC</stp>
        <stp>ACT_EST_MAPPING=PRECISE</stp>
        <stp>FS=MRC</stp>
        <stp>CURRENCY=USD</stp>
        <stp>XLFILL=b</stp>
        <tr r="AK226" s="2"/>
      </tp>
      <tp t="s">
        <v>#N/A Requesting Data...</v>
        <stp/>
        <stp>##V3_BQLV12</stp>
        <stp>[MODL_NOW_US1.xlsx]Single Period!R204C16</stp>
        <stp>NOW US Equity</stp>
        <stp>CF_DEF_INC_TAX/1M</stp>
        <stp>FPR=2021Y</stp>
        <stp>FPT=A</stp>
        <stp>FA_ACT_EST_DATA=E, EST_SOURCE=BCA</stp>
        <stp>ACT_EST_MAPPING=PRECISE</stp>
        <stp>FS=MRC</stp>
        <stp>CURRENCY=USD</stp>
        <stp>XLFILL=b</stp>
        <tr r="P204" s="2"/>
      </tp>
      <tp t="s">
        <v>#N/A Requesting Data...</v>
        <stp/>
        <stp>##V3_BQLV12</stp>
        <stp>[MODL_NOW_US1.xlsx]Single Period!R126C33</stp>
        <stp>NOW US Equity</stp>
        <stp>IS_NON_OPERATING_INC_LOSS_GAAP/1M</stp>
        <stp>FPR=2021Y</stp>
        <stp>FPT=A</stp>
        <stp>FA_ACT_EST_DATA=E, EST_SOURCE=MAC</stp>
        <stp>ACT_EST_MAPPING=PRECISE</stp>
        <stp>FS=MRC</stp>
        <stp>CURRENCY=USD</stp>
        <stp>XLFILL=b</stp>
        <tr r="AG126" s="2"/>
      </tp>
      <tp t="s">
        <v>#N/A Requesting Data...</v>
        <stp/>
        <stp>##V3_BQLV12</stp>
        <stp>[MODL_NOW_US1.xlsx]Single Period!R10C16</stp>
        <stp>NOW US Equity</stp>
        <stp>BILLNG_AMOUNT_GROWTH_PCT</stp>
        <stp>FPR=2021Y</stp>
        <stp>FPT=A</stp>
        <stp>FA_ACT_EST_DATA=E, EST_SOURCE=BCA</stp>
        <stp>ACT_EST_MAPPING=PRECISE</stp>
        <stp>FS=MRC</stp>
        <stp>CURRENCY=USD</stp>
        <stp>XLFILL=b</stp>
        <tr r="P10" s="2"/>
      </tp>
      <tp t="s">
        <v>#N/A Requesting Data...</v>
        <stp/>
        <stp>##V3_BQLV12</stp>
        <stp>[MODL_NOW_US1.xlsx]Single Period!R10C27</stp>
        <stp>NOW US Equity</stp>
        <stp>BILLNG_AMOUNT_GROWTH_PCT</stp>
        <stp>FPR=2021Y</stp>
        <stp>FPT=A</stp>
        <stp>FA_ACT_EST_DATA=E, EST_SOURCE=RBC</stp>
        <stp>ACT_EST_MAPPING=PRECISE</stp>
        <stp>FS=MRC</stp>
        <stp>CURRENCY=USD</stp>
        <stp>XLFILL=b</stp>
        <tr r="AA10" s="2"/>
      </tp>
      <tp t="s">
        <v>#N/A Requesting Data...</v>
        <stp/>
        <stp>##V3_BQLV12</stp>
        <stp>[MODL_NOW_US1.xlsx]Single Period!R40C32</stp>
        <stp>NOW US Equity</stp>
        <stp>BILLNG_AMOUNT_GROWTH_PCT</stp>
        <stp>FPR=2021Y</stp>
        <stp>FPT=A</stp>
        <stp>FA_ACT_EST_DATA=E, EST_SOURCE=FBC</stp>
        <stp>ACT_EST_MAPPING=PRECISE</stp>
        <stp>FS=MRC</stp>
        <stp>CURRENCY=USD</stp>
        <stp>XLFILL=b</stp>
        <tr r="AF40" s="2"/>
      </tp>
      <tp t="s">
        <v>#N/A Requesting Data...</v>
        <stp/>
        <stp>##V3_BQLV12</stp>
        <stp>[MODL_NOW_US1.xlsx]Single Period!R226C42</stp>
        <stp>NOW US Equity</stp>
        <stp>CF_OTHER_FINANCING_ACT_EXCL_FX/1M</stp>
        <stp>FPR=2021Y</stp>
        <stp>FPT=A</stp>
        <stp>FA_ACT_EST_DATA=E, EST_SOURCE=CTI</stp>
        <stp>ACT_EST_MAPPING=PRECISE</stp>
        <stp>FS=MRC</stp>
        <stp>CURRENCY=USD</stp>
        <stp>XLFILL=b</stp>
        <tr r="AP226" s="2"/>
      </tp>
      <tp t="s">
        <v>#N/A Requesting Data...</v>
        <stp/>
        <stp>##V3_BQLV12</stp>
        <stp>[MODL_NOW_US1.xlsx]Single Period!R40C12</stp>
        <stp>NOW US Equity</stp>
        <stp>BILLNG_AMOUNT_GROWTH_PCT</stp>
        <stp>FPR=2021Y</stp>
        <stp>FPT=A</stp>
        <stp>FA_ACT_EST_DATA=E, EST_SOURCE=WBL</stp>
        <stp>ACT_EST_MAPPING=PRECISE</stp>
        <stp>FS=MRC</stp>
        <stp>CURRENCY=USD</stp>
        <stp>XLFILL=b</stp>
        <tr r="L40" s="2"/>
      </tp>
      <tp t="s">
        <v>#N/A Requesting Data...</v>
        <stp/>
        <stp>##V3_BQLV12</stp>
        <stp>[MODL_NOW_US1.xlsx]Single Period!R18C14</stp>
        <stp>SEG0000230975 Segment</stp>
        <stp>IS_ADJ_GROSS_MARGIN_PCT_AR</stp>
        <stp>FPR=2021Y</stp>
        <stp>FPT=A</stp>
        <stp>FA_ACT_EST_DATA=E, EST_SOURCE=BMO</stp>
        <stp>ACT_EST_MAPPING=PRECISE</stp>
        <stp>FS=MRC</stp>
        <stp>CURRENCY=USD</stp>
        <stp>XLFILL=b</stp>
        <tr r="N18" s="2"/>
      </tp>
      <tp t="s">
        <v>#N/A Requesting Data...</v>
        <stp/>
        <stp>##V3_BQLV12</stp>
        <stp>[MODL_NOW_US1.xlsx]Single Period!R126C20</stp>
        <stp>NOW US Equity</stp>
        <stp>IS_NON_OPERATING_INC_LOSS_GAAP/1M</stp>
        <stp>FPR=2021Y</stp>
        <stp>FPT=A</stp>
        <stp>FA_ACT_EST_DATA=E, EST_SOURCE=CAN</stp>
        <stp>ACT_EST_MAPPING=PRECISE</stp>
        <stp>FS=MRC</stp>
        <stp>CURRENCY=USD</stp>
        <stp>XLFILL=b</stp>
        <tr r="T126" s="2"/>
      </tp>
      <tp t="s">
        <v>#N/A Requesting Data...</v>
        <stp/>
        <stp>##V3_BQLV12</stp>
        <stp>[MODL_NOW_US1.xlsx]Single Period!R62C14</stp>
        <stp>SEG0000230975 Segment</stp>
        <stp>IS_ADJ_GROSS_MARGIN_PCT_AR</stp>
        <stp>FPR=2021Y</stp>
        <stp>FPT=A</stp>
        <stp>FA_ACT_EST_DATA=E, EST_SOURCE=BMO</stp>
        <stp>ACT_EST_MAPPING=PRECISE</stp>
        <stp>FS=MRC</stp>
        <stp>CURRENCY=USD</stp>
        <stp>XLFILL=b</stp>
        <tr r="N62" s="2"/>
      </tp>
      <tp t="s">
        <v>#N/A Requesting Data...</v>
        <stp/>
        <stp>##V3_BQLV12</stp>
        <stp>[MODL_NOW_US1.xlsx]Single Period!R126C30</stp>
        <stp>NOW US Equity</stp>
        <stp>IS_NON_OPERATING_INC_LOSS_GAAP/1M</stp>
        <stp>FPR=2021Y</stp>
        <stp>FPT=A</stp>
        <stp>FA_ACT_EST_DATA=E, EST_SOURCE=BAM</stp>
        <stp>ACT_EST_MAPPING=PRECISE</stp>
        <stp>FS=MRC</stp>
        <stp>CURRENCY=USD</stp>
        <stp>XLFILL=b</stp>
        <tr r="AD126" s="2"/>
      </tp>
      <tp t="s">
        <v>#N/A Requesting Data...</v>
        <stp/>
        <stp>##V3_BQLV12</stp>
        <stp>[MODL_NOW_US1.xlsx]Single Period!R195C26</stp>
        <stp>NOW US Equity</stp>
        <stp>CB_BS_DEFERRED_COST_LT/1M</stp>
        <stp>FPR=2021Y</stp>
        <stp>FPT=A</stp>
        <stp>FA_ACT_EST_DATA=E, EST_SOURCE=UBS</stp>
        <stp>ACT_EST_MAPPING=PRECISE</stp>
        <stp>FS=MRC</stp>
        <stp>CURRENCY=USD</stp>
        <stp>XLFILL=b</stp>
        <tr r="Z195" s="2"/>
      </tp>
      <tp t="s">
        <v>#N/A Requesting Data...</v>
        <stp/>
        <stp>##V3_BQLV12</stp>
        <stp>[MODL_NOW_US1.xlsx]Single Period!R123C13</stp>
        <stp>NOW US Equity</stp>
        <stp>TOTAL_OPERATING_EXPENSES_RATIO/1M</stp>
        <stp>FPR=2021Y</stp>
        <stp>FPT=A</stp>
        <stp>FA_ACT_EST_DATA=E, EST_SOURCE=KEY</stp>
        <stp>ACT_EST_MAPPING=PRECISE</stp>
        <stp>FS=MRC</stp>
        <stp>CURRENCY=USD</stp>
        <stp>XLFILL=b</stp>
        <tr r="M123" s="2"/>
      </tp>
      <tp t="s">
        <v>#N/A Requesting Data...</v>
        <stp/>
        <stp>##V3_BQLV12</stp>
        <stp>[MODL_NOW_US1.xlsx]Single Period!R98C23</stp>
        <stp>NOW US Equity</stp>
        <stp>CF_DEPR_AMORT/1M</stp>
        <stp>FPR=2021Y</stp>
        <stp>FPT=A</stp>
        <stp>FA_ACT_EST_DATA=E, EST_SOURCE=ZXS</stp>
        <stp>ACT_EST_MAPPING=PRECISE</stp>
        <stp>FS=MRC</stp>
        <stp>CURRENCY=USD</stp>
        <stp>XLFILL=b</stp>
        <tr r="W98" s="2"/>
      </tp>
      <tp t="s">
        <v>#N/A Requesting Data...</v>
        <stp/>
        <stp>##V3_BQLV12</stp>
        <stp>[MODL_NOW_US1.xlsx]Single Period!R154C47</stp>
        <stp>NOW US Equity</stp>
        <stp>BS_CUR_ASSET_REPORT/1M</stp>
        <stp>FPR=2021Y</stp>
        <stp>FPT=A</stp>
        <stp>FA_ACT_EST_DATA=E, EST_SOURCE=SUM</stp>
        <stp>ACT_EST_MAPPING=PRECISE</stp>
        <stp>FS=MRC</stp>
        <stp>CURRENCY=USD</stp>
        <stp>XLFILL=b</stp>
        <tr r="AU154" s="2"/>
      </tp>
      <tp t="s">
        <v>#N/A Requesting Data...</v>
        <stp/>
        <stp>##V3_BQLV12</stp>
        <stp>[MODL_NOW_US1.xlsx]Single Period!R9C34</stp>
        <stp>NOW US Equity</stp>
        <stp>IS_BILLINGS/1M</stp>
        <stp>FPR=2021Y</stp>
        <stp>FPT=A</stp>
        <stp>FA_ACT_EST_DATA=E, EST_SOURCE=PSG</stp>
        <stp>ACT_EST_MAPPING=PRECISE</stp>
        <stp>FS=MRC</stp>
        <stp>CURRENCY=USD</stp>
        <stp>XLFILL=b</stp>
        <tr r="AH9" s="2"/>
      </tp>
      <tp t="s">
        <v>#N/A Requesting Data...</v>
        <stp/>
        <stp>##V3_BQLV12</stp>
        <stp>[MODL_NOW_US1.xlsx]Single Period!R189C33</stp>
        <stp>NOW US Equity</stp>
        <stp>CUR_RATIO</stp>
        <stp>FPR=2021Y</stp>
        <stp>FPT=A</stp>
        <stp>FA_ACT_EST_DATA=E, EST_SOURCE=MAC</stp>
        <stp>ACT_EST_MAPPING=PRECISE</stp>
        <stp>FS=MRC</stp>
        <stp>CURRENCY=USD</stp>
        <stp>XLFILL=b</stp>
        <tr r="AG189" s="2"/>
      </tp>
      <tp t="s">
        <v>#N/A Requesting Data...</v>
        <stp/>
        <stp>##V3_BQLV12</stp>
        <stp>[MODL_NOW_US1.xlsx]Single Period!R84C5</stp>
        <stp>NOW US Equity</stp>
        <stp>IS_ADJ_GROSS_PROFIT_AS_REPORTED/1M</stp>
        <stp>FPR=2021Y</stp>
        <stp>FPT=A</stp>
        <stp>FA_ACT_EST_DATA=E</stp>
        <stp>ACT_EST_MAPPING=PRECISE</stp>
        <stp>FS=MRC</stp>
        <stp>CURRENCY=USD</stp>
        <stp>XLFILL=b</stp>
        <tr r="E84" s="2"/>
      </tp>
      <tp t="s">
        <v>#N/A Requesting Data...</v>
        <stp/>
        <stp>##V3_BQLV12</stp>
        <stp>[MODL_NOW_US1.xlsx]Single Period!R24C5</stp>
        <stp>NOW US Equity</stp>
        <stp>IS_ADJ_GROSS_PROFIT_AS_REPORTED/1M</stp>
        <stp>FPR=2021Y</stp>
        <stp>FPT=A</stp>
        <stp>FA_ACT_EST_DATA=E</stp>
        <stp>ACT_EST_MAPPING=PRECISE</stp>
        <stp>FS=MRC</stp>
        <stp>CURRENCY=USD</stp>
        <stp>XLFILL=b</stp>
        <tr r="E24" s="2"/>
      </tp>
      <tp t="s">
        <v>#N/A Requesting Data...</v>
        <stp/>
        <stp>##V3_BQLV12</stp>
        <stp>[MODL_NOW_US1.xlsx]Single Period!R30C21</stp>
        <stp>NOW US Equity</stp>
        <stp>CF_FREE_CASH_FLOW_AS_REPORTED/1M</stp>
        <stp>FPR=2021Y</stp>
        <stp>FPT=A</stp>
        <stp>FA_ACT_EST_DATA=E, EST_SOURCE=JMP</stp>
        <stp>ACT_EST_MAPPING=PRECISE</stp>
        <stp>FS=MRC</stp>
        <stp>CURRENCY=USD</stp>
        <stp>XLFILL=b</stp>
        <tr r="U30" s="2"/>
      </tp>
      <tp t="s">
        <v>#N/A Requesting Data...</v>
        <stp/>
        <stp>##V3_BQLV12</stp>
        <stp>[MODL_NOW_US1.xlsx]Single Period!R189C30</stp>
        <stp>NOW US Equity</stp>
        <stp>CUR_RATIO</stp>
        <stp>FPR=2021Y</stp>
        <stp>FPT=A</stp>
        <stp>FA_ACT_EST_DATA=E, EST_SOURCE=BAM</stp>
        <stp>ACT_EST_MAPPING=PRECISE</stp>
        <stp>FS=MRC</stp>
        <stp>CURRENCY=USD</stp>
        <stp>XLFILL=b</stp>
        <tr r="AD189" s="2"/>
      </tp>
      <tp t="s">
        <v>#N/A Requesting Data...</v>
        <stp/>
        <stp>##V3_BQLV12</stp>
        <stp>[MODL_NOW_US1.xlsx]Single Period!R189C20</stp>
        <stp>NOW US Equity</stp>
        <stp>CUR_RATIO</stp>
        <stp>FPR=2021Y</stp>
        <stp>FPT=A</stp>
        <stp>FA_ACT_EST_DATA=E, EST_SOURCE=CAN</stp>
        <stp>ACT_EST_MAPPING=PRECISE</stp>
        <stp>FS=MRC</stp>
        <stp>CURRENCY=USD</stp>
        <stp>XLFILL=b</stp>
        <tr r="T189" s="2"/>
      </tp>
      <tp t="s">
        <v>#N/A Requesting Data...</v>
        <stp/>
        <stp>##V3_BQLV12</stp>
        <stp>[MODL_NOW_US1.xlsx]Single Period!R80C17</stp>
        <stp>NOW US Equity</stp>
        <stp>IS_COMP_SALES/1M</stp>
        <stp>FPR=2021Y</stp>
        <stp>FPT=A</stp>
        <stp>FA_ACT_EST_DATA=E, EST_SOURCE=RHR</stp>
        <stp>ACT_EST_MAPPING=PRECISE</stp>
        <stp>FS=MRC</stp>
        <stp>CURRENCY=USD</stp>
        <stp>XLFILL=b</stp>
        <tr r="Q80" s="2"/>
      </tp>
      <tp t="s">
        <v>#N/A Requesting Data...</v>
        <stp/>
        <stp>##V3_BQLV12</stp>
        <stp>[MODL_NOW_US1.xlsx]Single Period!R9C35</stp>
        <stp>NOW US Equity</stp>
        <stp>IS_BILLINGS/1M</stp>
        <stp>FPR=2021Y</stp>
        <stp>FPT=A</stp>
        <stp>FA_ACT_EST_DATA=E, EST_SOURCE=MSR</stp>
        <stp>ACT_EST_MAPPING=PRECISE</stp>
        <stp>FS=MRC</stp>
        <stp>CURRENCY=USD</stp>
        <stp>XLFILL=b</stp>
        <tr r="AI9" s="2"/>
      </tp>
      <tp t="s">
        <v>#N/A Requesting Data...</v>
        <stp/>
        <stp>##V3_BQLV12</stp>
        <stp>[MODL_NOW_US1.xlsx]Single Period!R9C31</stp>
        <stp>NOW US Equity</stp>
        <stp>IS_BILLINGS/1M</stp>
        <stp>FPR=2021Y</stp>
        <stp>FPT=A</stp>
        <stp>FA_ACT_EST_DATA=E, EST_SOURCE=GSR</stp>
        <stp>ACT_EST_MAPPING=PRECISE</stp>
        <stp>FS=MRC</stp>
        <stp>CURRENCY=USD</stp>
        <stp>XLFILL=b</stp>
        <tr r="AE9" s="2"/>
      </tp>
      <tp t="s">
        <v>#N/A Requesting Data...</v>
        <stp/>
        <stp>##V3_BQLV12</stp>
        <stp>[MODL_NOW_US1.xlsx]Single Period!R142C33</stp>
        <stp>NOW US Equity</stp>
        <stp>IS_SBC_ATT_TO_S_AND_M_PRETX/1M</stp>
        <stp>FPR=2021Y</stp>
        <stp>FPT=A</stp>
        <stp>FA_ACT_EST_DATA=E, EST_SOURCE=MAC</stp>
        <stp>ACT_EST_MAPPING=PRECISE</stp>
        <stp>FS=MRC</stp>
        <stp>CURRENCY=USD</stp>
        <stp>XLFILL=b</stp>
        <tr r="AG142" s="2"/>
      </tp>
      <tp t="s">
        <v>#N/A Requesting Data...</v>
        <stp/>
        <stp>##V3_BQLV12</stp>
        <stp>[MODL_NOW_US1.xlsx]Single Period!R89C26</stp>
        <stp>NOW US Equity</stp>
        <stp>IS_REV_INCLUDING_INTERSEG_REV/1M</stp>
        <stp>FPR=2021Y</stp>
        <stp>FPT=A</stp>
        <stp>FA_ACT_EST_DATA=E, EST_SOURCE=UBS</stp>
        <stp>ACT_EST_MAPPING=PRECISE</stp>
        <stp>FS=MRC</stp>
        <stp>CURRENCY=USD</stp>
        <stp>XLFILL=b</stp>
        <tr r="Z89" s="2"/>
      </tp>
      <tp t="s">
        <v>#N/A Requesting Data...</v>
        <stp/>
        <stp>##V3_BQLV12</stp>
        <stp>[MODL_NOW_US1.xlsx]Single Period!R167C28</stp>
        <stp>NOW US Equity</stp>
        <stp>BS_GOODWILL/1M</stp>
        <stp>FPR=2021Y</stp>
        <stp>FPT=A</stp>
        <stp>FA_ACT_EST_DATA=E, EST_SOURCE=EVR</stp>
        <stp>ACT_EST_MAPPING=PRECISE</stp>
        <stp>FS=MRC</stp>
        <stp>CURRENCY=USD</stp>
        <stp>XLFILL=b</stp>
        <tr r="AB167" s="2"/>
      </tp>
      <tp t="s">
        <v>#N/A Requesting Data...</v>
        <stp/>
        <stp>##V3_BQLV12</stp>
        <stp>[MODL_NOW_US1.xlsx]Single Period!R9C19</stp>
        <stp>NOW US Equity</stp>
        <stp>IS_BILLINGS/1M</stp>
        <stp>FPR=2021Y</stp>
        <stp>FPT=A</stp>
        <stp>FA_ACT_EST_DATA=E, EST_SOURCE=MSV</stp>
        <stp>ACT_EST_MAPPING=PRECISE</stp>
        <stp>FS=MRC</stp>
        <stp>CURRENCY=USD</stp>
        <stp>XLFILL=b</stp>
        <tr r="S9" s="2"/>
      </tp>
      <tp t="s">
        <v>#N/A Requesting Data...</v>
        <stp/>
        <stp>##V3_BQLV12</stp>
        <stp>[MODL_NOW_US1.xlsx]Single Period!R80C45</stp>
        <stp>NOW US Equity</stp>
        <stp>IS_COMP_SALES/1M</stp>
        <stp>FPR=2021Y</stp>
        <stp>FPT=A</stp>
        <stp>FA_ACT_EST_DATA=E, EST_SOURCE=PJE</stp>
        <stp>ACT_EST_MAPPING=PRECISE</stp>
        <stp>FS=MRC</stp>
        <stp>CURRENCY=USD</stp>
        <stp>XLFILL=b</stp>
        <tr r="AS80" s="2"/>
      </tp>
      <tp t="s">
        <v>#N/A Requesting Data...</v>
        <stp/>
        <stp>##V3_BQLV12</stp>
        <stp>[MODL_NOW_US1.xlsx]Single Period!R230C49</stp>
        <stp>NOW US Equity</stp>
        <stp>CF_EFFECT_FOREIGN_EXCHANGES/1M</stp>
        <stp>FPR=2021Y</stp>
        <stp>FPT=A</stp>
        <stp>FA_ACT_EST_DATA=E, EST_SOURCE=SCB</stp>
        <stp>ACT_EST_MAPPING=PRECISE</stp>
        <stp>FS=MRC</stp>
        <stp>CURRENCY=USD</stp>
        <stp>XLFILL=b</stp>
        <tr r="AW230" s="2"/>
      </tp>
      <tp t="s">
        <v>#N/A Requesting Data...</v>
        <stp/>
        <stp>##V3_BQLV12</stp>
        <stp>[MODL_NOW_US1.xlsx]Single Period!R173C16</stp>
        <stp>NOW US Equity</stp>
        <stp>BS_CUR_LIAB/1M</stp>
        <stp>FPR=2021Y</stp>
        <stp>FPT=A</stp>
        <stp>FA_ACT_EST_DATA=E, EST_SOURCE=BCA</stp>
        <stp>ACT_EST_MAPPING=PRECISE</stp>
        <stp>FS=MRC</stp>
        <stp>CURRENCY=USD</stp>
        <stp>XLFILL=b</stp>
        <tr r="P173" s="2"/>
      </tp>
      <tp t="s">
        <v>#N/A Requesting Data...</v>
        <stp/>
        <stp>##V3_BQLV12</stp>
        <stp>[MODL_NOW_US1.xlsx]Single Period!R92C21</stp>
        <stp>NOW US Equity</stp>
        <stp>IS_ADJ_GENL_AND_ADMIN_EXPN_AR/1M</stp>
        <stp>FPR=2021Y</stp>
        <stp>FPT=A</stp>
        <stp>FA_ACT_EST_DATA=E, EST_SOURCE=JMP</stp>
        <stp>ACT_EST_MAPPING=PRECISE</stp>
        <stp>FS=MRC</stp>
        <stp>CURRENCY=USD</stp>
        <stp>XLFILL=b</stp>
        <tr r="U92" s="2"/>
      </tp>
      <tp t="s">
        <v>#N/A Requesting Data...</v>
        <stp/>
        <stp>##V3_BQLV12</stp>
        <stp>[MODL_NOW_US1.xlsx]Single Period!R173C49</stp>
        <stp>NOW US Equity</stp>
        <stp>BS_CUR_LIAB/1M</stp>
        <stp>FPR=2021Y</stp>
        <stp>FPT=A</stp>
        <stp>FA_ACT_EST_DATA=E, EST_SOURCE=SCB</stp>
        <stp>ACT_EST_MAPPING=PRECISE</stp>
        <stp>FS=MRC</stp>
        <stp>CURRENCY=USD</stp>
        <stp>XLFILL=b</stp>
        <tr r="AW173" s="2"/>
      </tp>
      <tp t="s">
        <v>#N/A Requesting Data...</v>
        <stp/>
        <stp>##V3_BQLV12</stp>
        <stp>[MODL_NOW_US1.xlsx]Single Period!R142C20</stp>
        <stp>NOW US Equity</stp>
        <stp>IS_SBC_ATT_TO_S_AND_M_PRETX/1M</stp>
        <stp>FPR=2021Y</stp>
        <stp>FPT=A</stp>
        <stp>FA_ACT_EST_DATA=E, EST_SOURCE=CAN</stp>
        <stp>ACT_EST_MAPPING=PRECISE</stp>
        <stp>FS=MRC</stp>
        <stp>CURRENCY=USD</stp>
        <stp>XLFILL=b</stp>
        <tr r="T142" s="2"/>
      </tp>
      <tp t="s">
        <v>#N/A Requesting Data...</v>
        <stp/>
        <stp>##V3_BQLV12</stp>
        <stp>[MODL_NOW_US1.xlsx]Single Period!R230C16</stp>
        <stp>NOW US Equity</stp>
        <stp>CF_EFFECT_FOREIGN_EXCHANGES/1M</stp>
        <stp>FPR=2021Y</stp>
        <stp>FPT=A</stp>
        <stp>FA_ACT_EST_DATA=E, EST_SOURCE=BCA</stp>
        <stp>ACT_EST_MAPPING=PRECISE</stp>
        <stp>FS=MRC</stp>
        <stp>CURRENCY=USD</stp>
        <stp>XLFILL=b</stp>
        <tr r="P230" s="2"/>
      </tp>
      <tp t="s">
        <v>#N/A Requesting Data...</v>
        <stp/>
        <stp>##V3_BQLV12</stp>
        <stp>[MODL_NOW_US1.xlsx]Single Period!R142C30</stp>
        <stp>NOW US Equity</stp>
        <stp>IS_SBC_ATT_TO_S_AND_M_PRETX/1M</stp>
        <stp>FPR=2021Y</stp>
        <stp>FPT=A</stp>
        <stp>FA_ACT_EST_DATA=E, EST_SOURCE=BAM</stp>
        <stp>ACT_EST_MAPPING=PRECISE</stp>
        <stp>FS=MRC</stp>
        <stp>CURRENCY=USD</stp>
        <stp>XLFILL=b</stp>
        <tr r="AD142" s="2"/>
      </tp>
      <tp t="s">
        <v>#N/A Requesting Data...</v>
        <stp/>
        <stp>##V3_BQLV12</stp>
        <stp>[MODL_NOW_US1.xlsx]Single Period!R14C48</stp>
        <stp>SEG0000230975 Segment</stp>
        <stp>SALES_REV_TURN/1M</stp>
        <stp>FPR=2021Y</stp>
        <stp>FPT=A</stp>
        <stp>FA_ACT_EST_DATA=E, EST_SOURCE=CRC</stp>
        <stp>ACT_EST_MAPPING=PRECISE</stp>
        <stp>FS=MRC</stp>
        <stp>CURRENCY=USD</stp>
        <stp>XLFILL=b</stp>
        <tr r="AV14" s="2"/>
      </tp>
      <tp t="s">
        <v>#N/A Requesting Data...</v>
        <stp/>
        <stp>##V3_BQLV12</stp>
        <stp>[MODL_NOW_US1.xlsx]Single Period!R77C11</stp>
        <stp>SEG0000230969 Segment</stp>
        <stp>SALES_REV_TURN/1M</stp>
        <stp>FPR=2021Y</stp>
        <stp>FPT=A</stp>
        <stp>FA_ACT_EST_DATA=E, EST_SOURCE=JPM</stp>
        <stp>ACT_EST_MAPPING=PRECISE</stp>
        <stp>FS=MRC</stp>
        <stp>CURRENCY=USD</stp>
        <stp>XLFILL=b</stp>
        <tr r="K77" s="2"/>
      </tp>
      <tp t="s">
        <v>#N/A Requesting Data...</v>
        <stp/>
        <stp>##V3_BQLV12</stp>
        <stp>[MODL_NOW_US1.xlsx]Single Period!R119C23</stp>
        <stp>NOW US Equity</stp>
        <stp>CB_IS_S_AND_M_EXPENSE/1M</stp>
        <stp>FPR=2021Y</stp>
        <stp>FPT=A</stp>
        <stp>FA_ACT_EST_DATA=E, EST_SOURCE=ZXS</stp>
        <stp>ACT_EST_MAPPING=PRECISE</stp>
        <stp>FS=MRC</stp>
        <stp>CURRENCY=USD</stp>
        <stp>XLFILL=b</stp>
        <tr r="W119" s="2"/>
      </tp>
      <tp t="s">
        <v>#N/A Requesting Data...</v>
        <stp/>
        <stp>##V3_BQLV12</stp>
        <stp>[MODL_NOW_US1.xlsx]Single Period!R99C19</stp>
        <stp>NOW US Equity</stp>
        <stp>IS_COMPARABLE_EBITDA/1M</stp>
        <stp>FPR=2021Y</stp>
        <stp>FPT=A</stp>
        <stp>FA_ACT_EST_DATA=E, EST_SOURCE=MSV</stp>
        <stp>ACT_EST_MAPPING=PRECISE</stp>
        <stp>FS=MRC</stp>
        <stp>CURRENCY=USD</stp>
        <stp>XLFILL=b</stp>
        <tr r="S99" s="2"/>
      </tp>
      <tp t="s">
        <v>#N/A Requesting Data...</v>
        <stp/>
        <stp>##V3_BQLV12</stp>
        <stp>[MODL_NOW_US1.xlsx]Single Period!R14C41</stp>
        <stp>SEG0000230975 Segment</stp>
        <stp>SALES_REV_TURN/1M</stp>
        <stp>FPR=2021Y</stp>
        <stp>FPT=A</stp>
        <stp>FA_ACT_EST_DATA=E, EST_SOURCE=ARG</stp>
        <stp>ACT_EST_MAPPING=PRECISE</stp>
        <stp>FS=MRC</stp>
        <stp>CURRENCY=USD</stp>
        <stp>XLFILL=b</stp>
        <tr r="AO14" s="2"/>
      </tp>
      <tp t="s">
        <v>#N/A Requesting Data...</v>
        <stp/>
        <stp>##V3_BQLV12</stp>
        <stp>[MODL_NOW_US1.xlsx]Single Period!R131C24</stp>
        <stp>NOW US Equity</stp>
        <stp>IS_AVG_NUM_SH_FOR_EPS/1M</stp>
        <stp>FPR=2021Y</stp>
        <stp>FPT=A</stp>
        <stp>FA_ACT_EST_DATA=E, EST_SOURCE=CWN</stp>
        <stp>ACT_EST_MAPPING=PRECISE</stp>
        <stp>FS=MRC</stp>
        <stp>CURRENCY=USD</stp>
        <stp>XLFILL=b</stp>
        <tr r="X131" s="2"/>
      </tp>
      <tp t="s">
        <v>#N/A Requesting Data...</v>
        <stp/>
        <stp>##V3_BQLV12</stp>
        <stp>[MODL_NOW_US1.xlsx]Single Period!R14C44</stp>
        <stp>SEG0000230975 Segment</stp>
        <stp>SALES_REV_TURN/1M</stp>
        <stp>FPR=2021Y</stp>
        <stp>FPT=A</stp>
        <stp>FA_ACT_EST_DATA=E, EST_SOURCE=ARE</stp>
        <stp>ACT_EST_MAPPING=PRECISE</stp>
        <stp>FS=MRC</stp>
        <stp>CURRENCY=USD</stp>
        <stp>XLFILL=b</stp>
        <tr r="AR14" s="2"/>
      </tp>
      <tp t="s">
        <v>#N/A Requesting Data...</v>
        <stp/>
        <stp>##V3_BQLV12</stp>
        <stp>[MODL_NOW_US1.xlsx]Single Period!R211C5</stp>
        <stp>NOW US Equity</stp>
        <stp>CF_CHG_IN_DEFER_UNEARND_REV_ST/1M</stp>
        <stp>FPR=2021Y</stp>
        <stp>FPT=A</stp>
        <stp>FA_ACT_EST_DATA=E</stp>
        <stp>ACT_EST_MAPPING=PRECISE</stp>
        <stp>FS=MRC</stp>
        <stp>CURRENCY=USD</stp>
        <stp>XLFILL=b</stp>
        <tr r="E211" s="2"/>
      </tp>
      <tp t="s">
        <v>#N/A Requesting Data...</v>
        <stp/>
        <stp>##V3_BQLV12</stp>
        <stp>[MODL_NOW_US1.xlsx]Single Period!R200C12</stp>
        <stp>NOW US Equity</stp>
        <stp>CF_DEPR_AMORT/1M</stp>
        <stp>FPR=2021Y</stp>
        <stp>FPT=A</stp>
        <stp>FA_ACT_EST_DATA=E, EST_SOURCE=WBL</stp>
        <stp>ACT_EST_MAPPING=PRECISE</stp>
        <stp>FS=MRC</stp>
        <stp>CURRENCY=USD</stp>
        <stp>XLFILL=b</stp>
        <tr r="L200" s="2"/>
      </tp>
      <tp t="s">
        <v>#N/A Requesting Data...</v>
        <stp/>
        <stp>##V3_BQLV12</stp>
        <stp>[MODL_NOW_US1.xlsx]Single Period!R209C33</stp>
        <stp>NOW US Equity</stp>
        <stp>CF_CHANGE_IN_ACCOUNTS_PAYABLE/1M</stp>
        <stp>FPR=2021Y</stp>
        <stp>FPT=A</stp>
        <stp>FA_ACT_EST_DATA=E, EST_SOURCE=MAC</stp>
        <stp>ACT_EST_MAPPING=PRECISE</stp>
        <stp>FS=MRC</stp>
        <stp>CURRENCY=USD</stp>
        <stp>XLFILL=b</stp>
        <tr r="AG209" s="2"/>
      </tp>
      <tp t="s">
        <v>#N/A Requesting Data...</v>
        <stp/>
        <stp>##V3_BQLV12</stp>
        <stp>[MODL_NOW_US1.xlsx]Single Period!R200C32</stp>
        <stp>NOW US Equity</stp>
        <stp>CF_DEPR_AMORT/1M</stp>
        <stp>FPR=2021Y</stp>
        <stp>FPT=A</stp>
        <stp>FA_ACT_EST_DATA=E, EST_SOURCE=FBC</stp>
        <stp>ACT_EST_MAPPING=PRECISE</stp>
        <stp>FS=MRC</stp>
        <stp>CURRENCY=USD</stp>
        <stp>XLFILL=b</stp>
        <tr r="AF200" s="2"/>
      </tp>
      <tp t="s">
        <v>#N/A Requesting Data...</v>
        <stp/>
        <stp>##V3_BQLV12</stp>
        <stp>[MODL_NOW_US1.xlsx]Single Period!R61C22</stp>
        <stp>SEG0000230975 Segment</stp>
        <stp>IS_ADJ_GROSS_PROFIT_AS_REPORTED/1M</stp>
        <stp>FPR=2021Y</stp>
        <stp>FPT=A</stp>
        <stp>FA_ACT_EST_DATA=E, EST_SOURCE=NDH</stp>
        <stp>ACT_EST_MAPPING=PRECISE</stp>
        <stp>FS=MRC</stp>
        <stp>CURRENCY=USD</stp>
        <stp>XLFILL=b</stp>
        <tr r="V61" s="2"/>
      </tp>
      <tp t="s">
        <v>#N/A Requesting Data...</v>
        <stp/>
        <stp>##V3_BQLV12</stp>
        <stp>[MODL_NOW_US1.xlsx]Single Period!R101C26</stp>
        <stp>NOW US Equity</stp>
        <stp>CB_IS_OTHER_NON_OPER_INC_EXPN/1M</stp>
        <stp>FPR=2021Y</stp>
        <stp>FPT=A</stp>
        <stp>FA_ACT_EST_DATA=E, EST_SOURCE=UBS</stp>
        <stp>ACT_EST_MAPPING=PRECISE</stp>
        <stp>FS=MRC</stp>
        <stp>CURRENCY=USD</stp>
        <stp>XLFILL=b</stp>
        <tr r="Z101" s="2"/>
      </tp>
      <tp t="s">
        <v>#N/A Requesting Data...</v>
        <stp/>
        <stp>##V3_BQLV12</stp>
        <stp>[MODL_NOW_US1.xlsx]Single Period!R131C39</stp>
        <stp>NOW US Equity</stp>
        <stp>IS_AVG_NUM_SH_FOR_EPS/1M</stp>
        <stp>FPR=2021Y</stp>
        <stp>FPT=A</stp>
        <stp>FA_ACT_EST_DATA=E, EST_SOURCE=DZB</stp>
        <stp>ACT_EST_MAPPING=PRECISE</stp>
        <stp>FS=MRC</stp>
        <stp>CURRENCY=USD</stp>
        <stp>XLFILL=b</stp>
        <tr r="AM131" s="2"/>
      </tp>
      <tp t="s">
        <v>#N/A Requesting Data...</v>
        <stp/>
        <stp>##V3_BQLV12</stp>
        <stp>[MODL_NOW_US1.xlsx]Single Period!R131C37</stp>
        <stp>NOW US Equity</stp>
        <stp>IS_AVG_NUM_SH_FOR_EPS/1M</stp>
        <stp>FPR=2021Y</stp>
        <stp>FPT=A</stp>
        <stp>FA_ACT_EST_DATA=E, EST_SOURCE=TTC</stp>
        <stp>ACT_EST_MAPPING=PRECISE</stp>
        <stp>FS=MRC</stp>
        <stp>CURRENCY=USD</stp>
        <stp>XLFILL=b</stp>
        <tr r="AK131" s="2"/>
      </tp>
      <tp t="s">
        <v>#N/A Requesting Data...</v>
        <stp/>
        <stp>##V3_BQLV12</stp>
        <stp>[MODL_NOW_US1.xlsx]Single Period!R80C9</stp>
        <stp>NOW US Equity</stp>
        <stp>CONTRIBUTOR_STATS(IS_COMP_SALES, MEDIAN)/1M</stp>
        <stp>FPR=2021Y</stp>
        <stp>FPT=A</stp>
        <stp>FA_ACT_EST_DATA=E</stp>
        <stp>ACT_EST_MAPPING=PRECISE</stp>
        <stp>FS=MRC</stp>
        <stp>CURRENCY=USD</stp>
        <stp>XLFILL=b</stp>
        <tr r="I80" s="2"/>
      </tp>
      <tp t="s">
        <v>#N/A Requesting Data...</v>
        <stp/>
        <stp>##V3_BQLV12</stp>
        <stp>[MODL_NOW_US1.xlsx]Single Period!R102C19</stp>
        <stp>NOW US Equity</stp>
        <stp>IS_COMP_PTP_EX_STK_BASED_COMP/1M</stp>
        <stp>FPR=2021Y</stp>
        <stp>FPT=A</stp>
        <stp>FA_ACT_EST_DATA=E, EST_SOURCE=MSV</stp>
        <stp>ACT_EST_MAPPING=PRECISE</stp>
        <stp>FS=MRC</stp>
        <stp>CURRENCY=USD</stp>
        <stp>XLFILL=b</stp>
        <tr r="S102" s="2"/>
      </tp>
      <tp t="s">
        <v>#N/A Requesting Data...</v>
        <stp/>
        <stp>##V3_BQLV12</stp>
        <stp>[MODL_NOW_US1.xlsx]Single Period!R131C41</stp>
        <stp>NOW US Equity</stp>
        <stp>IS_AVG_NUM_SH_FOR_EPS/1M</stp>
        <stp>FPR=2021Y</stp>
        <stp>FPT=A</stp>
        <stp>FA_ACT_EST_DATA=E, EST_SOURCE=ARG</stp>
        <stp>ACT_EST_MAPPING=PRECISE</stp>
        <stp>FS=MRC</stp>
        <stp>CURRENCY=USD</stp>
        <stp>XLFILL=b</stp>
        <tr r="AO131" s="2"/>
      </tp>
      <tp t="s">
        <v>#N/A Requesting Data...</v>
        <stp/>
        <stp>##V3_BQLV12</stp>
        <stp>[MODL_NOW_US1.xlsx]Single Period!R77C15</stp>
        <stp>SEG0000230969 Segment</stp>
        <stp>SALES_REV_TURN/1M</stp>
        <stp>FPR=2021Y</stp>
        <stp>FPT=A</stp>
        <stp>FA_ACT_EST_DATA=E, EST_SOURCE=OPY</stp>
        <stp>ACT_EST_MAPPING=PRECISE</stp>
        <stp>FS=MRC</stp>
        <stp>CURRENCY=USD</stp>
        <stp>XLFILL=b</stp>
        <tr r="O77" s="2"/>
      </tp>
      <tp t="s">
        <v>#N/A Requesting Data...</v>
        <stp/>
        <stp>##V3_BQLV12</stp>
        <stp>[MODL_NOW_US1.xlsx]Single Period!R102C48</stp>
        <stp>NOW US Equity</stp>
        <stp>IS_COMP_PTP_EX_STK_BASED_COMP/1M</stp>
        <stp>FPR=2021Y</stp>
        <stp>FPT=A</stp>
        <stp>FA_ACT_EST_DATA=E, EST_SOURCE=CRC</stp>
        <stp>ACT_EST_MAPPING=PRECISE</stp>
        <stp>FS=MRC</stp>
        <stp>CURRENCY=USD</stp>
        <stp>XLFILL=b</stp>
        <tr r="AV102" s="2"/>
      </tp>
      <tp t="s">
        <v>#N/A Requesting Data...</v>
        <stp/>
        <stp>##V3_BQLV12</stp>
        <stp>[MODL_NOW_US1.xlsx]Single Period!R207C47</stp>
        <stp>NOW US Equity</stp>
        <stp>CB_CF_CHANGE_IN_ACCOUNTS_RECEIVABLE/1M</stp>
        <stp>FPR=2021Y</stp>
        <stp>FPT=A</stp>
        <stp>FA_ACT_EST_DATA=E, EST_SOURCE=SUM</stp>
        <stp>ACT_EST_MAPPING=PRECISE</stp>
        <stp>FS=MRC</stp>
        <stp>CURRENCY=USD</stp>
        <stp>XLFILL=b</stp>
        <tr r="AU207" s="2"/>
      </tp>
      <tp t="s">
        <v>#N/A Requesting Data...</v>
        <stp/>
        <stp>##V3_BQLV12</stp>
        <stp>[MODL_NOW_US1.xlsx]Single Period!R150C38</stp>
        <stp>NOW US Equity</stp>
        <stp>IS_INC_TAX_EFFECT_NONGAAP_REC/1M</stp>
        <stp>FPR=2021Y</stp>
        <stp>FPT=A</stp>
        <stp>FA_ACT_EST_DATA=E, EST_SOURCE=RWB</stp>
        <stp>ACT_EST_MAPPING=PRECISE</stp>
        <stp>FS=MRC</stp>
        <stp>CURRENCY=USD</stp>
        <stp>XLFILL=b</stp>
        <tr r="AL150" s="2"/>
      </tp>
      <tp t="s">
        <v>#N/A Requesting Data...</v>
        <stp/>
        <stp>##V3_BQLV12</stp>
        <stp>[MODL_NOW_US1.xlsx]Single Period!R235C28</stp>
        <stp>NOW US Equity</stp>
        <stp>CF_FREE_CASH_FLOW_AS_REPORTED/1M</stp>
        <stp>FPR=2021Y</stp>
        <stp>FPT=A</stp>
        <stp>FA_ACT_EST_DATA=E, EST_SOURCE=EVR</stp>
        <stp>ACT_EST_MAPPING=PRECISE</stp>
        <stp>FS=MRC</stp>
        <stp>CURRENCY=USD</stp>
        <stp>XLFILL=b</stp>
        <tr r="AB235" s="2"/>
      </tp>
      <tp t="s">
        <v>#N/A Requesting Data...</v>
        <stp/>
        <stp>##V3_BQLV12</stp>
        <stp>[MODL_NOW_US1.xlsx]Single Period!R64C10</stp>
        <stp>SEG0000230975 Segment</stp>
        <stp>CB_IS_GROSS_MARGIN</stp>
        <stp>FPR=2021Y</stp>
        <stp>FPT=A</stp>
        <stp>FA_ACT_EST_DATA=E, EST_SOURCE=CMPY</stp>
        <stp>ACT_EST_MAPPING=PRECISE</stp>
        <stp>FS=MRC</stp>
        <stp>CURRENCY=USD</stp>
        <stp>XLFILL=b</stp>
        <tr r="J64" s="2"/>
      </tp>
      <tp t="s">
        <v>#N/A Requesting Data...</v>
        <stp/>
        <stp>##V3_BQLV12</stp>
        <stp>[MODL_NOW_US1.xlsx]Single Period!R201C30</stp>
        <stp>NOW US Equity</stp>
        <stp>D_AND_A_TO_SALES</stp>
        <stp>FPR=2021Y</stp>
        <stp>FPT=A</stp>
        <stp>FA_ACT_EST_DATA=E, EST_SOURCE=BAM</stp>
        <stp>ACT_EST_MAPPING=PRECISE</stp>
        <stp>FS=MRC</stp>
        <stp>CURRENCY=USD</stp>
        <stp>XLFILL=b</stp>
        <tr r="AD201" s="2"/>
      </tp>
      <tp t="s">
        <v>#N/A Requesting Data...</v>
        <stp/>
        <stp>##V3_BQLV12</stp>
        <stp>[MODL_NOW_US1.xlsx]Single Period!R85C41</stp>
        <stp>NOW US Equity</stp>
        <stp>IS_COMP_GROSS_MARGIN_PERCENTAGE</stp>
        <stp>FPR=2021Y</stp>
        <stp>FPT=A</stp>
        <stp>FA_ACT_EST_DATA=E, EST_SOURCE=ARG</stp>
        <stp>ACT_EST_MAPPING=PRECISE</stp>
        <stp>FS=MRC</stp>
        <stp>CURRENCY=USD</stp>
        <stp>XLFILL=b</stp>
        <tr r="AO85" s="2"/>
      </tp>
      <tp t="s">
        <v>#N/A Requesting Data...</v>
        <stp/>
        <stp>##V3_BQLV12</stp>
        <stp>[MODL_NOW_US1.xlsx]Single Period!R134C41</stp>
        <stp>NOW US Equity</stp>
        <stp>IS_COMP_EPS_GAAP</stp>
        <stp>FPR=2021Y</stp>
        <stp>FPT=A</stp>
        <stp>FA_ACT_EST_DATA=E, EST_SOURCE=ARG</stp>
        <stp>ACT_EST_MAPPING=PRECISE</stp>
        <stp>FS=MRC</stp>
        <stp>CURRENCY=USD</stp>
        <stp>XLFILL=b</stp>
        <tr r="AO134" s="2"/>
      </tp>
      <tp t="s">
        <v>#N/A Requesting Data...</v>
        <stp/>
        <stp>##V3_BQLV12</stp>
        <stp>[MODL_NOW_US1.xlsx]Single Period!R201C20</stp>
        <stp>NOW US Equity</stp>
        <stp>D_AND_A_TO_SALES</stp>
        <stp>FPR=2021Y</stp>
        <stp>FPT=A</stp>
        <stp>FA_ACT_EST_DATA=E, EST_SOURCE=CAN</stp>
        <stp>ACT_EST_MAPPING=PRECISE</stp>
        <stp>FS=MRC</stp>
        <stp>CURRENCY=USD</stp>
        <stp>XLFILL=b</stp>
        <tr r="T201" s="2"/>
      </tp>
      <tp t="s">
        <v>#N/A Requesting Data...</v>
        <stp/>
        <stp>##V3_BQLV12</stp>
        <stp>[MODL_NOW_US1.xlsx]Single Period!R25C48</stp>
        <stp>NOW US Equity</stp>
        <stp>IS_COMP_GROSS_MARGIN_PERCENTAGE</stp>
        <stp>FPR=2021Y</stp>
        <stp>FPT=A</stp>
        <stp>FA_ACT_EST_DATA=E, EST_SOURCE=CRC</stp>
        <stp>ACT_EST_MAPPING=PRECISE</stp>
        <stp>FS=MRC</stp>
        <stp>CURRENCY=USD</stp>
        <stp>XLFILL=b</stp>
        <tr r="AV25" s="2"/>
      </tp>
      <tp t="s">
        <v>#N/A Requesting Data...</v>
        <stp/>
        <stp>##V3_BQLV12</stp>
        <stp>[MODL_NOW_US1.xlsx]Single Period!R85C44</stp>
        <stp>NOW US Equity</stp>
        <stp>IS_COMP_GROSS_MARGIN_PERCENTAGE</stp>
        <stp>FPR=2021Y</stp>
        <stp>FPT=A</stp>
        <stp>FA_ACT_EST_DATA=E, EST_SOURCE=ARE</stp>
        <stp>ACT_EST_MAPPING=PRECISE</stp>
        <stp>FS=MRC</stp>
        <stp>CURRENCY=USD</stp>
        <stp>XLFILL=b</stp>
        <tr r="AR85" s="2"/>
      </tp>
      <tp t="s">
        <v>#N/A Requesting Data...</v>
        <stp/>
        <stp>##V3_BQLV12</stp>
        <stp>[MODL_NOW_US1.xlsx]Single Period!R134C39</stp>
        <stp>NOW US Equity</stp>
        <stp>IS_COMP_EPS_GAAP</stp>
        <stp>FPR=2021Y</stp>
        <stp>FPT=A</stp>
        <stp>FA_ACT_EST_DATA=E, EST_SOURCE=DZB</stp>
        <stp>ACT_EST_MAPPING=PRECISE</stp>
        <stp>FS=MRC</stp>
        <stp>CURRENCY=USD</stp>
        <stp>XLFILL=b</stp>
        <tr r="AM134" s="2"/>
      </tp>
      <tp t="s">
        <v>#N/A Requesting Data...</v>
        <stp/>
        <stp>##V3_BQLV12</stp>
        <stp>[MODL_NOW_US1.xlsx]Single Period!R134C37</stp>
        <stp>NOW US Equity</stp>
        <stp>IS_COMP_EPS_GAAP</stp>
        <stp>FPR=2021Y</stp>
        <stp>FPT=A</stp>
        <stp>FA_ACT_EST_DATA=E, EST_SOURCE=TTC</stp>
        <stp>ACT_EST_MAPPING=PRECISE</stp>
        <stp>FS=MRC</stp>
        <stp>CURRENCY=USD</stp>
        <stp>XLFILL=b</stp>
        <tr r="AK134" s="2"/>
      </tp>
      <tp t="s">
        <v>#N/A Requesting Data...</v>
        <stp/>
        <stp>##V3_BQLV12</stp>
        <stp>[MODL_NOW_US1.xlsx]Single Period!R134C24</stp>
        <stp>NOW US Equity</stp>
        <stp>IS_COMP_EPS_GAAP</stp>
        <stp>FPR=2021Y</stp>
        <stp>FPT=A</stp>
        <stp>FA_ACT_EST_DATA=E, EST_SOURCE=CWN</stp>
        <stp>ACT_EST_MAPPING=PRECISE</stp>
        <stp>FS=MRC</stp>
        <stp>CURRENCY=USD</stp>
        <stp>XLFILL=b</stp>
        <tr r="X134" s="2"/>
      </tp>
      <tp t="s">
        <v>#N/A Requesting Data...</v>
        <stp/>
        <stp>##V3_BQLV12</stp>
        <stp>[MODL_NOW_US1.xlsx]Single Period!R25C41</stp>
        <stp>NOW US Equity</stp>
        <stp>IS_COMP_GROSS_MARGIN_PERCENTAGE</stp>
        <stp>FPR=2021Y</stp>
        <stp>FPT=A</stp>
        <stp>FA_ACT_EST_DATA=E, EST_SOURCE=ARG</stp>
        <stp>ACT_EST_MAPPING=PRECISE</stp>
        <stp>FS=MRC</stp>
        <stp>CURRENCY=USD</stp>
        <stp>XLFILL=b</stp>
        <tr r="AO25" s="2"/>
      </tp>
      <tp t="s">
        <v>#N/A Requesting Data...</v>
        <stp/>
        <stp>##V3_BQLV12</stp>
        <stp>[MODL_NOW_US1.xlsx]Single Period!R85C48</stp>
        <stp>NOW US Equity</stp>
        <stp>IS_COMP_GROSS_MARGIN_PERCENTAGE</stp>
        <stp>FPR=2021Y</stp>
        <stp>FPT=A</stp>
        <stp>FA_ACT_EST_DATA=E, EST_SOURCE=CRC</stp>
        <stp>ACT_EST_MAPPING=PRECISE</stp>
        <stp>FS=MRC</stp>
        <stp>CURRENCY=USD</stp>
        <stp>XLFILL=b</stp>
        <tr r="AV85" s="2"/>
      </tp>
      <tp t="s">
        <v>#N/A Requesting Data...</v>
        <stp/>
        <stp>##V3_BQLV12</stp>
        <stp>[MODL_NOW_US1.xlsx]Single Period!R25C44</stp>
        <stp>NOW US Equity</stp>
        <stp>IS_COMP_GROSS_MARGIN_PERCENTAGE</stp>
        <stp>FPR=2021Y</stp>
        <stp>FPT=A</stp>
        <stp>FA_ACT_EST_DATA=E, EST_SOURCE=ARE</stp>
        <stp>ACT_EST_MAPPING=PRECISE</stp>
        <stp>FS=MRC</stp>
        <stp>CURRENCY=USD</stp>
        <stp>XLFILL=b</stp>
        <tr r="AR25" s="2"/>
      </tp>
      <tp t="s">
        <v>#N/A Requesting Data...</v>
        <stp/>
        <stp>##V3_BQLV12</stp>
        <stp>[MODL_NOW_US1.xlsx]Single Period!R211C11</stp>
        <stp>NOW US Equity</stp>
        <stp>CF_CHG_IN_DEFER_UNEARND_REV_ST/1M</stp>
        <stp>FPR=2021Y</stp>
        <stp>FPT=A</stp>
        <stp>FA_ACT_EST_DATA=E, EST_SOURCE=JPM</stp>
        <stp>ACT_EST_MAPPING=PRECISE</stp>
        <stp>FS=MRC</stp>
        <stp>CURRENCY=USD</stp>
        <stp>XLFILL=b</stp>
        <tr r="K211" s="2"/>
      </tp>
      <tp t="s">
        <v>#N/A Requesting Data...</v>
        <stp/>
        <stp>##V3_BQLV12</stp>
        <stp>[MODL_NOW_US1.xlsx]Single Period!R126C43</stp>
        <stp>NOW US Equity</stp>
        <stp>IS_NON_OPERATING_INC_LOSS_GAAP/1M</stp>
        <stp>FPR=2021Y</stp>
        <stp>FPT=A</stp>
        <stp>FA_ACT_EST_DATA=E, EST_SOURCE=WFT</stp>
        <stp>ACT_EST_MAPPING=PRECISE</stp>
        <stp>FS=MRC</stp>
        <stp>CURRENCY=USD</stp>
        <stp>XLFILL=b</stp>
        <tr r="AQ126" s="2"/>
      </tp>
      <tp t="s">
        <v>#N/A Requesting Data...</v>
        <stp/>
        <stp>##V3_BQLV12</stp>
        <stp>[MODL_NOW_US1.xlsx]Single Period!R123C25</stp>
        <stp>NOW US Equity</stp>
        <stp>TOTAL_OPERATING_EXPENSES_RATIO/1M</stp>
        <stp>FPR=2021Y</stp>
        <stp>FPT=A</stp>
        <stp>FA_ACT_EST_DATA=E, EST_SOURCE=DBG</stp>
        <stp>ACT_EST_MAPPING=PRECISE</stp>
        <stp>FS=MRC</stp>
        <stp>CURRENCY=USD</stp>
        <stp>XLFILL=b</stp>
        <tr r="Y123" s="2"/>
      </tp>
      <tp t="s">
        <v>#N/A Requesting Data...</v>
        <stp/>
        <stp>##V3_BQLV12</stp>
        <stp>[MODL_NOW_US1.xlsx]Single Period!R226C31</stp>
        <stp>NOW US Equity</stp>
        <stp>CF_OTHER_FINANCING_ACT_EXCL_FX/1M</stp>
        <stp>FPR=2021Y</stp>
        <stp>FPT=A</stp>
        <stp>FA_ACT_EST_DATA=E, EST_SOURCE=GSR</stp>
        <stp>ACT_EST_MAPPING=PRECISE</stp>
        <stp>FS=MRC</stp>
        <stp>CURRENCY=USD</stp>
        <stp>XLFILL=b</stp>
        <tr r="AE226" s="2"/>
      </tp>
      <tp t="s">
        <v>#N/A Requesting Data...</v>
        <stp/>
        <stp>##V3_BQLV12</stp>
        <stp>[MODL_NOW_US1.xlsx]Single Period!R226C35</stp>
        <stp>NOW US Equity</stp>
        <stp>CF_OTHER_FINANCING_ACT_EXCL_FX/1M</stp>
        <stp>FPR=2021Y</stp>
        <stp>FPT=A</stp>
        <stp>FA_ACT_EST_DATA=E, EST_SOURCE=MSR</stp>
        <stp>ACT_EST_MAPPING=PRECISE</stp>
        <stp>FS=MRC</stp>
        <stp>CURRENCY=USD</stp>
        <stp>XLFILL=b</stp>
        <tr r="AI226" s="2"/>
      </tp>
      <tp t="s">
        <v>#N/A Requesting Data...</v>
        <stp/>
        <stp>##V3_BQLV12</stp>
        <stp>[MODL_NOW_US1.xlsx]Single Period!R146C11</stp>
        <stp>NOW US Equity</stp>
        <stp>IS_AMORT_ACQD_INTANGIBLES_COGS/1M</stp>
        <stp>FPR=2021Y</stp>
        <stp>FPT=A</stp>
        <stp>FA_ACT_EST_DATA=E, EST_SOURCE=JPM</stp>
        <stp>ACT_EST_MAPPING=PRECISE</stp>
        <stp>FS=MRC</stp>
        <stp>CURRENCY=USD</stp>
        <stp>XLFILL=b</stp>
        <tr r="K146" s="2"/>
      </tp>
      <tp t="s">
        <v>#N/A Requesting Data...</v>
        <stp/>
        <stp>##V3_BQLV12</stp>
        <stp>[MODL_NOW_US1.xlsx]Single Period!R123C32</stp>
        <stp>NOW US Equity</stp>
        <stp>TOTAL_OPERATING_EXPENSES_RATIO/1M</stp>
        <stp>FPR=2021Y</stp>
        <stp>FPT=A</stp>
        <stp>FA_ACT_EST_DATA=E, EST_SOURCE=FBC</stp>
        <stp>ACT_EST_MAPPING=PRECISE</stp>
        <stp>FS=MRC</stp>
        <stp>CURRENCY=USD</stp>
        <stp>XLFILL=b</stp>
        <tr r="AF123" s="2"/>
      </tp>
      <tp t="s">
        <v>#N/A Requesting Data...</v>
        <stp/>
        <stp>##V3_BQLV12</stp>
        <stp>[MODL_NOW_US1.xlsx]Single Period!R123C27</stp>
        <stp>NOW US Equity</stp>
        <stp>TOTAL_OPERATING_EXPENSES_RATIO/1M</stp>
        <stp>FPR=2021Y</stp>
        <stp>FPT=A</stp>
        <stp>FA_ACT_EST_DATA=E, EST_SOURCE=RBC</stp>
        <stp>ACT_EST_MAPPING=PRECISE</stp>
        <stp>FS=MRC</stp>
        <stp>CURRENCY=USD</stp>
        <stp>XLFILL=b</stp>
        <tr r="AA123" s="2"/>
      </tp>
      <tp t="s">
        <v>#N/A Requesting Data...</v>
        <stp/>
        <stp>##V3_BQLV12</stp>
        <stp>[MODL_NOW_US1.xlsx]Single Period!R226C19</stp>
        <stp>NOW US Equity</stp>
        <stp>CF_OTHER_FINANCING_ACT_EXCL_FX/1M</stp>
        <stp>FPR=2021Y</stp>
        <stp>FPT=A</stp>
        <stp>FA_ACT_EST_DATA=E, EST_SOURCE=MSV</stp>
        <stp>ACT_EST_MAPPING=PRECISE</stp>
        <stp>FS=MRC</stp>
        <stp>CURRENCY=USD</stp>
        <stp>XLFILL=b</stp>
        <tr r="S226" s="2"/>
      </tp>
      <tp t="s">
        <v>#N/A Requesting Data...</v>
        <stp/>
        <stp>##V3_BQLV12</stp>
        <stp>[MODL_NOW_US1.xlsx]Single Period!R40C29</stp>
        <stp>NOW US Equity</stp>
        <stp>BILLNG_AMOUNT_GROWTH_PCT</stp>
        <stp>FPR=2021Y</stp>
        <stp>FPT=A</stp>
        <stp>FA_ACT_EST_DATA=E, EST_SOURCE=BNS</stp>
        <stp>ACT_EST_MAPPING=PRECISE</stp>
        <stp>FS=MRC</stp>
        <stp>CURRENCY=USD</stp>
        <stp>XLFILL=b</stp>
        <tr r="AC40" s="2"/>
      </tp>
      <tp t="s">
        <v>#N/A Requesting Data...</v>
        <stp/>
        <stp>##V3_BQLV12</stp>
        <stp>[MODL_NOW_US1.xlsx]Single Period!R123C12</stp>
        <stp>NOW US Equity</stp>
        <stp>TOTAL_OPERATING_EXPENSES_RATIO/1M</stp>
        <stp>FPR=2021Y</stp>
        <stp>FPT=A</stp>
        <stp>FA_ACT_EST_DATA=E, EST_SOURCE=WBL</stp>
        <stp>ACT_EST_MAPPING=PRECISE</stp>
        <stp>FS=MRC</stp>
        <stp>CURRENCY=USD</stp>
        <stp>XLFILL=b</stp>
        <tr r="L123" s="2"/>
      </tp>
      <tp t="s">
        <v>#N/A Requesting Data...</v>
        <stp/>
        <stp>##V3_BQLV12</stp>
        <stp>[MODL_NOW_US1.xlsx]Single Period!R195C36</stp>
        <stp>NOW US Equity</stp>
        <stp>CB_BS_DEFERRED_COST_LT/1M</stp>
        <stp>FPR=2021Y</stp>
        <stp>FPT=A</stp>
        <stp>FA_ACT_EST_DATA=E, EST_SOURCE=JEF</stp>
        <stp>ACT_EST_MAPPING=PRECISE</stp>
        <stp>FS=MRC</stp>
        <stp>CURRENCY=USD</stp>
        <stp>XLFILL=b</stp>
        <tr r="AJ195" s="2"/>
      </tp>
      <tp t="s">
        <v>#N/A Requesting Data...</v>
        <stp/>
        <stp>##V3_BQLV12</stp>
        <stp>[MODL_NOW_US1.xlsx]Single Period!R146C15</stp>
        <stp>NOW US Equity</stp>
        <stp>IS_AMORT_ACQD_INTANGIBLES_COGS/1M</stp>
        <stp>FPR=2021Y</stp>
        <stp>FPT=A</stp>
        <stp>FA_ACT_EST_DATA=E, EST_SOURCE=OPY</stp>
        <stp>ACT_EST_MAPPING=PRECISE</stp>
        <stp>FS=MRC</stp>
        <stp>CURRENCY=USD</stp>
        <stp>XLFILL=b</stp>
        <tr r="O146" s="2"/>
      </tp>
      <tp t="s">
        <v>#N/A Requesting Data...</v>
        <stp/>
        <stp>##V3_BQLV12</stp>
        <stp>[MODL_NOW_US1.xlsx]Single Period!R40C25</stp>
        <stp>NOW US Equity</stp>
        <stp>BILLNG_AMOUNT_GROWTH_PCT</stp>
        <stp>FPR=2021Y</stp>
        <stp>FPT=A</stp>
        <stp>FA_ACT_EST_DATA=E, EST_SOURCE=DBG</stp>
        <stp>ACT_EST_MAPPING=PRECISE</stp>
        <stp>FS=MRC</stp>
        <stp>CURRENCY=USD</stp>
        <stp>XLFILL=b</stp>
        <tr r="Y40" s="2"/>
      </tp>
      <tp t="s">
        <v>#N/A Requesting Data...</v>
        <stp/>
        <stp>##V3_BQLV12</stp>
        <stp>[MODL_NOW_US1.xlsx]Single Period!R211C15</stp>
        <stp>NOW US Equity</stp>
        <stp>CF_CHG_IN_DEFER_UNEARND_REV_ST/1M</stp>
        <stp>FPR=2021Y</stp>
        <stp>FPT=A</stp>
        <stp>FA_ACT_EST_DATA=E, EST_SOURCE=OPY</stp>
        <stp>ACT_EST_MAPPING=PRECISE</stp>
        <stp>FS=MRC</stp>
        <stp>CURRENCY=USD</stp>
        <stp>XLFILL=b</stp>
        <tr r="O211" s="2"/>
      </tp>
      <tp t="s">
        <v>#N/A Requesting Data...</v>
        <stp/>
        <stp>##V3_BQLV12</stp>
        <stp>[MODL_NOW_US1.xlsx]Single Period!R195C13</stp>
        <stp>NOW US Equity</stp>
        <stp>CB_BS_DEFERRED_COST_LT/1M</stp>
        <stp>FPR=2021Y</stp>
        <stp>FPT=A</stp>
        <stp>FA_ACT_EST_DATA=E, EST_SOURCE=KEY</stp>
        <stp>ACT_EST_MAPPING=PRECISE</stp>
        <stp>FS=MRC</stp>
        <stp>CURRENCY=USD</stp>
        <stp>XLFILL=b</stp>
        <tr r="M195" s="2"/>
      </tp>
      <tp t="s">
        <v>#N/A Requesting Data...</v>
        <stp/>
        <stp>##V3_BQLV12</stp>
        <stp>[MODL_NOW_US1.xlsx]Single Period!R18C45</stp>
        <stp>SEG0000230975 Segment</stp>
        <stp>IS_ADJ_GROSS_MARGIN_PCT_AR</stp>
        <stp>FPR=2021Y</stp>
        <stp>FPT=A</stp>
        <stp>FA_ACT_EST_DATA=E, EST_SOURCE=PJE</stp>
        <stp>ACT_EST_MAPPING=PRECISE</stp>
        <stp>FS=MRC</stp>
        <stp>CURRENCY=USD</stp>
        <stp>XLFILL=b</stp>
        <tr r="AS18" s="2"/>
      </tp>
      <tp t="s">
        <v>#N/A Requesting Data...</v>
        <stp/>
        <stp>##V3_BQLV12</stp>
        <stp>[MODL_NOW_US1.xlsx]Single Period!R62C45</stp>
        <stp>SEG0000230975 Segment</stp>
        <stp>IS_ADJ_GROSS_MARGIN_PCT_AR</stp>
        <stp>FPR=2021Y</stp>
        <stp>FPT=A</stp>
        <stp>FA_ACT_EST_DATA=E, EST_SOURCE=PJE</stp>
        <stp>ACT_EST_MAPPING=PRECISE</stp>
        <stp>FS=MRC</stp>
        <stp>CURRENCY=USD</stp>
        <stp>XLFILL=b</stp>
        <tr r="AS62" s="2"/>
      </tp>
      <tp t="s">
        <v>#N/A Requesting Data...</v>
        <stp/>
        <stp>##V3_BQLV12</stp>
        <stp>[MODL_NOW_US1.xlsx]Single Period!R226C34</stp>
        <stp>NOW US Equity</stp>
        <stp>CF_OTHER_FINANCING_ACT_EXCL_FX/1M</stp>
        <stp>FPR=2021Y</stp>
        <stp>FPT=A</stp>
        <stp>FA_ACT_EST_DATA=E, EST_SOURCE=PSG</stp>
        <stp>ACT_EST_MAPPING=PRECISE</stp>
        <stp>FS=MRC</stp>
        <stp>CURRENCY=USD</stp>
        <stp>XLFILL=b</stp>
        <tr r="AH226" s="2"/>
      </tp>
      <tp t="s">
        <v>#N/A Requesting Data...</v>
        <stp/>
        <stp>##V3_BQLV12</stp>
        <stp>[MODL_NOW_US1.xlsx]Single Period!R123C26</stp>
        <stp>NOW US Equity</stp>
        <stp>TOTAL_OPERATING_EXPENSES_RATIO/1M</stp>
        <stp>FPR=2021Y</stp>
        <stp>FPT=A</stp>
        <stp>FA_ACT_EST_DATA=E, EST_SOURCE=UBS</stp>
        <stp>ACT_EST_MAPPING=PRECISE</stp>
        <stp>FS=MRC</stp>
        <stp>CURRENCY=USD</stp>
        <stp>XLFILL=b</stp>
        <tr r="Z123" s="2"/>
      </tp>
      <tp t="s">
        <v>#N/A Requesting Data...</v>
        <stp/>
        <stp>##V3_BQLV12</stp>
        <stp>[MODL_NOW_US1.xlsx]Single Period!R10C33</stp>
        <stp>NOW US Equity</stp>
        <stp>BILLNG_AMOUNT_GROWTH_PCT</stp>
        <stp>FPR=2021Y</stp>
        <stp>FPT=A</stp>
        <stp>FA_ACT_EST_DATA=E, EST_SOURCE=MAC</stp>
        <stp>ACT_EST_MAPPING=PRECISE</stp>
        <stp>FS=MRC</stp>
        <stp>CURRENCY=USD</stp>
        <stp>XLFILL=b</stp>
        <tr r="AG10" s="2"/>
      </tp>
      <tp t="s">
        <v>#N/A Requesting Data...</v>
        <stp/>
        <stp>##V3_BQLV12</stp>
        <stp>[MODL_NOW_US1.xlsx]Single Period!R204C22</stp>
        <stp>NOW US Equity</stp>
        <stp>CF_DEF_INC_TAX/1M</stp>
        <stp>FPR=2021Y</stp>
        <stp>FPT=A</stp>
        <stp>FA_ACT_EST_DATA=E, EST_SOURCE=NDH</stp>
        <stp>ACT_EST_MAPPING=PRECISE</stp>
        <stp>FS=MRC</stp>
        <stp>CURRENCY=USD</stp>
        <stp>XLFILL=b</stp>
        <tr r="V204" s="2"/>
      </tp>
      <tp t="s">
        <v>#N/A Requesting Data...</v>
        <stp/>
        <stp>##V3_BQLV12</stp>
        <stp>[MODL_NOW_US1.xlsx]Single Period!R168C17</stp>
        <stp>NOW US Equity</stp>
        <stp>CB_BS_DEFERRED_COST_LT/1M</stp>
        <stp>FPR=2021Y</stp>
        <stp>FPT=A</stp>
        <stp>FA_ACT_EST_DATA=E, EST_SOURCE=RHR</stp>
        <stp>ACT_EST_MAPPING=PRECISE</stp>
        <stp>FS=MRC</stp>
        <stp>CURRENCY=USD</stp>
        <stp>XLFILL=b</stp>
        <tr r="Q168" s="2"/>
      </tp>
      <tp t="s">
        <v>#N/A Requesting Data...</v>
        <stp/>
        <stp>##V3_BQLV12</stp>
        <stp>[MODL_NOW_US1.xlsx]Single Period!R9C37</stp>
        <stp>NOW US Equity</stp>
        <stp>IS_BILLINGS/1M</stp>
        <stp>FPR=2021Y</stp>
        <stp>FPT=A</stp>
        <stp>FA_ACT_EST_DATA=E, EST_SOURCE=TTC</stp>
        <stp>ACT_EST_MAPPING=PRECISE</stp>
        <stp>FS=MRC</stp>
        <stp>CURRENCY=USD</stp>
        <stp>XLFILL=b</stp>
        <tr r="AK9" s="2"/>
      </tp>
      <tp t="s">
        <v>#N/A Requesting Data...</v>
        <stp/>
        <stp>##V3_BQLV12</stp>
        <stp>[MODL_NOW_US1.xlsx]Single Period!R27C14</stp>
        <stp>NOW US Equity</stp>
        <stp>IS_REV_INCLUDING_INTERSEG_REV/1M</stp>
        <stp>FPR=2021Y</stp>
        <stp>FPT=A</stp>
        <stp>FA_ACT_EST_DATA=E, EST_SOURCE=BMO</stp>
        <stp>ACT_EST_MAPPING=PRECISE</stp>
        <stp>FS=MRC</stp>
        <stp>CURRENCY=USD</stp>
        <stp>XLFILL=b</stp>
        <tr r="N27" s="2"/>
      </tp>
      <tp t="s">
        <v>#N/A Requesting Data...</v>
        <stp/>
        <stp>##V3_BQLV12</stp>
        <stp>[MODL_NOW_US1.xlsx]Single Period!R142C43</stp>
        <stp>NOW US Equity</stp>
        <stp>IS_SBC_ATT_TO_S_AND_M_PRETX/1M</stp>
        <stp>FPR=2021Y</stp>
        <stp>FPT=A</stp>
        <stp>FA_ACT_EST_DATA=E, EST_SOURCE=WFT</stp>
        <stp>ACT_EST_MAPPING=PRECISE</stp>
        <stp>FS=MRC</stp>
        <stp>CURRENCY=USD</stp>
        <stp>XLFILL=b</stp>
        <tr r="AQ142" s="2"/>
      </tp>
      <tp t="s">
        <v>#N/A Requesting Data...</v>
        <stp/>
        <stp>##V3_BQLV12</stp>
        <stp>[MODL_NOW_US1.xlsx]Single Period!R98C46</stp>
        <stp>NOW US Equity</stp>
        <stp>CF_DEPR_AMORT/1M</stp>
        <stp>FPR=2021Y</stp>
        <stp>FPT=A</stp>
        <stp>FA_ACT_EST_DATA=E, EST_SOURCE=MZS</stp>
        <stp>ACT_EST_MAPPING=PRECISE</stp>
        <stp>FS=MRC</stp>
        <stp>CURRENCY=USD</stp>
        <stp>XLFILL=b</stp>
        <tr r="AT98" s="2"/>
      </tp>
      <tp t="s">
        <v>#N/A Requesting Data...</v>
        <stp/>
        <stp>##V3_BQLV12</stp>
        <stp>[MODL_NOW_US1.xlsx]Single Period!R175C10</stp>
        <stp>NOW US Equity</stp>
        <stp>BS_ACCRUD_EXPNSS_AND_OTHR/1M</stp>
        <stp>FPR=2021Y</stp>
        <stp>FPT=A</stp>
        <stp>FA_ACT_EST_DATA=E, EST_SOURCE=CMPY</stp>
        <stp>ACT_EST_MAPPING=PRECISE</stp>
        <stp>FS=MRC</stp>
        <stp>CURRENCY=USD</stp>
        <stp>XLFILL=b</stp>
        <tr r="J175" s="2"/>
      </tp>
      <tp t="s">
        <v>#N/A Requesting Data...</v>
        <stp/>
        <stp>##V3_BQLV12</stp>
        <stp>[MODL_NOW_US1.xlsx]Single Period!R89C36</stp>
        <stp>NOW US Equity</stp>
        <stp>IS_REV_INCLUDING_INTERSEG_REV/1M</stp>
        <stp>FPR=2021Y</stp>
        <stp>FPT=A</stp>
        <stp>FA_ACT_EST_DATA=E, EST_SOURCE=JEF</stp>
        <stp>ACT_EST_MAPPING=PRECISE</stp>
        <stp>FS=MRC</stp>
        <stp>CURRENCY=USD</stp>
        <stp>XLFILL=b</stp>
        <tr r="AJ89" s="2"/>
      </tp>
      <tp t="s">
        <v>#N/A Requesting Data...</v>
        <stp/>
        <stp>##V3_BQLV12</stp>
        <stp>[MODL_NOW_US1.xlsx]Single Period!R178C17</stp>
        <stp>NOW US Equity</stp>
        <stp>BS_ADJ_TOTAL_LT_LIABILITIES/1M</stp>
        <stp>FPR=2021Y</stp>
        <stp>FPT=A</stp>
        <stp>FA_ACT_EST_DATA=E, EST_SOURCE=RHR</stp>
        <stp>ACT_EST_MAPPING=PRECISE</stp>
        <stp>FS=MRC</stp>
        <stp>CURRENCY=USD</stp>
        <stp>XLFILL=b</stp>
        <tr r="Q178" s="2"/>
      </tp>
      <tp t="s">
        <v>#N/A Requesting Data...</v>
        <stp/>
        <stp>##V3_BQLV12</stp>
        <stp>[MODL_NOW_US1.xlsx]Single Period!R154C41</stp>
        <stp>NOW US Equity</stp>
        <stp>BS_CUR_ASSET_REPORT/1M</stp>
        <stp>FPR=2021Y</stp>
        <stp>FPT=A</stp>
        <stp>FA_ACT_EST_DATA=E, EST_SOURCE=ARG</stp>
        <stp>ACT_EST_MAPPING=PRECISE</stp>
        <stp>FS=MRC</stp>
        <stp>CURRENCY=USD</stp>
        <stp>XLFILL=b</stp>
        <tr r="AO154" s="2"/>
      </tp>
      <tp t="s">
        <v>#N/A Requesting Data...</v>
        <stp/>
        <stp>##V3_BQLV12</stp>
        <stp>[MODL_NOW_US1.xlsx]Single Period!R154C44</stp>
        <stp>NOW US Equity</stp>
        <stp>BS_CUR_ASSET_REPORT/1M</stp>
        <stp>FPR=2021Y</stp>
        <stp>FPT=A</stp>
        <stp>FA_ACT_EST_DATA=E, EST_SOURCE=ARE</stp>
        <stp>ACT_EST_MAPPING=PRECISE</stp>
        <stp>FS=MRC</stp>
        <stp>CURRENCY=USD</stp>
        <stp>XLFILL=b</stp>
        <tr r="AR154" s="2"/>
      </tp>
      <tp t="s">
        <v>#N/A Requesting Data...</v>
        <stp/>
        <stp>##V3_BQLV12</stp>
        <stp>[MODL_NOW_US1.xlsx]Single Period!R105C29</stp>
        <stp>NOW US Equity</stp>
        <stp>ADJ_PROFIT_MARGIN</stp>
        <stp>FPR=2021Y</stp>
        <stp>FPT=A</stp>
        <stp>FA_ACT_EST_DATA=E, EST_SOURCE=BNS</stp>
        <stp>ACT_EST_MAPPING=PRECISE</stp>
        <stp>FS=MRC</stp>
        <stp>CURRENCY=USD</stp>
        <stp>XLFILL=b</stp>
        <tr r="AC105" s="2"/>
      </tp>
      <tp t="s">
        <v>#N/A Requesting Data...</v>
        <stp/>
        <stp>##V3_BQLV12</stp>
        <stp>[MODL_NOW_US1.xlsx]Single Period!R210C29</stp>
        <stp>NOW US Equity</stp>
        <stp>CF_CHANGE_IN_PREPAID_EXPNSS/1M</stp>
        <stp>FPR=2021Y</stp>
        <stp>FPT=A</stp>
        <stp>FA_ACT_EST_DATA=E, EST_SOURCE=BNS</stp>
        <stp>ACT_EST_MAPPING=PRECISE</stp>
        <stp>FS=MRC</stp>
        <stp>CURRENCY=USD</stp>
        <stp>XLFILL=b</stp>
        <tr r="AC210" s="2"/>
      </tp>
      <tp t="s">
        <v>#N/A Requesting Data...</v>
        <stp/>
        <stp>##V3_BQLV12</stp>
        <stp>[MODL_NOW_US1.xlsx]Single Period!R154C48</stp>
        <stp>NOW US Equity</stp>
        <stp>BS_CUR_ASSET_REPORT/1M</stp>
        <stp>FPR=2021Y</stp>
        <stp>FPT=A</stp>
        <stp>FA_ACT_EST_DATA=E, EST_SOURCE=CRC</stp>
        <stp>ACT_EST_MAPPING=PRECISE</stp>
        <stp>FS=MRC</stp>
        <stp>CURRENCY=USD</stp>
        <stp>XLFILL=b</stp>
        <tr r="AV154" s="2"/>
      </tp>
      <tp t="s">
        <v>#N/A Requesting Data...</v>
        <stp/>
        <stp>##V3_BQLV12</stp>
        <stp>[MODL_NOW_US1.xlsx]Single Period!R9C42</stp>
        <stp>NOW US Equity</stp>
        <stp>IS_BILLINGS/1M</stp>
        <stp>FPR=2021Y</stp>
        <stp>FPT=A</stp>
        <stp>FA_ACT_EST_DATA=E, EST_SOURCE=CTI</stp>
        <stp>ACT_EST_MAPPING=PRECISE</stp>
        <stp>FS=MRC</stp>
        <stp>CURRENCY=USD</stp>
        <stp>XLFILL=b</stp>
        <tr r="AP9" s="2"/>
      </tp>
      <tp t="s">
        <v>#N/A Requesting Data...</v>
        <stp/>
        <stp>##V3_BQLV12</stp>
        <stp>[MODL_NOW_US1.xlsx]Single Period!R105C18</stp>
        <stp>NOW US Equity</stp>
        <stp>ADJ_PROFIT_MARGIN</stp>
        <stp>FPR=2021Y</stp>
        <stp>FPT=A</stp>
        <stp>FA_ACT_EST_DATA=E, EST_SOURCE=SNR</stp>
        <stp>ACT_EST_MAPPING=PRECISE</stp>
        <stp>FS=MRC</stp>
        <stp>CURRENCY=USD</stp>
        <stp>XLFILL=b</stp>
        <tr r="R105" s="2"/>
      </tp>
      <tp t="s">
        <v>#N/A Requesting Data...</v>
        <stp/>
        <stp>##V3_BQLV12</stp>
        <stp>[MODL_NOW_US1.xlsx]Single Period!R210C18</stp>
        <stp>NOW US Equity</stp>
        <stp>CF_CHANGE_IN_PREPAID_EXPNSS/1M</stp>
        <stp>FPR=2021Y</stp>
        <stp>FPT=A</stp>
        <stp>FA_ACT_EST_DATA=E, EST_SOURCE=SNR</stp>
        <stp>ACT_EST_MAPPING=PRECISE</stp>
        <stp>FS=MRC</stp>
        <stp>CURRENCY=USD</stp>
        <stp>XLFILL=b</stp>
        <tr r="R210" s="2"/>
      </tp>
      <tp t="s">
        <v>#N/A Requesting Data...</v>
        <stp/>
        <stp>##V3_BQLV12</stp>
        <stp>[MODL_NOW_US1.xlsx]Single Period!R173C22</stp>
        <stp>NOW US Equity</stp>
        <stp>BS_CUR_LIAB/1M</stp>
        <stp>FPR=2021Y</stp>
        <stp>FPT=A</stp>
        <stp>FA_ACT_EST_DATA=E, EST_SOURCE=NDH</stp>
        <stp>ACT_EST_MAPPING=PRECISE</stp>
        <stp>FS=MRC</stp>
        <stp>CURRENCY=USD</stp>
        <stp>XLFILL=b</stp>
        <tr r="V173" s="2"/>
      </tp>
      <tp t="s">
        <v>#N/A Requesting Data...</v>
        <stp/>
        <stp>##V3_BQLV12</stp>
        <stp>[MODL_NOW_US1.xlsx]Single Period!R189C43</stp>
        <stp>NOW US Equity</stp>
        <stp>CUR_RATIO</stp>
        <stp>FPR=2021Y</stp>
        <stp>FPT=A</stp>
        <stp>FA_ACT_EST_DATA=E, EST_SOURCE=WFT</stp>
        <stp>ACT_EST_MAPPING=PRECISE</stp>
        <stp>FS=MRC</stp>
        <stp>CURRENCY=USD</stp>
        <stp>XLFILL=b</stp>
        <tr r="AQ189" s="2"/>
      </tp>
      <tp t="s">
        <v>#N/A Requesting Data...</v>
        <stp/>
        <stp>##V3_BQLV12</stp>
        <stp>[MODL_NOW_US1.xlsx]Single Period!R158C18</stp>
        <stp>NOW US Equity</stp>
        <stp>BS_ACCTS_REC_EXCL_NOTES_REC/1M</stp>
        <stp>FPR=2021Y</stp>
        <stp>FPT=A</stp>
        <stp>FA_ACT_EST_DATA=E, EST_SOURCE=SNR</stp>
        <stp>ACT_EST_MAPPING=PRECISE</stp>
        <stp>FS=MRC</stp>
        <stp>CURRENCY=USD</stp>
        <stp>XLFILL=b</stp>
        <tr r="R158" s="2"/>
      </tp>
      <tp t="s">
        <v>#N/A Requesting Data...</v>
        <stp/>
        <stp>##V3_BQLV12</stp>
        <stp>[MODL_NOW_US1.xlsx]Single Period!R230C22</stp>
        <stp>NOW US Equity</stp>
        <stp>CF_EFFECT_FOREIGN_EXCHANGES/1M</stp>
        <stp>FPR=2021Y</stp>
        <stp>FPT=A</stp>
        <stp>FA_ACT_EST_DATA=E, EST_SOURCE=NDH</stp>
        <stp>ACT_EST_MAPPING=PRECISE</stp>
        <stp>FS=MRC</stp>
        <stp>CURRENCY=USD</stp>
        <stp>XLFILL=b</stp>
        <tr r="V230" s="2"/>
      </tp>
      <tp t="s">
        <v>#N/A Requesting Data...</v>
        <stp/>
        <stp>##V3_BQLV12</stp>
        <stp>[MODL_NOW_US1.xlsx]Single Period!R158C29</stp>
        <stp>NOW US Equity</stp>
        <stp>BS_ACCTS_REC_EXCL_NOTES_REC/1M</stp>
        <stp>FPR=2021Y</stp>
        <stp>FPT=A</stp>
        <stp>FA_ACT_EST_DATA=E, EST_SOURCE=BNS</stp>
        <stp>ACT_EST_MAPPING=PRECISE</stp>
        <stp>FS=MRC</stp>
        <stp>CURRENCY=USD</stp>
        <stp>XLFILL=b</stp>
        <tr r="AC158" s="2"/>
      </tp>
      <tp t="s">
        <v>#N/A Requesting Data...</v>
        <stp/>
        <stp>##V3_BQLV12</stp>
        <stp>[MODL_NOW_US1.xlsx]Single Period!R180C29</stp>
        <stp>NOW US Equity</stp>
        <stp>BS_LT_OPERATING_LEASE_LIABS/1M</stp>
        <stp>FPR=2021Y</stp>
        <stp>FPT=A</stp>
        <stp>FA_ACT_EST_DATA=E, EST_SOURCE=BNS</stp>
        <stp>ACT_EST_MAPPING=PRECISE</stp>
        <stp>FS=MRC</stp>
        <stp>CURRENCY=USD</stp>
        <stp>XLFILL=b</stp>
        <tr r="AC180" s="2"/>
      </tp>
      <tp t="s">
        <v>#N/A Requesting Data...</v>
        <stp/>
        <stp>##V3_BQLV12</stp>
        <stp>[MODL_NOW_US1.xlsx]Single Period!R180C18</stp>
        <stp>NOW US Equity</stp>
        <stp>BS_LT_OPERATING_LEASE_LIABS/1M</stp>
        <stp>FPR=2021Y</stp>
        <stp>FPT=A</stp>
        <stp>FA_ACT_EST_DATA=E, EST_SOURCE=SNR</stp>
        <stp>ACT_EST_MAPPING=PRECISE</stp>
        <stp>FS=MRC</stp>
        <stp>CURRENCY=USD</stp>
        <stp>XLFILL=b</stp>
        <tr r="R180" s="2"/>
      </tp>
      <tp t="s">
        <v>#N/A Requesting Data...</v>
        <stp/>
        <stp>##V3_BQLV12</stp>
        <stp>[MODL_NOW_US1.xlsx]Single Period!R77C24</stp>
        <stp>SEG0000230969 Segment</stp>
        <stp>SALES_REV_TURN/1M</stp>
        <stp>FPR=2021Y</stp>
        <stp>FPT=A</stp>
        <stp>FA_ACT_EST_DATA=E, EST_SOURCE=CWN</stp>
        <stp>ACT_EST_MAPPING=PRECISE</stp>
        <stp>FS=MRC</stp>
        <stp>CURRENCY=USD</stp>
        <stp>XLFILL=b</stp>
        <tr r="X77" s="2"/>
      </tp>
      <tp t="s">
        <v>#N/A Requesting Data...</v>
        <stp/>
        <stp>##V3_BQLV12</stp>
        <stp>[MODL_NOW_US1.xlsx]Single Period!R61C16</stp>
        <stp>SEG0000230975 Segment</stp>
        <stp>IS_ADJ_GROSS_PROFIT_AS_REPORTED/1M</stp>
        <stp>FPR=2021Y</stp>
        <stp>FPT=A</stp>
        <stp>FA_ACT_EST_DATA=E, EST_SOURCE=BCA</stp>
        <stp>ACT_EST_MAPPING=PRECISE</stp>
        <stp>FS=MRC</stp>
        <stp>CURRENCY=USD</stp>
        <stp>XLFILL=b</stp>
        <tr r="P61" s="2"/>
      </tp>
      <tp t="s">
        <v>#N/A Requesting Data...</v>
        <stp/>
        <stp>##V3_BQLV12</stp>
        <stp>[MODL_NOW_US1.xlsx]Single Period!R119C46</stp>
        <stp>NOW US Equity</stp>
        <stp>CB_IS_S_AND_M_EXPENSE/1M</stp>
        <stp>FPR=2021Y</stp>
        <stp>FPT=A</stp>
        <stp>FA_ACT_EST_DATA=E, EST_SOURCE=MZS</stp>
        <stp>ACT_EST_MAPPING=PRECISE</stp>
        <stp>FS=MRC</stp>
        <stp>CURRENCY=USD</stp>
        <stp>XLFILL=b</stp>
        <tr r="AT119" s="2"/>
      </tp>
      <tp t="s">
        <v>#N/A Requesting Data...</v>
        <stp/>
        <stp>##V3_BQLV12</stp>
        <stp>[MODL_NOW_US1.xlsx]Single Period!R61C49</stp>
        <stp>SEG0000230975 Segment</stp>
        <stp>IS_ADJ_GROSS_PROFIT_AS_REPORTED/1M</stp>
        <stp>FPR=2021Y</stp>
        <stp>FPT=A</stp>
        <stp>FA_ACT_EST_DATA=E, EST_SOURCE=SCB</stp>
        <stp>ACT_EST_MAPPING=PRECISE</stp>
        <stp>FS=MRC</stp>
        <stp>CURRENCY=USD</stp>
        <stp>XLFILL=b</stp>
        <tr r="AW61" s="2"/>
      </tp>
      <tp t="s">
        <v>#N/A Requesting Data...</v>
        <stp/>
        <stp>##V3_BQLV12</stp>
        <stp>[MODL_NOW_US1.xlsx]Single Period!R15C39</stp>
        <stp>SEG0000230992 Segment</stp>
        <stp>SALES_REV_TURN/1M</stp>
        <stp>FPR=2021Y</stp>
        <stp>FPT=A</stp>
        <stp>FA_ACT_EST_DATA=E, EST_SOURCE=DZB</stp>
        <stp>ACT_EST_MAPPING=PRECISE</stp>
        <stp>FS=MRC</stp>
        <stp>CURRENCY=USD</stp>
        <stp>XLFILL=b</stp>
        <tr r="AM15" s="2"/>
      </tp>
      <tp t="s">
        <v>#N/A Requesting Data...</v>
        <stp/>
        <stp>##V3_BQLV12</stp>
        <stp>[MODL_NOW_US1.xlsx]Single Period!R75C39</stp>
        <stp>SEG0000230992 Segment</stp>
        <stp>SALES_REV_TURN/1M</stp>
        <stp>FPR=2021Y</stp>
        <stp>FPT=A</stp>
        <stp>FA_ACT_EST_DATA=E, EST_SOURCE=DZB</stp>
        <stp>ACT_EST_MAPPING=PRECISE</stp>
        <stp>FS=MRC</stp>
        <stp>CURRENCY=USD</stp>
        <stp>XLFILL=b</stp>
        <tr r="AM75" s="2"/>
      </tp>
      <tp t="s">
        <v>#N/A Requesting Data...</v>
        <stp/>
        <stp>##V3_BQLV12</stp>
        <stp>[MODL_NOW_US1.xlsx]Single Period!R77C40</stp>
        <stp>SEG0000230969 Segment</stp>
        <stp>SALES_REV_TURN/1M</stp>
        <stp>FPR=2021Y</stp>
        <stp>FPT=A</stp>
        <stp>FA_ACT_EST_DATA=E, EST_SOURCE=DWI</stp>
        <stp>ACT_EST_MAPPING=PRECISE</stp>
        <stp>FS=MRC</stp>
        <stp>CURRENCY=USD</stp>
        <stp>XLFILL=b</stp>
        <tr r="AN77" s="2"/>
      </tp>
      <tp t="s">
        <v>#N/A Requesting Data...</v>
        <stp/>
        <stp>##V3_BQLV12</stp>
        <stp>[MODL_NOW_US1.xlsx]Single Period!R209C27</stp>
        <stp>NOW US Equity</stp>
        <stp>CF_CHANGE_IN_ACCOUNTS_PAYABLE/1M</stp>
        <stp>FPR=2021Y</stp>
        <stp>FPT=A</stp>
        <stp>FA_ACT_EST_DATA=E, EST_SOURCE=RBC</stp>
        <stp>ACT_EST_MAPPING=PRECISE</stp>
        <stp>FS=MRC</stp>
        <stp>CURRENCY=USD</stp>
        <stp>XLFILL=b</stp>
        <tr r="AA209" s="2"/>
      </tp>
      <tp t="s">
        <v>#N/A Requesting Data...</v>
        <stp/>
        <stp>##V3_BQLV12</stp>
        <stp>[MODL_NOW_US1.xlsx]Single Period!R133C38</stp>
        <stp>NOW US Equity</stp>
        <stp>IS_SH_FOR_DILUTED_EPS/1M</stp>
        <stp>FPR=2021Y</stp>
        <stp>FPT=A</stp>
        <stp>FA_ACT_EST_DATA=E, EST_SOURCE=RWB</stp>
        <stp>ACT_EST_MAPPING=PRECISE</stp>
        <stp>FS=MRC</stp>
        <stp>CURRENCY=USD</stp>
        <stp>XLFILL=b</stp>
        <tr r="AL133" s="2"/>
      </tp>
      <tp t="s">
        <v>#N/A Requesting Data...</v>
        <stp/>
        <stp>##V3_BQLV12</stp>
        <stp>[MODL_NOW_US1.xlsx]Single Period!R143C14</stp>
        <stp>NOW US Equity</stp>
        <stp>IS_SBC_ATTRIBUTABLE_TO_R_AND_D_PRETX/1M</stp>
        <stp>FPR=2021Y</stp>
        <stp>FPT=A</stp>
        <stp>FA_ACT_EST_DATA=E, EST_SOURCE=BMO</stp>
        <stp>ACT_EST_MAPPING=PRECISE</stp>
        <stp>FS=MRC</stp>
        <stp>CURRENCY=USD</stp>
        <stp>XLFILL=b</stp>
        <tr r="N143" s="2"/>
      </tp>
      <tp t="s">
        <v>#N/A Requesting Data...</v>
        <stp/>
        <stp>##V3_BQLV12</stp>
        <stp>[MODL_NOW_US1.xlsx]Single Period!R209C16</stp>
        <stp>NOW US Equity</stp>
        <stp>CF_CHANGE_IN_ACCOUNTS_PAYABLE/1M</stp>
        <stp>FPR=2021Y</stp>
        <stp>FPT=A</stp>
        <stp>FA_ACT_EST_DATA=E, EST_SOURCE=BCA</stp>
        <stp>ACT_EST_MAPPING=PRECISE</stp>
        <stp>FS=MRC</stp>
        <stp>CURRENCY=USD</stp>
        <stp>XLFILL=b</stp>
        <tr r="P209" s="2"/>
      </tp>
      <tp t="s">
        <v>#N/A Requesting Data...</v>
        <stp/>
        <stp>##V3_BQLV12</stp>
        <stp>[MODL_NOW_US1.xlsx]Single Period!R200C25</stp>
        <stp>NOW US Equity</stp>
        <stp>CF_DEPR_AMORT/1M</stp>
        <stp>FPR=2021Y</stp>
        <stp>FPT=A</stp>
        <stp>FA_ACT_EST_DATA=E, EST_SOURCE=DBG</stp>
        <stp>ACT_EST_MAPPING=PRECISE</stp>
        <stp>FS=MRC</stp>
        <stp>CURRENCY=USD</stp>
        <stp>XLFILL=b</stp>
        <tr r="Y200" s="2"/>
      </tp>
      <tp t="s">
        <v>#N/A Requesting Data...</v>
        <stp/>
        <stp>##V3_BQLV12</stp>
        <stp>[MODL_NOW_US1.xlsx]Single Period!R77C38</stp>
        <stp>SEG0000230969 Segment</stp>
        <stp>SALES_REV_TURN/1M</stp>
        <stp>FPR=2021Y</stp>
        <stp>FPT=A</stp>
        <stp>FA_ACT_EST_DATA=E, EST_SOURCE=RWB</stp>
        <stp>ACT_EST_MAPPING=PRECISE</stp>
        <stp>FS=MRC</stp>
        <stp>CURRENCY=USD</stp>
        <stp>XLFILL=b</stp>
        <tr r="AL77" s="2"/>
      </tp>
      <tp t="s">
        <v>#N/A Requesting Data...</v>
        <stp/>
        <stp>##V3_BQLV12</stp>
        <stp>[MODL_NOW_US1.xlsx]Single Period!R14C47</stp>
        <stp>SEG0000230975 Segment</stp>
        <stp>SALES_REV_TURN/1M</stp>
        <stp>FPR=2021Y</stp>
        <stp>FPT=A</stp>
        <stp>FA_ACT_EST_DATA=E, EST_SOURCE=SUM</stp>
        <stp>ACT_EST_MAPPING=PRECISE</stp>
        <stp>FS=MRC</stp>
        <stp>CURRENCY=USD</stp>
        <stp>XLFILL=b</stp>
        <tr r="AU14" s="2"/>
      </tp>
      <tp t="s">
        <v>#N/A Requesting Data...</v>
        <stp/>
        <stp>##V3_BQLV12</stp>
        <stp>[MODL_NOW_US1.xlsx]Single Period!R83C23</stp>
        <stp>NOW US Equity</stp>
        <stp>IS_ADJUSTED_COGS_AS_REPORTED/1M</stp>
        <stp>FPR=2021Y</stp>
        <stp>FPT=A</stp>
        <stp>FA_ACT_EST_DATA=E, EST_SOURCE=ZXS</stp>
        <stp>ACT_EST_MAPPING=PRECISE</stp>
        <stp>FS=MRC</stp>
        <stp>CURRENCY=USD</stp>
        <stp>XLFILL=b</stp>
        <tr r="W83" s="2"/>
      </tp>
      <tp t="s">
        <v>#N/A Requesting Data...</v>
        <stp/>
        <stp>##V3_BQLV12</stp>
        <stp>[MODL_NOW_US1.xlsx]Single Period!R207C44</stp>
        <stp>NOW US Equity</stp>
        <stp>CB_CF_CHANGE_IN_ACCOUNTS_RECEIVABLE/1M</stp>
        <stp>FPR=2021Y</stp>
        <stp>FPT=A</stp>
        <stp>FA_ACT_EST_DATA=E, EST_SOURCE=ARE</stp>
        <stp>ACT_EST_MAPPING=PRECISE</stp>
        <stp>FS=MRC</stp>
        <stp>CURRENCY=USD</stp>
        <stp>XLFILL=b</stp>
        <tr r="AR207" s="2"/>
      </tp>
      <tp t="s">
        <v>#N/A Requesting Data...</v>
        <stp/>
        <stp>##V3_BQLV12</stp>
        <stp>[MODL_NOW_US1.xlsx]Single Period!R207C41</stp>
        <stp>NOW US Equity</stp>
        <stp>CB_CF_CHANGE_IN_ACCOUNTS_RECEIVABLE/1M</stp>
        <stp>FPR=2021Y</stp>
        <stp>FPT=A</stp>
        <stp>FA_ACT_EST_DATA=E, EST_SOURCE=ARG</stp>
        <stp>ACT_EST_MAPPING=PRECISE</stp>
        <stp>FS=MRC</stp>
        <stp>CURRENCY=USD</stp>
        <stp>XLFILL=b</stp>
        <tr r="AO207" s="2"/>
      </tp>
      <tp t="s">
        <v>#N/A Requesting Data...</v>
        <stp/>
        <stp>##V3_BQLV12</stp>
        <stp>[MODL_NOW_US1.xlsx]Single Period!R66C23</stp>
        <stp>SEG0000230986 Segment</stp>
        <stp>SALES_REV_TURN/1M</stp>
        <stp>FPR=2021Y</stp>
        <stp>FPT=A</stp>
        <stp>FA_ACT_EST_DATA=E, EST_SOURCE=ZXS</stp>
        <stp>ACT_EST_MAPPING=PRECISE</stp>
        <stp>FS=MRC</stp>
        <stp>CURRENCY=USD</stp>
        <stp>XLFILL=b</stp>
        <tr r="W66" s="2"/>
      </tp>
      <tp t="s">
        <v>#N/A Requesting Data...</v>
        <stp/>
        <stp>##V3_BQLV12</stp>
        <stp>[MODL_NOW_US1.xlsx]Single Period!R99C24</stp>
        <stp>NOW US Equity</stp>
        <stp>IS_COMPARABLE_EBITDA/1M</stp>
        <stp>FPR=2021Y</stp>
        <stp>FPT=A</stp>
        <stp>FA_ACT_EST_DATA=E, EST_SOURCE=CWN</stp>
        <stp>ACT_EST_MAPPING=PRECISE</stp>
        <stp>FS=MRC</stp>
        <stp>CURRENCY=USD</stp>
        <stp>XLFILL=b</stp>
        <tr r="X99" s="2"/>
      </tp>
      <tp t="s">
        <v>#N/A Requesting Data...</v>
        <stp/>
        <stp>##V3_BQLV12</stp>
        <stp>[MODL_NOW_US1.xlsx]Single Period!R207C48</stp>
        <stp>NOW US Equity</stp>
        <stp>CB_CF_CHANGE_IN_ACCOUNTS_RECEIVABLE/1M</stp>
        <stp>FPR=2021Y</stp>
        <stp>FPT=A</stp>
        <stp>FA_ACT_EST_DATA=E, EST_SOURCE=CRC</stp>
        <stp>ACT_EST_MAPPING=PRECISE</stp>
        <stp>FS=MRC</stp>
        <stp>CURRENCY=USD</stp>
        <stp>XLFILL=b</stp>
        <tr r="AV207" s="2"/>
      </tp>
      <tp t="s">
        <v>#N/A Requesting Data...</v>
        <stp/>
        <stp>##V3_BQLV12</stp>
        <stp>[MODL_NOW_US1.xlsx]Single Period!R75C46</stp>
        <stp>SEG0000230992 Segment</stp>
        <stp>SALES_REV_TURN/1M</stp>
        <stp>FPR=2021Y</stp>
        <stp>FPT=A</stp>
        <stp>FA_ACT_EST_DATA=E, EST_SOURCE=MZS</stp>
        <stp>ACT_EST_MAPPING=PRECISE</stp>
        <stp>FS=MRC</stp>
        <stp>CURRENCY=USD</stp>
        <stp>XLFILL=b</stp>
        <tr r="AT75" s="2"/>
      </tp>
      <tp t="s">
        <v>#N/A Requesting Data...</v>
        <stp/>
        <stp>##V3_BQLV12</stp>
        <stp>[MODL_NOW_US1.xlsx]Single Period!R15C46</stp>
        <stp>SEG0000230992 Segment</stp>
        <stp>SALES_REV_TURN/1M</stp>
        <stp>FPR=2021Y</stp>
        <stp>FPT=A</stp>
        <stp>FA_ACT_EST_DATA=E, EST_SOURCE=MZS</stp>
        <stp>ACT_EST_MAPPING=PRECISE</stp>
        <stp>FS=MRC</stp>
        <stp>CURRENCY=USD</stp>
        <stp>XLFILL=b</stp>
        <tr r="AT15" s="2"/>
      </tp>
      <tp t="s">
        <v>#N/A Requesting Data...</v>
        <stp/>
        <stp>##V3_BQLV12</stp>
        <stp>[MODL_NOW_US1.xlsx]Single Period!R200C29</stp>
        <stp>NOW US Equity</stp>
        <stp>CF_DEPR_AMORT/1M</stp>
        <stp>FPR=2021Y</stp>
        <stp>FPT=A</stp>
        <stp>FA_ACT_EST_DATA=E, EST_SOURCE=BNS</stp>
        <stp>ACT_EST_MAPPING=PRECISE</stp>
        <stp>FS=MRC</stp>
        <stp>CURRENCY=USD</stp>
        <stp>XLFILL=b</stp>
        <tr r="AC200" s="2"/>
      </tp>
      <tp t="s">
        <v>#N/A Requesting Data...</v>
        <stp/>
        <stp>##V3_BQLV12</stp>
        <stp>[MODL_NOW_US1.xlsx]Single Period!R143C29</stp>
        <stp>NOW US Equity</stp>
        <stp>IS_SBC_ATTRIBUTABLE_TO_R_AND_D_PRETX/1M</stp>
        <stp>FPR=2021Y</stp>
        <stp>FPT=A</stp>
        <stp>FA_ACT_EST_DATA=E, EST_SOURCE=BNS</stp>
        <stp>ACT_EST_MAPPING=PRECISE</stp>
        <stp>FS=MRC</stp>
        <stp>CURRENCY=USD</stp>
        <stp>XLFILL=b</stp>
        <tr r="AC143" s="2"/>
      </tp>
      <tp t="s">
        <v>#N/A Requesting Data...</v>
        <stp/>
        <stp>##V3_BQLV12</stp>
        <stp>[MODL_NOW_US1.xlsx]Single Period!R169C38</stp>
        <stp>NOW US Equity</stp>
        <stp>CB_BS_OTHER_NONCURRENT_ASSETS/1M</stp>
        <stp>FPR=2021Y</stp>
        <stp>FPT=A</stp>
        <stp>FA_ACT_EST_DATA=E, EST_SOURCE=RWB</stp>
        <stp>ACT_EST_MAPPING=PRECISE</stp>
        <stp>FS=MRC</stp>
        <stp>CURRENCY=USD</stp>
        <stp>XLFILL=b</stp>
        <tr r="AL169" s="2"/>
      </tp>
      <tp t="s">
        <v>#N/A Requesting Data...</v>
        <stp/>
        <stp>##V3_BQLV12</stp>
        <stp>[MODL_NOW_US1.xlsx]Single Period!R54C23</stp>
        <stp>NOW US Equity</stp>
        <stp>IS_FOREIGN_CURRENCY_TURNOVER/1M</stp>
        <stp>FPR=2021Y</stp>
        <stp>FPT=A</stp>
        <stp>FA_ACT_EST_DATA=E, EST_SOURCE=ZXS</stp>
        <stp>ACT_EST_MAPPING=PRECISE</stp>
        <stp>FS=MRC</stp>
        <stp>CURRENCY=USD</stp>
        <stp>XLFILL=b</stp>
        <tr r="W54" s="2"/>
      </tp>
      <tp t="s">
        <v>#N/A Requesting Data...</v>
        <stp/>
        <stp>##V3_BQLV12</stp>
        <stp>[MODL_NOW_US1.xlsx]Single Period!R101C36</stp>
        <stp>NOW US Equity</stp>
        <stp>CB_IS_OTHER_NON_OPER_INC_EXPN/1M</stp>
        <stp>FPR=2021Y</stp>
        <stp>FPT=A</stp>
        <stp>FA_ACT_EST_DATA=E, EST_SOURCE=JEF</stp>
        <stp>ACT_EST_MAPPING=PRECISE</stp>
        <stp>FS=MRC</stp>
        <stp>CURRENCY=USD</stp>
        <stp>XLFILL=b</stp>
        <tr r="AJ101" s="2"/>
      </tp>
      <tp t="s">
        <v>#N/A Requesting Data...</v>
        <stp/>
        <stp>##V3_BQLV12</stp>
        <stp>[MODL_NOW_US1.xlsx]Single Period!R226C5</stp>
        <stp>NOW US Equity</stp>
        <stp>CF_OTHER_FINANCING_ACT_EXCL_FX/1M</stp>
        <stp>FPR=2021Y</stp>
        <stp>FPT=A</stp>
        <stp>FA_ACT_EST_DATA=E</stp>
        <stp>ACT_EST_MAPPING=PRECISE</stp>
        <stp>FS=MRC</stp>
        <stp>CURRENCY=USD</stp>
        <stp>XLFILL=b</stp>
        <tr r="E226" s="2"/>
      </tp>
      <tp t="s">
        <v>#N/A Requesting Data...</v>
        <stp/>
        <stp>##V3_BQLV12</stp>
        <stp>[MODL_NOW_US1.xlsx]Single Period!R16C28</stp>
        <stp>SEG0000230969 Segment</stp>
        <stp>SALES_REV_TURN/1M</stp>
        <stp>FPR=2021Y</stp>
        <stp>FPT=A</stp>
        <stp>FA_ACT_EST_DATA=E, EST_SOURCE=EVR</stp>
        <stp>ACT_EST_MAPPING=PRECISE</stp>
        <stp>FS=MRC</stp>
        <stp>CURRENCY=USD</stp>
        <stp>XLFILL=b</stp>
        <tr r="AB16" s="2"/>
      </tp>
      <tp t="s">
        <v>#N/A Requesting Data...</v>
        <stp/>
        <stp>##V3_BQLV12</stp>
        <stp>[MODL_NOW_US1.xlsx]Single Period!R209C43</stp>
        <stp>NOW US Equity</stp>
        <stp>CF_CHANGE_IN_ACCOUNTS_PAYABLE/1M</stp>
        <stp>FPR=2021Y</stp>
        <stp>FPT=A</stp>
        <stp>FA_ACT_EST_DATA=E, EST_SOURCE=WFT</stp>
        <stp>ACT_EST_MAPPING=PRECISE</stp>
        <stp>FS=MRC</stp>
        <stp>CURRENCY=USD</stp>
        <stp>XLFILL=b</stp>
        <tr r="AQ209" s="2"/>
      </tp>
      <tp t="s">
        <v>#N/A Requesting Data...</v>
        <stp/>
        <stp>##V3_BQLV12</stp>
        <stp>[MODL_NOW_US1.xlsx]Single Period!R3C20</stp>
        <stp>NOW US Equity</stp>
        <stp>LAST(IS_COMP_SALES(FA_ACT_EST_DATA=E, EST_SOURCE=CAN).firm_name)</stp>
        <stp>FPR=2021Y</stp>
        <stp>FPT=A</stp>
        <stp>ACT_EST_MAPPING=PRECISE</stp>
        <stp>FS=MRC</stp>
        <stp>CURRENCY=USD</stp>
        <stp>XLFILL=b</stp>
        <tr r="T3" s="2"/>
      </tp>
      <tp t="s">
        <v>#N/A Requesting Data...</v>
        <stp/>
        <stp>##V3_BQLV12</stp>
        <stp>[MODL_NOW_US1.xlsx]Single Period!R3C30</stp>
        <stp>NOW US Equity</stp>
        <stp>LAST(IS_COMP_SALES(FA_ACT_EST_DATA=E, EST_SOURCE=BAM).firm_name)</stp>
        <stp>FPR=2021Y</stp>
        <stp>FPT=A</stp>
        <stp>ACT_EST_MAPPING=PRECISE</stp>
        <stp>FS=MRC</stp>
        <stp>CURRENCY=USD</stp>
        <stp>XLFILL=b</stp>
        <tr r="AD3" s="2"/>
      </tp>
      <tp t="s">
        <v>#N/A Requesting Data...</v>
        <stp/>
        <stp>##V3_BQLV12</stp>
        <stp>[MODL_NOW_US1.xlsx]Single Period!R134C31</stp>
        <stp>NOW US Equity</stp>
        <stp>IS_COMP_EPS_GAAP</stp>
        <stp>FPR=2021Y</stp>
        <stp>FPT=A</stp>
        <stp>FA_ACT_EST_DATA=E, EST_SOURCE=GSR</stp>
        <stp>ACT_EST_MAPPING=PRECISE</stp>
        <stp>FS=MRC</stp>
        <stp>CURRENCY=USD</stp>
        <stp>XLFILL=b</stp>
        <tr r="AE134" s="2"/>
      </tp>
      <tp t="s">
        <v>#N/A Requesting Data...</v>
        <stp/>
        <stp>##V3_BQLV12</stp>
        <stp>[MODL_NOW_US1.xlsx]Single Period!R3C33</stp>
        <stp>NOW US Equity</stp>
        <stp>LAST(IS_COMP_SALES(FA_ACT_EST_DATA=E, EST_SOURCE=MAC).firm_name)</stp>
        <stp>FPR=2021Y</stp>
        <stp>FPT=A</stp>
        <stp>ACT_EST_MAPPING=PRECISE</stp>
        <stp>FS=MRC</stp>
        <stp>CURRENCY=USD</stp>
        <stp>XLFILL=b</stp>
        <tr r="AG3" s="2"/>
      </tp>
      <tp t="s">
        <v>#N/A Requesting Data...</v>
        <stp/>
        <stp>##V3_BQLV12</stp>
        <stp>[MODL_NOW_US1.xlsx]Single Period!R201C12</stp>
        <stp>NOW US Equity</stp>
        <stp>D_AND_A_TO_SALES</stp>
        <stp>FPR=2021Y</stp>
        <stp>FPT=A</stp>
        <stp>FA_ACT_EST_DATA=E, EST_SOURCE=WBL</stp>
        <stp>ACT_EST_MAPPING=PRECISE</stp>
        <stp>FS=MRC</stp>
        <stp>CURRENCY=USD</stp>
        <stp>XLFILL=b</stp>
        <tr r="L201" s="2"/>
      </tp>
      <tp t="s">
        <v>#N/A Requesting Data...</v>
        <stp/>
        <stp>##V3_BQLV12</stp>
        <stp>[MODL_NOW_US1.xlsx]Single Period!R85C37</stp>
        <stp>NOW US Equity</stp>
        <stp>IS_COMP_GROSS_MARGIN_PERCENTAGE</stp>
        <stp>FPR=2021Y</stp>
        <stp>FPT=A</stp>
        <stp>FA_ACT_EST_DATA=E, EST_SOURCE=TTC</stp>
        <stp>ACT_EST_MAPPING=PRECISE</stp>
        <stp>FS=MRC</stp>
        <stp>CURRENCY=USD</stp>
        <stp>XLFILL=b</stp>
        <tr r="AK85" s="2"/>
      </tp>
      <tp t="s">
        <v>#N/A Requesting Data...</v>
        <stp/>
        <stp>##V3_BQLV12</stp>
        <stp>[MODL_NOW_US1.xlsx]Single Period!R189C9</stp>
        <stp>NOW US Equity</stp>
        <stp>CONTRIBUTOR_STATS(CUR_RATIO, MEDIAN)</stp>
        <stp>FPR=2021Y</stp>
        <stp>FPT=A</stp>
        <stp>FA_ACT_EST_DATA=E</stp>
        <stp>ACT_EST_MAPPING=PRECISE</stp>
        <stp>FS=MRC</stp>
        <stp>CURRENCY=USD</stp>
        <stp>XLFILL=b</stp>
        <tr r="I189" s="2"/>
      </tp>
      <tp t="s">
        <v>#N/A Requesting Data...</v>
        <stp/>
        <stp>##V3_BQLV12</stp>
        <stp>[MODL_NOW_US1.xlsx]Single Period!R25C37</stp>
        <stp>NOW US Equity</stp>
        <stp>IS_COMP_GROSS_MARGIN_PERCENTAGE</stp>
        <stp>FPR=2021Y</stp>
        <stp>FPT=A</stp>
        <stp>FA_ACT_EST_DATA=E, EST_SOURCE=TTC</stp>
        <stp>ACT_EST_MAPPING=PRECISE</stp>
        <stp>FS=MRC</stp>
        <stp>CURRENCY=USD</stp>
        <stp>XLFILL=b</stp>
        <tr r="AK25" s="2"/>
      </tp>
      <tp t="s">
        <v>#N/A Requesting Data...</v>
        <stp/>
        <stp>##V3_BQLV12</stp>
        <stp>[MODL_NOW_US1.xlsx]Single Period!R134C47</stp>
        <stp>NOW US Equity</stp>
        <stp>IS_COMP_EPS_GAAP</stp>
        <stp>FPR=2021Y</stp>
        <stp>FPT=A</stp>
        <stp>FA_ACT_EST_DATA=E, EST_SOURCE=SUM</stp>
        <stp>ACT_EST_MAPPING=PRECISE</stp>
        <stp>FS=MRC</stp>
        <stp>CURRENCY=USD</stp>
        <stp>XLFILL=b</stp>
        <tr r="AU134" s="2"/>
      </tp>
      <tp t="s">
        <v>#N/A Requesting Data...</v>
        <stp/>
        <stp>##V3_BQLV12</stp>
        <stp>[MODL_NOW_US1.xlsx]Single Period!R201C32</stp>
        <stp>NOW US Equity</stp>
        <stp>D_AND_A_TO_SALES</stp>
        <stp>FPR=2021Y</stp>
        <stp>FPT=A</stp>
        <stp>FA_ACT_EST_DATA=E, EST_SOURCE=FBC</stp>
        <stp>ACT_EST_MAPPING=PRECISE</stp>
        <stp>FS=MRC</stp>
        <stp>CURRENCY=USD</stp>
        <stp>XLFILL=b</stp>
        <tr r="AF201" s="2"/>
      </tp>
      <tp t="s">
        <v>#N/A Requesting Data...</v>
        <stp/>
        <stp>##V3_BQLV12</stp>
        <stp>[MODL_NOW_US1.xlsx]Single Period!R156C17</stp>
        <stp>NOW US Equity</stp>
        <stp>BS_CASH_NEAR_CASH_ITEM/1M</stp>
        <stp>FPR=2021Y</stp>
        <stp>FPT=A</stp>
        <stp>FA_ACT_EST_DATA=E, EST_SOURCE=RHR</stp>
        <stp>ACT_EST_MAPPING=PRECISE</stp>
        <stp>FS=MRC</stp>
        <stp>CURRENCY=USD</stp>
        <stp>XLFILL=b</stp>
        <tr r="Q156" s="2"/>
      </tp>
      <tp t="s">
        <v>#N/A Requesting Data...</v>
        <stp/>
        <stp>##V3_BQLV12</stp>
        <stp>[MODL_NOW_US1.xlsx]Single Period!R22C17</stp>
        <stp>SEG0000230986 Segment</stp>
        <stp>IS_ADJ_GROSS_MARGIN_PCT_AR</stp>
        <stp>FPR=2021Y</stp>
        <stp>FPT=A</stp>
        <stp>FA_ACT_EST_DATA=E, EST_SOURCE=RHR</stp>
        <stp>ACT_EST_MAPPING=PRECISE</stp>
        <stp>FS=MRC</stp>
        <stp>CURRENCY=USD</stp>
        <stp>XLFILL=b</stp>
        <tr r="Q22" s="2"/>
      </tp>
      <tp t="s">
        <v>#N/A Requesting Data...</v>
        <stp/>
        <stp>##V3_BQLV12</stp>
        <stp>[MODL_NOW_US1.xlsx]Single Period!R70C17</stp>
        <stp>SEG0000230986 Segment</stp>
        <stp>IS_ADJ_GROSS_MARGIN_PCT_AR</stp>
        <stp>FPR=2021Y</stp>
        <stp>FPT=A</stp>
        <stp>FA_ACT_EST_DATA=E, EST_SOURCE=RHR</stp>
        <stp>ACT_EST_MAPPING=PRECISE</stp>
        <stp>FS=MRC</stp>
        <stp>CURRENCY=USD</stp>
        <stp>XLFILL=b</stp>
        <tr r="Q70" s="2"/>
      </tp>
      <tp t="s">
        <v>#N/A Requesting Data...</v>
        <stp/>
        <stp>##V3_BQLV12</stp>
        <stp>[MODL_NOW_US1.xlsx]Single Period!R123C16</stp>
        <stp>NOW US Equity</stp>
        <stp>TOTAL_OPERATING_EXPENSES_RATIO/1M</stp>
        <stp>FPR=2021Y</stp>
        <stp>FPT=A</stp>
        <stp>FA_ACT_EST_DATA=E, EST_SOURCE=BCA</stp>
        <stp>ACT_EST_MAPPING=PRECISE</stp>
        <stp>FS=MRC</stp>
        <stp>CURRENCY=USD</stp>
        <stp>XLFILL=b</stp>
        <tr r="P123" s="2"/>
      </tp>
      <tp t="s">
        <v>#N/A Requesting Data...</v>
        <stp/>
        <stp>##V3_BQLV12</stp>
        <stp>[MODL_NOW_US1.xlsx]Single Period!R123C49</stp>
        <stp>NOW US Equity</stp>
        <stp>TOTAL_OPERATING_EXPENSES_RATIO/1M</stp>
        <stp>FPR=2021Y</stp>
        <stp>FPT=A</stp>
        <stp>FA_ACT_EST_DATA=E, EST_SOURCE=SCB</stp>
        <stp>ACT_EST_MAPPING=PRECISE</stp>
        <stp>FS=MRC</stp>
        <stp>CURRENCY=USD</stp>
        <stp>XLFILL=b</stp>
        <tr r="AW123" s="2"/>
      </tp>
      <tp t="s">
        <v>#N/A Requesting Data...</v>
        <stp/>
        <stp>##V3_BQLV12</stp>
        <stp>[MODL_NOW_US1.xlsx]Single Period!R40C18</stp>
        <stp>NOW US Equity</stp>
        <stp>BILLNG_AMOUNT_GROWTH_PCT</stp>
        <stp>FPR=2021Y</stp>
        <stp>FPT=A</stp>
        <stp>FA_ACT_EST_DATA=E, EST_SOURCE=SNR</stp>
        <stp>ACT_EST_MAPPING=PRECISE</stp>
        <stp>FS=MRC</stp>
        <stp>CURRENCY=USD</stp>
        <stp>XLFILL=b</stp>
        <tr r="R40" s="2"/>
      </tp>
      <tp t="s">
        <v>#N/A Requesting Data...</v>
        <stp/>
        <stp>##V3_BQLV12</stp>
        <stp>[MODL_NOW_US1.xlsx]Single Period!R195C22</stp>
        <stp>NOW US Equity</stp>
        <stp>CB_BS_DEFERRED_COST_LT/1M</stp>
        <stp>FPR=2021Y</stp>
        <stp>FPT=A</stp>
        <stp>FA_ACT_EST_DATA=E, EST_SOURCE=NDH</stp>
        <stp>ACT_EST_MAPPING=PRECISE</stp>
        <stp>FS=MRC</stp>
        <stp>CURRENCY=USD</stp>
        <stp>XLFILL=b</stp>
        <tr r="V195" s="2"/>
      </tp>
      <tp t="s">
        <v>#N/A Requesting Data...</v>
        <stp/>
        <stp>##V3_BQLV12</stp>
        <stp>[MODL_NOW_US1.xlsx]Single Period!R204C13</stp>
        <stp>NOW US Equity</stp>
        <stp>CF_DEF_INC_TAX/1M</stp>
        <stp>FPR=2021Y</stp>
        <stp>FPT=A</stp>
        <stp>FA_ACT_EST_DATA=E, EST_SOURCE=KEY</stp>
        <stp>ACT_EST_MAPPING=PRECISE</stp>
        <stp>FS=MRC</stp>
        <stp>CURRENCY=USD</stp>
        <stp>XLFILL=b</stp>
        <tr r="M204" s="2"/>
      </tp>
      <tp t="s">
        <v>#N/A Requesting Data...</v>
        <stp/>
        <stp>##V3_BQLV12</stp>
        <stp>[MODL_NOW_US1.xlsx]Single Period!R64C46</stp>
        <stp>SEG0000230975 Segment</stp>
        <stp>CB_IS_GROSS_MARGIN</stp>
        <stp>FPR=2021Y</stp>
        <stp>FPT=A</stp>
        <stp>FA_ACT_EST_DATA=E, EST_SOURCE=MZS</stp>
        <stp>ACT_EST_MAPPING=PRECISE</stp>
        <stp>FS=MRC</stp>
        <stp>CURRENCY=USD</stp>
        <stp>XLFILL=b</stp>
        <tr r="AT64" s="2"/>
      </tp>
      <tp t="s">
        <v>#N/A Requesting Data...</v>
        <stp/>
        <stp>##V3_BQLV12</stp>
        <stp>[MODL_NOW_US1.xlsx]Single Period!R40C13</stp>
        <stp>NOW US Equity</stp>
        <stp>BILLNG_AMOUNT_GROWTH_PCT</stp>
        <stp>FPR=2021Y</stp>
        <stp>FPT=A</stp>
        <stp>FA_ACT_EST_DATA=E, EST_SOURCE=KEY</stp>
        <stp>ACT_EST_MAPPING=PRECISE</stp>
        <stp>FS=MRC</stp>
        <stp>CURRENCY=USD</stp>
        <stp>XLFILL=b</stp>
        <tr r="M40" s="2"/>
      </tp>
      <tp t="s">
        <v>#N/A Requesting Data...</v>
        <stp/>
        <stp>##V3_BQLV12</stp>
        <stp>[MODL_NOW_US1.xlsx]Single Period!R232C46</stp>
        <stp>NOW US Equity</stp>
        <stp>CF_CASH_AND_CASH_EQUIV_BEG_BAL/1M</stp>
        <stp>FPR=2021Y</stp>
        <stp>FPT=A</stp>
        <stp>FA_ACT_EST_DATA=E, EST_SOURCE=MZS</stp>
        <stp>ACT_EST_MAPPING=PRECISE</stp>
        <stp>FS=MRC</stp>
        <stp>CURRENCY=USD</stp>
        <stp>XLFILL=b</stp>
        <tr r="AT232" s="2"/>
      </tp>
      <tp t="s">
        <v>#N/A Requesting Data...</v>
        <stp/>
        <stp>##V3_BQLV12</stp>
        <stp>[MODL_NOW_US1.xlsx]Single Period!R233C23</stp>
        <stp>NOW US Equity</stp>
        <stp>CF_CASH_AND_CASH_EQUIV_END_BAL/1M</stp>
        <stp>FPR=2021Y</stp>
        <stp>FPT=A</stp>
        <stp>FA_ACT_EST_DATA=E, EST_SOURCE=ZXS</stp>
        <stp>ACT_EST_MAPPING=PRECISE</stp>
        <stp>FS=MRC</stp>
        <stp>CURRENCY=USD</stp>
        <stp>XLFILL=b</stp>
        <tr r="W233" s="2"/>
      </tp>
      <tp t="s">
        <v>#N/A Requesting Data...</v>
        <stp/>
        <stp>##V3_BQLV12</stp>
        <stp>[MODL_NOW_US1.xlsx]Single Period!R226C48</stp>
        <stp>NOW US Equity</stp>
        <stp>CF_OTHER_FINANCING_ACT_EXCL_FX/1M</stp>
        <stp>FPR=2021Y</stp>
        <stp>FPT=A</stp>
        <stp>FA_ACT_EST_DATA=E, EST_SOURCE=CRC</stp>
        <stp>ACT_EST_MAPPING=PRECISE</stp>
        <stp>FS=MRC</stp>
        <stp>CURRENCY=USD</stp>
        <stp>XLFILL=b</stp>
        <tr r="AV226" s="2"/>
      </tp>
      <tp t="s">
        <v>#N/A Requesting Data...</v>
        <stp/>
        <stp>##V3_BQLV12</stp>
        <stp>[MODL_NOW_US1.xlsx]Single Period!R10C36</stp>
        <stp>NOW US Equity</stp>
        <stp>BILLNG_AMOUNT_GROWTH_PCT</stp>
        <stp>FPR=2021Y</stp>
        <stp>FPT=A</stp>
        <stp>FA_ACT_EST_DATA=E, EST_SOURCE=JEF</stp>
        <stp>ACT_EST_MAPPING=PRECISE</stp>
        <stp>FS=MRC</stp>
        <stp>CURRENCY=USD</stp>
        <stp>XLFILL=b</stp>
        <tr r="AJ10" s="2"/>
      </tp>
      <tp t="s">
        <v>#N/A Requesting Data...</v>
        <stp/>
        <stp>##V3_BQLV12</stp>
        <stp>[MODL_NOW_US1.xlsx]Single Period!R204C36</stp>
        <stp>NOW US Equity</stp>
        <stp>CF_DEF_INC_TAX/1M</stp>
        <stp>FPR=2021Y</stp>
        <stp>FPT=A</stp>
        <stp>FA_ACT_EST_DATA=E, EST_SOURCE=JEF</stp>
        <stp>ACT_EST_MAPPING=PRECISE</stp>
        <stp>FS=MRC</stp>
        <stp>CURRENCY=USD</stp>
        <stp>XLFILL=b</stp>
        <tr r="AJ204" s="2"/>
      </tp>
      <tp t="s">
        <v>#N/A Requesting Data...</v>
        <stp/>
        <stp>##V3_BQLV12</stp>
        <stp>[MODL_NOW_US1.xlsx]Single Period!R226C44</stp>
        <stp>NOW US Equity</stp>
        <stp>CF_OTHER_FINANCING_ACT_EXCL_FX/1M</stp>
        <stp>FPR=2021Y</stp>
        <stp>FPT=A</stp>
        <stp>FA_ACT_EST_DATA=E, EST_SOURCE=ARE</stp>
        <stp>ACT_EST_MAPPING=PRECISE</stp>
        <stp>FS=MRC</stp>
        <stp>CURRENCY=USD</stp>
        <stp>XLFILL=b</stp>
        <tr r="AR226" s="2"/>
      </tp>
      <tp t="s">
        <v>#N/A Requesting Data...</v>
        <stp/>
        <stp>##V3_BQLV12</stp>
        <stp>[MODL_NOW_US1.xlsx]Single Period!R226C41</stp>
        <stp>NOW US Equity</stp>
        <stp>CF_OTHER_FINANCING_ACT_EXCL_FX/1M</stp>
        <stp>FPR=2021Y</stp>
        <stp>FPT=A</stp>
        <stp>FA_ACT_EST_DATA=E, EST_SOURCE=ARG</stp>
        <stp>ACT_EST_MAPPING=PRECISE</stp>
        <stp>FS=MRC</stp>
        <stp>CURRENCY=USD</stp>
        <stp>XLFILL=b</stp>
        <tr r="AO226" s="2"/>
      </tp>
      <tp t="s">
        <v>#N/A Requesting Data...</v>
        <stp/>
        <stp>##V3_BQLV12</stp>
        <stp>[MODL_NOW_US1.xlsx]Single Period!R128C45</stp>
        <stp>NOW US Equity</stp>
        <stp>IS_INC_TAX_EXP/1M</stp>
        <stp>FPR=2021Y</stp>
        <stp>FPT=A</stp>
        <stp>FA_ACT_EST_DATA=E, EST_SOURCE=PJE</stp>
        <stp>ACT_EST_MAPPING=PRECISE</stp>
        <stp>FS=MRC</stp>
        <stp>CURRENCY=USD</stp>
        <stp>XLFILL=b</stp>
        <tr r="AS128" s="2"/>
      </tp>
      <tp t="s">
        <v>#N/A Requesting Data...</v>
        <stp/>
        <stp>##V3_BQLV12</stp>
        <stp>[MODL_NOW_US1.xlsx]Single Period!R64C39</stp>
        <stp>SEG0000230975 Segment</stp>
        <stp>CB_IS_GROSS_MARGIN</stp>
        <stp>FPR=2021Y</stp>
        <stp>FPT=A</stp>
        <stp>FA_ACT_EST_DATA=E, EST_SOURCE=DZB</stp>
        <stp>ACT_EST_MAPPING=PRECISE</stp>
        <stp>FS=MRC</stp>
        <stp>CURRENCY=USD</stp>
        <stp>XLFILL=b</stp>
        <tr r="AM64" s="2"/>
      </tp>
      <tp t="s">
        <v>#N/A Requesting Data...</v>
        <stp/>
        <stp>##V3_BQLV12</stp>
        <stp>[MODL_NOW_US1.xlsx]Single Period!R40C22</stp>
        <stp>NOW US Equity</stp>
        <stp>BILLNG_AMOUNT_GROWTH_PCT</stp>
        <stp>FPR=2021Y</stp>
        <stp>FPT=A</stp>
        <stp>FA_ACT_EST_DATA=E, EST_SOURCE=NDH</stp>
        <stp>ACT_EST_MAPPING=PRECISE</stp>
        <stp>FS=MRC</stp>
        <stp>CURRENCY=USD</stp>
        <stp>XLFILL=b</stp>
        <tr r="V40" s="2"/>
      </tp>
      <tp t="s">
        <v>#N/A Requesting Data...</v>
        <stp/>
        <stp>##V3_BQLV12</stp>
        <stp>[MODL_NOW_US1.xlsx]Single Period!R232C39</stp>
        <stp>NOW US Equity</stp>
        <stp>CF_CASH_AND_CASH_EQUIV_BEG_BAL/1M</stp>
        <stp>FPR=2021Y</stp>
        <stp>FPT=A</stp>
        <stp>FA_ACT_EST_DATA=E, EST_SOURCE=DZB</stp>
        <stp>ACT_EST_MAPPING=PRECISE</stp>
        <stp>FS=MRC</stp>
        <stp>CURRENCY=USD</stp>
        <stp>XLFILL=b</stp>
        <tr r="AM232" s="2"/>
      </tp>
      <tp t="s">
        <v>#N/A Requesting Data...</v>
        <stp/>
        <stp>##V3_BQLV12</stp>
        <stp>[MODL_NOW_US1.xlsx]Single Period!R191C45</stp>
        <stp>NOW US Equity</stp>
        <stp>ST_DEFERRED_REVENUE/1M</stp>
        <stp>FPR=2021Y</stp>
        <stp>FPT=A</stp>
        <stp>FA_ACT_EST_DATA=E, EST_SOURCE=PJE</stp>
        <stp>ACT_EST_MAPPING=PRECISE</stp>
        <stp>FS=MRC</stp>
        <stp>CURRENCY=USD</stp>
        <stp>XLFILL=b</stp>
        <tr r="AS191" s="2"/>
      </tp>
      <tp t="s">
        <v>#N/A Requesting Data...</v>
        <stp/>
        <stp>##V3_BQLV12</stp>
        <stp>[MODL_NOW_US1.xlsx]Single Period!R176C45</stp>
        <stp>NOW US Equity</stp>
        <stp>ST_DEFERRED_REVENUE/1M</stp>
        <stp>FPR=2021Y</stp>
        <stp>FPT=A</stp>
        <stp>FA_ACT_EST_DATA=E, EST_SOURCE=PJE</stp>
        <stp>ACT_EST_MAPPING=PRECISE</stp>
        <stp>FS=MRC</stp>
        <stp>CURRENCY=USD</stp>
        <stp>XLFILL=b</stp>
        <tr r="AS176" s="2"/>
      </tp>
      <tp t="s">
        <v>#N/A Requesting Data...</v>
        <stp/>
        <stp>##V3_BQLV12</stp>
        <stp>[MODL_NOW_US1.xlsx]Single Period!R179C45</stp>
        <stp>NOW US Equity</stp>
        <stp>LT_DEFERRED_REVENUE/1M</stp>
        <stp>FPR=2021Y</stp>
        <stp>FPT=A</stp>
        <stp>FA_ACT_EST_DATA=E, EST_SOURCE=PJE</stp>
        <stp>ACT_EST_MAPPING=PRECISE</stp>
        <stp>FS=MRC</stp>
        <stp>CURRENCY=USD</stp>
        <stp>XLFILL=b</stp>
        <tr r="AS179" s="2"/>
      </tp>
      <tp t="s">
        <v>#N/A Requesting Data...</v>
        <stp/>
        <stp>##V3_BQLV12</stp>
        <stp>[MODL_NOW_US1.xlsx]Single Period!R192C45</stp>
        <stp>NOW US Equity</stp>
        <stp>LT_DEFERRED_REVENUE/1M</stp>
        <stp>FPR=2021Y</stp>
        <stp>FPT=A</stp>
        <stp>FA_ACT_EST_DATA=E, EST_SOURCE=PJE</stp>
        <stp>ACT_EST_MAPPING=PRECISE</stp>
        <stp>FS=MRC</stp>
        <stp>CURRENCY=USD</stp>
        <stp>XLFILL=b</stp>
        <tr r="AS192" s="2"/>
      </tp>
      <tp t="s">
        <v>#N/A Requesting Data...</v>
        <stp/>
        <stp>##V3_BQLV12</stp>
        <stp>[MODL_NOW_US1.xlsx]Single Period!R173C13</stp>
        <stp>NOW US Equity</stp>
        <stp>BS_CUR_LIAB/1M</stp>
        <stp>FPR=2021Y</stp>
        <stp>FPT=A</stp>
        <stp>FA_ACT_EST_DATA=E, EST_SOURCE=KEY</stp>
        <stp>ACT_EST_MAPPING=PRECISE</stp>
        <stp>FS=MRC</stp>
        <stp>CURRENCY=USD</stp>
        <stp>XLFILL=b</stp>
        <tr r="M173" s="2"/>
      </tp>
      <tp t="s">
        <v>#N/A Requesting Data...</v>
        <stp/>
        <stp>##V3_BQLV12</stp>
        <stp>[MODL_NOW_US1.xlsx]Single Period!R89C33</stp>
        <stp>NOW US Equity</stp>
        <stp>IS_REV_INCLUDING_INTERSEG_REV/1M</stp>
        <stp>FPR=2021Y</stp>
        <stp>FPT=A</stp>
        <stp>FA_ACT_EST_DATA=E, EST_SOURCE=MAC</stp>
        <stp>ACT_EST_MAPPING=PRECISE</stp>
        <stp>FS=MRC</stp>
        <stp>CURRENCY=USD</stp>
        <stp>XLFILL=b</stp>
        <tr r="AG89" s="2"/>
      </tp>
      <tp t="s">
        <v>#N/A Requesting Data...</v>
        <stp/>
        <stp>##V3_BQLV12</stp>
        <stp>[MODL_NOW_US1.xlsx]Single Period!R203C23</stp>
        <stp>NOW US Equity</stp>
        <stp>AMORTIZATN_OF_FINNCNG_COSTS/1M</stp>
        <stp>FPR=2021Y</stp>
        <stp>FPT=A</stp>
        <stp>FA_ACT_EST_DATA=E, EST_SOURCE=ZXS</stp>
        <stp>ACT_EST_MAPPING=PRECISE</stp>
        <stp>FS=MRC</stp>
        <stp>CURRENCY=USD</stp>
        <stp>XLFILL=b</stp>
        <tr r="W203" s="2"/>
      </tp>
      <tp t="s">
        <v>#N/A Requesting Data...</v>
        <stp/>
        <stp>##V3_BQLV12</stp>
        <stp>[MODL_NOW_US1.xlsx]Single Period!R124C23</stp>
        <stp>NOW US Equity</stp>
        <stp>IS_EBIT_AS_REPORTED/1M</stp>
        <stp>FPR=2021Y</stp>
        <stp>FPT=A</stp>
        <stp>FA_ACT_EST_DATA=E, EST_SOURCE=ZXS</stp>
        <stp>ACT_EST_MAPPING=PRECISE</stp>
        <stp>FS=MRC</stp>
        <stp>CURRENCY=USD</stp>
        <stp>XLFILL=b</stp>
        <tr r="W124" s="2"/>
      </tp>
      <tp t="s">
        <v>#N/A Requesting Data...</v>
        <stp/>
        <stp>##V3_BQLV12</stp>
        <stp>[MODL_NOW_US1.xlsx]Single Period!R230C13</stp>
        <stp>NOW US Equity</stp>
        <stp>CF_EFFECT_FOREIGN_EXCHANGES/1M</stp>
        <stp>FPR=2021Y</stp>
        <stp>FPT=A</stp>
        <stp>FA_ACT_EST_DATA=E, EST_SOURCE=KEY</stp>
        <stp>ACT_EST_MAPPING=PRECISE</stp>
        <stp>FS=MRC</stp>
        <stp>CURRENCY=USD</stp>
        <stp>XLFILL=b</stp>
        <tr r="M230" s="2"/>
      </tp>
      <tp t="s">
        <v>#N/A Requesting Data...</v>
        <stp/>
        <stp>##V3_BQLV12</stp>
        <stp>[MODL_NOW_US1.xlsx]Single Period!R184C46</stp>
        <stp>NOW US Equity</stp>
        <stp>BS_EQTY_BEFORE_MINORITY_INT/1M</stp>
        <stp>FPR=2021Y</stp>
        <stp>FPT=A</stp>
        <stp>FA_ACT_EST_DATA=E, EST_SOURCE=MZS</stp>
        <stp>ACT_EST_MAPPING=PRECISE</stp>
        <stp>FS=MRC</stp>
        <stp>CURRENCY=USD</stp>
        <stp>XLFILL=b</stp>
        <tr r="AT184" s="2"/>
      </tp>
      <tp t="s">
        <v>#N/A Requesting Data...</v>
        <stp/>
        <stp>##V3_BQLV12</stp>
        <stp>[MODL_NOW_US1.xlsx]Single Period!R161C14</stp>
        <stp>NOW US Equity</stp>
        <stp>BS_TOTAL_NON_CURRENT_ASSETS/1M</stp>
        <stp>FPR=2021Y</stp>
        <stp>FPT=A</stp>
        <stp>FA_ACT_EST_DATA=E, EST_SOURCE=BMO</stp>
        <stp>ACT_EST_MAPPING=PRECISE</stp>
        <stp>FS=MRC</stp>
        <stp>CURRENCY=USD</stp>
        <stp>XLFILL=b</stp>
        <tr r="N161" s="2"/>
      </tp>
      <tp t="s">
        <v>#N/A Requesting Data...</v>
        <stp/>
        <stp>##V3_BQLV12</stp>
        <stp>[MODL_NOW_US1.xlsx]Single Period!R9C47</stp>
        <stp>NOW US Equity</stp>
        <stp>IS_BILLINGS/1M</stp>
        <stp>FPR=2021Y</stp>
        <stp>FPT=A</stp>
        <stp>FA_ACT_EST_DATA=E, EST_SOURCE=SUM</stp>
        <stp>ACT_EST_MAPPING=PRECISE</stp>
        <stp>FS=MRC</stp>
        <stp>CURRENCY=USD</stp>
        <stp>XLFILL=b</stp>
        <tr r="AU9" s="2"/>
      </tp>
      <tp t="s">
        <v>#N/A Requesting Data...</v>
        <stp/>
        <stp>##V3_BQLV12</stp>
        <stp>[MODL_NOW_US1.xlsx]Single Period!R167C11</stp>
        <stp>NOW US Equity</stp>
        <stp>BS_GOODWILL/1M</stp>
        <stp>FPR=2021Y</stp>
        <stp>FPT=A</stp>
        <stp>FA_ACT_EST_DATA=E, EST_SOURCE=JPM</stp>
        <stp>ACT_EST_MAPPING=PRECISE</stp>
        <stp>FS=MRC</stp>
        <stp>CURRENCY=USD</stp>
        <stp>XLFILL=b</stp>
        <tr r="K167" s="2"/>
      </tp>
      <tp t="s">
        <v>#N/A Requesting Data...</v>
        <stp/>
        <stp>##V3_BQLV12</stp>
        <stp>[MODL_NOW_US1.xlsx]Single Period!R108C5</stp>
        <stp>NOW US Equity</stp>
        <stp>IS_COMP_EPS_EXCL_STOCK_COMP</stp>
        <stp>FPR=2021Y</stp>
        <stp>FPT=A</stp>
        <stp>FA_ACT_EST_DATA=E</stp>
        <stp>ACT_EST_MAPPING=PRECISE</stp>
        <stp>FS=MRC</stp>
        <stp>CURRENCY=USD</stp>
        <stp>XLFILL=b</stp>
        <tr r="E108" s="2"/>
      </tp>
      <tp t="s">
        <v>#N/A Requesting Data...</v>
        <stp/>
        <stp>##V3_BQLV12</stp>
        <stp>[MODL_NOW_US1.xlsx]Single Period!R137C46</stp>
        <stp>NOW US Equity</stp>
        <stp>CF_STOCK_BASED_COMPENSATION/1M</stp>
        <stp>FPR=2021Y</stp>
        <stp>FPT=A</stp>
        <stp>FA_ACT_EST_DATA=E, EST_SOURCE=MZS</stp>
        <stp>ACT_EST_MAPPING=PRECISE</stp>
        <stp>FS=MRC</stp>
        <stp>CURRENCY=USD</stp>
        <stp>XLFILL=b</stp>
        <tr r="AT137" s="2"/>
      </tp>
      <tp t="s">
        <v>#N/A Requesting Data...</v>
        <stp/>
        <stp>##V3_BQLV12</stp>
        <stp>[MODL_NOW_US1.xlsx]Single Period!R213C10</stp>
        <stp>NOW US Equity</stp>
        <stp>CF_CASH_FROM_OPER/1M</stp>
        <stp>FPR=2021Y</stp>
        <stp>FPT=A</stp>
        <stp>FA_ACT_EST_DATA=E, EST_SOURCE=CMPY</stp>
        <stp>ACT_EST_MAPPING=PRECISE</stp>
        <stp>FS=MRC</stp>
        <stp>CURRENCY=USD</stp>
        <stp>XLFILL=b</stp>
        <tr r="J213" s="2"/>
      </tp>
      <tp t="s">
        <v>#N/A Requesting Data...</v>
        <stp/>
        <stp>##V3_BQLV12</stp>
        <stp>[MODL_NOW_US1.xlsx]Single Period!R92C49</stp>
        <stp>NOW US Equity</stp>
        <stp>IS_ADJ_GENL_AND_ADMIN_EXPN_AR/1M</stp>
        <stp>FPR=2021Y</stp>
        <stp>FPT=A</stp>
        <stp>FA_ACT_EST_DATA=E, EST_SOURCE=SCB</stp>
        <stp>ACT_EST_MAPPING=PRECISE</stp>
        <stp>FS=MRC</stp>
        <stp>CURRENCY=USD</stp>
        <stp>XLFILL=b</stp>
        <tr r="AW92" s="2"/>
      </tp>
      <tp t="s">
        <v>#N/A Requesting Data...</v>
        <stp/>
        <stp>##V3_BQLV12</stp>
        <stp>[MODL_NOW_US1.xlsx]Single Period!R154C34</stp>
        <stp>NOW US Equity</stp>
        <stp>BS_CUR_ASSET_REPORT/1M</stp>
        <stp>FPR=2021Y</stp>
        <stp>FPT=A</stp>
        <stp>FA_ACT_EST_DATA=E, EST_SOURCE=PSG</stp>
        <stp>ACT_EST_MAPPING=PRECISE</stp>
        <stp>FS=MRC</stp>
        <stp>CURRENCY=USD</stp>
        <stp>XLFILL=b</stp>
        <tr r="AH154" s="2"/>
      </tp>
      <tp t="s">
        <v>#N/A Requesting Data...</v>
        <stp/>
        <stp>##V3_BQLV12</stp>
        <stp>[MODL_NOW_US1.xlsx]Single Period!R184C39</stp>
        <stp>NOW US Equity</stp>
        <stp>BS_EQTY_BEFORE_MINORITY_INT/1M</stp>
        <stp>FPR=2021Y</stp>
        <stp>FPT=A</stp>
        <stp>FA_ACT_EST_DATA=E, EST_SOURCE=DZB</stp>
        <stp>ACT_EST_MAPPING=PRECISE</stp>
        <stp>FS=MRC</stp>
        <stp>CURRENCY=USD</stp>
        <stp>XLFILL=b</stp>
        <tr r="AM184" s="2"/>
      </tp>
      <tp t="s">
        <v>#N/A Requesting Data...</v>
        <stp/>
        <stp>##V3_BQLV12</stp>
        <stp>[MODL_NOW_US1.xlsx]Single Period!R80C14</stp>
        <stp>NOW US Equity</stp>
        <stp>IS_COMP_SALES/1M</stp>
        <stp>FPR=2021Y</stp>
        <stp>FPT=A</stp>
        <stp>FA_ACT_EST_DATA=E, EST_SOURCE=BMO</stp>
        <stp>ACT_EST_MAPPING=PRECISE</stp>
        <stp>FS=MRC</stp>
        <stp>CURRENCY=USD</stp>
        <stp>XLFILL=b</stp>
        <tr r="N80" s="2"/>
      </tp>
      <tp t="s">
        <v>#N/A Requesting Data...</v>
        <stp/>
        <stp>##V3_BQLV12</stp>
        <stp>[MODL_NOW_US1.xlsx]Single Period!R90C9</stp>
        <stp>NOW US Equity</stp>
        <stp>CONTRIBUTOR_STATS(IS_ADJ_R_AND_D_AS_REPORTED, MEDIAN)/1M</stp>
        <stp>FPR=2021Y</stp>
        <stp>FPT=A</stp>
        <stp>FA_ACT_EST_DATA=E</stp>
        <stp>ACT_EST_MAPPING=PRECISE</stp>
        <stp>FS=MRC</stp>
        <stp>CURRENCY=USD</stp>
        <stp>XLFILL=b</stp>
        <tr r="I90" s="2"/>
      </tp>
      <tp t="s">
        <v>#N/A Requesting Data...</v>
        <stp/>
        <stp>##V3_BQLV12</stp>
        <stp>[MODL_NOW_US1.xlsx]Single Period!R139C43</stp>
        <stp>NOW US Equity</stp>
        <stp>IS_SBC_ATTRIB_TO_COGS_PRETX/1M</stp>
        <stp>FPR=2021Y</stp>
        <stp>FPT=A</stp>
        <stp>FA_ACT_EST_DATA=E, EST_SOURCE=WFT</stp>
        <stp>ACT_EST_MAPPING=PRECISE</stp>
        <stp>FS=MRC</stp>
        <stp>CURRENCY=USD</stp>
        <stp>XLFILL=b</stp>
        <tr r="AQ139" s="2"/>
      </tp>
      <tp t="s">
        <v>#N/A Requesting Data...</v>
        <stp/>
        <stp>##V3_BQLV12</stp>
        <stp>[MODL_NOW_US1.xlsx]Single Period!R161C21</stp>
        <stp>NOW US Equity</stp>
        <stp>BS_TOTAL_NON_CURRENT_ASSETS/1M</stp>
        <stp>FPR=2021Y</stp>
        <stp>FPT=A</stp>
        <stp>FA_ACT_EST_DATA=E, EST_SOURCE=JMP</stp>
        <stp>ACT_EST_MAPPING=PRECISE</stp>
        <stp>FS=MRC</stp>
        <stp>CURRENCY=USD</stp>
        <stp>XLFILL=b</stp>
        <tr r="U161" s="2"/>
      </tp>
      <tp t="s">
        <v>#N/A Requesting Data...</v>
        <stp/>
        <stp>##V3_BQLV12</stp>
        <stp>[MODL_NOW_US1.xlsx]Single Period!R154C35</stp>
        <stp>NOW US Equity</stp>
        <stp>BS_CUR_ASSET_REPORT/1M</stp>
        <stp>FPR=2021Y</stp>
        <stp>FPT=A</stp>
        <stp>FA_ACT_EST_DATA=E, EST_SOURCE=MSR</stp>
        <stp>ACT_EST_MAPPING=PRECISE</stp>
        <stp>FS=MRC</stp>
        <stp>CURRENCY=USD</stp>
        <stp>XLFILL=b</stp>
        <tr r="AI154" s="2"/>
      </tp>
      <tp t="s">
        <v>#N/A Requesting Data...</v>
        <stp/>
        <stp>##V3_BQLV12</stp>
        <stp>[MODL_NOW_US1.xlsx]Single Period!R154C31</stp>
        <stp>NOW US Equity</stp>
        <stp>BS_CUR_ASSET_REPORT/1M</stp>
        <stp>FPR=2021Y</stp>
        <stp>FPT=A</stp>
        <stp>FA_ACT_EST_DATA=E, EST_SOURCE=GSR</stp>
        <stp>ACT_EST_MAPPING=PRECISE</stp>
        <stp>FS=MRC</stp>
        <stp>CURRENCY=USD</stp>
        <stp>XLFILL=b</stp>
        <tr r="AE154" s="2"/>
      </tp>
      <tp t="s">
        <v>#N/A Requesting Data...</v>
        <stp/>
        <stp>##V3_BQLV12</stp>
        <stp>[MODL_NOW_US1.xlsx]Single Period!R30C49</stp>
        <stp>NOW US Equity</stp>
        <stp>CF_FREE_CASH_FLOW_AS_REPORTED/1M</stp>
        <stp>FPR=2021Y</stp>
        <stp>FPT=A</stp>
        <stp>FA_ACT_EST_DATA=E, EST_SOURCE=SCB</stp>
        <stp>ACT_EST_MAPPING=PRECISE</stp>
        <stp>FS=MRC</stp>
        <stp>CURRENCY=USD</stp>
        <stp>XLFILL=b</stp>
        <tr r="AW30" s="2"/>
      </tp>
      <tp t="s">
        <v>#N/A Requesting Data...</v>
        <stp/>
        <stp>##V3_BQLV12</stp>
        <stp>[MODL_NOW_US1.xlsx]Single Period!R230C36</stp>
        <stp>NOW US Equity</stp>
        <stp>CF_EFFECT_FOREIGN_EXCHANGES/1M</stp>
        <stp>FPR=2021Y</stp>
        <stp>FPT=A</stp>
        <stp>FA_ACT_EST_DATA=E, EST_SOURCE=JEF</stp>
        <stp>ACT_EST_MAPPING=PRECISE</stp>
        <stp>FS=MRC</stp>
        <stp>CURRENCY=USD</stp>
        <stp>XLFILL=b</stp>
        <tr r="AJ230" s="2"/>
      </tp>
      <tp t="s">
        <v>#N/A Requesting Data...</v>
        <stp/>
        <stp>##V3_BQLV12</stp>
        <stp>[MODL_NOW_US1.xlsx]Single Period!R154C19</stp>
        <stp>NOW US Equity</stp>
        <stp>BS_CUR_ASSET_REPORT/1M</stp>
        <stp>FPR=2021Y</stp>
        <stp>FPT=A</stp>
        <stp>FA_ACT_EST_DATA=E, EST_SOURCE=MSV</stp>
        <stp>ACT_EST_MAPPING=PRECISE</stp>
        <stp>FS=MRC</stp>
        <stp>CURRENCY=USD</stp>
        <stp>XLFILL=b</stp>
        <tr r="S154" s="2"/>
      </tp>
      <tp t="s">
        <v>#N/A Requesting Data...</v>
        <stp/>
        <stp>##V3_BQLV12</stp>
        <stp>[MODL_NOW_US1.xlsx]Single Period!R167C15</stp>
        <stp>NOW US Equity</stp>
        <stp>BS_GOODWILL/1M</stp>
        <stp>FPR=2021Y</stp>
        <stp>FPT=A</stp>
        <stp>FA_ACT_EST_DATA=E, EST_SOURCE=OPY</stp>
        <stp>ACT_EST_MAPPING=PRECISE</stp>
        <stp>FS=MRC</stp>
        <stp>CURRENCY=USD</stp>
        <stp>XLFILL=b</stp>
        <tr r="O167" s="2"/>
      </tp>
      <tp t="s">
        <v>#N/A Requesting Data...</v>
        <stp/>
        <stp>##V3_BQLV12</stp>
        <stp>[MODL_NOW_US1.xlsx]Single Period!R137C39</stp>
        <stp>NOW US Equity</stp>
        <stp>CF_STOCK_BASED_COMPENSATION/1M</stp>
        <stp>FPR=2021Y</stp>
        <stp>FPT=A</stp>
        <stp>FA_ACT_EST_DATA=E, EST_SOURCE=DZB</stp>
        <stp>ACT_EST_MAPPING=PRECISE</stp>
        <stp>FS=MRC</stp>
        <stp>CURRENCY=USD</stp>
        <stp>XLFILL=b</stp>
        <tr r="AM137" s="2"/>
      </tp>
      <tp t="s">
        <v>#N/A Requesting Data...</v>
        <stp/>
        <stp>##V3_BQLV12</stp>
        <stp>[MODL_NOW_US1.xlsx]Single Period!R173C36</stp>
        <stp>NOW US Equity</stp>
        <stp>BS_CUR_LIAB/1M</stp>
        <stp>FPR=2021Y</stp>
        <stp>FPT=A</stp>
        <stp>FA_ACT_EST_DATA=E, EST_SOURCE=JEF</stp>
        <stp>ACT_EST_MAPPING=PRECISE</stp>
        <stp>FS=MRC</stp>
        <stp>CURRENCY=USD</stp>
        <stp>XLFILL=b</stp>
        <tr r="AJ173" s="2"/>
      </tp>
      <tp t="s">
        <v>#N/A Requesting Data...</v>
        <stp/>
        <stp>##V3_BQLV12</stp>
        <stp>[MODL_NOW_US1.xlsx]Single Period!R14C37</stp>
        <stp>SEG0000230975 Segment</stp>
        <stp>SALES_REV_TURN/1M</stp>
        <stp>FPR=2021Y</stp>
        <stp>FPT=A</stp>
        <stp>FA_ACT_EST_DATA=E, EST_SOURCE=TTC</stp>
        <stp>ACT_EST_MAPPING=PRECISE</stp>
        <stp>FS=MRC</stp>
        <stp>CURRENCY=USD</stp>
        <stp>XLFILL=b</stp>
        <tr r="AK14" s="2"/>
      </tp>
      <tp t="s">
        <v>#N/A Requesting Data...</v>
        <stp/>
        <stp>##V3_BQLV12</stp>
        <stp>[MODL_NOW_US1.xlsx]Single Period!R207C31</stp>
        <stp>NOW US Equity</stp>
        <stp>CB_CF_CHANGE_IN_ACCOUNTS_RECEIVABLE/1M</stp>
        <stp>FPR=2021Y</stp>
        <stp>FPT=A</stp>
        <stp>FA_ACT_EST_DATA=E, EST_SOURCE=GSR</stp>
        <stp>ACT_EST_MAPPING=PRECISE</stp>
        <stp>FS=MRC</stp>
        <stp>CURRENCY=USD</stp>
        <stp>XLFILL=b</stp>
        <tr r="AE207" s="2"/>
      </tp>
      <tp t="s">
        <v>#N/A Requesting Data...</v>
        <stp/>
        <stp>##V3_BQLV12</stp>
        <stp>[MODL_NOW_US1.xlsx]Single Period!R207C35</stp>
        <stp>NOW US Equity</stp>
        <stp>CB_CF_CHANGE_IN_ACCOUNTS_RECEIVABLE/1M</stp>
        <stp>FPR=2021Y</stp>
        <stp>FPT=A</stp>
        <stp>FA_ACT_EST_DATA=E, EST_SOURCE=MSR</stp>
        <stp>ACT_EST_MAPPING=PRECISE</stp>
        <stp>FS=MRC</stp>
        <stp>CURRENCY=USD</stp>
        <stp>XLFILL=b</stp>
        <tr r="AI207" s="2"/>
      </tp>
      <tp t="s">
        <v>#N/A Requesting Data...</v>
        <stp/>
        <stp>##V3_BQLV12</stp>
        <stp>[MODL_NOW_US1.xlsx]Single Period!R16C24</stp>
        <stp>SEG0000230969 Segment</stp>
        <stp>SALES_REV_TURN/1M</stp>
        <stp>FPR=2021Y</stp>
        <stp>FPT=A</stp>
        <stp>FA_ACT_EST_DATA=E, EST_SOURCE=CWN</stp>
        <stp>ACT_EST_MAPPING=PRECISE</stp>
        <stp>FS=MRC</stp>
        <stp>CURRENCY=USD</stp>
        <stp>XLFILL=b</stp>
        <tr r="X16" s="2"/>
      </tp>
      <tp t="s">
        <v>#N/A Requesting Data...</v>
        <stp/>
        <stp>##V3_BQLV12</stp>
        <stp>[MODL_NOW_US1.xlsx]Single Period!R61C32</stp>
        <stp>SEG0000230975 Segment</stp>
        <stp>IS_ADJ_GROSS_PROFIT_AS_REPORTED/1M</stp>
        <stp>FPR=2021Y</stp>
        <stp>FPT=A</stp>
        <stp>FA_ACT_EST_DATA=E, EST_SOURCE=FBC</stp>
        <stp>ACT_EST_MAPPING=PRECISE</stp>
        <stp>FS=MRC</stp>
        <stp>CURRENCY=USD</stp>
        <stp>XLFILL=b</stp>
        <tr r="AF61" s="2"/>
      </tp>
      <tp t="s">
        <v>#N/A Requesting Data...</v>
        <stp/>
        <stp>##V3_BQLV12</stp>
        <stp>[MODL_NOW_US1.xlsx]Single Period!R69C33</stp>
        <stp>SEG0000230986 Segment</stp>
        <stp>IS_ADJ_GROSS_PROFIT_AS_REPORTED/1M</stp>
        <stp>FPR=2021Y</stp>
        <stp>FPT=A</stp>
        <stp>FA_ACT_EST_DATA=E, EST_SOURCE=MAC</stp>
        <stp>ACT_EST_MAPPING=PRECISE</stp>
        <stp>FS=MRC</stp>
        <stp>CURRENCY=USD</stp>
        <stp>XLFILL=b</stp>
        <tr r="AG69" s="2"/>
      </tp>
      <tp t="s">
        <v>#N/A Requesting Data...</v>
        <stp/>
        <stp>##V3_BQLV12</stp>
        <stp>[MODL_NOW_US1.xlsx]Single Period!R200C22</stp>
        <stp>NOW US Equity</stp>
        <stp>CF_DEPR_AMORT/1M</stp>
        <stp>FPR=2021Y</stp>
        <stp>FPT=A</stp>
        <stp>FA_ACT_EST_DATA=E, EST_SOURCE=NDH</stp>
        <stp>ACT_EST_MAPPING=PRECISE</stp>
        <stp>FS=MRC</stp>
        <stp>CURRENCY=USD</stp>
        <stp>XLFILL=b</stp>
        <tr r="V200" s="2"/>
      </tp>
      <tp t="s">
        <v>#N/A Requesting Data...</v>
        <stp/>
        <stp>##V3_BQLV12</stp>
        <stp>[MODL_NOW_US1.xlsx]Single Period!R61C27</stp>
        <stp>SEG0000230975 Segment</stp>
        <stp>IS_ADJ_GROSS_PROFIT_AS_REPORTED/1M</stp>
        <stp>FPR=2021Y</stp>
        <stp>FPT=A</stp>
        <stp>FA_ACT_EST_DATA=E, EST_SOURCE=RBC</stp>
        <stp>ACT_EST_MAPPING=PRECISE</stp>
        <stp>FS=MRC</stp>
        <stp>CURRENCY=USD</stp>
        <stp>XLFILL=b</stp>
        <tr r="AA61" s="2"/>
      </tp>
      <tp t="s">
        <v>#N/A Requesting Data...</v>
        <stp/>
        <stp>##V3_BQLV12</stp>
        <stp>[MODL_NOW_US1.xlsx]Single Period!R16C40</stp>
        <stp>SEG0000230969 Segment</stp>
        <stp>SALES_REV_TURN/1M</stp>
        <stp>FPR=2021Y</stp>
        <stp>FPT=A</stp>
        <stp>FA_ACT_EST_DATA=E, EST_SOURCE=DWI</stp>
        <stp>ACT_EST_MAPPING=PRECISE</stp>
        <stp>FS=MRC</stp>
        <stp>CURRENCY=USD</stp>
        <stp>XLFILL=b</stp>
        <tr r="AN16" s="2"/>
      </tp>
      <tp t="s">
        <v>#N/A Requesting Data...</v>
        <stp/>
        <stp>##V3_BQLV12</stp>
        <stp>[MODL_NOW_US1.xlsx]Single Period!R99C28</stp>
        <stp>NOW US Equity</stp>
        <stp>IS_COMPARABLE_EBITDA/1M</stp>
        <stp>FPR=2021Y</stp>
        <stp>FPT=A</stp>
        <stp>FA_ACT_EST_DATA=E, EST_SOURCE=EVR</stp>
        <stp>ACT_EST_MAPPING=PRECISE</stp>
        <stp>FS=MRC</stp>
        <stp>CURRENCY=USD</stp>
        <stp>XLFILL=b</stp>
        <tr r="AB99" s="2"/>
      </tp>
      <tp t="s">
        <v>#N/A Requesting Data...</v>
        <stp/>
        <stp>##V3_BQLV12</stp>
        <stp>[MODL_NOW_US1.xlsx]Single Period!R207C19</stp>
        <stp>NOW US Equity</stp>
        <stp>CB_CF_CHANGE_IN_ACCOUNTS_RECEIVABLE/1M</stp>
        <stp>FPR=2021Y</stp>
        <stp>FPT=A</stp>
        <stp>FA_ACT_EST_DATA=E, EST_SOURCE=MSV</stp>
        <stp>ACT_EST_MAPPING=PRECISE</stp>
        <stp>FS=MRC</stp>
        <stp>CURRENCY=USD</stp>
        <stp>XLFILL=b</stp>
        <tr r="S207" s="2"/>
      </tp>
      <tp t="s">
        <v>#N/A Requesting Data...</v>
        <stp/>
        <stp>##V3_BQLV12</stp>
        <stp>[MODL_NOW_US1.xlsx]Single Period!R61C25</stp>
        <stp>SEG0000230975 Segment</stp>
        <stp>IS_ADJ_GROSS_PROFIT_AS_REPORTED/1M</stp>
        <stp>FPR=2021Y</stp>
        <stp>FPT=A</stp>
        <stp>FA_ACT_EST_DATA=E, EST_SOURCE=DBG</stp>
        <stp>ACT_EST_MAPPING=PRECISE</stp>
        <stp>FS=MRC</stp>
        <stp>CURRENCY=USD</stp>
        <stp>XLFILL=b</stp>
        <tr r="Y61" s="2"/>
      </tp>
      <tp t="s">
        <v>#N/A Requesting Data...</v>
        <stp/>
        <stp>##V3_BQLV12</stp>
        <stp>[MODL_NOW_US1.xlsx]Single Period!R102C46</stp>
        <stp>NOW US Equity</stp>
        <stp>IS_COMP_PTP_EX_STK_BASED_COMP/1M</stp>
        <stp>FPR=2021Y</stp>
        <stp>FPT=A</stp>
        <stp>FA_ACT_EST_DATA=E, EST_SOURCE=MZS</stp>
        <stp>ACT_EST_MAPPING=PRECISE</stp>
        <stp>FS=MRC</stp>
        <stp>CURRENCY=USD</stp>
        <stp>XLFILL=b</stp>
        <tr r="AT102" s="2"/>
      </tp>
      <tp t="s">
        <v>#N/A Requesting Data...</v>
        <stp/>
        <stp>##V3_BQLV12</stp>
        <stp>[MODL_NOW_US1.xlsx]Single Period!R169C28</stp>
        <stp>NOW US Equity</stp>
        <stp>CB_BS_OTHER_NONCURRENT_ASSETS/1M</stp>
        <stp>FPR=2021Y</stp>
        <stp>FPT=A</stp>
        <stp>FA_ACT_EST_DATA=E, EST_SOURCE=EVR</stp>
        <stp>ACT_EST_MAPPING=PRECISE</stp>
        <stp>FS=MRC</stp>
        <stp>CURRENCY=USD</stp>
        <stp>XLFILL=b</stp>
        <tr r="AB169" s="2"/>
      </tp>
      <tp t="s">
        <v>#N/A Requesting Data...</v>
        <stp/>
        <stp>##V3_BQLV12</stp>
        <stp>[MODL_NOW_US1.xlsx]Single Period!R14C42</stp>
        <stp>SEG0000230975 Segment</stp>
        <stp>SALES_REV_TURN/1M</stp>
        <stp>FPR=2021Y</stp>
        <stp>FPT=A</stp>
        <stp>FA_ACT_EST_DATA=E, EST_SOURCE=CTI</stp>
        <stp>ACT_EST_MAPPING=PRECISE</stp>
        <stp>FS=MRC</stp>
        <stp>CURRENCY=USD</stp>
        <stp>XLFILL=b</stp>
        <tr r="AP14" s="2"/>
      </tp>
      <tp t="s">
        <v>#N/A Requesting Data...</v>
        <stp/>
        <stp>##V3_BQLV12</stp>
        <stp>[MODL_NOW_US1.xlsx]Single Period!R69C30</stp>
        <stp>SEG0000230986 Segment</stp>
        <stp>IS_ADJ_GROSS_PROFIT_AS_REPORTED/1M</stp>
        <stp>FPR=2021Y</stp>
        <stp>FPT=A</stp>
        <stp>FA_ACT_EST_DATA=E, EST_SOURCE=BAM</stp>
        <stp>ACT_EST_MAPPING=PRECISE</stp>
        <stp>FS=MRC</stp>
        <stp>CURRENCY=USD</stp>
        <stp>XLFILL=b</stp>
        <tr r="AD69" s="2"/>
      </tp>
      <tp t="s">
        <v>#N/A Requesting Data...</v>
        <stp/>
        <stp>##V3_BQLV12</stp>
        <stp>[MODL_NOW_US1.xlsx]Single Period!R16C38</stp>
        <stp>SEG0000230969 Segment</stp>
        <stp>SALES_REV_TURN/1M</stp>
        <stp>FPR=2021Y</stp>
        <stp>FPT=A</stp>
        <stp>FA_ACT_EST_DATA=E, EST_SOURCE=RWB</stp>
        <stp>ACT_EST_MAPPING=PRECISE</stp>
        <stp>FS=MRC</stp>
        <stp>CURRENCY=USD</stp>
        <stp>XLFILL=b</stp>
        <tr r="AL16" s="2"/>
      </tp>
      <tp t="s">
        <v>#N/A Requesting Data...</v>
        <stp/>
        <stp>##V3_BQLV12</stp>
        <stp>[MODL_NOW_US1.xlsx]Single Period!R69C20</stp>
        <stp>SEG0000230986 Segment</stp>
        <stp>IS_ADJ_GROSS_PROFIT_AS_REPORTED/1M</stp>
        <stp>FPR=2021Y</stp>
        <stp>FPT=A</stp>
        <stp>FA_ACT_EST_DATA=E, EST_SOURCE=CAN</stp>
        <stp>ACT_EST_MAPPING=PRECISE</stp>
        <stp>FS=MRC</stp>
        <stp>CURRENCY=USD</stp>
        <stp>XLFILL=b</stp>
        <tr r="T69" s="2"/>
      </tp>
      <tp t="s">
        <v>#N/A Requesting Data...</v>
        <stp/>
        <stp>##V3_BQLV12</stp>
        <stp>[MODL_NOW_US1.xlsx]Single Period!R61C12</stp>
        <stp>SEG0000230975 Segment</stp>
        <stp>IS_ADJ_GROSS_PROFIT_AS_REPORTED/1M</stp>
        <stp>FPR=2021Y</stp>
        <stp>FPT=A</stp>
        <stp>FA_ACT_EST_DATA=E, EST_SOURCE=WBL</stp>
        <stp>ACT_EST_MAPPING=PRECISE</stp>
        <stp>FS=MRC</stp>
        <stp>CURRENCY=USD</stp>
        <stp>XLFILL=b</stp>
        <tr r="L61" s="2"/>
      </tp>
      <tp t="s">
        <v>#N/A Requesting Data...</v>
        <stp/>
        <stp>##V3_BQLV12</stp>
        <stp>[MODL_NOW_US1.xlsx]Single Period!R58C23</stp>
        <stp>SEG0000230975 Segment</stp>
        <stp>SALES_REV_TURN/1M</stp>
        <stp>FPR=2021Y</stp>
        <stp>FPT=A</stp>
        <stp>FA_ACT_EST_DATA=E, EST_SOURCE=ZXS</stp>
        <stp>ACT_EST_MAPPING=PRECISE</stp>
        <stp>FS=MRC</stp>
        <stp>CURRENCY=USD</stp>
        <stp>XLFILL=b</stp>
        <tr r="W58" s="2"/>
      </tp>
      <tp t="s">
        <v>#N/A Requesting Data...</v>
        <stp/>
        <stp>##V3_BQLV12</stp>
        <stp>[MODL_NOW_US1.xlsx]Single Period!R131C15</stp>
        <stp>NOW US Equity</stp>
        <stp>IS_AVG_NUM_SH_FOR_EPS/1M</stp>
        <stp>FPR=2021Y</stp>
        <stp>FPT=A</stp>
        <stp>FA_ACT_EST_DATA=E, EST_SOURCE=OPY</stp>
        <stp>ACT_EST_MAPPING=PRECISE</stp>
        <stp>FS=MRC</stp>
        <stp>CURRENCY=USD</stp>
        <stp>XLFILL=b</stp>
        <tr r="O131" s="2"/>
      </tp>
      <tp t="s">
        <v>#N/A Requesting Data...</v>
        <stp/>
        <stp>##V3_BQLV12</stp>
        <stp>[MODL_NOW_US1.xlsx]Single Period!R200C13</stp>
        <stp>NOW US Equity</stp>
        <stp>CF_DEPR_AMORT/1M</stp>
        <stp>FPR=2021Y</stp>
        <stp>FPT=A</stp>
        <stp>FA_ACT_EST_DATA=E, EST_SOURCE=KEY</stp>
        <stp>ACT_EST_MAPPING=PRECISE</stp>
        <stp>FS=MRC</stp>
        <stp>CURRENCY=USD</stp>
        <stp>XLFILL=b</stp>
        <tr r="M200" s="2"/>
      </tp>
      <tp t="s">
        <v>#N/A Requesting Data...</v>
        <stp/>
        <stp>##V3_BQLV12</stp>
        <stp>[MODL_NOW_US1.xlsx]Single Period!R61C26</stp>
        <stp>SEG0000230975 Segment</stp>
        <stp>IS_ADJ_GROSS_PROFIT_AS_REPORTED/1M</stp>
        <stp>FPR=2021Y</stp>
        <stp>FPT=A</stp>
        <stp>FA_ACT_EST_DATA=E, EST_SOURCE=UBS</stp>
        <stp>ACT_EST_MAPPING=PRECISE</stp>
        <stp>FS=MRC</stp>
        <stp>CURRENCY=USD</stp>
        <stp>XLFILL=b</stp>
        <tr r="Z61" s="2"/>
      </tp>
      <tp t="s">
        <v>#N/A Requesting Data...</v>
        <stp/>
        <stp>##V3_BQLV12</stp>
        <stp>[MODL_NOW_US1.xlsx]Single Period!R207C34</stp>
        <stp>NOW US Equity</stp>
        <stp>CB_CF_CHANGE_IN_ACCOUNTS_RECEIVABLE/1M</stp>
        <stp>FPR=2021Y</stp>
        <stp>FPT=A</stp>
        <stp>FA_ACT_EST_DATA=E, EST_SOURCE=PSG</stp>
        <stp>ACT_EST_MAPPING=PRECISE</stp>
        <stp>FS=MRC</stp>
        <stp>CURRENCY=USD</stp>
        <stp>XLFILL=b</stp>
        <tr r="AH207" s="2"/>
      </tp>
      <tp t="s">
        <v>#N/A Requesting Data...</v>
        <stp/>
        <stp>##V3_BQLV12</stp>
        <stp>[MODL_NOW_US1.xlsx]Single Period!R99C38</stp>
        <stp>NOW US Equity</stp>
        <stp>IS_COMPARABLE_EBITDA/1M</stp>
        <stp>FPR=2021Y</stp>
        <stp>FPT=A</stp>
        <stp>FA_ACT_EST_DATA=E, EST_SOURCE=RWB</stp>
        <stp>ACT_EST_MAPPING=PRECISE</stp>
        <stp>FS=MRC</stp>
        <stp>CURRENCY=USD</stp>
        <stp>XLFILL=b</stp>
        <tr r="AL99" s="2"/>
      </tp>
      <tp t="s">
        <v>#N/A Requesting Data...</v>
        <stp/>
        <stp>##V3_BQLV12</stp>
        <stp>[MODL_NOW_US1.xlsx]Single Period!R209C26</stp>
        <stp>NOW US Equity</stp>
        <stp>CF_CHANGE_IN_ACCOUNTS_PAYABLE/1M</stp>
        <stp>FPR=2021Y</stp>
        <stp>FPT=A</stp>
        <stp>FA_ACT_EST_DATA=E, EST_SOURCE=UBS</stp>
        <stp>ACT_EST_MAPPING=PRECISE</stp>
        <stp>FS=MRC</stp>
        <stp>CURRENCY=USD</stp>
        <stp>XLFILL=b</stp>
        <tr r="Z209" s="2"/>
      </tp>
      <tp t="s">
        <v>#N/A Requesting Data...</v>
        <stp/>
        <stp>##V3_BQLV12</stp>
        <stp>[MODL_NOW_US1.xlsx]Single Period!R133C28</stp>
        <stp>NOW US Equity</stp>
        <stp>IS_SH_FOR_DILUTED_EPS/1M</stp>
        <stp>FPR=2021Y</stp>
        <stp>FPT=A</stp>
        <stp>FA_ACT_EST_DATA=E, EST_SOURCE=EVR</stp>
        <stp>ACT_EST_MAPPING=PRECISE</stp>
        <stp>FS=MRC</stp>
        <stp>CURRENCY=USD</stp>
        <stp>XLFILL=b</stp>
        <tr r="AB133" s="2"/>
      </tp>
      <tp t="s">
        <v>#N/A Requesting Data...</v>
        <stp/>
        <stp>##V3_BQLV12</stp>
        <stp>[MODL_NOW_US1.xlsx]Single Period!R200C18</stp>
        <stp>NOW US Equity</stp>
        <stp>CF_DEPR_AMORT/1M</stp>
        <stp>FPR=2021Y</stp>
        <stp>FPT=A</stp>
        <stp>FA_ACT_EST_DATA=E, EST_SOURCE=SNR</stp>
        <stp>ACT_EST_MAPPING=PRECISE</stp>
        <stp>FS=MRC</stp>
        <stp>CURRENCY=USD</stp>
        <stp>XLFILL=b</stp>
        <tr r="R200" s="2"/>
      </tp>
      <tp t="s">
        <v>#N/A Requesting Data...</v>
        <stp/>
        <stp>##V3_BQLV12</stp>
        <stp>[MODL_NOW_US1.xlsx]Single Period!R101C33</stp>
        <stp>NOW US Equity</stp>
        <stp>CB_IS_OTHER_NON_OPER_INC_EXPN/1M</stp>
        <stp>FPR=2021Y</stp>
        <stp>FPT=A</stp>
        <stp>FA_ACT_EST_DATA=E, EST_SOURCE=MAC</stp>
        <stp>ACT_EST_MAPPING=PRECISE</stp>
        <stp>FS=MRC</stp>
        <stp>CURRENCY=USD</stp>
        <stp>XLFILL=b</stp>
        <tr r="AG101" s="2"/>
      </tp>
      <tp t="s">
        <v>#N/A Requesting Data...</v>
        <stp/>
        <stp>##V3_BQLV12</stp>
        <stp>[MODL_NOW_US1.xlsx]Single Period!R77C28</stp>
        <stp>SEG0000230969 Segment</stp>
        <stp>SALES_REV_TURN/1M</stp>
        <stp>FPR=2021Y</stp>
        <stp>FPT=A</stp>
        <stp>FA_ACT_EST_DATA=E, EST_SOURCE=EVR</stp>
        <stp>ACT_EST_MAPPING=PRECISE</stp>
        <stp>FS=MRC</stp>
        <stp>CURRENCY=USD</stp>
        <stp>XLFILL=b</stp>
        <tr r="AB77" s="2"/>
      </tp>
      <tp t="s">
        <v>#N/A Requesting Data...</v>
        <stp/>
        <stp>##V3_BQLV12</stp>
        <stp>[MODL_NOW_US1.xlsx]Single Period!R3C12</stp>
        <stp>NOW US Equity</stp>
        <stp>LAST(IS_COMP_SALES(FA_ACT_EST_DATA=E, EST_SOURCE=WBL).firm_name)</stp>
        <stp>FPR=2021Y</stp>
        <stp>FPT=A</stp>
        <stp>ACT_EST_MAPPING=PRECISE</stp>
        <stp>FS=MRC</stp>
        <stp>CURRENCY=USD</stp>
        <stp>XLFILL=b</stp>
        <tr r="L3" s="2"/>
      </tp>
      <tp t="s">
        <v>#N/A Requesting Data...</v>
        <stp/>
        <stp>##V3_BQLV12</stp>
        <stp>[MODL_NOW_US1.xlsx]Single Period!R25C28</stp>
        <stp>NOW US Equity</stp>
        <stp>IS_COMP_GROSS_MARGIN_PERCENTAGE</stp>
        <stp>FPR=2021Y</stp>
        <stp>FPT=A</stp>
        <stp>FA_ACT_EST_DATA=E, EST_SOURCE=EVR</stp>
        <stp>ACT_EST_MAPPING=PRECISE</stp>
        <stp>FS=MRC</stp>
        <stp>CURRENCY=USD</stp>
        <stp>XLFILL=b</stp>
        <tr r="AB25" s="2"/>
      </tp>
      <tp t="s">
        <v>#N/A Requesting Data...</v>
        <stp/>
        <stp>##V3_BQLV12</stp>
        <stp>[MODL_NOW_US1.xlsx]Single Period!R3C25</stp>
        <stp>NOW US Equity</stp>
        <stp>LAST(IS_COMP_SALES(FA_ACT_EST_DATA=E, EST_SOURCE=DBG).firm_name)</stp>
        <stp>FPR=2021Y</stp>
        <stp>FPT=A</stp>
        <stp>ACT_EST_MAPPING=PRECISE</stp>
        <stp>FS=MRC</stp>
        <stp>CURRENCY=USD</stp>
        <stp>XLFILL=b</stp>
        <tr r="Y3" s="2"/>
      </tp>
      <tp t="s">
        <v>#N/A Requesting Data...</v>
        <stp/>
        <stp>##V3_BQLV12</stp>
        <stp>[MODL_NOW_US1.xlsx]Single Period!R3C27</stp>
        <stp>NOW US Equity</stp>
        <stp>LAST(IS_COMP_SALES(FA_ACT_EST_DATA=E, EST_SOURCE=RBC).firm_name)</stp>
        <stp>FPR=2021Y</stp>
        <stp>FPT=A</stp>
        <stp>ACT_EST_MAPPING=PRECISE</stp>
        <stp>FS=MRC</stp>
        <stp>CURRENCY=USD</stp>
        <stp>XLFILL=b</stp>
        <tr r="AA3" s="2"/>
      </tp>
      <tp t="s">
        <v>#N/A Requesting Data...</v>
        <stp/>
        <stp>##V3_BQLV12</stp>
        <stp>[MODL_NOW_US1.xlsx]Single Period!R3C32</stp>
        <stp>NOW US Equity</stp>
        <stp>LAST(IS_COMP_SALES(FA_ACT_EST_DATA=E, EST_SOURCE=FBC).firm_name)</stp>
        <stp>FPR=2021Y</stp>
        <stp>FPT=A</stp>
        <stp>ACT_EST_MAPPING=PRECISE</stp>
        <stp>FS=MRC</stp>
        <stp>CURRENCY=USD</stp>
        <stp>XLFILL=b</stp>
        <tr r="AF3" s="2"/>
      </tp>
      <tp t="s">
        <v>#N/A Requesting Data...</v>
        <stp/>
        <stp>##V3_BQLV12</stp>
        <stp>[MODL_NOW_US1.xlsx]Single Period!R85C28</stp>
        <stp>NOW US Equity</stp>
        <stp>IS_COMP_GROSS_MARGIN_PERCENTAGE</stp>
        <stp>FPR=2021Y</stp>
        <stp>FPT=A</stp>
        <stp>FA_ACT_EST_DATA=E, EST_SOURCE=EVR</stp>
        <stp>ACT_EST_MAPPING=PRECISE</stp>
        <stp>FS=MRC</stp>
        <stp>CURRENCY=USD</stp>
        <stp>XLFILL=b</stp>
        <tr r="AB85" s="2"/>
      </tp>
      <tp t="s">
        <v>#N/A Requesting Data...</v>
        <stp/>
        <stp>##V3_BQLV12</stp>
        <stp>[MODL_NOW_US1.xlsx]Single Period!R25C38</stp>
        <stp>NOW US Equity</stp>
        <stp>IS_COMP_GROSS_MARGIN_PERCENTAGE</stp>
        <stp>FPR=2021Y</stp>
        <stp>FPT=A</stp>
        <stp>FA_ACT_EST_DATA=E, EST_SOURCE=RWB</stp>
        <stp>ACT_EST_MAPPING=PRECISE</stp>
        <stp>FS=MRC</stp>
        <stp>CURRENCY=USD</stp>
        <stp>XLFILL=b</stp>
        <tr r="AL25" s="2"/>
      </tp>
      <tp t="s">
        <v>#N/A Requesting Data...</v>
        <stp/>
        <stp>##V3_BQLV12</stp>
        <stp>[MODL_NOW_US1.xlsx]Single Period!R134C11</stp>
        <stp>NOW US Equity</stp>
        <stp>IS_COMP_EPS_GAAP</stp>
        <stp>FPR=2021Y</stp>
        <stp>FPT=A</stp>
        <stp>FA_ACT_EST_DATA=E, EST_SOURCE=JPM</stp>
        <stp>ACT_EST_MAPPING=PRECISE</stp>
        <stp>FS=MRC</stp>
        <stp>CURRENCY=USD</stp>
        <stp>XLFILL=b</stp>
        <tr r="K134" s="2"/>
      </tp>
      <tp t="s">
        <v>#N/A Requesting Data...</v>
        <stp/>
        <stp>##V3_BQLV12</stp>
        <stp>[MODL_NOW_US1.xlsx]Single Period!R201C36</stp>
        <stp>NOW US Equity</stp>
        <stp>D_AND_A_TO_SALES</stp>
        <stp>FPR=2021Y</stp>
        <stp>FPT=A</stp>
        <stp>FA_ACT_EST_DATA=E, EST_SOURCE=JEF</stp>
        <stp>ACT_EST_MAPPING=PRECISE</stp>
        <stp>FS=MRC</stp>
        <stp>CURRENCY=USD</stp>
        <stp>XLFILL=b</stp>
        <tr r="AJ201" s="2"/>
      </tp>
      <tp t="s">
        <v>#N/A Requesting Data...</v>
        <stp/>
        <stp>##V3_BQLV12</stp>
        <stp>[MODL_NOW_US1.xlsx]Single Period!R3C26</stp>
        <stp>NOW US Equity</stp>
        <stp>LAST(IS_COMP_SALES(FA_ACT_EST_DATA=E, EST_SOURCE=UBS).firm_name)</stp>
        <stp>FPR=2021Y</stp>
        <stp>FPT=A</stp>
        <stp>ACT_EST_MAPPING=PRECISE</stp>
        <stp>FS=MRC</stp>
        <stp>CURRENCY=USD</stp>
        <stp>XLFILL=b</stp>
        <tr r="Z3" s="2"/>
      </tp>
      <tp t="s">
        <v>#N/A Requesting Data...</v>
        <stp/>
        <stp>##V3_BQLV12</stp>
        <stp>[MODL_NOW_US1.xlsx]Single Period!R85C38</stp>
        <stp>NOW US Equity</stp>
        <stp>IS_COMP_GROSS_MARGIN_PERCENTAGE</stp>
        <stp>FPR=2021Y</stp>
        <stp>FPT=A</stp>
        <stp>FA_ACT_EST_DATA=E, EST_SOURCE=RWB</stp>
        <stp>ACT_EST_MAPPING=PRECISE</stp>
        <stp>FS=MRC</stp>
        <stp>CURRENCY=USD</stp>
        <stp>XLFILL=b</stp>
        <tr r="AL85" s="2"/>
      </tp>
      <tp t="s">
        <v>#N/A Requesting Data...</v>
        <stp/>
        <stp>##V3_BQLV12</stp>
        <stp>[MODL_NOW_US1.xlsx]Single Period!R40C43</stp>
        <stp>NOW US Equity</stp>
        <stp>BILLNG_AMOUNT_GROWTH_PCT</stp>
        <stp>FPR=2021Y</stp>
        <stp>FPT=A</stp>
        <stp>FA_ACT_EST_DATA=E, EST_SOURCE=WFT</stp>
        <stp>ACT_EST_MAPPING=PRECISE</stp>
        <stp>FS=MRC</stp>
        <stp>CURRENCY=USD</stp>
        <stp>XLFILL=b</stp>
        <tr r="AQ40" s="2"/>
      </tp>
      <tp t="s">
        <v>#N/A Requesting Data...</v>
        <stp/>
        <stp>##V3_BQLV12</stp>
        <stp>[MODL_NOW_US1.xlsx]Single Period!R18C17</stp>
        <stp>SEG0000230975 Segment</stp>
        <stp>IS_ADJ_GROSS_MARGIN_PCT_AR</stp>
        <stp>FPR=2021Y</stp>
        <stp>FPT=A</stp>
        <stp>FA_ACT_EST_DATA=E, EST_SOURCE=RHR</stp>
        <stp>ACT_EST_MAPPING=PRECISE</stp>
        <stp>FS=MRC</stp>
        <stp>CURRENCY=USD</stp>
        <stp>XLFILL=b</stp>
        <tr r="Q18" s="2"/>
      </tp>
      <tp t="s">
        <v>#N/A Requesting Data...</v>
        <stp/>
        <stp>##V3_BQLV12</stp>
        <stp>[MODL_NOW_US1.xlsx]Single Period!R62C17</stp>
        <stp>SEG0000230975 Segment</stp>
        <stp>IS_ADJ_GROSS_MARGIN_PCT_AR</stp>
        <stp>FPR=2021Y</stp>
        <stp>FPT=A</stp>
        <stp>FA_ACT_EST_DATA=E, EST_SOURCE=RHR</stp>
        <stp>ACT_EST_MAPPING=PRECISE</stp>
        <stp>FS=MRC</stp>
        <stp>CURRENCY=USD</stp>
        <stp>XLFILL=b</stp>
        <tr r="Q62" s="2"/>
      </tp>
      <tp t="s">
        <v>#N/A Requesting Data...</v>
        <stp/>
        <stp>##V3_BQLV12</stp>
        <stp>[MODL_NOW_US1.xlsx]Single Period!R30C6</stp>
        <stp>NOW US Equity</stp>
        <stp>CONTRIBUTOR_STATS(CF_FREE_CASH_FLOW_AS_REPORTED, MIN)/1M</stp>
        <stp>FPR=2021Y</stp>
        <stp>FPT=A</stp>
        <stp>FA_ACT_EST_DATA=E</stp>
        <stp>ACT_EST_MAPPING=PRECISE</stp>
        <stp>FS=MRC</stp>
        <stp>CURRENCY=USD</stp>
        <stp>XLFILL=b</stp>
        <tr r="F30" s="2"/>
      </tp>
      <tp t="s">
        <v>#N/A Requesting Data...</v>
        <stp/>
        <stp>##V3_BQLV12</stp>
        <stp>[MODL_NOW_US1.xlsx]Single Period!R204C43</stp>
        <stp>NOW US Equity</stp>
        <stp>CF_DEF_INC_TAX/1M</stp>
        <stp>FPR=2021Y</stp>
        <stp>FPT=A</stp>
        <stp>FA_ACT_EST_DATA=E, EST_SOURCE=WFT</stp>
        <stp>ACT_EST_MAPPING=PRECISE</stp>
        <stp>FS=MRC</stp>
        <stp>CURRENCY=USD</stp>
        <stp>XLFILL=b</stp>
        <tr r="AQ204" s="2"/>
      </tp>
      <tp t="s">
        <v>#N/A Requesting Data...</v>
        <stp/>
        <stp>##V3_BQLV12</stp>
        <stp>[MODL_NOW_US1.xlsx]Single Period!R146C48</stp>
        <stp>NOW US Equity</stp>
        <stp>IS_AMORT_ACQD_INTANGIBLES_COGS/1M</stp>
        <stp>FPR=2021Y</stp>
        <stp>FPT=A</stp>
        <stp>FA_ACT_EST_DATA=E, EST_SOURCE=CRC</stp>
        <stp>ACT_EST_MAPPING=PRECISE</stp>
        <stp>FS=MRC</stp>
        <stp>CURRENCY=USD</stp>
        <stp>XLFILL=b</stp>
        <tr r="AV146" s="2"/>
      </tp>
      <tp t="s">
        <v>#N/A Requesting Data...</v>
        <stp/>
        <stp>##V3_BQLV12</stp>
        <stp>[MODL_NOW_US1.xlsx]Single Period!R211C44</stp>
        <stp>NOW US Equity</stp>
        <stp>CF_CHG_IN_DEFER_UNEARND_REV_ST/1M</stp>
        <stp>FPR=2021Y</stp>
        <stp>FPT=A</stp>
        <stp>FA_ACT_EST_DATA=E, EST_SOURCE=ARE</stp>
        <stp>ACT_EST_MAPPING=PRECISE</stp>
        <stp>FS=MRC</stp>
        <stp>CURRENCY=USD</stp>
        <stp>XLFILL=b</stp>
        <tr r="AR211" s="2"/>
      </tp>
      <tp t="s">
        <v>#N/A Requesting Data...</v>
        <stp/>
        <stp>##V3_BQLV12</stp>
        <stp>[MODL_NOW_US1.xlsx]Single Period!R168C45</stp>
        <stp>NOW US Equity</stp>
        <stp>CB_BS_DEFERRED_COST_LT/1M</stp>
        <stp>FPR=2021Y</stp>
        <stp>FPT=A</stp>
        <stp>FA_ACT_EST_DATA=E, EST_SOURCE=PJE</stp>
        <stp>ACT_EST_MAPPING=PRECISE</stp>
        <stp>FS=MRC</stp>
        <stp>CURRENCY=USD</stp>
        <stp>XLFILL=b</stp>
        <tr r="AS168" s="2"/>
      </tp>
      <tp t="s">
        <v>#N/A Requesting Data...</v>
        <stp/>
        <stp>##V3_BQLV12</stp>
        <stp>[MODL_NOW_US1.xlsx]Single Period!R211C41</stp>
        <stp>NOW US Equity</stp>
        <stp>CF_CHG_IN_DEFER_UNEARND_REV_ST/1M</stp>
        <stp>FPR=2021Y</stp>
        <stp>FPT=A</stp>
        <stp>FA_ACT_EST_DATA=E, EST_SOURCE=ARG</stp>
        <stp>ACT_EST_MAPPING=PRECISE</stp>
        <stp>FS=MRC</stp>
        <stp>CURRENCY=USD</stp>
        <stp>XLFILL=b</stp>
        <tr r="AO211" s="2"/>
      </tp>
      <tp t="s">
        <v>#N/A Requesting Data...</v>
        <stp/>
        <stp>##V3_BQLV12</stp>
        <stp>[MODL_NOW_US1.xlsx]Single Period!R146C41</stp>
        <stp>NOW US Equity</stp>
        <stp>IS_AMORT_ACQD_INTANGIBLES_COGS/1M</stp>
        <stp>FPR=2021Y</stp>
        <stp>FPT=A</stp>
        <stp>FA_ACT_EST_DATA=E, EST_SOURCE=ARG</stp>
        <stp>ACT_EST_MAPPING=PRECISE</stp>
        <stp>FS=MRC</stp>
        <stp>CURRENCY=USD</stp>
        <stp>XLFILL=b</stp>
        <tr r="AO146" s="2"/>
      </tp>
      <tp t="s">
        <v>#N/A Requesting Data...</v>
        <stp/>
        <stp>##V3_BQLV12</stp>
        <stp>[MODL_NOW_US1.xlsx]Single Period!R146C44</stp>
        <stp>NOW US Equity</stp>
        <stp>IS_AMORT_ACQD_INTANGIBLES_COGS/1M</stp>
        <stp>FPR=2021Y</stp>
        <stp>FPT=A</stp>
        <stp>FA_ACT_EST_DATA=E, EST_SOURCE=ARE</stp>
        <stp>ACT_EST_MAPPING=PRECISE</stp>
        <stp>FS=MRC</stp>
        <stp>CURRENCY=USD</stp>
        <stp>XLFILL=b</stp>
        <tr r="AR146" s="2"/>
      </tp>
      <tp t="s">
        <v>#N/A Requesting Data...</v>
        <stp/>
        <stp>##V3_BQLV12</stp>
        <stp>[MODL_NOW_US1.xlsx]Single Period!R211C48</stp>
        <stp>NOW US Equity</stp>
        <stp>CF_CHG_IN_DEFER_UNEARND_REV_ST/1M</stp>
        <stp>FPR=2021Y</stp>
        <stp>FPT=A</stp>
        <stp>FA_ACT_EST_DATA=E, EST_SOURCE=CRC</stp>
        <stp>ACT_EST_MAPPING=PRECISE</stp>
        <stp>FS=MRC</stp>
        <stp>CURRENCY=USD</stp>
        <stp>XLFILL=b</stp>
        <tr r="AV211" s="2"/>
      </tp>
      <tp t="s">
        <v>#N/A Requesting Data...</v>
        <stp/>
        <stp>##V3_BQLV12</stp>
        <stp>[MODL_NOW_US1.xlsx]Single Period!R40C16</stp>
        <stp>NOW US Equity</stp>
        <stp>BILLNG_AMOUNT_GROWTH_PCT</stp>
        <stp>FPR=2021Y</stp>
        <stp>FPT=A</stp>
        <stp>FA_ACT_EST_DATA=E, EST_SOURCE=BCA</stp>
        <stp>ACT_EST_MAPPING=PRECISE</stp>
        <stp>FS=MRC</stp>
        <stp>CURRENCY=USD</stp>
        <stp>XLFILL=b</stp>
        <tr r="P40" s="2"/>
      </tp>
      <tp t="s">
        <v>#N/A Requesting Data...</v>
        <stp/>
        <stp>##V3_BQLV12</stp>
        <stp>[MODL_NOW_US1.xlsx]Single Period!R40C27</stp>
        <stp>NOW US Equity</stp>
        <stp>BILLNG_AMOUNT_GROWTH_PCT</stp>
        <stp>FPR=2021Y</stp>
        <stp>FPT=A</stp>
        <stp>FA_ACT_EST_DATA=E, EST_SOURCE=RBC</stp>
        <stp>ACT_EST_MAPPING=PRECISE</stp>
        <stp>FS=MRC</stp>
        <stp>CURRENCY=USD</stp>
        <stp>XLFILL=b</stp>
        <tr r="AA40" s="2"/>
      </tp>
      <tp t="s">
        <v>#N/A Requesting Data...</v>
        <stp/>
        <stp>##V3_BQLV12</stp>
        <stp>[MODL_NOW_US1.xlsx]Single Period!R10C32</stp>
        <stp>NOW US Equity</stp>
        <stp>BILLNG_AMOUNT_GROWTH_PCT</stp>
        <stp>FPR=2021Y</stp>
        <stp>FPT=A</stp>
        <stp>FA_ACT_EST_DATA=E, EST_SOURCE=FBC</stp>
        <stp>ACT_EST_MAPPING=PRECISE</stp>
        <stp>FS=MRC</stp>
        <stp>CURRENCY=USD</stp>
        <stp>XLFILL=b</stp>
        <tr r="AF10" s="2"/>
      </tp>
      <tp t="s">
        <v>#N/A Requesting Data...</v>
        <stp/>
        <stp>##V3_BQLV12</stp>
        <stp>[MODL_NOW_US1.xlsx]Single Period!R10C12</stp>
        <stp>NOW US Equity</stp>
        <stp>BILLNG_AMOUNT_GROWTH_PCT</stp>
        <stp>FPR=2021Y</stp>
        <stp>FPT=A</stp>
        <stp>FA_ACT_EST_DATA=E, EST_SOURCE=WBL</stp>
        <stp>ACT_EST_MAPPING=PRECISE</stp>
        <stp>FS=MRC</stp>
        <stp>CURRENCY=USD</stp>
        <stp>XLFILL=b</stp>
        <tr r="L10" s="2"/>
      </tp>
      <tp t="s">
        <v>#N/A Requesting Data...</v>
        <stp/>
        <stp>##V3_BQLV12</stp>
        <stp>[MODL_NOW_US1.xlsx]Single Period!R126C22</stp>
        <stp>NOW US Equity</stp>
        <stp>IS_NON_OPERATING_INC_LOSS_GAAP/1M</stp>
        <stp>FPR=2021Y</stp>
        <stp>FPT=A</stp>
        <stp>FA_ACT_EST_DATA=E, EST_SOURCE=NDH</stp>
        <stp>ACT_EST_MAPPING=PRECISE</stp>
        <stp>FS=MRC</stp>
        <stp>CURRENCY=USD</stp>
        <stp>XLFILL=b</stp>
        <tr r="V126" s="2"/>
      </tp>
      <tp t="s">
        <v>#N/A Requesting Data...</v>
        <stp/>
        <stp>##V3_BQLV12</stp>
        <stp>[MODL_NOW_US1.xlsx]Single Period!R139C36</stp>
        <stp>NOW US Equity</stp>
        <stp>IS_SBC_ATTRIB_TO_COGS_PRETX/1M</stp>
        <stp>FPR=2021Y</stp>
        <stp>FPT=A</stp>
        <stp>FA_ACT_EST_DATA=E, EST_SOURCE=JEF</stp>
        <stp>ACT_EST_MAPPING=PRECISE</stp>
        <stp>FS=MRC</stp>
        <stp>CURRENCY=USD</stp>
        <stp>XLFILL=b</stp>
        <tr r="AJ139" s="2"/>
      </tp>
      <tp t="s">
        <v>#N/A Requesting Data...</v>
        <stp/>
        <stp>##V3_BQLV12</stp>
        <stp>[MODL_NOW_US1.xlsx]Single Period!R167C34</stp>
        <stp>NOW US Equity</stp>
        <stp>BS_GOODWILL/1M</stp>
        <stp>FPR=2021Y</stp>
        <stp>FPT=A</stp>
        <stp>FA_ACT_EST_DATA=E, EST_SOURCE=PSG</stp>
        <stp>ACT_EST_MAPPING=PRECISE</stp>
        <stp>FS=MRC</stp>
        <stp>CURRENCY=USD</stp>
        <stp>XLFILL=b</stp>
        <tr r="AH167" s="2"/>
      </tp>
      <tp t="s">
        <v>#N/A Requesting Data...</v>
        <stp/>
        <stp>##V3_BQLV12</stp>
        <stp>[MODL_NOW_US1.xlsx]Single Period!R98C28</stp>
        <stp>NOW US Equity</stp>
        <stp>CF_DEPR_AMORT/1M</stp>
        <stp>FPR=2021Y</stp>
        <stp>FPT=A</stp>
        <stp>FA_ACT_EST_DATA=E, EST_SOURCE=EVR</stp>
        <stp>ACT_EST_MAPPING=PRECISE</stp>
        <stp>FS=MRC</stp>
        <stp>CURRENCY=USD</stp>
        <stp>XLFILL=b</stp>
        <tr r="AB98" s="2"/>
      </tp>
      <tp t="s">
        <v>#N/A Requesting Data...</v>
        <stp/>
        <stp>##V3_BQLV12</stp>
        <stp>[MODL_NOW_US1.xlsx]Single Period!R92C14</stp>
        <stp>NOW US Equity</stp>
        <stp>IS_ADJ_GENL_AND_ADMIN_EXPN_AR/1M</stp>
        <stp>FPR=2021Y</stp>
        <stp>FPT=A</stp>
        <stp>FA_ACT_EST_DATA=E, EST_SOURCE=BMO</stp>
        <stp>ACT_EST_MAPPING=PRECISE</stp>
        <stp>FS=MRC</stp>
        <stp>CURRENCY=USD</stp>
        <stp>XLFILL=b</stp>
        <tr r="N92" s="2"/>
      </tp>
      <tp t="s">
        <v>#N/A Requesting Data...</v>
        <stp/>
        <stp>##V3_BQLV12</stp>
        <stp>[MODL_NOW_US1.xlsx]Single Period!R154C11</stp>
        <stp>NOW US Equity</stp>
        <stp>BS_CUR_ASSET_REPORT/1M</stp>
        <stp>FPR=2021Y</stp>
        <stp>FPT=A</stp>
        <stp>FA_ACT_EST_DATA=E, EST_SOURCE=JPM</stp>
        <stp>ACT_EST_MAPPING=PRECISE</stp>
        <stp>FS=MRC</stp>
        <stp>CURRENCY=USD</stp>
        <stp>XLFILL=b</stp>
        <tr r="K154" s="2"/>
      </tp>
      <tp t="s">
        <v>#N/A Requesting Data...</v>
        <stp/>
        <stp>##V3_BQLV12</stp>
        <stp>[MODL_NOW_US1.xlsx]Single Period!R173C43</stp>
        <stp>NOW US Equity</stp>
        <stp>BS_CUR_LIAB/1M</stp>
        <stp>FPR=2021Y</stp>
        <stp>FPT=A</stp>
        <stp>FA_ACT_EST_DATA=E, EST_SOURCE=WFT</stp>
        <stp>ACT_EST_MAPPING=PRECISE</stp>
        <stp>FS=MRC</stp>
        <stp>CURRENCY=USD</stp>
        <stp>XLFILL=b</stp>
        <tr r="AQ173" s="2"/>
      </tp>
      <tp t="s">
        <v>#N/A Requesting Data...</v>
        <stp/>
        <stp>##V3_BQLV12</stp>
        <stp>[MODL_NOW_US1.xlsx]Single Period!R189C22</stp>
        <stp>NOW US Equity</stp>
        <stp>CUR_RATIO</stp>
        <stp>FPR=2021Y</stp>
        <stp>FPT=A</stp>
        <stp>FA_ACT_EST_DATA=E, EST_SOURCE=NDH</stp>
        <stp>ACT_EST_MAPPING=PRECISE</stp>
        <stp>FS=MRC</stp>
        <stp>CURRENCY=USD</stp>
        <stp>XLFILL=b</stp>
        <tr r="V189" s="2"/>
      </tp>
      <tp t="s">
        <v>#N/A Requesting Data...</v>
        <stp/>
        <stp>##V3_BQLV12</stp>
        <stp>[MODL_NOW_US1.xlsx]Single Period!R89C30</stp>
        <stp>NOW US Equity</stp>
        <stp>IS_REV_INCLUDING_INTERSEG_REV/1M</stp>
        <stp>FPR=2021Y</stp>
        <stp>FPT=A</stp>
        <stp>FA_ACT_EST_DATA=E, EST_SOURCE=BAM</stp>
        <stp>ACT_EST_MAPPING=PRECISE</stp>
        <stp>FS=MRC</stp>
        <stp>CURRENCY=USD</stp>
        <stp>XLFILL=b</stp>
        <tr r="AD89" s="2"/>
      </tp>
      <tp t="s">
        <v>#N/A Requesting Data...</v>
        <stp/>
        <stp>##V3_BQLV12</stp>
        <stp>[MODL_NOW_US1.xlsx]Single Period!R89C20</stp>
        <stp>NOW US Equity</stp>
        <stp>IS_REV_INCLUDING_INTERSEG_REV/1M</stp>
        <stp>FPR=2021Y</stp>
        <stp>FPT=A</stp>
        <stp>FA_ACT_EST_DATA=E, EST_SOURCE=CAN</stp>
        <stp>ACT_EST_MAPPING=PRECISE</stp>
        <stp>FS=MRC</stp>
        <stp>CURRENCY=USD</stp>
        <stp>XLFILL=b</stp>
        <tr r="T89" s="2"/>
      </tp>
      <tp t="s">
        <v>#N/A Requesting Data...</v>
        <stp/>
        <stp>##V3_BQLV12</stp>
        <stp>[MODL_NOW_US1.xlsx]Single Period!R230C43</stp>
        <stp>NOW US Equity</stp>
        <stp>CF_EFFECT_FOREIGN_EXCHANGES/1M</stp>
        <stp>FPR=2021Y</stp>
        <stp>FPT=A</stp>
        <stp>FA_ACT_EST_DATA=E, EST_SOURCE=WFT</stp>
        <stp>ACT_EST_MAPPING=PRECISE</stp>
        <stp>FS=MRC</stp>
        <stp>CURRENCY=USD</stp>
        <stp>XLFILL=b</stp>
        <tr r="AQ230" s="2"/>
      </tp>
      <tp t="s">
        <v>#N/A Requesting Data...</v>
        <stp/>
        <stp>##V3_BQLV12</stp>
        <stp>[MODL_NOW_US1.xlsx]Single Period!R9C28</stp>
        <stp>NOW US Equity</stp>
        <stp>IS_BILLINGS/1M</stp>
        <stp>FPR=2021Y</stp>
        <stp>FPT=A</stp>
        <stp>FA_ACT_EST_DATA=E, EST_SOURCE=EVR</stp>
        <stp>ACT_EST_MAPPING=PRECISE</stp>
        <stp>FS=MRC</stp>
        <stp>CURRENCY=USD</stp>
        <stp>XLFILL=b</stp>
        <tr r="AB9" s="2"/>
      </tp>
      <tp t="s">
        <v>#N/A Requesting Data...</v>
        <stp/>
        <stp>##V3_BQLV12</stp>
        <stp>[MODL_NOW_US1.xlsx]Single Period!R167C19</stp>
        <stp>NOW US Equity</stp>
        <stp>BS_GOODWILL/1M</stp>
        <stp>FPR=2021Y</stp>
        <stp>FPT=A</stp>
        <stp>FA_ACT_EST_DATA=E, EST_SOURCE=MSV</stp>
        <stp>ACT_EST_MAPPING=PRECISE</stp>
        <stp>FS=MRC</stp>
        <stp>CURRENCY=USD</stp>
        <stp>XLFILL=b</stp>
        <tr r="S167" s="2"/>
      </tp>
      <tp t="s">
        <v>#N/A Requesting Data...</v>
        <stp/>
        <stp>##V3_BQLV12</stp>
        <stp>[MODL_NOW_US1.xlsx]Single Period!R154C15</stp>
        <stp>NOW US Equity</stp>
        <stp>BS_CUR_ASSET_REPORT/1M</stp>
        <stp>FPR=2021Y</stp>
        <stp>FPT=A</stp>
        <stp>FA_ACT_EST_DATA=E, EST_SOURCE=OPY</stp>
        <stp>ACT_EST_MAPPING=PRECISE</stp>
        <stp>FS=MRC</stp>
        <stp>CURRENCY=USD</stp>
        <stp>XLFILL=b</stp>
        <tr r="O154" s="2"/>
      </tp>
      <tp t="s">
        <v>#N/A Requesting Data...</v>
        <stp/>
        <stp>##V3_BQLV12</stp>
        <stp>[MODL_NOW_US1.xlsx]Single Period!R178C45</stp>
        <stp>NOW US Equity</stp>
        <stp>BS_ADJ_TOTAL_LT_LIABILITIES/1M</stp>
        <stp>FPR=2021Y</stp>
        <stp>FPT=A</stp>
        <stp>FA_ACT_EST_DATA=E, EST_SOURCE=PJE</stp>
        <stp>ACT_EST_MAPPING=PRECISE</stp>
        <stp>FS=MRC</stp>
        <stp>CURRENCY=USD</stp>
        <stp>XLFILL=b</stp>
        <tr r="AS178" s="2"/>
      </tp>
      <tp t="s">
        <v>#N/A Requesting Data...</v>
        <stp/>
        <stp>##V3_BQLV12</stp>
        <stp>[MODL_NOW_US1.xlsx]Single Period!R167C35</stp>
        <stp>NOW US Equity</stp>
        <stp>BS_GOODWILL/1M</stp>
        <stp>FPR=2021Y</stp>
        <stp>FPT=A</stp>
        <stp>FA_ACT_EST_DATA=E, EST_SOURCE=MSR</stp>
        <stp>ACT_EST_MAPPING=PRECISE</stp>
        <stp>FS=MRC</stp>
        <stp>CURRENCY=USD</stp>
        <stp>XLFILL=b</stp>
        <tr r="AI167" s="2"/>
      </tp>
      <tp t="s">
        <v>#N/A Requesting Data...</v>
        <stp/>
        <stp>##V3_BQLV12</stp>
        <stp>[MODL_NOW_US1.xlsx]Single Period!R167C31</stp>
        <stp>NOW US Equity</stp>
        <stp>BS_GOODWILL/1M</stp>
        <stp>FPR=2021Y</stp>
        <stp>FPT=A</stp>
        <stp>FA_ACT_EST_DATA=E, EST_SOURCE=GSR</stp>
        <stp>ACT_EST_MAPPING=PRECISE</stp>
        <stp>FS=MRC</stp>
        <stp>CURRENCY=USD</stp>
        <stp>XLFILL=b</stp>
        <tr r="AE167" s="2"/>
      </tp>
      <tp t="s">
        <v>#N/A Requesting Data...</v>
        <stp/>
        <stp>##V3_BQLV12</stp>
        <stp>[MODL_NOW_US1.xlsx]Single Period!R161C18</stp>
        <stp>NOW US Equity</stp>
        <stp>BS_TOTAL_NON_CURRENT_ASSETS/1M</stp>
        <stp>FPR=2021Y</stp>
        <stp>FPT=A</stp>
        <stp>FA_ACT_EST_DATA=E, EST_SOURCE=SNR</stp>
        <stp>ACT_EST_MAPPING=PRECISE</stp>
        <stp>FS=MRC</stp>
        <stp>CURRENCY=USD</stp>
        <stp>XLFILL=b</stp>
        <tr r="R161" s="2"/>
      </tp>
      <tp t="s">
        <v>#N/A Requesting Data...</v>
        <stp/>
        <stp>##V3_BQLV12</stp>
        <stp>[MODL_NOW_US1.xlsx]Single Period!R30C14</stp>
        <stp>NOW US Equity</stp>
        <stp>CF_FREE_CASH_FLOW_AS_REPORTED/1M</stp>
        <stp>FPR=2021Y</stp>
        <stp>FPT=A</stp>
        <stp>FA_ACT_EST_DATA=E, EST_SOURCE=BMO</stp>
        <stp>ACT_EST_MAPPING=PRECISE</stp>
        <stp>FS=MRC</stp>
        <stp>CURRENCY=USD</stp>
        <stp>XLFILL=b</stp>
        <tr r="N30" s="2"/>
      </tp>
      <tp t="s">
        <v>#N/A Requesting Data...</v>
        <stp/>
        <stp>##V3_BQLV12</stp>
        <stp>[MODL_NOW_US1.xlsx]Single Period!R161C29</stp>
        <stp>NOW US Equity</stp>
        <stp>BS_TOTAL_NON_CURRENT_ASSETS/1M</stp>
        <stp>FPR=2021Y</stp>
        <stp>FPT=A</stp>
        <stp>FA_ACT_EST_DATA=E, EST_SOURCE=BNS</stp>
        <stp>ACT_EST_MAPPING=PRECISE</stp>
        <stp>FS=MRC</stp>
        <stp>CURRENCY=USD</stp>
        <stp>XLFILL=b</stp>
        <tr r="AC161" s="2"/>
      </tp>
      <tp t="s">
        <v>#N/A Requesting Data...</v>
        <stp/>
        <stp>##V3_BQLV12</stp>
        <stp>[MODL_NOW_US1.xlsx]Single Period!R142C22</stp>
        <stp>NOW US Equity</stp>
        <stp>IS_SBC_ATT_TO_S_AND_M_PRETX/1M</stp>
        <stp>FPR=2021Y</stp>
        <stp>FPT=A</stp>
        <stp>FA_ACT_EST_DATA=E, EST_SOURCE=NDH</stp>
        <stp>ACT_EST_MAPPING=PRECISE</stp>
        <stp>FS=MRC</stp>
        <stp>CURRENCY=USD</stp>
        <stp>XLFILL=b</stp>
        <tr r="V142" s="2"/>
      </tp>
      <tp t="s">
        <v>#N/A Requesting Data...</v>
        <stp/>
        <stp>##V3_BQLV12</stp>
        <stp>[MODL_NOW_US1.xlsx]Single Period!R139C13</stp>
        <stp>NOW US Equity</stp>
        <stp>IS_SBC_ATTRIB_TO_COGS_PRETX/1M</stp>
        <stp>FPR=2021Y</stp>
        <stp>FPT=A</stp>
        <stp>FA_ACT_EST_DATA=E, EST_SOURCE=KEY</stp>
        <stp>ACT_EST_MAPPING=PRECISE</stp>
        <stp>FS=MRC</stp>
        <stp>CURRENCY=USD</stp>
        <stp>XLFILL=b</stp>
        <tr r="M139" s="2"/>
      </tp>
      <tp t="s">
        <v>#N/A Requesting Data...</v>
        <stp/>
        <stp>##V3_BQLV12</stp>
        <stp>[MODL_NOW_US1.xlsx]Single Period!R80C49</stp>
        <stp>NOW US Equity</stp>
        <stp>IS_COMP_SALES/1M</stp>
        <stp>FPR=2021Y</stp>
        <stp>FPT=A</stp>
        <stp>FA_ACT_EST_DATA=E, EST_SOURCE=SCB</stp>
        <stp>ACT_EST_MAPPING=PRECISE</stp>
        <stp>FS=MRC</stp>
        <stp>CURRENCY=USD</stp>
        <stp>XLFILL=b</stp>
        <tr r="AW80" s="2"/>
      </tp>
      <tp t="s">
        <v>#N/A Requesting Data...</v>
        <stp/>
        <stp>##V3_BQLV12</stp>
        <stp>[MODL_NOW_US1.xlsx]Single Period!R131C42</stp>
        <stp>NOW US Equity</stp>
        <stp>IS_AVG_NUM_SH_FOR_EPS/1M</stp>
        <stp>FPR=2021Y</stp>
        <stp>FPT=A</stp>
        <stp>FA_ACT_EST_DATA=E, EST_SOURCE=CTI</stp>
        <stp>ACT_EST_MAPPING=PRECISE</stp>
        <stp>FS=MRC</stp>
        <stp>CURRENCY=USD</stp>
        <stp>XLFILL=b</stp>
        <tr r="AP131" s="2"/>
      </tp>
      <tp t="s">
        <v>#N/A Requesting Data...</v>
        <stp/>
        <stp>##V3_BQLV12</stp>
        <stp>[MODL_NOW_US1.xlsx]Single Period!R14C38</stp>
        <stp>SEG0000230975 Segment</stp>
        <stp>SALES_REV_TURN/1M</stp>
        <stp>FPR=2021Y</stp>
        <stp>FPT=A</stp>
        <stp>FA_ACT_EST_DATA=E, EST_SOURCE=RWB</stp>
        <stp>ACT_EST_MAPPING=PRECISE</stp>
        <stp>FS=MRC</stp>
        <stp>CURRENCY=USD</stp>
        <stp>XLFILL=b</stp>
        <tr r="AL14" s="2"/>
      </tp>
      <tp t="s">
        <v>#N/A Requesting Data...</v>
        <stp/>
        <stp>##V3_BQLV12</stp>
        <stp>[MODL_NOW_US1.xlsx]Single Period!R119C28</stp>
        <stp>NOW US Equity</stp>
        <stp>CB_IS_S_AND_M_EXPENSE/1M</stp>
        <stp>FPR=2021Y</stp>
        <stp>FPT=A</stp>
        <stp>FA_ACT_EST_DATA=E, EST_SOURCE=EVR</stp>
        <stp>ACT_EST_MAPPING=PRECISE</stp>
        <stp>FS=MRC</stp>
        <stp>CURRENCY=USD</stp>
        <stp>XLFILL=b</stp>
        <tr r="AB119" s="2"/>
      </tp>
      <tp t="s">
        <v>#N/A Requesting Data...</v>
        <stp/>
        <stp>##V3_BQLV12</stp>
        <stp>[MODL_NOW_US1.xlsx]Single Period!R66C39</stp>
        <stp>SEG0000230986 Segment</stp>
        <stp>SALES_REV_TURN/1M</stp>
        <stp>FPR=2021Y</stp>
        <stp>FPT=A</stp>
        <stp>FA_ACT_EST_DATA=E, EST_SOURCE=DZB</stp>
        <stp>ACT_EST_MAPPING=PRECISE</stp>
        <stp>FS=MRC</stp>
        <stp>CURRENCY=USD</stp>
        <stp>XLFILL=b</stp>
        <tr r="AM66" s="2"/>
      </tp>
      <tp t="s">
        <v>#N/A Requesting Data...</v>
        <stp/>
        <stp>##V3_BQLV12</stp>
        <stp>[MODL_NOW_US1.xlsx]Single Period!R77C47</stp>
        <stp>SEG0000230969 Segment</stp>
        <stp>SALES_REV_TURN/1M</stp>
        <stp>FPR=2021Y</stp>
        <stp>FPT=A</stp>
        <stp>FA_ACT_EST_DATA=E, EST_SOURCE=SUM</stp>
        <stp>ACT_EST_MAPPING=PRECISE</stp>
        <stp>FS=MRC</stp>
        <stp>CURRENCY=USD</stp>
        <stp>XLFILL=b</stp>
        <tr r="AU77" s="2"/>
      </tp>
      <tp t="s">
        <v>#N/A Requesting Data...</v>
        <stp/>
        <stp>##V3_BQLV12</stp>
        <stp>[MODL_NOW_US1.xlsx]Single Period!R69C32</stp>
        <stp>SEG0000230986 Segment</stp>
        <stp>IS_ADJ_GROSS_PROFIT_AS_REPORTED/1M</stp>
        <stp>FPR=2021Y</stp>
        <stp>FPT=A</stp>
        <stp>FA_ACT_EST_DATA=E, EST_SOURCE=FBC</stp>
        <stp>ACT_EST_MAPPING=PRECISE</stp>
        <stp>FS=MRC</stp>
        <stp>CURRENCY=USD</stp>
        <stp>XLFILL=b</stp>
        <tr r="AF69" s="2"/>
      </tp>
      <tp t="s">
        <v>#N/A Requesting Data...</v>
        <stp/>
        <stp>##V3_BQLV12</stp>
        <stp>[MODL_NOW_US1.xlsx]Single Period!R61C33</stp>
        <stp>SEG0000230975 Segment</stp>
        <stp>IS_ADJ_GROSS_PROFIT_AS_REPORTED/1M</stp>
        <stp>FPR=2021Y</stp>
        <stp>FPT=A</stp>
        <stp>FA_ACT_EST_DATA=E, EST_SOURCE=MAC</stp>
        <stp>ACT_EST_MAPPING=PRECISE</stp>
        <stp>FS=MRC</stp>
        <stp>CURRENCY=USD</stp>
        <stp>XLFILL=b</stp>
        <tr r="AG61" s="2"/>
      </tp>
      <tp t="s">
        <v>#N/A Requesting Data...</v>
        <stp/>
        <stp>##V3_BQLV12</stp>
        <stp>[MODL_NOW_US1.xlsx]Single Period!R143C45</stp>
        <stp>NOW US Equity</stp>
        <stp>IS_SBC_ATTRIBUTABLE_TO_R_AND_D_PRETX/1M</stp>
        <stp>FPR=2021Y</stp>
        <stp>FPT=A</stp>
        <stp>FA_ACT_EST_DATA=E, EST_SOURCE=PJE</stp>
        <stp>ACT_EST_MAPPING=PRECISE</stp>
        <stp>FS=MRC</stp>
        <stp>CURRENCY=USD</stp>
        <stp>XLFILL=b</stp>
        <tr r="AS143" s="2"/>
      </tp>
      <tp t="s">
        <v>#N/A Requesting Data...</v>
        <stp/>
        <stp>##V3_BQLV12</stp>
        <stp>[MODL_NOW_US1.xlsx]Single Period!R69C27</stp>
        <stp>SEG0000230986 Segment</stp>
        <stp>IS_ADJ_GROSS_PROFIT_AS_REPORTED/1M</stp>
        <stp>FPR=2021Y</stp>
        <stp>FPT=A</stp>
        <stp>FA_ACT_EST_DATA=E, EST_SOURCE=RBC</stp>
        <stp>ACT_EST_MAPPING=PRECISE</stp>
        <stp>FS=MRC</stp>
        <stp>CURRENCY=USD</stp>
        <stp>XLFILL=b</stp>
        <tr r="AA69" s="2"/>
      </tp>
      <tp t="s">
        <v>#N/A Requesting Data...</v>
        <stp/>
        <stp>##V3_BQLV12</stp>
        <stp>[MODL_NOW_US1.xlsx]Single Period!R16C42</stp>
        <stp>SEG0000230969 Segment</stp>
        <stp>SALES_REV_TURN/1M</stp>
        <stp>FPR=2021Y</stp>
        <stp>FPT=A</stp>
        <stp>FA_ACT_EST_DATA=E, EST_SOURCE=CTI</stp>
        <stp>ACT_EST_MAPPING=PRECISE</stp>
        <stp>FS=MRC</stp>
        <stp>CURRENCY=USD</stp>
        <stp>XLFILL=b</stp>
        <tr r="AP16" s="2"/>
      </tp>
      <tp t="s">
        <v>#N/A Requesting Data...</v>
        <stp/>
        <stp>##V3_BQLV12</stp>
        <stp>[MODL_NOW_US1.xlsx]Single Period!R69C25</stp>
        <stp>SEG0000230986 Segment</stp>
        <stp>IS_ADJ_GROSS_PROFIT_AS_REPORTED/1M</stp>
        <stp>FPR=2021Y</stp>
        <stp>FPT=A</stp>
        <stp>FA_ACT_EST_DATA=E, EST_SOURCE=DBG</stp>
        <stp>ACT_EST_MAPPING=PRECISE</stp>
        <stp>FS=MRC</stp>
        <stp>CURRENCY=USD</stp>
        <stp>XLFILL=b</stp>
        <tr r="Y69" s="2"/>
      </tp>
      <tp t="s">
        <v>#N/A Requesting Data...</v>
        <stp/>
        <stp>##V3_BQLV12</stp>
        <stp>[MODL_NOW_US1.xlsx]Single Period!R200C27</stp>
        <stp>NOW US Equity</stp>
        <stp>CF_DEPR_AMORT/1M</stp>
        <stp>FPR=2021Y</stp>
        <stp>FPT=A</stp>
        <stp>FA_ACT_EST_DATA=E, EST_SOURCE=RBC</stp>
        <stp>ACT_EST_MAPPING=PRECISE</stp>
        <stp>FS=MRC</stp>
        <stp>CURRENCY=USD</stp>
        <stp>XLFILL=b</stp>
        <tr r="AA200" s="2"/>
      </tp>
      <tp t="s">
        <v>#N/A Requesting Data...</v>
        <stp/>
        <stp>##V3_BQLV12</stp>
        <stp>[MODL_NOW_US1.xlsx]Single Period!R207C15</stp>
        <stp>NOW US Equity</stp>
        <stp>CB_CF_CHANGE_IN_ACCOUNTS_RECEIVABLE/1M</stp>
        <stp>FPR=2021Y</stp>
        <stp>FPT=A</stp>
        <stp>FA_ACT_EST_DATA=E, EST_SOURCE=OPY</stp>
        <stp>ACT_EST_MAPPING=PRECISE</stp>
        <stp>FS=MRC</stp>
        <stp>CURRENCY=USD</stp>
        <stp>XLFILL=b</stp>
        <tr r="O207" s="2"/>
      </tp>
      <tp t="s">
        <v>#N/A Requesting Data...</v>
        <stp/>
        <stp>##V3_BQLV12</stp>
        <stp>[MODL_NOW_US1.xlsx]Single Period!R200C16</stp>
        <stp>NOW US Equity</stp>
        <stp>CF_DEPR_AMORT/1M</stp>
        <stp>FPR=2021Y</stp>
        <stp>FPT=A</stp>
        <stp>FA_ACT_EST_DATA=E, EST_SOURCE=BCA</stp>
        <stp>ACT_EST_MAPPING=PRECISE</stp>
        <stp>FS=MRC</stp>
        <stp>CURRENCY=USD</stp>
        <stp>XLFILL=b</stp>
        <tr r="P200" s="2"/>
      </tp>
      <tp t="s">
        <v>#N/A Requesting Data...</v>
        <stp/>
        <stp>##V3_BQLV12</stp>
        <stp>[MODL_NOW_US1.xlsx]Single Period!R14C40</stp>
        <stp>SEG0000230975 Segment</stp>
        <stp>SALES_REV_TURN/1M</stp>
        <stp>FPR=2021Y</stp>
        <stp>FPT=A</stp>
        <stp>FA_ACT_EST_DATA=E, EST_SOURCE=DWI</stp>
        <stp>ACT_EST_MAPPING=PRECISE</stp>
        <stp>FS=MRC</stp>
        <stp>CURRENCY=USD</stp>
        <stp>XLFILL=b</stp>
        <tr r="AN14" s="2"/>
      </tp>
      <tp t="s">
        <v>#N/A Requesting Data...</v>
        <stp/>
        <stp>##V3_BQLV12</stp>
        <stp>[MODL_NOW_US1.xlsx]Single Period!R209C25</stp>
        <stp>NOW US Equity</stp>
        <stp>CF_CHANGE_IN_ACCOUNTS_PAYABLE/1M</stp>
        <stp>FPR=2021Y</stp>
        <stp>FPT=A</stp>
        <stp>FA_ACT_EST_DATA=E, EST_SOURCE=DBG</stp>
        <stp>ACT_EST_MAPPING=PRECISE</stp>
        <stp>FS=MRC</stp>
        <stp>CURRENCY=USD</stp>
        <stp>XLFILL=b</stp>
        <tr r="Y209" s="2"/>
      </tp>
      <tp t="s">
        <v>#N/A Requesting Data...</v>
        <stp/>
        <stp>##V3_BQLV12</stp>
        <stp>[MODL_NOW_US1.xlsx]Single Period!R16C37</stp>
        <stp>SEG0000230969 Segment</stp>
        <stp>SALES_REV_TURN/1M</stp>
        <stp>FPR=2021Y</stp>
        <stp>FPT=A</stp>
        <stp>FA_ACT_EST_DATA=E, EST_SOURCE=TTC</stp>
        <stp>ACT_EST_MAPPING=PRECISE</stp>
        <stp>FS=MRC</stp>
        <stp>CURRENCY=USD</stp>
        <stp>XLFILL=b</stp>
        <tr r="AK16" s="2"/>
      </tp>
      <tp t="s">
        <v>#N/A Requesting Data...</v>
        <stp/>
        <stp>##V3_BQLV12</stp>
        <stp>[MODL_NOW_US1.xlsx]Single Period!R61C30</stp>
        <stp>SEG0000230975 Segment</stp>
        <stp>IS_ADJ_GROSS_PROFIT_AS_REPORTED/1M</stp>
        <stp>FPR=2021Y</stp>
        <stp>FPT=A</stp>
        <stp>FA_ACT_EST_DATA=E, EST_SOURCE=BAM</stp>
        <stp>ACT_EST_MAPPING=PRECISE</stp>
        <stp>FS=MRC</stp>
        <stp>CURRENCY=USD</stp>
        <stp>XLFILL=b</stp>
        <tr r="AD61" s="2"/>
      </tp>
      <tp t="s">
        <v>#N/A Requesting Data...</v>
        <stp/>
        <stp>##V3_BQLV12</stp>
        <stp>[MODL_NOW_US1.xlsx]Single Period!R131C44</stp>
        <stp>NOW US Equity</stp>
        <stp>IS_AVG_NUM_SH_FOR_EPS/1M</stp>
        <stp>FPR=2021Y</stp>
        <stp>FPT=A</stp>
        <stp>FA_ACT_EST_DATA=E, EST_SOURCE=ARE</stp>
        <stp>ACT_EST_MAPPING=PRECISE</stp>
        <stp>FS=MRC</stp>
        <stp>CURRENCY=USD</stp>
        <stp>XLFILL=b</stp>
        <tr r="AR131" s="2"/>
      </tp>
      <tp t="s">
        <v>#N/A Requesting Data...</v>
        <stp/>
        <stp>##V3_BQLV12</stp>
        <stp>[MODL_NOW_US1.xlsx]Single Period!R14C24</stp>
        <stp>SEG0000230975 Segment</stp>
        <stp>SALES_REV_TURN/1M</stp>
        <stp>FPR=2021Y</stp>
        <stp>FPT=A</stp>
        <stp>FA_ACT_EST_DATA=E, EST_SOURCE=CWN</stp>
        <stp>ACT_EST_MAPPING=PRECISE</stp>
        <stp>FS=MRC</stp>
        <stp>CURRENCY=USD</stp>
        <stp>XLFILL=b</stp>
        <tr r="X14" s="2"/>
      </tp>
      <tp t="s">
        <v>#N/A Requesting Data...</v>
        <stp/>
        <stp>##V3_BQLV12</stp>
        <stp>[MODL_NOW_US1.xlsx]Single Period!R61C20</stp>
        <stp>SEG0000230975 Segment</stp>
        <stp>IS_ADJ_GROSS_PROFIT_AS_REPORTED/1M</stp>
        <stp>FPR=2021Y</stp>
        <stp>FPT=A</stp>
        <stp>FA_ACT_EST_DATA=E, EST_SOURCE=CAN</stp>
        <stp>ACT_EST_MAPPING=PRECISE</stp>
        <stp>FS=MRC</stp>
        <stp>CURRENCY=USD</stp>
        <stp>XLFILL=b</stp>
        <tr r="T61" s="2"/>
      </tp>
      <tp t="s">
        <v>#N/A Requesting Data...</v>
        <stp/>
        <stp>##V3_BQLV12</stp>
        <stp>[MODL_NOW_US1.xlsx]Single Period!R150C19</stp>
        <stp>NOW US Equity</stp>
        <stp>IS_INC_TAX_EFFECT_NONGAAP_REC/1M</stp>
        <stp>FPR=2021Y</stp>
        <stp>FPT=A</stp>
        <stp>FA_ACT_EST_DATA=E, EST_SOURCE=MSV</stp>
        <stp>ACT_EST_MAPPING=PRECISE</stp>
        <stp>FS=MRC</stp>
        <stp>CURRENCY=USD</stp>
        <stp>XLFILL=b</stp>
        <tr r="S150" s="2"/>
      </tp>
      <tp t="s">
        <v>#N/A Requesting Data...</v>
        <stp/>
        <stp>##V3_BQLV12</stp>
        <stp>[MODL_NOW_US1.xlsx]Single Period!R69C12</stp>
        <stp>SEG0000230986 Segment</stp>
        <stp>IS_ADJ_GROSS_PROFIT_AS_REPORTED/1M</stp>
        <stp>FPR=2021Y</stp>
        <stp>FPT=A</stp>
        <stp>FA_ACT_EST_DATA=E, EST_SOURCE=WBL</stp>
        <stp>ACT_EST_MAPPING=PRECISE</stp>
        <stp>FS=MRC</stp>
        <stp>CURRENCY=USD</stp>
        <stp>XLFILL=b</stp>
        <tr r="L69" s="2"/>
      </tp>
      <tp t="s">
        <v>#N/A Requesting Data...</v>
        <stp/>
        <stp>##V3_BQLV12</stp>
        <stp>[MODL_NOW_US1.xlsx]Single Period!R66C46</stp>
        <stp>SEG0000230986 Segment</stp>
        <stp>SALES_REV_TURN/1M</stp>
        <stp>FPR=2021Y</stp>
        <stp>FPT=A</stp>
        <stp>FA_ACT_EST_DATA=E, EST_SOURCE=MZS</stp>
        <stp>ACT_EST_MAPPING=PRECISE</stp>
        <stp>FS=MRC</stp>
        <stp>CURRENCY=USD</stp>
        <stp>XLFILL=b</stp>
        <tr r="AT66" s="2"/>
      </tp>
      <tp t="s">
        <v>#N/A Requesting Data...</v>
        <stp/>
        <stp>##V3_BQLV12</stp>
        <stp>[MODL_NOW_US1.xlsx]Single Period!R69C26</stp>
        <stp>SEG0000230986 Segment</stp>
        <stp>IS_ADJ_GROSS_PROFIT_AS_REPORTED/1M</stp>
        <stp>FPR=2021Y</stp>
        <stp>FPT=A</stp>
        <stp>FA_ACT_EST_DATA=E, EST_SOURCE=UBS</stp>
        <stp>ACT_EST_MAPPING=PRECISE</stp>
        <stp>FS=MRC</stp>
        <stp>CURRENCY=USD</stp>
        <stp>XLFILL=b</stp>
        <tr r="Z69" s="2"/>
      </tp>
      <tp t="s">
        <v>#N/A Requesting Data...</v>
        <stp/>
        <stp>##V3_BQLV12</stp>
        <stp>[MODL_NOW_US1.xlsx]Single Period!R101C20</stp>
        <stp>NOW US Equity</stp>
        <stp>CB_IS_OTHER_NON_OPER_INC_EXPN/1M</stp>
        <stp>FPR=2021Y</stp>
        <stp>FPT=A</stp>
        <stp>FA_ACT_EST_DATA=E, EST_SOURCE=CAN</stp>
        <stp>ACT_EST_MAPPING=PRECISE</stp>
        <stp>FS=MRC</stp>
        <stp>CURRENCY=USD</stp>
        <stp>XLFILL=b</stp>
        <tr r="T101" s="2"/>
      </tp>
      <tp t="s">
        <v>#N/A Requesting Data...</v>
        <stp/>
        <stp>##V3_BQLV12</stp>
        <stp>[MODL_NOW_US1.xlsx]Single Period!R101C30</stp>
        <stp>NOW US Equity</stp>
        <stp>CB_IS_OTHER_NON_OPER_INC_EXPN/1M</stp>
        <stp>FPR=2021Y</stp>
        <stp>FPT=A</stp>
        <stp>FA_ACT_EST_DATA=E, EST_SOURCE=BAM</stp>
        <stp>ACT_EST_MAPPING=PRECISE</stp>
        <stp>FS=MRC</stp>
        <stp>CURRENCY=USD</stp>
        <stp>XLFILL=b</stp>
        <tr r="AD101" s="2"/>
      </tp>
      <tp t="s">
        <v>#N/A Requesting Data...</v>
        <stp/>
        <stp>##V3_BQLV12</stp>
        <stp>[MODL_NOW_US1.xlsx]Single Period!R75C23</stp>
        <stp>SEG0000230992 Segment</stp>
        <stp>SALES_REV_TURN/1M</stp>
        <stp>FPR=2021Y</stp>
        <stp>FPT=A</stp>
        <stp>FA_ACT_EST_DATA=E, EST_SOURCE=ZXS</stp>
        <stp>ACT_EST_MAPPING=PRECISE</stp>
        <stp>FS=MRC</stp>
        <stp>CURRENCY=USD</stp>
        <stp>XLFILL=b</stp>
        <tr r="W75" s="2"/>
      </tp>
      <tp t="s">
        <v>#N/A Requesting Data...</v>
        <stp/>
        <stp>##V3_BQLV12</stp>
        <stp>[MODL_NOW_US1.xlsx]Single Period!R15C23</stp>
        <stp>SEG0000230992 Segment</stp>
        <stp>SALES_REV_TURN/1M</stp>
        <stp>FPR=2021Y</stp>
        <stp>FPT=A</stp>
        <stp>FA_ACT_EST_DATA=E, EST_SOURCE=ZXS</stp>
        <stp>ACT_EST_MAPPING=PRECISE</stp>
        <stp>FS=MRC</stp>
        <stp>CURRENCY=USD</stp>
        <stp>XLFILL=b</stp>
        <tr r="W15" s="2"/>
      </tp>
      <tp t="s">
        <v>#N/A Requesting Data...</v>
        <stp/>
        <stp>##V3_BQLV12</stp>
        <stp>[MODL_NOW_US1.xlsx]Single Period!R209C29</stp>
        <stp>NOW US Equity</stp>
        <stp>CF_CHANGE_IN_ACCOUNTS_PAYABLE/1M</stp>
        <stp>FPR=2021Y</stp>
        <stp>FPT=A</stp>
        <stp>FA_ACT_EST_DATA=E, EST_SOURCE=BNS</stp>
        <stp>ACT_EST_MAPPING=PRECISE</stp>
        <stp>FS=MRC</stp>
        <stp>CURRENCY=USD</stp>
        <stp>XLFILL=b</stp>
        <tr r="AC209" s="2"/>
      </tp>
      <tp t="s">
        <v>#N/A Requesting Data...</v>
        <stp/>
        <stp>##V3_BQLV12</stp>
        <stp>[MODL_NOW_US1.xlsx]Single Period!R99C37</stp>
        <stp>NOW US Equity</stp>
        <stp>IS_COMPARABLE_EBITDA/1M</stp>
        <stp>FPR=2021Y</stp>
        <stp>FPT=A</stp>
        <stp>FA_ACT_EST_DATA=E, EST_SOURCE=TTC</stp>
        <stp>ACT_EST_MAPPING=PRECISE</stp>
        <stp>FS=MRC</stp>
        <stp>CURRENCY=USD</stp>
        <stp>XLFILL=b</stp>
        <tr r="AK99" s="2"/>
      </tp>
      <tp t="s">
        <v>#N/A Requesting Data...</v>
        <stp/>
        <stp>##V3_BQLV12</stp>
        <stp>[MODL_NOW_US1.xlsx]Single Period!R102C38</stp>
        <stp>NOW US Equity</stp>
        <stp>IS_COMP_PTP_EX_STK_BASED_COMP/1M</stp>
        <stp>FPR=2021Y</stp>
        <stp>FPT=A</stp>
        <stp>FA_ACT_EST_DATA=E, EST_SOURCE=RWB</stp>
        <stp>ACT_EST_MAPPING=PRECISE</stp>
        <stp>FS=MRC</stp>
        <stp>CURRENCY=USD</stp>
        <stp>XLFILL=b</stp>
        <tr r="AL102" s="2"/>
      </tp>
      <tp t="s">
        <v>#N/A Requesting Data...</v>
        <stp/>
        <stp>##V3_BQLV12</stp>
        <stp>[MODL_NOW_US1.xlsx]Single Period!R150C48</stp>
        <stp>NOW US Equity</stp>
        <stp>IS_INC_TAX_EFFECT_NONGAAP_REC/1M</stp>
        <stp>FPR=2021Y</stp>
        <stp>FPT=A</stp>
        <stp>FA_ACT_EST_DATA=E, EST_SOURCE=CRC</stp>
        <stp>ACT_EST_MAPPING=PRECISE</stp>
        <stp>FS=MRC</stp>
        <stp>CURRENCY=USD</stp>
        <stp>XLFILL=b</stp>
        <tr r="AV150" s="2"/>
      </tp>
      <tp t="s">
        <v>#N/A Requesting Data...</v>
        <stp/>
        <stp>##V3_BQLV12</stp>
        <stp>[MODL_NOW_US1.xlsx]Single Period!R131C35</stp>
        <stp>NOW US Equity</stp>
        <stp>IS_AVG_NUM_SH_FOR_EPS/1M</stp>
        <stp>FPR=2021Y</stp>
        <stp>FPT=A</stp>
        <stp>FA_ACT_EST_DATA=E, EST_SOURCE=MSR</stp>
        <stp>ACT_EST_MAPPING=PRECISE</stp>
        <stp>FS=MRC</stp>
        <stp>CURRENCY=USD</stp>
        <stp>XLFILL=b</stp>
        <tr r="AI131" s="2"/>
      </tp>
      <tp t="s">
        <v>#N/A Requesting Data...</v>
        <stp/>
        <stp>##V3_BQLV12</stp>
        <stp>[MODL_NOW_US1.xlsx]Single Period!R235C23</stp>
        <stp>NOW US Equity</stp>
        <stp>CF_FREE_CASH_FLOW_AS_REPORTED/1M</stp>
        <stp>FPR=2021Y</stp>
        <stp>FPT=A</stp>
        <stp>FA_ACT_EST_DATA=E, EST_SOURCE=ZXS</stp>
        <stp>ACT_EST_MAPPING=PRECISE</stp>
        <stp>FS=MRC</stp>
        <stp>CURRENCY=USD</stp>
        <stp>XLFILL=b</stp>
        <tr r="W235" s="2"/>
      </tp>
      <tp t="s">
        <v>#N/A Requesting Data...</v>
        <stp/>
        <stp>##V3_BQLV12</stp>
        <stp>[MODL_NOW_US1.xlsx]Single Period!R207C11</stp>
        <stp>NOW US Equity</stp>
        <stp>CB_CF_CHANGE_IN_ACCOUNTS_RECEIVABLE/1M</stp>
        <stp>FPR=2021Y</stp>
        <stp>FPT=A</stp>
        <stp>FA_ACT_EST_DATA=E, EST_SOURCE=JPM</stp>
        <stp>ACT_EST_MAPPING=PRECISE</stp>
        <stp>FS=MRC</stp>
        <stp>CURRENCY=USD</stp>
        <stp>XLFILL=b</stp>
        <tr r="K207" s="2"/>
      </tp>
      <tp t="s">
        <v>#N/A Requesting Data...</v>
        <stp/>
        <stp>##V3_BQLV12</stp>
        <stp>[MODL_NOW_US1.xlsx]Single Period!R200C43</stp>
        <stp>NOW US Equity</stp>
        <stp>CF_DEPR_AMORT/1M</stp>
        <stp>FPR=2021Y</stp>
        <stp>FPT=A</stp>
        <stp>FA_ACT_EST_DATA=E, EST_SOURCE=WFT</stp>
        <stp>ACT_EST_MAPPING=PRECISE</stp>
        <stp>FS=MRC</stp>
        <stp>CURRENCY=USD</stp>
        <stp>XLFILL=b</stp>
        <tr r="AQ200" s="2"/>
      </tp>
      <tp t="s">
        <v>#N/A Requesting Data...</v>
        <stp/>
        <stp>##V3_BQLV12</stp>
        <stp>[MODL_NOW_US1.xlsx]Single Period!R3C49</stp>
        <stp>NOW US Equity</stp>
        <stp>LAST(IS_COMP_SALES(FA_ACT_EST_DATA=E, EST_SOURCE=SCB).firm_name)</stp>
        <stp>FPR=2021Y</stp>
        <stp>FPT=A</stp>
        <stp>ACT_EST_MAPPING=PRECISE</stp>
        <stp>FS=MRC</stp>
        <stp>CURRENCY=USD</stp>
        <stp>XLFILL=b</stp>
        <tr r="AW3" s="2"/>
      </tp>
      <tp t="s">
        <v>#N/A Requesting Data...</v>
        <stp/>
        <stp>##V3_BQLV12</stp>
        <stp>[MODL_NOW_US1.xlsx]Single Period!R3C16</stp>
        <stp>NOW US Equity</stp>
        <stp>LAST(IS_COMP_SALES(FA_ACT_EST_DATA=E, EST_SOURCE=BCA).firm_name)</stp>
        <stp>FPR=2021Y</stp>
        <stp>FPT=A</stp>
        <stp>ACT_EST_MAPPING=PRECISE</stp>
        <stp>FS=MRC</stp>
        <stp>CURRENCY=USD</stp>
        <stp>XLFILL=b</stp>
        <tr r="P3" s="2"/>
      </tp>
      <tp t="s">
        <v>#N/A Requesting Data...</v>
        <stp/>
        <stp>##V3_BQLV12</stp>
        <stp>[MODL_NOW_US1.xlsx]Single Period!R25C24</stp>
        <stp>NOW US Equity</stp>
        <stp>IS_COMP_GROSS_MARGIN_PERCENTAGE</stp>
        <stp>FPR=2021Y</stp>
        <stp>FPT=A</stp>
        <stp>FA_ACT_EST_DATA=E, EST_SOURCE=CWN</stp>
        <stp>ACT_EST_MAPPING=PRECISE</stp>
        <stp>FS=MRC</stp>
        <stp>CURRENCY=USD</stp>
        <stp>XLFILL=b</stp>
        <tr r="X25" s="2"/>
      </tp>
      <tp t="s">
        <v>#N/A Requesting Data...</v>
        <stp/>
        <stp>##V3_BQLV12</stp>
        <stp>[MODL_NOW_US1.xlsx]Single Period!R85C24</stp>
        <stp>NOW US Equity</stp>
        <stp>IS_COMP_GROSS_MARGIN_PERCENTAGE</stp>
        <stp>FPR=2021Y</stp>
        <stp>FPT=A</stp>
        <stp>FA_ACT_EST_DATA=E, EST_SOURCE=CWN</stp>
        <stp>ACT_EST_MAPPING=PRECISE</stp>
        <stp>FS=MRC</stp>
        <stp>CURRENCY=USD</stp>
        <stp>XLFILL=b</stp>
        <tr r="X85" s="2"/>
      </tp>
      <tp t="s">
        <v>#N/A Requesting Data...</v>
        <stp/>
        <stp>##V3_BQLV12</stp>
        <stp>[MODL_NOW_US1.xlsx]Single Period!R201C33</stp>
        <stp>NOW US Equity</stp>
        <stp>D_AND_A_TO_SALES</stp>
        <stp>FPR=2021Y</stp>
        <stp>FPT=A</stp>
        <stp>FA_ACT_EST_DATA=E, EST_SOURCE=MAC</stp>
        <stp>ACT_EST_MAPPING=PRECISE</stp>
        <stp>FS=MRC</stp>
        <stp>CURRENCY=USD</stp>
        <stp>XLFILL=b</stp>
        <tr r="AG201" s="2"/>
      </tp>
      <tp t="s">
        <v>#N/A Requesting Data...</v>
        <stp/>
        <stp>##V3_BQLV12</stp>
        <stp>[MODL_NOW_US1.xlsx]Single Period!R128C17</stp>
        <stp>NOW US Equity</stp>
        <stp>IS_INC_TAX_EXP/1M</stp>
        <stp>FPR=2021Y</stp>
        <stp>FPT=A</stp>
        <stp>FA_ACT_EST_DATA=E, EST_SOURCE=RHR</stp>
        <stp>ACT_EST_MAPPING=PRECISE</stp>
        <stp>FS=MRC</stp>
        <stp>CURRENCY=USD</stp>
        <stp>XLFILL=b</stp>
        <tr r="Q128" s="2"/>
      </tp>
      <tp t="s">
        <v>#N/A Requesting Data...</v>
        <stp/>
        <stp>##V3_BQLV12</stp>
        <stp>[MODL_NOW_US1.xlsx]Single Period!R30C7</stp>
        <stp>NOW US Equity</stp>
        <stp>CONTRIBUTOR_STATS(CF_FREE_CASH_FLOW_AS_REPORTED, MAX)/1M</stp>
        <stp>FPR=2021Y</stp>
        <stp>FPT=A</stp>
        <stp>FA_ACT_EST_DATA=E</stp>
        <stp>ACT_EST_MAPPING=PRECISE</stp>
        <stp>FS=MRC</stp>
        <stp>CURRENCY=USD</stp>
        <stp>XLFILL=b</stp>
        <tr r="G30" s="2"/>
      </tp>
      <tp t="s">
        <v>#N/A Requesting Data...</v>
        <stp/>
        <stp>##V3_BQLV12</stp>
        <stp>[MODL_NOW_US1.xlsx]Single Period!R123C33</stp>
        <stp>NOW US Equity</stp>
        <stp>TOTAL_OPERATING_EXPENSES_RATIO/1M</stp>
        <stp>FPR=2021Y</stp>
        <stp>FPT=A</stp>
        <stp>FA_ACT_EST_DATA=E, EST_SOURCE=MAC</stp>
        <stp>ACT_EST_MAPPING=PRECISE</stp>
        <stp>FS=MRC</stp>
        <stp>CURRENCY=USD</stp>
        <stp>XLFILL=b</stp>
        <tr r="AG123" s="2"/>
      </tp>
      <tp t="s">
        <v>#N/A Requesting Data...</v>
        <stp/>
        <stp>##V3_BQLV12</stp>
        <stp>[MODL_NOW_US1.xlsx]Single Period!R40C26</stp>
        <stp>NOW US Equity</stp>
        <stp>BILLNG_AMOUNT_GROWTH_PCT</stp>
        <stp>FPR=2021Y</stp>
        <stp>FPT=A</stp>
        <stp>FA_ACT_EST_DATA=E, EST_SOURCE=UBS</stp>
        <stp>ACT_EST_MAPPING=PRECISE</stp>
        <stp>FS=MRC</stp>
        <stp>CURRENCY=USD</stp>
        <stp>XLFILL=b</stp>
        <tr r="Z40" s="2"/>
      </tp>
      <tp t="s">
        <v>#N/A Requesting Data...</v>
        <stp/>
        <stp>##V3_BQLV12</stp>
        <stp>[MODL_NOW_US1.xlsx]Single Period!R226C15</stp>
        <stp>NOW US Equity</stp>
        <stp>CF_OTHER_FINANCING_ACT_EXCL_FX/1M</stp>
        <stp>FPR=2021Y</stp>
        <stp>FPT=A</stp>
        <stp>FA_ACT_EST_DATA=E, EST_SOURCE=OPY</stp>
        <stp>ACT_EST_MAPPING=PRECISE</stp>
        <stp>FS=MRC</stp>
        <stp>CURRENCY=USD</stp>
        <stp>XLFILL=b</stp>
        <tr r="O226" s="2"/>
      </tp>
      <tp t="s">
        <v>#N/A Requesting Data...</v>
        <stp/>
        <stp>##V3_BQLV12</stp>
        <stp>[MODL_NOW_US1.xlsx]Single Period!R123C30</stp>
        <stp>NOW US Equity</stp>
        <stp>TOTAL_OPERATING_EXPENSES_RATIO/1M</stp>
        <stp>FPR=2021Y</stp>
        <stp>FPT=A</stp>
        <stp>FA_ACT_EST_DATA=E, EST_SOURCE=BAM</stp>
        <stp>ACT_EST_MAPPING=PRECISE</stp>
        <stp>FS=MRC</stp>
        <stp>CURRENCY=USD</stp>
        <stp>XLFILL=b</stp>
        <tr r="AD123" s="2"/>
      </tp>
      <tp t="s">
        <v>#N/A Requesting Data...</v>
        <stp/>
        <stp>##V3_BQLV12</stp>
        <stp>[MODL_NOW_US1.xlsx]Single Period!R123C20</stp>
        <stp>NOW US Equity</stp>
        <stp>TOTAL_OPERATING_EXPENSES_RATIO/1M</stp>
        <stp>FPR=2021Y</stp>
        <stp>FPT=A</stp>
        <stp>FA_ACT_EST_DATA=E, EST_SOURCE=CAN</stp>
        <stp>ACT_EST_MAPPING=PRECISE</stp>
        <stp>FS=MRC</stp>
        <stp>CURRENCY=USD</stp>
        <stp>XLFILL=b</stp>
        <tr r="T123" s="2"/>
      </tp>
      <tp t="s">
        <v>#N/A Requesting Data...</v>
        <stp/>
        <stp>##V3_BQLV12</stp>
        <stp>[MODL_NOW_US1.xlsx]Single Period!R64C23</stp>
        <stp>SEG0000230975 Segment</stp>
        <stp>CB_IS_GROSS_MARGIN</stp>
        <stp>FPR=2021Y</stp>
        <stp>FPT=A</stp>
        <stp>FA_ACT_EST_DATA=E, EST_SOURCE=ZXS</stp>
        <stp>ACT_EST_MAPPING=PRECISE</stp>
        <stp>FS=MRC</stp>
        <stp>CURRENCY=USD</stp>
        <stp>XLFILL=b</stp>
        <tr r="W64" s="2"/>
      </tp>
      <tp t="s">
        <v>#N/A Requesting Data...</v>
        <stp/>
        <stp>##V3_BQLV12</stp>
        <stp>[MODL_NOW_US1.xlsx]Single Period!R211C34</stp>
        <stp>NOW US Equity</stp>
        <stp>CF_CHG_IN_DEFER_UNEARND_REV_ST/1M</stp>
        <stp>FPR=2021Y</stp>
        <stp>FPT=A</stp>
        <stp>FA_ACT_EST_DATA=E, EST_SOURCE=PSG</stp>
        <stp>ACT_EST_MAPPING=PRECISE</stp>
        <stp>FS=MRC</stp>
        <stp>CURRENCY=USD</stp>
        <stp>XLFILL=b</stp>
        <tr r="AH211" s="2"/>
      </tp>
      <tp t="s">
        <v>#N/A Requesting Data...</v>
        <stp/>
        <stp>##V3_BQLV12</stp>
        <stp>[MODL_NOW_US1.xlsx]Single Period!R146C34</stp>
        <stp>NOW US Equity</stp>
        <stp>IS_AMORT_ACQD_INTANGIBLES_COGS/1M</stp>
        <stp>FPR=2021Y</stp>
        <stp>FPT=A</stp>
        <stp>FA_ACT_EST_DATA=E, EST_SOURCE=PSG</stp>
        <stp>ACT_EST_MAPPING=PRECISE</stp>
        <stp>FS=MRC</stp>
        <stp>CURRENCY=USD</stp>
        <stp>XLFILL=b</stp>
        <tr r="AH146" s="2"/>
      </tp>
      <tp t="s">
        <v>#N/A Requesting Data...</v>
        <stp/>
        <stp>##V3_BQLV12</stp>
        <stp>[MODL_NOW_US1.xlsx]Single Period!R126C13</stp>
        <stp>NOW US Equity</stp>
        <stp>IS_NON_OPERATING_INC_LOSS_GAAP/1M</stp>
        <stp>FPR=2021Y</stp>
        <stp>FPT=A</stp>
        <stp>FA_ACT_EST_DATA=E, EST_SOURCE=KEY</stp>
        <stp>ACT_EST_MAPPING=PRECISE</stp>
        <stp>FS=MRC</stp>
        <stp>CURRENCY=USD</stp>
        <stp>XLFILL=b</stp>
        <tr r="M126" s="2"/>
      </tp>
      <tp t="s">
        <v>#N/A Requesting Data...</v>
        <stp/>
        <stp>##V3_BQLV12</stp>
        <stp>[MODL_NOW_US1.xlsx]Single Period!R232C23</stp>
        <stp>NOW US Equity</stp>
        <stp>CF_CASH_AND_CASH_EQUIV_BEG_BAL/1M</stp>
        <stp>FPR=2021Y</stp>
        <stp>FPT=A</stp>
        <stp>FA_ACT_EST_DATA=E, EST_SOURCE=ZXS</stp>
        <stp>ACT_EST_MAPPING=PRECISE</stp>
        <stp>FS=MRC</stp>
        <stp>CURRENCY=USD</stp>
        <stp>XLFILL=b</stp>
        <tr r="W232" s="2"/>
      </tp>
      <tp t="s">
        <v>#N/A Requesting Data...</v>
        <stp/>
        <stp>##V3_BQLV12</stp>
        <stp>[MODL_NOW_US1.xlsx]Single Period!R233C46</stp>
        <stp>NOW US Equity</stp>
        <stp>CF_CASH_AND_CASH_EQUIV_END_BAL/1M</stp>
        <stp>FPR=2021Y</stp>
        <stp>FPT=A</stp>
        <stp>FA_ACT_EST_DATA=E, EST_SOURCE=MZS</stp>
        <stp>ACT_EST_MAPPING=PRECISE</stp>
        <stp>FS=MRC</stp>
        <stp>CURRENCY=USD</stp>
        <stp>XLFILL=b</stp>
        <tr r="AT233" s="2"/>
      </tp>
      <tp t="s">
        <v>#N/A Requesting Data...</v>
        <stp/>
        <stp>##V3_BQLV12</stp>
        <stp>[MODL_NOW_US1.xlsx]Single Period!R126C36</stp>
        <stp>NOW US Equity</stp>
        <stp>IS_NON_OPERATING_INC_LOSS_GAAP/1M</stp>
        <stp>FPR=2021Y</stp>
        <stp>FPT=A</stp>
        <stp>FA_ACT_EST_DATA=E, EST_SOURCE=JEF</stp>
        <stp>ACT_EST_MAPPING=PRECISE</stp>
        <stp>FS=MRC</stp>
        <stp>CURRENCY=USD</stp>
        <stp>XLFILL=b</stp>
        <tr r="AJ126" s="2"/>
      </tp>
      <tp t="s">
        <v>#N/A Requesting Data...</v>
        <stp/>
        <stp>##V3_BQLV12</stp>
        <stp>[MODL_NOW_US1.xlsx]Single Period!R156C45</stp>
        <stp>NOW US Equity</stp>
        <stp>BS_CASH_NEAR_CASH_ITEM/1M</stp>
        <stp>FPR=2021Y</stp>
        <stp>FPT=A</stp>
        <stp>FA_ACT_EST_DATA=E, EST_SOURCE=PJE</stp>
        <stp>ACT_EST_MAPPING=PRECISE</stp>
        <stp>FS=MRC</stp>
        <stp>CURRENCY=USD</stp>
        <stp>XLFILL=b</stp>
        <tr r="AS156" s="2"/>
      </tp>
      <tp t="s">
        <v>#N/A Requesting Data...</v>
        <stp/>
        <stp>##V3_BQLV12</stp>
        <stp>[MODL_NOW_US1.xlsx]Single Period!R22C45</stp>
        <stp>SEG0000230986 Segment</stp>
        <stp>IS_ADJ_GROSS_MARGIN_PCT_AR</stp>
        <stp>FPR=2021Y</stp>
        <stp>FPT=A</stp>
        <stp>FA_ACT_EST_DATA=E, EST_SOURCE=PJE</stp>
        <stp>ACT_EST_MAPPING=PRECISE</stp>
        <stp>FS=MRC</stp>
        <stp>CURRENCY=USD</stp>
        <stp>XLFILL=b</stp>
        <tr r="AS22" s="2"/>
      </tp>
      <tp t="s">
        <v>#N/A Requesting Data...</v>
        <stp/>
        <stp>##V3_BQLV12</stp>
        <stp>[MODL_NOW_US1.xlsx]Single Period!R70C45</stp>
        <stp>SEG0000230986 Segment</stp>
        <stp>IS_ADJ_GROSS_MARGIN_PCT_AR</stp>
        <stp>FPR=2021Y</stp>
        <stp>FPT=A</stp>
        <stp>FA_ACT_EST_DATA=E, EST_SOURCE=PJE</stp>
        <stp>ACT_EST_MAPPING=PRECISE</stp>
        <stp>FS=MRC</stp>
        <stp>CURRENCY=USD</stp>
        <stp>XLFILL=b</stp>
        <tr r="AS70" s="2"/>
      </tp>
      <tp t="s">
        <v>#N/A Requesting Data...</v>
        <stp/>
        <stp>##V3_BQLV12</stp>
        <stp>[MODL_NOW_US1.xlsx]Single Period!R146C35</stp>
        <stp>NOW US Equity</stp>
        <stp>IS_AMORT_ACQD_INTANGIBLES_COGS/1M</stp>
        <stp>FPR=2021Y</stp>
        <stp>FPT=A</stp>
        <stp>FA_ACT_EST_DATA=E, EST_SOURCE=MSR</stp>
        <stp>ACT_EST_MAPPING=PRECISE</stp>
        <stp>FS=MRC</stp>
        <stp>CURRENCY=USD</stp>
        <stp>XLFILL=b</stp>
        <tr r="AI146" s="2"/>
      </tp>
      <tp t="s">
        <v>#N/A Requesting Data...</v>
        <stp/>
        <stp>##V3_BQLV12</stp>
        <stp>[MODL_NOW_US1.xlsx]Single Period!R146C31</stp>
        <stp>NOW US Equity</stp>
        <stp>IS_AMORT_ACQD_INTANGIBLES_COGS/1M</stp>
        <stp>FPR=2021Y</stp>
        <stp>FPT=A</stp>
        <stp>FA_ACT_EST_DATA=E, EST_SOURCE=GSR</stp>
        <stp>ACT_EST_MAPPING=PRECISE</stp>
        <stp>FS=MRC</stp>
        <stp>CURRENCY=USD</stp>
        <stp>XLFILL=b</stp>
        <tr r="AE146" s="2"/>
      </tp>
      <tp t="s">
        <v>#N/A Requesting Data...</v>
        <stp/>
        <stp>##V3_BQLV12</stp>
        <stp>[MODL_NOW_US1.xlsx]Single Period!R10C30</stp>
        <stp>NOW US Equity</stp>
        <stp>BILLNG_AMOUNT_GROWTH_PCT</stp>
        <stp>FPR=2021Y</stp>
        <stp>FPT=A</stp>
        <stp>FA_ACT_EST_DATA=E, EST_SOURCE=BAM</stp>
        <stp>ACT_EST_MAPPING=PRECISE</stp>
        <stp>FS=MRC</stp>
        <stp>CURRENCY=USD</stp>
        <stp>XLFILL=b</stp>
        <tr r="AD10" s="2"/>
      </tp>
      <tp t="s">
        <v>#N/A Requesting Data...</v>
        <stp/>
        <stp>##V3_BQLV12</stp>
        <stp>[MODL_NOW_US1.xlsx]Single Period!R211C19</stp>
        <stp>NOW US Equity</stp>
        <stp>CF_CHG_IN_DEFER_UNEARND_REV_ST/1M</stp>
        <stp>FPR=2021Y</stp>
        <stp>FPT=A</stp>
        <stp>FA_ACT_EST_DATA=E, EST_SOURCE=MSV</stp>
        <stp>ACT_EST_MAPPING=PRECISE</stp>
        <stp>FS=MRC</stp>
        <stp>CURRENCY=USD</stp>
        <stp>XLFILL=b</stp>
        <tr r="S211" s="2"/>
      </tp>
      <tp t="s">
        <v>#N/A Requesting Data...</v>
        <stp/>
        <stp>##V3_BQLV12</stp>
        <stp>[MODL_NOW_US1.xlsx]Single Period!R10C20</stp>
        <stp>NOW US Equity</stp>
        <stp>BILLNG_AMOUNT_GROWTH_PCT</stp>
        <stp>FPR=2021Y</stp>
        <stp>FPT=A</stp>
        <stp>FA_ACT_EST_DATA=E, EST_SOURCE=CAN</stp>
        <stp>ACT_EST_MAPPING=PRECISE</stp>
        <stp>FS=MRC</stp>
        <stp>CURRENCY=USD</stp>
        <stp>XLFILL=b</stp>
        <tr r="T10" s="2"/>
      </tp>
      <tp t="s">
        <v>#N/A Requesting Data...</v>
        <stp/>
        <stp>##V3_BQLV12</stp>
        <stp>[MODL_NOW_US1.xlsx]Single Period!R195C43</stp>
        <stp>NOW US Equity</stp>
        <stp>CB_BS_DEFERRED_COST_LT/1M</stp>
        <stp>FPR=2021Y</stp>
        <stp>FPT=A</stp>
        <stp>FA_ACT_EST_DATA=E, EST_SOURCE=WFT</stp>
        <stp>ACT_EST_MAPPING=PRECISE</stp>
        <stp>FS=MRC</stp>
        <stp>CURRENCY=USD</stp>
        <stp>XLFILL=b</stp>
        <tr r="AQ195" s="2"/>
      </tp>
      <tp t="s">
        <v>#N/A Requesting Data...</v>
        <stp/>
        <stp>##V3_BQLV12</stp>
        <stp>[MODL_NOW_US1.xlsx]Single Period!R226C11</stp>
        <stp>NOW US Equity</stp>
        <stp>CF_OTHER_FINANCING_ACT_EXCL_FX/1M</stp>
        <stp>FPR=2021Y</stp>
        <stp>FPT=A</stp>
        <stp>FA_ACT_EST_DATA=E, EST_SOURCE=JPM</stp>
        <stp>ACT_EST_MAPPING=PRECISE</stp>
        <stp>FS=MRC</stp>
        <stp>CURRENCY=USD</stp>
        <stp>XLFILL=b</stp>
        <tr r="K226" s="2"/>
      </tp>
      <tp t="s">
        <v>#N/A Requesting Data...</v>
        <stp/>
        <stp>##V3_BQLV12</stp>
        <stp>[MODL_NOW_US1.xlsx]Single Period!R146C19</stp>
        <stp>NOW US Equity</stp>
        <stp>IS_AMORT_ACQD_INTANGIBLES_COGS/1M</stp>
        <stp>FPR=2021Y</stp>
        <stp>FPT=A</stp>
        <stp>FA_ACT_EST_DATA=E, EST_SOURCE=MSV</stp>
        <stp>ACT_EST_MAPPING=PRECISE</stp>
        <stp>FS=MRC</stp>
        <stp>CURRENCY=USD</stp>
        <stp>XLFILL=b</stp>
        <tr r="S146" s="2"/>
      </tp>
      <tp t="s">
        <v>#N/A Requesting Data...</v>
        <stp/>
        <stp>##V3_BQLV12</stp>
        <stp>[MODL_NOW_US1.xlsx]Single Period!R211C35</stp>
        <stp>NOW US Equity</stp>
        <stp>CF_CHG_IN_DEFER_UNEARND_REV_ST/1M</stp>
        <stp>FPR=2021Y</stp>
        <stp>FPT=A</stp>
        <stp>FA_ACT_EST_DATA=E, EST_SOURCE=MSR</stp>
        <stp>ACT_EST_MAPPING=PRECISE</stp>
        <stp>FS=MRC</stp>
        <stp>CURRENCY=USD</stp>
        <stp>XLFILL=b</stp>
        <tr r="AI211" s="2"/>
      </tp>
      <tp t="s">
        <v>#N/A Requesting Data...</v>
        <stp/>
        <stp>##V3_BQLV12</stp>
        <stp>[MODL_NOW_US1.xlsx]Single Period!R211C31</stp>
        <stp>NOW US Equity</stp>
        <stp>CF_CHG_IN_DEFER_UNEARND_REV_ST/1M</stp>
        <stp>FPR=2021Y</stp>
        <stp>FPT=A</stp>
        <stp>FA_ACT_EST_DATA=E, EST_SOURCE=GSR</stp>
        <stp>ACT_EST_MAPPING=PRECISE</stp>
        <stp>FS=MRC</stp>
        <stp>CURRENCY=USD</stp>
        <stp>XLFILL=b</stp>
        <tr r="AE211" s="2"/>
      </tp>
      <tp t="s">
        <v>#N/A Requesting Data...</v>
        <stp/>
        <stp>##V3_BQLV12</stp>
        <stp>[MODL_NOW_US1.xlsx]Single Period!R233C39</stp>
        <stp>NOW US Equity</stp>
        <stp>CF_CASH_AND_CASH_EQUIV_END_BAL/1M</stp>
        <stp>FPR=2021Y</stp>
        <stp>FPT=A</stp>
        <stp>FA_ACT_EST_DATA=E, EST_SOURCE=DZB</stp>
        <stp>ACT_EST_MAPPING=PRECISE</stp>
        <stp>FS=MRC</stp>
        <stp>CURRENCY=USD</stp>
        <stp>XLFILL=b</stp>
        <tr r="AM233" s="2"/>
      </tp>
      <tp t="s">
        <v>#N/A Requesting Data...</v>
        <stp/>
        <stp>##V3_BQLV12</stp>
        <stp>[MODL_NOW_US1.xlsx]Single Period!R124C46</stp>
        <stp>NOW US Equity</stp>
        <stp>IS_EBIT_AS_REPORTED/1M</stp>
        <stp>FPR=2021Y</stp>
        <stp>FPT=A</stp>
        <stp>FA_ACT_EST_DATA=E, EST_SOURCE=MZS</stp>
        <stp>ACT_EST_MAPPING=PRECISE</stp>
        <stp>FS=MRC</stp>
        <stp>CURRENCY=USD</stp>
        <stp>XLFILL=b</stp>
        <tr r="AT124" s="2"/>
      </tp>
      <tp t="s">
        <v>#N/A Requesting Data...</v>
        <stp/>
        <stp>##V3_BQLV12</stp>
        <stp>[MODL_NOW_US1.xlsx]Single Period!R9C38</stp>
        <stp>NOW US Equity</stp>
        <stp>IS_BILLINGS/1M</stp>
        <stp>FPR=2021Y</stp>
        <stp>FPT=A</stp>
        <stp>FA_ACT_EST_DATA=E, EST_SOURCE=RWB</stp>
        <stp>ACT_EST_MAPPING=PRECISE</stp>
        <stp>FS=MRC</stp>
        <stp>CURRENCY=USD</stp>
        <stp>XLFILL=b</stp>
        <tr r="AL9" s="2"/>
      </tp>
      <tp t="s">
        <v>#N/A Requesting Data...</v>
        <stp/>
        <stp>##V3_BQLV12</stp>
        <stp>[MODL_NOW_US1.xlsx]Single Period!R184C23</stp>
        <stp>NOW US Equity</stp>
        <stp>BS_EQTY_BEFORE_MINORITY_INT/1M</stp>
        <stp>FPR=2021Y</stp>
        <stp>FPT=A</stp>
        <stp>FA_ACT_EST_DATA=E, EST_SOURCE=ZXS</stp>
        <stp>ACT_EST_MAPPING=PRECISE</stp>
        <stp>FS=MRC</stp>
        <stp>CURRENCY=USD</stp>
        <stp>XLFILL=b</stp>
        <tr r="W184" s="2"/>
      </tp>
      <tp t="s">
        <v>#N/A Requesting Data...</v>
        <stp/>
        <stp>##V3_BQLV12</stp>
        <stp>[MODL_NOW_US1.xlsx]Single Period!R167C48</stp>
        <stp>NOW US Equity</stp>
        <stp>BS_GOODWILL/1M</stp>
        <stp>FPR=2021Y</stp>
        <stp>FPT=A</stp>
        <stp>FA_ACT_EST_DATA=E, EST_SOURCE=CRC</stp>
        <stp>ACT_EST_MAPPING=PRECISE</stp>
        <stp>FS=MRC</stp>
        <stp>CURRENCY=USD</stp>
        <stp>XLFILL=b</stp>
        <tr r="AV167" s="2"/>
      </tp>
      <tp t="s">
        <v>#N/A Requesting Data...</v>
        <stp/>
        <stp>##V3_BQLV12</stp>
        <stp>[MODL_NOW_US1.xlsx]Single Period!R189C36</stp>
        <stp>NOW US Equity</stp>
        <stp>CUR_RATIO</stp>
        <stp>FPR=2021Y</stp>
        <stp>FPT=A</stp>
        <stp>FA_ACT_EST_DATA=E, EST_SOURCE=JEF</stp>
        <stp>ACT_EST_MAPPING=PRECISE</stp>
        <stp>FS=MRC</stp>
        <stp>CURRENCY=USD</stp>
        <stp>XLFILL=b</stp>
        <tr r="AJ189" s="2"/>
      </tp>
      <tp t="s">
        <v>#N/A Requesting Data...</v>
        <stp/>
        <stp>##V3_BQLV12</stp>
        <stp>[MODL_NOW_US1.xlsx]Single Period!R89C32</stp>
        <stp>NOW US Equity</stp>
        <stp>IS_REV_INCLUDING_INTERSEG_REV/1M</stp>
        <stp>FPR=2021Y</stp>
        <stp>FPT=A</stp>
        <stp>FA_ACT_EST_DATA=E, EST_SOURCE=FBC</stp>
        <stp>ACT_EST_MAPPING=PRECISE</stp>
        <stp>FS=MRC</stp>
        <stp>CURRENCY=USD</stp>
        <stp>XLFILL=b</stp>
        <tr r="AF89" s="2"/>
      </tp>
      <tp t="s">
        <v>#N/A Requesting Data...</v>
        <stp/>
        <stp>##V3_BQLV12</stp>
        <stp>[MODL_NOW_US1.xlsx]Single Period!R167C44</stp>
        <stp>NOW US Equity</stp>
        <stp>BS_GOODWILL/1M</stp>
        <stp>FPR=2021Y</stp>
        <stp>FPT=A</stp>
        <stp>FA_ACT_EST_DATA=E, EST_SOURCE=ARE</stp>
        <stp>ACT_EST_MAPPING=PRECISE</stp>
        <stp>FS=MRC</stp>
        <stp>CURRENCY=USD</stp>
        <stp>XLFILL=b</stp>
        <tr r="AR167" s="2"/>
      </tp>
      <tp t="s">
        <v>#N/A Requesting Data...</v>
        <stp/>
        <stp>##V3_BQLV12</stp>
        <stp>[MODL_NOW_US1.xlsx]Single Period!R203C46</stp>
        <stp>NOW US Equity</stp>
        <stp>AMORTIZATN_OF_FINNCNG_COSTS/1M</stp>
        <stp>FPR=2021Y</stp>
        <stp>FPT=A</stp>
        <stp>FA_ACT_EST_DATA=E, EST_SOURCE=MZS</stp>
        <stp>ACT_EST_MAPPING=PRECISE</stp>
        <stp>FS=MRC</stp>
        <stp>CURRENCY=USD</stp>
        <stp>XLFILL=b</stp>
        <tr r="AT203" s="2"/>
      </tp>
      <tp t="s">
        <v>#N/A Requesting Data...</v>
        <stp/>
        <stp>##V3_BQLV12</stp>
        <stp>[MODL_NOW_US1.xlsx]Single Period!R180C14</stp>
        <stp>NOW US Equity</stp>
        <stp>BS_LT_OPERATING_LEASE_LIABS/1M</stp>
        <stp>FPR=2021Y</stp>
        <stp>FPT=A</stp>
        <stp>FA_ACT_EST_DATA=E, EST_SOURCE=BMO</stp>
        <stp>ACT_EST_MAPPING=PRECISE</stp>
        <stp>FS=MRC</stp>
        <stp>CURRENCY=USD</stp>
        <stp>XLFILL=b</stp>
        <tr r="N180" s="2"/>
      </tp>
      <tp t="s">
        <v>#N/A Requesting Data...</v>
        <stp/>
        <stp>##V3_BQLV12</stp>
        <stp>[MODL_NOW_US1.xlsx]Single Period!R167C41</stp>
        <stp>NOW US Equity</stp>
        <stp>BS_GOODWILL/1M</stp>
        <stp>FPR=2021Y</stp>
        <stp>FPT=A</stp>
        <stp>FA_ACT_EST_DATA=E, EST_SOURCE=ARG</stp>
        <stp>ACT_EST_MAPPING=PRECISE</stp>
        <stp>FS=MRC</stp>
        <stp>CURRENCY=USD</stp>
        <stp>XLFILL=b</stp>
        <tr r="AO167" s="2"/>
      </tp>
      <tp t="s">
        <v>#N/A Requesting Data...</v>
        <stp/>
        <stp>##V3_BQLV12</stp>
        <stp>[MODL_NOW_US1.xlsx]Single Period!R142C13</stp>
        <stp>NOW US Equity</stp>
        <stp>IS_SBC_ATT_TO_S_AND_M_PRETX/1M</stp>
        <stp>FPR=2021Y</stp>
        <stp>FPT=A</stp>
        <stp>FA_ACT_EST_DATA=E, EST_SOURCE=KEY</stp>
        <stp>ACT_EST_MAPPING=PRECISE</stp>
        <stp>FS=MRC</stp>
        <stp>CURRENCY=USD</stp>
        <stp>XLFILL=b</stp>
        <tr r="M142" s="2"/>
      </tp>
      <tp t="s">
        <v>#N/A Requesting Data...</v>
        <stp/>
        <stp>##V3_BQLV12</stp>
        <stp>[MODL_NOW_US1.xlsx]Single Period!R158C14</stp>
        <stp>NOW US Equity</stp>
        <stp>BS_ACCTS_REC_EXCL_NOTES_REC/1M</stp>
        <stp>FPR=2021Y</stp>
        <stp>FPT=A</stp>
        <stp>FA_ACT_EST_DATA=E, EST_SOURCE=BMO</stp>
        <stp>ACT_EST_MAPPING=PRECISE</stp>
        <stp>FS=MRC</stp>
        <stp>CURRENCY=USD</stp>
        <stp>XLFILL=b</stp>
        <tr r="N158" s="2"/>
      </tp>
      <tp t="s">
        <v>#N/A Requesting Data...</v>
        <stp/>
        <stp>##V3_BQLV12</stp>
        <stp>[MODL_NOW_US1.xlsx]Single Period!R89C12</stp>
        <stp>NOW US Equity</stp>
        <stp>IS_REV_INCLUDING_INTERSEG_REV/1M</stp>
        <stp>FPR=2021Y</stp>
        <stp>FPT=A</stp>
        <stp>FA_ACT_EST_DATA=E, EST_SOURCE=WBL</stp>
        <stp>ACT_EST_MAPPING=PRECISE</stp>
        <stp>FS=MRC</stp>
        <stp>CURRENCY=USD</stp>
        <stp>XLFILL=b</stp>
        <tr r="L89" s="2"/>
      </tp>
      <tp t="s">
        <v>#N/A Requesting Data...</v>
        <stp/>
        <stp>##V3_BQLV12</stp>
        <stp>[MODL_NOW_US1.xlsx]Single Period!R27C49</stp>
        <stp>NOW US Equity</stp>
        <stp>IS_REV_INCLUDING_INTERSEG_REV/1M</stp>
        <stp>FPR=2021Y</stp>
        <stp>FPT=A</stp>
        <stp>FA_ACT_EST_DATA=E, EST_SOURCE=SCB</stp>
        <stp>ACT_EST_MAPPING=PRECISE</stp>
        <stp>FS=MRC</stp>
        <stp>CURRENCY=USD</stp>
        <stp>XLFILL=b</stp>
        <tr r="AW27" s="2"/>
      </tp>
      <tp t="s">
        <v>#N/A Requesting Data...</v>
        <stp/>
        <stp>##V3_BQLV12</stp>
        <stp>[MODL_NOW_US1.xlsx]Single Period!R9C24</stp>
        <stp>NOW US Equity</stp>
        <stp>IS_BILLINGS/1M</stp>
        <stp>FPR=2021Y</stp>
        <stp>FPT=A</stp>
        <stp>FA_ACT_EST_DATA=E, EST_SOURCE=CWN</stp>
        <stp>ACT_EST_MAPPING=PRECISE</stp>
        <stp>FS=MRC</stp>
        <stp>CURRENCY=USD</stp>
        <stp>XLFILL=b</stp>
        <tr r="X9" s="2"/>
      </tp>
      <tp t="s">
        <v>#N/A Requesting Data...</v>
        <stp/>
        <stp>##V3_BQLV12</stp>
        <stp>[MODL_NOW_US1.xlsx]Single Period!R9C40</stp>
        <stp>NOW US Equity</stp>
        <stp>IS_BILLINGS/1M</stp>
        <stp>FPR=2021Y</stp>
        <stp>FPT=A</stp>
        <stp>FA_ACT_EST_DATA=E, EST_SOURCE=DWI</stp>
        <stp>ACT_EST_MAPPING=PRECISE</stp>
        <stp>FS=MRC</stp>
        <stp>CURRENCY=USD</stp>
        <stp>XLFILL=b</stp>
        <tr r="AN9" s="2"/>
      </tp>
      <tp t="s">
        <v>#N/A Requesting Data...</v>
        <stp/>
        <stp>##V3_BQLV12</stp>
        <stp>[MODL_NOW_US1.xlsx]Single Period!R137C23</stp>
        <stp>NOW US Equity</stp>
        <stp>CF_STOCK_BASED_COMPENSATION/1M</stp>
        <stp>FPR=2021Y</stp>
        <stp>FPT=A</stp>
        <stp>FA_ACT_EST_DATA=E, EST_SOURCE=ZXS</stp>
        <stp>ACT_EST_MAPPING=PRECISE</stp>
        <stp>FS=MRC</stp>
        <stp>CURRENCY=USD</stp>
        <stp>XLFILL=b</stp>
        <tr r="W137" s="2"/>
      </tp>
      <tp t="s">
        <v>#N/A Requesting Data...</v>
        <stp/>
        <stp>##V3_BQLV12</stp>
        <stp>[MODL_NOW_US1.xlsx]Single Period!R139C22</stp>
        <stp>NOW US Equity</stp>
        <stp>IS_SBC_ATTRIB_TO_COGS_PRETX/1M</stp>
        <stp>FPR=2021Y</stp>
        <stp>FPT=A</stp>
        <stp>FA_ACT_EST_DATA=E, EST_SOURCE=NDH</stp>
        <stp>ACT_EST_MAPPING=PRECISE</stp>
        <stp>FS=MRC</stp>
        <stp>CURRENCY=USD</stp>
        <stp>XLFILL=b</stp>
        <tr r="V139" s="2"/>
      </tp>
      <tp t="s">
        <v>#N/A Requesting Data...</v>
        <stp/>
        <stp>##V3_BQLV12</stp>
        <stp>[MODL_NOW_US1.xlsx]Single Period!R210C21</stp>
        <stp>NOW US Equity</stp>
        <stp>CF_CHANGE_IN_PREPAID_EXPNSS/1M</stp>
        <stp>FPR=2021Y</stp>
        <stp>FPT=A</stp>
        <stp>FA_ACT_EST_DATA=E, EST_SOURCE=JMP</stp>
        <stp>ACT_EST_MAPPING=PRECISE</stp>
        <stp>FS=MRC</stp>
        <stp>CURRENCY=USD</stp>
        <stp>XLFILL=b</stp>
        <tr r="U210" s="2"/>
      </tp>
      <tp t="s">
        <v>#N/A Requesting Data...</v>
        <stp/>
        <stp>##V3_BQLV12</stp>
        <stp>[MODL_NOW_US1.xlsx]Single Period!R105C21</stp>
        <stp>NOW US Equity</stp>
        <stp>ADJ_PROFIT_MARGIN</stp>
        <stp>FPR=2021Y</stp>
        <stp>FPT=A</stp>
        <stp>FA_ACT_EST_DATA=E, EST_SOURCE=JMP</stp>
        <stp>ACT_EST_MAPPING=PRECISE</stp>
        <stp>FS=MRC</stp>
        <stp>CURRENCY=USD</stp>
        <stp>XLFILL=b</stp>
        <tr r="U105" s="2"/>
      </tp>
      <tp t="s">
        <v>#N/A Requesting Data...</v>
        <stp/>
        <stp>##V3_BQLV12</stp>
        <stp>[MODL_NOW_US1.xlsx]Single Period!R105C14</stp>
        <stp>NOW US Equity</stp>
        <stp>ADJ_PROFIT_MARGIN</stp>
        <stp>FPR=2021Y</stp>
        <stp>FPT=A</stp>
        <stp>FA_ACT_EST_DATA=E, EST_SOURCE=BMO</stp>
        <stp>ACT_EST_MAPPING=PRECISE</stp>
        <stp>FS=MRC</stp>
        <stp>CURRENCY=USD</stp>
        <stp>XLFILL=b</stp>
        <tr r="N105" s="2"/>
      </tp>
      <tp t="s">
        <v>#N/A Requesting Data...</v>
        <stp/>
        <stp>##V3_BQLV12</stp>
        <stp>[MODL_NOW_US1.xlsx]Single Period!R191C17</stp>
        <stp>NOW US Equity</stp>
        <stp>ST_DEFERRED_REVENUE/1M</stp>
        <stp>FPR=2021Y</stp>
        <stp>FPT=A</stp>
        <stp>FA_ACT_EST_DATA=E, EST_SOURCE=RHR</stp>
        <stp>ACT_EST_MAPPING=PRECISE</stp>
        <stp>FS=MRC</stp>
        <stp>CURRENCY=USD</stp>
        <stp>XLFILL=b</stp>
        <tr r="Q191" s="2"/>
      </tp>
      <tp t="s">
        <v>#N/A Requesting Data...</v>
        <stp/>
        <stp>##V3_BQLV12</stp>
        <stp>[MODL_NOW_US1.xlsx]Single Period!R176C17</stp>
        <stp>NOW US Equity</stp>
        <stp>ST_DEFERRED_REVENUE/1M</stp>
        <stp>FPR=2021Y</stp>
        <stp>FPT=A</stp>
        <stp>FA_ACT_EST_DATA=E, EST_SOURCE=RHR</stp>
        <stp>ACT_EST_MAPPING=PRECISE</stp>
        <stp>FS=MRC</stp>
        <stp>CURRENCY=USD</stp>
        <stp>XLFILL=b</stp>
        <tr r="Q176" s="2"/>
      </tp>
      <tp t="s">
        <v>#N/A Requesting Data...</v>
        <stp/>
        <stp>##V3_BQLV12</stp>
        <stp>[MODL_NOW_US1.xlsx]Single Period!R179C17</stp>
        <stp>NOW US Equity</stp>
        <stp>LT_DEFERRED_REVENUE/1M</stp>
        <stp>FPR=2021Y</stp>
        <stp>FPT=A</stp>
        <stp>FA_ACT_EST_DATA=E, EST_SOURCE=RHR</stp>
        <stp>ACT_EST_MAPPING=PRECISE</stp>
        <stp>FS=MRC</stp>
        <stp>CURRENCY=USD</stp>
        <stp>XLFILL=b</stp>
        <tr r="Q179" s="2"/>
      </tp>
      <tp t="s">
        <v>#N/A Requesting Data...</v>
        <stp/>
        <stp>##V3_BQLV12</stp>
        <stp>[MODL_NOW_US1.xlsx]Single Period!R192C17</stp>
        <stp>NOW US Equity</stp>
        <stp>LT_DEFERRED_REVENUE/1M</stp>
        <stp>FPR=2021Y</stp>
        <stp>FPT=A</stp>
        <stp>FA_ACT_EST_DATA=E, EST_SOURCE=RHR</stp>
        <stp>ACT_EST_MAPPING=PRECISE</stp>
        <stp>FS=MRC</stp>
        <stp>CURRENCY=USD</stp>
        <stp>XLFILL=b</stp>
        <tr r="Q192" s="2"/>
      </tp>
      <tp t="s">
        <v>#N/A Requesting Data...</v>
        <stp/>
        <stp>##V3_BQLV12</stp>
        <stp>[MODL_NOW_US1.xlsx]Single Period!R98C38</stp>
        <stp>NOW US Equity</stp>
        <stp>CF_DEPR_AMORT/1M</stp>
        <stp>FPR=2021Y</stp>
        <stp>FPT=A</stp>
        <stp>FA_ACT_EST_DATA=E, EST_SOURCE=RWB</stp>
        <stp>ACT_EST_MAPPING=PRECISE</stp>
        <stp>FS=MRC</stp>
        <stp>CURRENCY=USD</stp>
        <stp>XLFILL=b</stp>
        <tr r="AL98" s="2"/>
      </tp>
      <tp t="s">
        <v>#N/A Requesting Data...</v>
        <stp/>
        <stp>##V3_BQLV12</stp>
        <stp>[MODL_NOW_US1.xlsx]Single Period!R203C39</stp>
        <stp>NOW US Equity</stp>
        <stp>AMORTIZATN_OF_FINNCNG_COSTS/1M</stp>
        <stp>FPR=2021Y</stp>
        <stp>FPT=A</stp>
        <stp>FA_ACT_EST_DATA=E, EST_SOURCE=DZB</stp>
        <stp>ACT_EST_MAPPING=PRECISE</stp>
        <stp>FS=MRC</stp>
        <stp>CURRENCY=USD</stp>
        <stp>XLFILL=b</stp>
        <tr r="AM203" s="2"/>
      </tp>
      <tp t="s">
        <v>#N/A Requesting Data...</v>
        <stp/>
        <stp>##V3_BQLV12</stp>
        <stp>[MODL_NOW_US1.xlsx]Single Period!R210C14</stp>
        <stp>NOW US Equity</stp>
        <stp>CF_CHANGE_IN_PREPAID_EXPNSS/1M</stp>
        <stp>FPR=2021Y</stp>
        <stp>FPT=A</stp>
        <stp>FA_ACT_EST_DATA=E, EST_SOURCE=BMO</stp>
        <stp>ACT_EST_MAPPING=PRECISE</stp>
        <stp>FS=MRC</stp>
        <stp>CURRENCY=USD</stp>
        <stp>XLFILL=b</stp>
        <tr r="N210" s="2"/>
      </tp>
      <tp t="s">
        <v>#N/A Requesting Data...</v>
        <stp/>
        <stp>##V3_BQLV12</stp>
        <stp>[MODL_NOW_US1.xlsx]Single Period!R142C36</stp>
        <stp>NOW US Equity</stp>
        <stp>IS_SBC_ATT_TO_S_AND_M_PRETX/1M</stp>
        <stp>FPR=2021Y</stp>
        <stp>FPT=A</stp>
        <stp>FA_ACT_EST_DATA=E, EST_SOURCE=JEF</stp>
        <stp>ACT_EST_MAPPING=PRECISE</stp>
        <stp>FS=MRC</stp>
        <stp>CURRENCY=USD</stp>
        <stp>XLFILL=b</stp>
        <tr r="AJ142" s="2"/>
      </tp>
      <tp t="s">
        <v>#N/A Requesting Data...</v>
        <stp/>
        <stp>##V3_BQLV12</stp>
        <stp>[MODL_NOW_US1.xlsx]Single Period!R158C21</stp>
        <stp>NOW US Equity</stp>
        <stp>BS_ACCTS_REC_EXCL_NOTES_REC/1M</stp>
        <stp>FPR=2021Y</stp>
        <stp>FPT=A</stp>
        <stp>FA_ACT_EST_DATA=E, EST_SOURCE=JMP</stp>
        <stp>ACT_EST_MAPPING=PRECISE</stp>
        <stp>FS=MRC</stp>
        <stp>CURRENCY=USD</stp>
        <stp>XLFILL=b</stp>
        <tr r="U158" s="2"/>
      </tp>
      <tp t="s">
        <v>#N/A Requesting Data...</v>
        <stp/>
        <stp>##V3_BQLV12</stp>
        <stp>[MODL_NOW_US1.xlsx]Single Period!R124C39</stp>
        <stp>NOW US Equity</stp>
        <stp>IS_EBIT_AS_REPORTED/1M</stp>
        <stp>FPR=2021Y</stp>
        <stp>FPT=A</stp>
        <stp>FA_ACT_EST_DATA=E, EST_SOURCE=DZB</stp>
        <stp>ACT_EST_MAPPING=PRECISE</stp>
        <stp>FS=MRC</stp>
        <stp>CURRENCY=USD</stp>
        <stp>XLFILL=b</stp>
        <tr r="AM124" s="2"/>
      </tp>
      <tp t="s">
        <v>#N/A Requesting Data...</v>
        <stp/>
        <stp>##V3_BQLV12</stp>
        <stp>[MODL_NOW_US1.xlsx]Single Period!R180C21</stp>
        <stp>NOW US Equity</stp>
        <stp>BS_LT_OPERATING_LEASE_LIABS/1M</stp>
        <stp>FPR=2021Y</stp>
        <stp>FPT=A</stp>
        <stp>FA_ACT_EST_DATA=E, EST_SOURCE=JMP</stp>
        <stp>ACT_EST_MAPPING=PRECISE</stp>
        <stp>FS=MRC</stp>
        <stp>CURRENCY=USD</stp>
        <stp>XLFILL=b</stp>
        <tr r="U180" s="2"/>
      </tp>
      <tp t="s">
        <v>#N/A Requesting Data...</v>
        <stp/>
        <stp>##V3_BQLV12</stp>
        <stp>[MODL_NOW_US1.xlsx]Single Period!R189C13</stp>
        <stp>NOW US Equity</stp>
        <stp>CUR_RATIO</stp>
        <stp>FPR=2021Y</stp>
        <stp>FPT=A</stp>
        <stp>FA_ACT_EST_DATA=E, EST_SOURCE=KEY</stp>
        <stp>ACT_EST_MAPPING=PRECISE</stp>
        <stp>FS=MRC</stp>
        <stp>CURRENCY=USD</stp>
        <stp>XLFILL=b</stp>
        <tr r="M189" s="2"/>
      </tp>
      <tp t="s">
        <v>#N/A Requesting Data...</v>
        <stp/>
        <stp>##V3_BQLV12</stp>
        <stp>[MODL_NOW_US1.xlsx]Single Period!R131C40</stp>
        <stp>NOW US Equity</stp>
        <stp>IS_AVG_NUM_SH_FOR_EPS/1M</stp>
        <stp>FPR=2021Y</stp>
        <stp>FPT=A</stp>
        <stp>FA_ACT_EST_DATA=E, EST_SOURCE=DWI</stp>
        <stp>ACT_EST_MAPPING=PRECISE</stp>
        <stp>FS=MRC</stp>
        <stp>CURRENCY=USD</stp>
        <stp>XLFILL=b</stp>
        <tr r="AN131" s="2"/>
      </tp>
      <tp t="s">
        <v>#N/A Requesting Data...</v>
        <stp/>
        <stp>##V3_BQLV12</stp>
        <stp>[MODL_NOW_US1.xlsx]Single Period!R58C39</stp>
        <stp>SEG0000230975 Segment</stp>
        <stp>SALES_REV_TURN/1M</stp>
        <stp>FPR=2021Y</stp>
        <stp>FPT=A</stp>
        <stp>FA_ACT_EST_DATA=E, EST_SOURCE=DZB</stp>
        <stp>ACT_EST_MAPPING=PRECISE</stp>
        <stp>FS=MRC</stp>
        <stp>CURRENCY=USD</stp>
        <stp>XLFILL=b</stp>
        <tr r="AM58" s="2"/>
      </tp>
      <tp t="s">
        <v>#N/A Requesting Data...</v>
        <stp/>
        <stp>##V3_BQLV12</stp>
        <stp>[MODL_NOW_US1.xlsx]Single Period!R16C47</stp>
        <stp>SEG0000230969 Segment</stp>
        <stp>SALES_REV_TURN/1M</stp>
        <stp>FPR=2021Y</stp>
        <stp>FPT=A</stp>
        <stp>FA_ACT_EST_DATA=E, EST_SOURCE=SUM</stp>
        <stp>ACT_EST_MAPPING=PRECISE</stp>
        <stp>FS=MRC</stp>
        <stp>CURRENCY=USD</stp>
        <stp>XLFILL=b</stp>
        <tr r="AU16" s="2"/>
      </tp>
      <tp t="s">
        <v>#N/A Requesting Data...</v>
        <stp/>
        <stp>##V3_BQLV12</stp>
        <stp>[MODL_NOW_US1.xlsx]Single Period!R54C39</stp>
        <stp>NOW US Equity</stp>
        <stp>IS_FOREIGN_CURRENCY_TURNOVER/1M</stp>
        <stp>FPR=2021Y</stp>
        <stp>FPT=A</stp>
        <stp>FA_ACT_EST_DATA=E, EST_SOURCE=DZB</stp>
        <stp>ACT_EST_MAPPING=PRECISE</stp>
        <stp>FS=MRC</stp>
        <stp>CURRENCY=USD</stp>
        <stp>XLFILL=b</stp>
        <tr r="AM54" s="2"/>
      </tp>
      <tp t="s">
        <v>#N/A Requesting Data...</v>
        <stp/>
        <stp>##V3_BQLV12</stp>
        <stp>[MODL_NOW_US1.xlsx]Single Period!R69C16</stp>
        <stp>SEG0000230986 Segment</stp>
        <stp>IS_ADJ_GROSS_PROFIT_AS_REPORTED/1M</stp>
        <stp>FPR=2021Y</stp>
        <stp>FPT=A</stp>
        <stp>FA_ACT_EST_DATA=E, EST_SOURCE=BCA</stp>
        <stp>ACT_EST_MAPPING=PRECISE</stp>
        <stp>FS=MRC</stp>
        <stp>CURRENCY=USD</stp>
        <stp>XLFILL=b</stp>
        <tr r="P69" s="2"/>
      </tp>
      <tp t="s">
        <v>#N/A Requesting Data...</v>
        <stp/>
        <stp>##V3_BQLV12</stp>
        <stp>[MODL_NOW_US1.xlsx]Single Period!R27C9</stp>
        <stp>NOW US Equity</stp>
        <stp>CONTRIBUTOR_STATS(IS_REV_INCLUDING_INTERSEG_REV, MEDIAN)/1M</stp>
        <stp>FPR=2021Y</stp>
        <stp>FPT=A</stp>
        <stp>FA_ACT_EST_DATA=E</stp>
        <stp>ACT_EST_MAPPING=PRECISE</stp>
        <stp>FS=MRC</stp>
        <stp>CURRENCY=USD</stp>
        <stp>XLFILL=b</stp>
        <tr r="I27" s="2"/>
      </tp>
      <tp t="s">
        <v>#N/A Requesting Data...</v>
        <stp/>
        <stp>##V3_BQLV12</stp>
        <stp>[MODL_NOW_US1.xlsx]Single Period!R89C9</stp>
        <stp>NOW US Equity</stp>
        <stp>CONTRIBUTOR_STATS(IS_REV_INCLUDING_INTERSEG_REV, MEDIAN)/1M</stp>
        <stp>FPR=2021Y</stp>
        <stp>FPT=A</stp>
        <stp>FA_ACT_EST_DATA=E</stp>
        <stp>ACT_EST_MAPPING=PRECISE</stp>
        <stp>FS=MRC</stp>
        <stp>CURRENCY=USD</stp>
        <stp>XLFILL=b</stp>
        <tr r="I89" s="2"/>
      </tp>
      <tp t="s">
        <v>#N/A Requesting Data...</v>
        <stp/>
        <stp>##V3_BQLV12</stp>
        <stp>[MODL_NOW_US1.xlsx]Single Period!R209C22</stp>
        <stp>NOW US Equity</stp>
        <stp>CF_CHANGE_IN_ACCOUNTS_PAYABLE/1M</stp>
        <stp>FPR=2021Y</stp>
        <stp>FPT=A</stp>
        <stp>FA_ACT_EST_DATA=E, EST_SOURCE=NDH</stp>
        <stp>ACT_EST_MAPPING=PRECISE</stp>
        <stp>FS=MRC</stp>
        <stp>CURRENCY=USD</stp>
        <stp>XLFILL=b</stp>
        <tr r="V209" s="2"/>
      </tp>
      <tp t="s">
        <v>#N/A Requesting Data...</v>
        <stp/>
        <stp>##V3_BQLV12</stp>
        <stp>[MODL_NOW_US1.xlsx]Single Period!R69C49</stp>
        <stp>SEG0000230986 Segment</stp>
        <stp>IS_ADJ_GROSS_PROFIT_AS_REPORTED/1M</stp>
        <stp>FPR=2021Y</stp>
        <stp>FPT=A</stp>
        <stp>FA_ACT_EST_DATA=E, EST_SOURCE=SCB</stp>
        <stp>ACT_EST_MAPPING=PRECISE</stp>
        <stp>FS=MRC</stp>
        <stp>CURRENCY=USD</stp>
        <stp>XLFILL=b</stp>
        <tr r="AW69" s="2"/>
      </tp>
      <tp t="s">
        <v>#N/A Requesting Data...</v>
        <stp/>
        <stp>##V3_BQLV12</stp>
        <stp>[MODL_NOW_US1.xlsx]Single Period!R77C42</stp>
        <stp>SEG0000230969 Segment</stp>
        <stp>SALES_REV_TURN/1M</stp>
        <stp>FPR=2021Y</stp>
        <stp>FPT=A</stp>
        <stp>FA_ACT_EST_DATA=E, EST_SOURCE=CTI</stp>
        <stp>ACT_EST_MAPPING=PRECISE</stp>
        <stp>FS=MRC</stp>
        <stp>CURRENCY=USD</stp>
        <stp>XLFILL=b</stp>
        <tr r="AP77" s="2"/>
      </tp>
      <tp t="s">
        <v>#N/A Requesting Data...</v>
        <stp/>
        <stp>##V3_BQLV12</stp>
        <stp>[MODL_NOW_US1.xlsx]Single Period!R169C46</stp>
        <stp>NOW US Equity</stp>
        <stp>CB_BS_OTHER_NONCURRENT_ASSETS/1M</stp>
        <stp>FPR=2021Y</stp>
        <stp>FPT=A</stp>
        <stp>FA_ACT_EST_DATA=E, EST_SOURCE=MZS</stp>
        <stp>ACT_EST_MAPPING=PRECISE</stp>
        <stp>FS=MRC</stp>
        <stp>CURRENCY=USD</stp>
        <stp>XLFILL=b</stp>
        <tr r="AT169" s="2"/>
      </tp>
      <tp t="s">
        <v>#N/A Requesting Data...</v>
        <stp/>
        <stp>##V3_BQLV12</stp>
        <stp>[MODL_NOW_US1.xlsx]Single Period!R102C28</stp>
        <stp>NOW US Equity</stp>
        <stp>IS_COMP_PTP_EX_STK_BASED_COMP/1M</stp>
        <stp>FPR=2021Y</stp>
        <stp>FPT=A</stp>
        <stp>FA_ACT_EST_DATA=E, EST_SOURCE=EVR</stp>
        <stp>ACT_EST_MAPPING=PRECISE</stp>
        <stp>FS=MRC</stp>
        <stp>CURRENCY=USD</stp>
        <stp>XLFILL=b</stp>
        <tr r="AB102" s="2"/>
      </tp>
      <tp t="s">
        <v>#N/A Requesting Data...</v>
        <stp/>
        <stp>##V3_BQLV12</stp>
        <stp>[MODL_NOW_US1.xlsx]Single Period!R150C23</stp>
        <stp>NOW US Equity</stp>
        <stp>IS_INC_TAX_EFFECT_NONGAAP_REC/1M</stp>
        <stp>FPR=2021Y</stp>
        <stp>FPT=A</stp>
        <stp>FA_ACT_EST_DATA=E, EST_SOURCE=ZXS</stp>
        <stp>ACT_EST_MAPPING=PRECISE</stp>
        <stp>FS=MRC</stp>
        <stp>CURRENCY=USD</stp>
        <stp>XLFILL=b</stp>
        <tr r="W150" s="2"/>
      </tp>
      <tp t="s">
        <v>#N/A Requesting Data...</v>
        <stp/>
        <stp>##V3_BQLV12</stp>
        <stp>[MODL_NOW_US1.xlsx]Single Period!R83C39</stp>
        <stp>NOW US Equity</stp>
        <stp>IS_ADJUSTED_COGS_AS_REPORTED/1M</stp>
        <stp>FPR=2021Y</stp>
        <stp>FPT=A</stp>
        <stp>FA_ACT_EST_DATA=E, EST_SOURCE=DZB</stp>
        <stp>ACT_EST_MAPPING=PRECISE</stp>
        <stp>FS=MRC</stp>
        <stp>CURRENCY=USD</stp>
        <stp>XLFILL=b</stp>
        <tr r="AM83" s="2"/>
      </tp>
      <tp t="s">
        <v>#N/A Requesting Data...</v>
        <stp/>
        <stp>##V3_BQLV12</stp>
        <stp>[MODL_NOW_US1.xlsx]Single Period!R77C37</stp>
        <stp>SEG0000230969 Segment</stp>
        <stp>SALES_REV_TURN/1M</stp>
        <stp>FPR=2021Y</stp>
        <stp>FPT=A</stp>
        <stp>FA_ACT_EST_DATA=E, EST_SOURCE=TTC</stp>
        <stp>ACT_EST_MAPPING=PRECISE</stp>
        <stp>FS=MRC</stp>
        <stp>CURRENCY=USD</stp>
        <stp>XLFILL=b</stp>
        <tr r="AK77" s="2"/>
      </tp>
      <tp t="s">
        <v>#N/A Requesting Data...</v>
        <stp/>
        <stp>##V3_BQLV12</stp>
        <stp>[MODL_NOW_US1.xlsx]Single Period!R235C48</stp>
        <stp>NOW US Equity</stp>
        <stp>CF_FREE_CASH_FLOW_AS_REPORTED/1M</stp>
        <stp>FPR=2021Y</stp>
        <stp>FPT=A</stp>
        <stp>FA_ACT_EST_DATA=E, EST_SOURCE=CRC</stp>
        <stp>ACT_EST_MAPPING=PRECISE</stp>
        <stp>FS=MRC</stp>
        <stp>CURRENCY=USD</stp>
        <stp>XLFILL=b</stp>
        <tr r="AV235" s="2"/>
      </tp>
      <tp t="s">
        <v>#N/A Requesting Data...</v>
        <stp/>
        <stp>##V3_BQLV12</stp>
        <stp>[MODL_NOW_US1.xlsx]Single Period!R98C9</stp>
        <stp>NOW US Equity</stp>
        <stp>CONTRIBUTOR_STATS(CF_DEPR_AMORT, MEDIAN)/1M</stp>
        <stp>FPR=2021Y</stp>
        <stp>FPT=A</stp>
        <stp>FA_ACT_EST_DATA=E</stp>
        <stp>ACT_EST_MAPPING=PRECISE</stp>
        <stp>FS=MRC</stp>
        <stp>CURRENCY=USD</stp>
        <stp>XLFILL=b</stp>
        <tr r="I98" s="2"/>
      </tp>
      <tp t="s">
        <v>#N/A Requesting Data...</v>
        <stp/>
        <stp>##V3_BQLV12</stp>
        <stp>[MODL_NOW_US1.xlsx]Single Period!R131C34</stp>
        <stp>NOW US Equity</stp>
        <stp>IS_AVG_NUM_SH_FOR_EPS/1M</stp>
        <stp>FPR=2021Y</stp>
        <stp>FPT=A</stp>
        <stp>FA_ACT_EST_DATA=E, EST_SOURCE=PSG</stp>
        <stp>ACT_EST_MAPPING=PRECISE</stp>
        <stp>FS=MRC</stp>
        <stp>CURRENCY=USD</stp>
        <stp>XLFILL=b</stp>
        <tr r="AH131" s="2"/>
      </tp>
      <tp t="s">
        <v>#N/A Requesting Data...</v>
        <stp/>
        <stp>##V3_BQLV12</stp>
        <stp>[MODL_NOW_US1.xlsx]Single Period!R58C46</stp>
        <stp>SEG0000230975 Segment</stp>
        <stp>SALES_REV_TURN/1M</stp>
        <stp>FPR=2021Y</stp>
        <stp>FPT=A</stp>
        <stp>FA_ACT_EST_DATA=E, EST_SOURCE=MZS</stp>
        <stp>ACT_EST_MAPPING=PRECISE</stp>
        <stp>FS=MRC</stp>
        <stp>CURRENCY=USD</stp>
        <stp>XLFILL=b</stp>
        <tr r="AT58" s="2"/>
      </tp>
      <tp t="s">
        <v>#N/A Requesting Data...</v>
        <stp/>
        <stp>##V3_BQLV12</stp>
        <stp>[MODL_NOW_US1.xlsx]Single Period!R14C28</stp>
        <stp>SEG0000230975 Segment</stp>
        <stp>SALES_REV_TURN/1M</stp>
        <stp>FPR=2021Y</stp>
        <stp>FPT=A</stp>
        <stp>FA_ACT_EST_DATA=E, EST_SOURCE=EVR</stp>
        <stp>ACT_EST_MAPPING=PRECISE</stp>
        <stp>FS=MRC</stp>
        <stp>CURRENCY=USD</stp>
        <stp>XLFILL=b</stp>
        <tr r="AB14" s="2"/>
      </tp>
      <tp t="s">
        <v>#N/A Requesting Data...</v>
        <stp/>
        <stp>##V3_BQLV12</stp>
        <stp>[MODL_NOW_US1.xlsx]Single Period!R209C13</stp>
        <stp>NOW US Equity</stp>
        <stp>CF_CHANGE_IN_ACCOUNTS_PAYABLE/1M</stp>
        <stp>FPR=2021Y</stp>
        <stp>FPT=A</stp>
        <stp>FA_ACT_EST_DATA=E, EST_SOURCE=KEY</stp>
        <stp>ACT_EST_MAPPING=PRECISE</stp>
        <stp>FS=MRC</stp>
        <stp>CURRENCY=USD</stp>
        <stp>XLFILL=b</stp>
        <tr r="M209" s="2"/>
      </tp>
      <tp t="s">
        <v>#N/A Requesting Data...</v>
        <stp/>
        <stp>##V3_BQLV12</stp>
        <stp>[MODL_NOW_US1.xlsx]Single Period!R119C38</stp>
        <stp>NOW US Equity</stp>
        <stp>CB_IS_S_AND_M_EXPENSE/1M</stp>
        <stp>FPR=2021Y</stp>
        <stp>FPT=A</stp>
        <stp>FA_ACT_EST_DATA=E, EST_SOURCE=RWB</stp>
        <stp>ACT_EST_MAPPING=PRECISE</stp>
        <stp>FS=MRC</stp>
        <stp>CURRENCY=USD</stp>
        <stp>XLFILL=b</stp>
        <tr r="AL119" s="2"/>
      </tp>
      <tp t="s">
        <v>#N/A Requesting Data...</v>
        <stp/>
        <stp>##V3_BQLV12</stp>
        <stp>[MODL_NOW_US1.xlsx]Single Period!R143C21</stp>
        <stp>NOW US Equity</stp>
        <stp>IS_SBC_ATTRIBUTABLE_TO_R_AND_D_PRETX/1M</stp>
        <stp>FPR=2021Y</stp>
        <stp>FPT=A</stp>
        <stp>FA_ACT_EST_DATA=E, EST_SOURCE=JMP</stp>
        <stp>ACT_EST_MAPPING=PRECISE</stp>
        <stp>FS=MRC</stp>
        <stp>CURRENCY=USD</stp>
        <stp>XLFILL=b</stp>
        <tr r="U143" s="2"/>
      </tp>
      <tp t="s">
        <v>#N/A Requesting Data...</v>
        <stp/>
        <stp>##V3_BQLV12</stp>
        <stp>[MODL_NOW_US1.xlsx]Single Period!R101C12</stp>
        <stp>NOW US Equity</stp>
        <stp>CB_IS_OTHER_NON_OPER_INC_EXPN/1M</stp>
        <stp>FPR=2021Y</stp>
        <stp>FPT=A</stp>
        <stp>FA_ACT_EST_DATA=E, EST_SOURCE=WBL</stp>
        <stp>ACT_EST_MAPPING=PRECISE</stp>
        <stp>FS=MRC</stp>
        <stp>CURRENCY=USD</stp>
        <stp>XLFILL=b</stp>
        <tr r="L101" s="2"/>
      </tp>
      <tp t="s">
        <v>#N/A Requesting Data...</v>
        <stp/>
        <stp>##V3_BQLV12</stp>
        <stp>[MODL_NOW_US1.xlsx]Single Period!R99C48</stp>
        <stp>NOW US Equity</stp>
        <stp>IS_COMPARABLE_EBITDA/1M</stp>
        <stp>FPR=2021Y</stp>
        <stp>FPT=A</stp>
        <stp>FA_ACT_EST_DATA=E, EST_SOURCE=CRC</stp>
        <stp>ACT_EST_MAPPING=PRECISE</stp>
        <stp>FS=MRC</stp>
        <stp>CURRENCY=USD</stp>
        <stp>XLFILL=b</stp>
        <tr r="AV99" s="2"/>
      </tp>
      <tp t="s">
        <v>#N/A Requesting Data...</v>
        <stp/>
        <stp>##V3_BQLV12</stp>
        <stp>[MODL_NOW_US1.xlsx]Single Period!R200C26</stp>
        <stp>NOW US Equity</stp>
        <stp>CF_DEPR_AMORT/1M</stp>
        <stp>FPR=2021Y</stp>
        <stp>FPT=A</stp>
        <stp>FA_ACT_EST_DATA=E, EST_SOURCE=UBS</stp>
        <stp>ACT_EST_MAPPING=PRECISE</stp>
        <stp>FS=MRC</stp>
        <stp>CURRENCY=USD</stp>
        <stp>XLFILL=b</stp>
        <tr r="Z200" s="2"/>
      </tp>
      <tp t="s">
        <v>#N/A Requesting Data...</v>
        <stp/>
        <stp>##V3_BQLV12</stp>
        <stp>[MODL_NOW_US1.xlsx]Single Period!R235C19</stp>
        <stp>NOW US Equity</stp>
        <stp>CF_FREE_CASH_FLOW_AS_REPORTED/1M</stp>
        <stp>FPR=2021Y</stp>
        <stp>FPT=A</stp>
        <stp>FA_ACT_EST_DATA=E, EST_SOURCE=MSV</stp>
        <stp>ACT_EST_MAPPING=PRECISE</stp>
        <stp>FS=MRC</stp>
        <stp>CURRENCY=USD</stp>
        <stp>XLFILL=b</stp>
        <tr r="S235" s="2"/>
      </tp>
      <tp t="s">
        <v>#N/A Requesting Data...</v>
        <stp/>
        <stp>##V3_BQLV12</stp>
        <stp>[MODL_NOW_US1.xlsx]Single Period!R143C18</stp>
        <stp>NOW US Equity</stp>
        <stp>IS_SBC_ATTRIBUTABLE_TO_R_AND_D_PRETX/1M</stp>
        <stp>FPR=2021Y</stp>
        <stp>FPT=A</stp>
        <stp>FA_ACT_EST_DATA=E, EST_SOURCE=SNR</stp>
        <stp>ACT_EST_MAPPING=PRECISE</stp>
        <stp>FS=MRC</stp>
        <stp>CURRENCY=USD</stp>
        <stp>XLFILL=b</stp>
        <tr r="R143" s="2"/>
      </tp>
      <tp t="s">
        <v>#N/A Requesting Data...</v>
        <stp/>
        <stp>##V3_BQLV12</stp>
        <stp>[MODL_NOW_US1.xlsx]Single Period!R209C18</stp>
        <stp>NOW US Equity</stp>
        <stp>CF_CHANGE_IN_ACCOUNTS_PAYABLE/1M</stp>
        <stp>FPR=2021Y</stp>
        <stp>FPT=A</stp>
        <stp>FA_ACT_EST_DATA=E, EST_SOURCE=SNR</stp>
        <stp>ACT_EST_MAPPING=PRECISE</stp>
        <stp>FS=MRC</stp>
        <stp>CURRENCY=USD</stp>
        <stp>XLFILL=b</stp>
        <tr r="R209" s="2"/>
      </tp>
      <tp t="s">
        <v>#N/A Requesting Data...</v>
        <stp/>
        <stp>##V3_BQLV12</stp>
        <stp>[MODL_NOW_US1.xlsx]Single Period!R133C46</stp>
        <stp>NOW US Equity</stp>
        <stp>IS_SH_FOR_DILUTED_EPS/1M</stp>
        <stp>FPR=2021Y</stp>
        <stp>FPT=A</stp>
        <stp>FA_ACT_EST_DATA=E, EST_SOURCE=MZS</stp>
        <stp>ACT_EST_MAPPING=PRECISE</stp>
        <stp>FS=MRC</stp>
        <stp>CURRENCY=USD</stp>
        <stp>XLFILL=b</stp>
        <tr r="AT133" s="2"/>
      </tp>
      <tp t="s">
        <v>#N/A Requesting Data...</v>
        <stp/>
        <stp>##V3_BQLV12</stp>
        <stp>[MODL_NOW_US1.xlsx]Single Period!R101C32</stp>
        <stp>NOW US Equity</stp>
        <stp>CB_IS_OTHER_NON_OPER_INC_EXPN/1M</stp>
        <stp>FPR=2021Y</stp>
        <stp>FPT=A</stp>
        <stp>FA_ACT_EST_DATA=E, EST_SOURCE=FBC</stp>
        <stp>ACT_EST_MAPPING=PRECISE</stp>
        <stp>FS=MRC</stp>
        <stp>CURRENCY=USD</stp>
        <stp>XLFILL=b</stp>
        <tr r="AF101" s="2"/>
      </tp>
      <tp t="s">
        <v>#N/A Requesting Data...</v>
        <stp/>
        <stp>##V3_BQLV12</stp>
        <stp>[MODL_NOW_US1.xlsx]Single Period!R99C41</stp>
        <stp>NOW US Equity</stp>
        <stp>IS_COMPARABLE_EBITDA/1M</stp>
        <stp>FPR=2021Y</stp>
        <stp>FPT=A</stp>
        <stp>FA_ACT_EST_DATA=E, EST_SOURCE=ARG</stp>
        <stp>ACT_EST_MAPPING=PRECISE</stp>
        <stp>FS=MRC</stp>
        <stp>CURRENCY=USD</stp>
        <stp>XLFILL=b</stp>
        <tr r="AO99" s="2"/>
      </tp>
      <tp t="s">
        <v>#N/A Requesting Data...</v>
        <stp/>
        <stp>##V3_BQLV12</stp>
        <stp>[MODL_NOW_US1.xlsx]Single Period!R99C44</stp>
        <stp>NOW US Equity</stp>
        <stp>IS_COMPARABLE_EBITDA/1M</stp>
        <stp>FPR=2021Y</stp>
        <stp>FPT=A</stp>
        <stp>FA_ACT_EST_DATA=E, EST_SOURCE=ARE</stp>
        <stp>ACT_EST_MAPPING=PRECISE</stp>
        <stp>FS=MRC</stp>
        <stp>CURRENCY=USD</stp>
        <stp>XLFILL=b</stp>
        <tr r="AR99" s="2"/>
      </tp>
      <tp t="s">
        <v>#N/A Requesting Data...</v>
        <stp/>
        <stp>##V3_BQLV12</stp>
        <stp>[MODL_NOW_US1.xlsx]Single Period!R62C10</stp>
        <stp>SEG0000230975 Segment</stp>
        <stp>IS_ADJ_GROSS_MARGIN_PCT_AR</stp>
        <stp>FPR=2021Y</stp>
        <stp>FPT=A</stp>
        <stp>FA_ACT_EST_DATA=E, EST_SOURCE=CMPY</stp>
        <stp>ACT_EST_MAPPING=PRECISE</stp>
        <stp>FS=MRC</stp>
        <stp>CURRENCY=USD</stp>
        <stp>XLFILL=b</stp>
        <tr r="J62" s="2"/>
      </tp>
      <tp t="s">
        <v>#N/A Requesting Data...</v>
        <stp/>
        <stp>##V3_BQLV12</stp>
        <stp>[MODL_NOW_US1.xlsx]Single Period!R70C10</stp>
        <stp>SEG0000230986 Segment</stp>
        <stp>IS_ADJ_GROSS_MARGIN_PCT_AR</stp>
        <stp>FPR=2021Y</stp>
        <stp>FPT=A</stp>
        <stp>FA_ACT_EST_DATA=E, EST_SOURCE=CMPY</stp>
        <stp>ACT_EST_MAPPING=PRECISE</stp>
        <stp>FS=MRC</stp>
        <stp>CURRENCY=USD</stp>
        <stp>XLFILL=b</stp>
        <tr r="J70" s="2"/>
      </tp>
      <tp t="s">
        <v>#N/A Requesting Data...</v>
        <stp/>
        <stp>##V3_BQLV12</stp>
        <stp>[MODL_NOW_US1.xlsx]Single Period!R18C10</stp>
        <stp>SEG0000230975 Segment</stp>
        <stp>IS_ADJ_GROSS_MARGIN_PCT_AR</stp>
        <stp>FPR=2021Y</stp>
        <stp>FPT=A</stp>
        <stp>FA_ACT_EST_DATA=E, EST_SOURCE=CMPY</stp>
        <stp>ACT_EST_MAPPING=PRECISE</stp>
        <stp>FS=MRC</stp>
        <stp>CURRENCY=USD</stp>
        <stp>XLFILL=b</stp>
        <tr r="J18" s="2"/>
      </tp>
      <tp t="s">
        <v>#N/A Requesting Data...</v>
        <stp/>
        <stp>##V3_BQLV12</stp>
        <stp>[MODL_NOW_US1.xlsx]Single Period!R22C10</stp>
        <stp>SEG0000230986 Segment</stp>
        <stp>IS_ADJ_GROSS_MARGIN_PCT_AR</stp>
        <stp>FPR=2021Y</stp>
        <stp>FPT=A</stp>
        <stp>FA_ACT_EST_DATA=E, EST_SOURCE=CMPY</stp>
        <stp>ACT_EST_MAPPING=PRECISE</stp>
        <stp>FS=MRC</stp>
        <stp>CURRENCY=USD</stp>
        <stp>XLFILL=b</stp>
        <tr r="J22" s="2"/>
      </tp>
      <tp t="s">
        <v>#N/A Requesting Data...</v>
        <stp/>
        <stp>##V3_BQLV12</stp>
        <stp>[MODL_NOW_US1.xlsx]Single Period!R85C23</stp>
        <stp>NOW US Equity</stp>
        <stp>IS_COMP_GROSS_MARGIN_PERCENTAGE</stp>
        <stp>FPR=2021Y</stp>
        <stp>FPT=A</stp>
        <stp>FA_ACT_EST_DATA=E, EST_SOURCE=ZXS</stp>
        <stp>ACT_EST_MAPPING=PRECISE</stp>
        <stp>FS=MRC</stp>
        <stp>CURRENCY=USD</stp>
        <stp>XLFILL=b</stp>
        <tr r="W85" s="2"/>
      </tp>
      <tp t="s">
        <v>#N/A Requesting Data...</v>
        <stp/>
        <stp>##V3_BQLV12</stp>
        <stp>[MODL_NOW_US1.xlsx]Single Period!R25C23</stp>
        <stp>NOW US Equity</stp>
        <stp>IS_COMP_GROSS_MARGIN_PERCENTAGE</stp>
        <stp>FPR=2021Y</stp>
        <stp>FPT=A</stp>
        <stp>FA_ACT_EST_DATA=E, EST_SOURCE=ZXS</stp>
        <stp>ACT_EST_MAPPING=PRECISE</stp>
        <stp>FS=MRC</stp>
        <stp>CURRENCY=USD</stp>
        <stp>XLFILL=b</stp>
        <tr r="W25" s="2"/>
      </tp>
      <tp t="s">
        <v>#N/A Requesting Data...</v>
        <stp/>
        <stp>##V3_BQLV12</stp>
        <stp>[MODL_NOW_US1.xlsx]Single Period!R134C38</stp>
        <stp>NOW US Equity</stp>
        <stp>IS_COMP_EPS_GAAP</stp>
        <stp>FPR=2021Y</stp>
        <stp>FPT=A</stp>
        <stp>FA_ACT_EST_DATA=E, EST_SOURCE=RWB</stp>
        <stp>ACT_EST_MAPPING=PRECISE</stp>
        <stp>FS=MRC</stp>
        <stp>CURRENCY=USD</stp>
        <stp>XLFILL=b</stp>
        <tr r="AL134" s="2"/>
      </tp>
      <tp t="s">
        <v>#N/A Requesting Data...</v>
        <stp/>
        <stp>##V3_BQLV12</stp>
        <stp>[MODL_NOW_US1.xlsx]Single Period!R202C10</stp>
        <stp>NOW US Equity</stp>
        <stp>CF_AMORTIZATN_OF_DEFRRD_COMPNSTN/1M</stp>
        <stp>FPR=2021Y</stp>
        <stp>FPT=A</stp>
        <stp>FA_ACT_EST_DATA=E, EST_SOURCE=CMPY</stp>
        <stp>ACT_EST_MAPPING=PRECISE</stp>
        <stp>FS=MRC</stp>
        <stp>CURRENCY=USD</stp>
        <stp>XLFILL=b</stp>
        <tr r="J202" s="2"/>
      </tp>
      <tp t="s">
        <v>#N/A Requesting Data...</v>
        <stp/>
        <stp>##V3_BQLV12</stp>
        <stp>[MODL_NOW_US1.xlsx]Single Period!R204C17</stp>
        <stp>NOW US Equity</stp>
        <stp>CF_DEF_INC_TAX/1M</stp>
        <stp>FPR=2021Y</stp>
        <stp>FPT=A</stp>
        <stp>FA_ACT_EST_DATA=E, EST_SOURCE=RHR</stp>
        <stp>ACT_EST_MAPPING=PRECISE</stp>
        <stp>FS=MRC</stp>
        <stp>CURRENCY=USD</stp>
        <stp>XLFILL=b</stp>
        <tr r="Q204" s="2"/>
      </tp>
      <tp t="s">
        <v>#N/A Requesting Data...</v>
        <stp/>
        <stp>##V3_BQLV12</stp>
        <stp>[MODL_NOW_US1.xlsx]Single Period!R168C22</stp>
        <stp>NOW US Equity</stp>
        <stp>CB_BS_DEFERRED_COST_LT/1M</stp>
        <stp>FPR=2021Y</stp>
        <stp>FPT=A</stp>
        <stp>FA_ACT_EST_DATA=E, EST_SOURCE=NDH</stp>
        <stp>ACT_EST_MAPPING=PRECISE</stp>
        <stp>FS=MRC</stp>
        <stp>CURRENCY=USD</stp>
        <stp>XLFILL=b</stp>
        <tr r="V168" s="2"/>
      </tp>
      <tp t="s">
        <v>#N/A Requesting Data...</v>
        <stp/>
        <stp>##V3_BQLV12</stp>
        <stp>[MODL_NOW_US1.xlsx]Single Period!R62C43</stp>
        <stp>SEG0000230975 Segment</stp>
        <stp>IS_ADJ_GROSS_MARGIN_PCT_AR</stp>
        <stp>FPR=2021Y</stp>
        <stp>FPT=A</stp>
        <stp>FA_ACT_EST_DATA=E, EST_SOURCE=WFT</stp>
        <stp>ACT_EST_MAPPING=PRECISE</stp>
        <stp>FS=MRC</stp>
        <stp>CURRENCY=USD</stp>
        <stp>XLFILL=b</stp>
        <tr r="AQ62" s="2"/>
      </tp>
      <tp t="s">
        <v>#N/A Requesting Data...</v>
        <stp/>
        <stp>##V3_BQLV12</stp>
        <stp>[MODL_NOW_US1.xlsx]Single Period!R18C43</stp>
        <stp>SEG0000230975 Segment</stp>
        <stp>IS_ADJ_GROSS_MARGIN_PCT_AR</stp>
        <stp>FPR=2021Y</stp>
        <stp>FPT=A</stp>
        <stp>FA_ACT_EST_DATA=E, EST_SOURCE=WFT</stp>
        <stp>ACT_EST_MAPPING=PRECISE</stp>
        <stp>FS=MRC</stp>
        <stp>CURRENCY=USD</stp>
        <stp>XLFILL=b</stp>
        <tr r="AQ18" s="2"/>
      </tp>
      <tp t="s">
        <v>#N/A Requesting Data...</v>
        <stp/>
        <stp>##V3_BQLV12</stp>
        <stp>[MODL_NOW_US1.xlsx]Single Period!R44C5</stp>
        <stp>SEG0000230986 Segment</stp>
        <stp>IS_FOREIGN_CURRENCY_TURNOVER/1M</stp>
        <stp>FPR=2021Y</stp>
        <stp>FPT=A</stp>
        <stp>FA_ACT_EST_DATA=E</stp>
        <stp>ACT_EST_MAPPING=PRECISE</stp>
        <stp>FS=MRC</stp>
        <stp>CURRENCY=USD</stp>
        <stp>XLFILL=b</stp>
        <tr r="E44" s="2"/>
      </tp>
      <tp t="s">
        <v>#N/A Requesting Data...</v>
        <stp/>
        <stp>##V3_BQLV12</stp>
        <stp>[MODL_NOW_US1.xlsx]Single Period!R156C13</stp>
        <stp>NOW US Equity</stp>
        <stp>BS_CASH_NEAR_CASH_ITEM/1M</stp>
        <stp>FPR=2021Y</stp>
        <stp>FPT=A</stp>
        <stp>FA_ACT_EST_DATA=E, EST_SOURCE=KEY</stp>
        <stp>ACT_EST_MAPPING=PRECISE</stp>
        <stp>FS=MRC</stp>
        <stp>CURRENCY=USD</stp>
        <stp>XLFILL=b</stp>
        <tr r="M156" s="2"/>
      </tp>
      <tp t="s">
        <v>#N/A Requesting Data...</v>
        <stp/>
        <stp>##V3_BQLV12</stp>
        <stp>[MODL_NOW_US1.xlsx]Single Period!R60C5</stp>
        <stp>SEG0000230975 Segment</stp>
        <stp>IS_ADJUSTED_COGS_AS_REPORTED/1M</stp>
        <stp>FPR=2021Y</stp>
        <stp>FPT=A</stp>
        <stp>FA_ACT_EST_DATA=E</stp>
        <stp>ACT_EST_MAPPING=PRECISE</stp>
        <stp>FS=MRC</stp>
        <stp>CURRENCY=USD</stp>
        <stp>XLFILL=b</stp>
        <tr r="E60" s="2"/>
      </tp>
      <tp t="s">
        <v>#N/A Requesting Data...</v>
        <stp/>
        <stp>##V3_BQLV12</stp>
        <stp>[MODL_NOW_US1.xlsx]Single Period!R68C5</stp>
        <stp>SEG0000230986 Segment</stp>
        <stp>IS_ADJUSTED_COGS_AS_REPORTED/1M</stp>
        <stp>FPR=2021Y</stp>
        <stp>FPT=A</stp>
        <stp>FA_ACT_EST_DATA=E</stp>
        <stp>ACT_EST_MAPPING=PRECISE</stp>
        <stp>FS=MRC</stp>
        <stp>CURRENCY=USD</stp>
        <stp>XLFILL=b</stp>
        <tr r="E68" s="2"/>
      </tp>
      <tp t="s">
        <v>#N/A Requesting Data...</v>
        <stp/>
        <stp>##V3_BQLV12</stp>
        <stp>[MODL_NOW_US1.xlsx]Single Period!R70C13</stp>
        <stp>SEG0000230986 Segment</stp>
        <stp>IS_ADJ_GROSS_MARGIN_PCT_AR</stp>
        <stp>FPR=2021Y</stp>
        <stp>FPT=A</stp>
        <stp>FA_ACT_EST_DATA=E, EST_SOURCE=KEY</stp>
        <stp>ACT_EST_MAPPING=PRECISE</stp>
        <stp>FS=MRC</stp>
        <stp>CURRENCY=USD</stp>
        <stp>XLFILL=b</stp>
        <tr r="M70" s="2"/>
      </tp>
      <tp t="s">
        <v>#N/A Requesting Data...</v>
        <stp/>
        <stp>##V3_BQLV12</stp>
        <stp>[MODL_NOW_US1.xlsx]Single Period!R22C13</stp>
        <stp>SEG0000230986 Segment</stp>
        <stp>IS_ADJ_GROSS_MARGIN_PCT_AR</stp>
        <stp>FPR=2021Y</stp>
        <stp>FPT=A</stp>
        <stp>FA_ACT_EST_DATA=E, EST_SOURCE=KEY</stp>
        <stp>ACT_EST_MAPPING=PRECISE</stp>
        <stp>FS=MRC</stp>
        <stp>CURRENCY=USD</stp>
        <stp>XLFILL=b</stp>
        <tr r="M22" s="2"/>
      </tp>
      <tp t="s">
        <v>#N/A Requesting Data...</v>
        <stp/>
        <stp>##V3_BQLV12</stp>
        <stp>[MODL_NOW_US1.xlsx]Single Period!R233C47</stp>
        <stp>NOW US Equity</stp>
        <stp>CF_CASH_AND_CASH_EQUIV_END_BAL/1M</stp>
        <stp>FPR=2021Y</stp>
        <stp>FPT=A</stp>
        <stp>FA_ACT_EST_DATA=E, EST_SOURCE=SUM</stp>
        <stp>ACT_EST_MAPPING=PRECISE</stp>
        <stp>FS=MRC</stp>
        <stp>CURRENCY=USD</stp>
        <stp>XLFILL=b</stp>
        <tr r="AU233" s="2"/>
      </tp>
      <tp t="s">
        <v>#N/A Requesting Data...</v>
        <stp/>
        <stp>##V3_BQLV12</stp>
        <stp>[MODL_NOW_US1.xlsx]Single Period!R126C45</stp>
        <stp>NOW US Equity</stp>
        <stp>IS_NON_OPERATING_INC_LOSS_GAAP/1M</stp>
        <stp>FPR=2021Y</stp>
        <stp>FPT=A</stp>
        <stp>FA_ACT_EST_DATA=E, EST_SOURCE=PJE</stp>
        <stp>ACT_EST_MAPPING=PRECISE</stp>
        <stp>FS=MRC</stp>
        <stp>CURRENCY=USD</stp>
        <stp>XLFILL=b</stp>
        <tr r="AS126" s="2"/>
      </tp>
      <tp t="s">
        <v>#N/A Requesting Data...</v>
        <stp/>
        <stp>##V3_BQLV12</stp>
        <stp>[MODL_NOW_US1.xlsx]Single Period!R22C36</stp>
        <stp>SEG0000230986 Segment</stp>
        <stp>IS_ADJ_GROSS_MARGIN_PCT_AR</stp>
        <stp>FPR=2021Y</stp>
        <stp>FPT=A</stp>
        <stp>FA_ACT_EST_DATA=E, EST_SOURCE=JEF</stp>
        <stp>ACT_EST_MAPPING=PRECISE</stp>
        <stp>FS=MRC</stp>
        <stp>CURRENCY=USD</stp>
        <stp>XLFILL=b</stp>
        <tr r="AJ22" s="2"/>
      </tp>
      <tp t="s">
        <v>#N/A Requesting Data...</v>
        <stp/>
        <stp>##V3_BQLV12</stp>
        <stp>[MODL_NOW_US1.xlsx]Single Period!R70C36</stp>
        <stp>SEG0000230986 Segment</stp>
        <stp>IS_ADJ_GROSS_MARGIN_PCT_AR</stp>
        <stp>FPR=2021Y</stp>
        <stp>FPT=A</stp>
        <stp>FA_ACT_EST_DATA=E, EST_SOURCE=JEF</stp>
        <stp>ACT_EST_MAPPING=PRECISE</stp>
        <stp>FS=MRC</stp>
        <stp>CURRENCY=USD</stp>
        <stp>XLFILL=b</stp>
        <tr r="AJ70" s="2"/>
      </tp>
      <tp t="s">
        <v>#N/A Requesting Data...</v>
        <stp/>
        <stp>##V3_BQLV12</stp>
        <stp>[MODL_NOW_US1.xlsx]Single Period!R232C24</stp>
        <stp>NOW US Equity</stp>
        <stp>CF_CASH_AND_CASH_EQUIV_BEG_BAL/1M</stp>
        <stp>FPR=2021Y</stp>
        <stp>FPT=A</stp>
        <stp>FA_ACT_EST_DATA=E, EST_SOURCE=CWN</stp>
        <stp>ACT_EST_MAPPING=PRECISE</stp>
        <stp>FS=MRC</stp>
        <stp>CURRENCY=USD</stp>
        <stp>XLFILL=b</stp>
        <tr r="X232" s="2"/>
      </tp>
      <tp t="s">
        <v>#N/A Requesting Data...</v>
        <stp/>
        <stp>##V3_BQLV12</stp>
        <stp>[MODL_NOW_US1.xlsx]Single Period!R156C36</stp>
        <stp>NOW US Equity</stp>
        <stp>BS_CASH_NEAR_CASH_ITEM/1M</stp>
        <stp>FPR=2021Y</stp>
        <stp>FPT=A</stp>
        <stp>FA_ACT_EST_DATA=E, EST_SOURCE=JEF</stp>
        <stp>ACT_EST_MAPPING=PRECISE</stp>
        <stp>FS=MRC</stp>
        <stp>CURRENCY=USD</stp>
        <stp>XLFILL=b</stp>
        <tr r="AJ156" s="2"/>
      </tp>
      <tp t="s">
        <v>#N/A Requesting Data...</v>
        <stp/>
        <stp>##V3_BQLV12</stp>
        <stp>[MODL_NOW_US1.xlsx]Single Period!R232C40</stp>
        <stp>NOW US Equity</stp>
        <stp>CF_CASH_AND_CASH_EQUIV_BEG_BAL/1M</stp>
        <stp>FPR=2021Y</stp>
        <stp>FPT=A</stp>
        <stp>FA_ACT_EST_DATA=E, EST_SOURCE=DWI</stp>
        <stp>ACT_EST_MAPPING=PRECISE</stp>
        <stp>FS=MRC</stp>
        <stp>CURRENCY=USD</stp>
        <stp>XLFILL=b</stp>
        <tr r="AN232" s="2"/>
      </tp>
      <tp t="s">
        <v>#N/A Requesting Data...</v>
        <stp/>
        <stp>##V3_BQLV12</stp>
        <stp>[MODL_NOW_US1.xlsx]Single Period!R123C18</stp>
        <stp>NOW US Equity</stp>
        <stp>TOTAL_OPERATING_EXPENSES_RATIO/1M</stp>
        <stp>FPR=2021Y</stp>
        <stp>FPT=A</stp>
        <stp>FA_ACT_EST_DATA=E, EST_SOURCE=SNR</stp>
        <stp>ACT_EST_MAPPING=PRECISE</stp>
        <stp>FS=MRC</stp>
        <stp>CURRENCY=USD</stp>
        <stp>XLFILL=b</stp>
        <tr r="R123" s="2"/>
      </tp>
      <tp t="s">
        <v>#N/A Requesting Data...</v>
        <stp/>
        <stp>##V3_BQLV12</stp>
        <stp>[MODL_NOW_US1.xlsx]Single Period!R64C40</stp>
        <stp>SEG0000230975 Segment</stp>
        <stp>CB_IS_GROSS_MARGIN</stp>
        <stp>FPR=2021Y</stp>
        <stp>FPT=A</stp>
        <stp>FA_ACT_EST_DATA=E, EST_SOURCE=DWI</stp>
        <stp>ACT_EST_MAPPING=PRECISE</stp>
        <stp>FS=MRC</stp>
        <stp>CURRENCY=USD</stp>
        <stp>XLFILL=b</stp>
        <tr r="AN64" s="2"/>
      </tp>
      <tp t="s">
        <v>#N/A Requesting Data...</v>
        <stp/>
        <stp>##V3_BQLV12</stp>
        <stp>[MODL_NOW_US1.xlsx]Single Period!R123C29</stp>
        <stp>NOW US Equity</stp>
        <stp>TOTAL_OPERATING_EXPENSES_RATIO/1M</stp>
        <stp>FPR=2021Y</stp>
        <stp>FPT=A</stp>
        <stp>FA_ACT_EST_DATA=E, EST_SOURCE=BNS</stp>
        <stp>ACT_EST_MAPPING=PRECISE</stp>
        <stp>FS=MRC</stp>
        <stp>CURRENCY=USD</stp>
        <stp>XLFILL=b</stp>
        <tr r="AC123" s="2"/>
      </tp>
      <tp t="s">
        <v>#N/A Requesting Data...</v>
        <stp/>
        <stp>##V3_BQLV12</stp>
        <stp>[MODL_NOW_US1.xlsx]Single Period!R64C24</stp>
        <stp>SEG0000230975 Segment</stp>
        <stp>CB_IS_GROSS_MARGIN</stp>
        <stp>FPR=2021Y</stp>
        <stp>FPT=A</stp>
        <stp>FA_ACT_EST_DATA=E, EST_SOURCE=CWN</stp>
        <stp>ACT_EST_MAPPING=PRECISE</stp>
        <stp>FS=MRC</stp>
        <stp>CURRENCY=USD</stp>
        <stp>XLFILL=b</stp>
        <tr r="X64" s="2"/>
      </tp>
      <tp t="s">
        <v>#N/A Requesting Data...</v>
        <stp/>
        <stp>##V3_BQLV12</stp>
        <stp>[MODL_NOW_US1.xlsx]Single Period!R64C38</stp>
        <stp>SEG0000230975 Segment</stp>
        <stp>CB_IS_GROSS_MARGIN</stp>
        <stp>FPR=2021Y</stp>
        <stp>FPT=A</stp>
        <stp>FA_ACT_EST_DATA=E, EST_SOURCE=RWB</stp>
        <stp>ACT_EST_MAPPING=PRECISE</stp>
        <stp>FS=MRC</stp>
        <stp>CURRENCY=USD</stp>
        <stp>XLFILL=b</stp>
        <tr r="AL64" s="2"/>
      </tp>
      <tp t="s">
        <v>#N/A Requesting Data...</v>
        <stp/>
        <stp>##V3_BQLV12</stp>
        <stp>[MODL_NOW_US1.xlsx]Single Period!R30C8</stp>
        <stp>NOW US Equity</stp>
        <stp>CONTRIBUTOR_STATS(CF_FREE_CASH_FLOW_AS_REPORTED, STD)/1M</stp>
        <stp>FPR=2021Y</stp>
        <stp>FPT=A</stp>
        <stp>FA_ACT_EST_DATA=E</stp>
        <stp>ACT_EST_MAPPING=PRECISE</stp>
        <stp>FS=MRC</stp>
        <stp>CURRENCY=USD</stp>
        <stp>XLFILL=b</stp>
        <tr r="H30" s="2"/>
      </tp>
      <tp t="s">
        <v>#N/A Requesting Data...</v>
        <stp/>
        <stp>##V3_BQLV12</stp>
        <stp>[MODL_NOW_US1.xlsx]Single Period!R232C38</stp>
        <stp>NOW US Equity</stp>
        <stp>CF_CASH_AND_CASH_EQUIV_BEG_BAL/1M</stp>
        <stp>FPR=2021Y</stp>
        <stp>FPT=A</stp>
        <stp>FA_ACT_EST_DATA=E, EST_SOURCE=RWB</stp>
        <stp>ACT_EST_MAPPING=PRECISE</stp>
        <stp>FS=MRC</stp>
        <stp>CURRENCY=USD</stp>
        <stp>XLFILL=b</stp>
        <tr r="AL232" s="2"/>
      </tp>
      <tp t="s">
        <v>#N/A Requesting Data...</v>
        <stp/>
        <stp>##V3_BQLV12</stp>
        <stp>[MODL_NOW_US1.xlsx]Single Period!R189C45</stp>
        <stp>NOW US Equity</stp>
        <stp>CUR_RATIO</stp>
        <stp>FPR=2021Y</stp>
        <stp>FPT=A</stp>
        <stp>FA_ACT_EST_DATA=E, EST_SOURCE=PJE</stp>
        <stp>ACT_EST_MAPPING=PRECISE</stp>
        <stp>FS=MRC</stp>
        <stp>CURRENCY=USD</stp>
        <stp>XLFILL=b</stp>
        <tr r="AS189" s="2"/>
      </tp>
      <tp t="s">
        <v>#N/A Requesting Data...</v>
        <stp/>
        <stp>##V3_BQLV12</stp>
        <stp>[MODL_NOW_US1.xlsx]Single Period!R158C25</stp>
        <stp>NOW US Equity</stp>
        <stp>BS_ACCTS_REC_EXCL_NOTES_REC/1M</stp>
        <stp>FPR=2021Y</stp>
        <stp>FPT=A</stp>
        <stp>FA_ACT_EST_DATA=E, EST_SOURCE=DBG</stp>
        <stp>ACT_EST_MAPPING=PRECISE</stp>
        <stp>FS=MRC</stp>
        <stp>CURRENCY=USD</stp>
        <stp>XLFILL=b</stp>
        <tr r="Y158" s="2"/>
      </tp>
      <tp t="s">
        <v>#N/A Requesting Data...</v>
        <stp/>
        <stp>##V3_BQLV12</stp>
        <stp>[MODL_NOW_US1.xlsx]Single Period!R89C45</stp>
        <stp>NOW US Equity</stp>
        <stp>IS_REV_INCLUDING_INTERSEG_REV/1M</stp>
        <stp>FPR=2021Y</stp>
        <stp>FPT=A</stp>
        <stp>FA_ACT_EST_DATA=E, EST_SOURCE=PJE</stp>
        <stp>ACT_EST_MAPPING=PRECISE</stp>
        <stp>FS=MRC</stp>
        <stp>CURRENCY=USD</stp>
        <stp>XLFILL=b</stp>
        <tr r="AS89" s="2"/>
      </tp>
      <tp t="s">
        <v>#N/A Requesting Data...</v>
        <stp/>
        <stp>##V3_BQLV12</stp>
        <stp>[MODL_NOW_US1.xlsx]Single Period!R180C12</stp>
        <stp>NOW US Equity</stp>
        <stp>BS_LT_OPERATING_LEASE_LIABS/1M</stp>
        <stp>FPR=2021Y</stp>
        <stp>FPT=A</stp>
        <stp>FA_ACT_EST_DATA=E, EST_SOURCE=WBL</stp>
        <stp>ACT_EST_MAPPING=PRECISE</stp>
        <stp>FS=MRC</stp>
        <stp>CURRENCY=USD</stp>
        <stp>XLFILL=b</stp>
        <tr r="L180" s="2"/>
      </tp>
      <tp t="s">
        <v>#N/A Requesting Data...</v>
        <stp/>
        <stp>##V3_BQLV12</stp>
        <stp>[MODL_NOW_US1.xlsx]Single Period!R158C27</stp>
        <stp>NOW US Equity</stp>
        <stp>BS_ACCTS_REC_EXCL_NOTES_REC/1M</stp>
        <stp>FPR=2021Y</stp>
        <stp>FPT=A</stp>
        <stp>FA_ACT_EST_DATA=E, EST_SOURCE=RBC</stp>
        <stp>ACT_EST_MAPPING=PRECISE</stp>
        <stp>FS=MRC</stp>
        <stp>CURRENCY=USD</stp>
        <stp>XLFILL=b</stp>
        <tr r="AA158" s="2"/>
      </tp>
      <tp t="s">
        <v>#N/A Requesting Data...</v>
        <stp/>
        <stp>##V3_BQLV12</stp>
        <stp>[MODL_NOW_US1.xlsx]Single Period!R158C32</stp>
        <stp>NOW US Equity</stp>
        <stp>BS_ACCTS_REC_EXCL_NOTES_REC/1M</stp>
        <stp>FPR=2021Y</stp>
        <stp>FPT=A</stp>
        <stp>FA_ACT_EST_DATA=E, EST_SOURCE=FBC</stp>
        <stp>ACT_EST_MAPPING=PRECISE</stp>
        <stp>FS=MRC</stp>
        <stp>CURRENCY=USD</stp>
        <stp>XLFILL=b</stp>
        <tr r="AF158" s="2"/>
      </tp>
      <tp t="s">
        <v>#N/A Requesting Data...</v>
        <stp/>
        <stp>##V3_BQLV12</stp>
        <stp>[MODL_NOW_US1.xlsx]Single Period!R180C32</stp>
        <stp>NOW US Equity</stp>
        <stp>BS_LT_OPERATING_LEASE_LIABS/1M</stp>
        <stp>FPR=2021Y</stp>
        <stp>FPT=A</stp>
        <stp>FA_ACT_EST_DATA=E, EST_SOURCE=FBC</stp>
        <stp>ACT_EST_MAPPING=PRECISE</stp>
        <stp>FS=MRC</stp>
        <stp>CURRENCY=USD</stp>
        <stp>XLFILL=b</stp>
        <tr r="AF180" s="2"/>
      </tp>
      <tp t="s">
        <v>#N/A Requesting Data...</v>
        <stp/>
        <stp>##V3_BQLV12</stp>
        <stp>[MODL_NOW_US1.xlsx]Single Period!R173C17</stp>
        <stp>NOW US Equity</stp>
        <stp>BS_CUR_LIAB/1M</stp>
        <stp>FPR=2021Y</stp>
        <stp>FPT=A</stp>
        <stp>FA_ACT_EST_DATA=E, EST_SOURCE=RHR</stp>
        <stp>ACT_EST_MAPPING=PRECISE</stp>
        <stp>FS=MRC</stp>
        <stp>CURRENCY=USD</stp>
        <stp>XLFILL=b</stp>
        <tr r="Q173" s="2"/>
      </tp>
      <tp t="s">
        <v>#N/A Requesting Data...</v>
        <stp/>
        <stp>##V3_BQLV12</stp>
        <stp>[MODL_NOW_US1.xlsx]Single Period!R180C27</stp>
        <stp>NOW US Equity</stp>
        <stp>BS_LT_OPERATING_LEASE_LIABS/1M</stp>
        <stp>FPR=2021Y</stp>
        <stp>FPT=A</stp>
        <stp>FA_ACT_EST_DATA=E, EST_SOURCE=RBC</stp>
        <stp>ACT_EST_MAPPING=PRECISE</stp>
        <stp>FS=MRC</stp>
        <stp>CURRENCY=USD</stp>
        <stp>XLFILL=b</stp>
        <tr r="AA180" s="2"/>
      </tp>
      <tp t="s">
        <v>#N/A Requesting Data...</v>
        <stp/>
        <stp>##V3_BQLV12</stp>
        <stp>[MODL_NOW_US1.xlsx]Single Period!R30C29</stp>
        <stp>NOW US Equity</stp>
        <stp>CF_FREE_CASH_FLOW_AS_REPORTED/1M</stp>
        <stp>FPR=2021Y</stp>
        <stp>FPT=A</stp>
        <stp>FA_ACT_EST_DATA=E, EST_SOURCE=BNS</stp>
        <stp>ACT_EST_MAPPING=PRECISE</stp>
        <stp>FS=MRC</stp>
        <stp>CURRENCY=USD</stp>
        <stp>XLFILL=b</stp>
        <tr r="AC30" s="2"/>
      </tp>
      <tp t="s">
        <v>#N/A Requesting Data...</v>
        <stp/>
        <stp>##V3_BQLV12</stp>
        <stp>[MODL_NOW_US1.xlsx]Single Period!R158C12</stp>
        <stp>NOW US Equity</stp>
        <stp>BS_ACCTS_REC_EXCL_NOTES_REC/1M</stp>
        <stp>FPR=2021Y</stp>
        <stp>FPT=A</stp>
        <stp>FA_ACT_EST_DATA=E, EST_SOURCE=WBL</stp>
        <stp>ACT_EST_MAPPING=PRECISE</stp>
        <stp>FS=MRC</stp>
        <stp>CURRENCY=USD</stp>
        <stp>XLFILL=b</stp>
        <tr r="L158" s="2"/>
      </tp>
      <tp t="s">
        <v>#N/A Requesting Data...</v>
        <stp/>
        <stp>##V3_BQLV12</stp>
        <stp>[MODL_NOW_US1.xlsx]Single Period!R92C25</stp>
        <stp>NOW US Equity</stp>
        <stp>IS_ADJ_GENL_AND_ADMIN_EXPN_AR/1M</stp>
        <stp>FPR=2021Y</stp>
        <stp>FPT=A</stp>
        <stp>FA_ACT_EST_DATA=E, EST_SOURCE=DBG</stp>
        <stp>ACT_EST_MAPPING=PRECISE</stp>
        <stp>FS=MRC</stp>
        <stp>CURRENCY=USD</stp>
        <stp>XLFILL=b</stp>
        <tr r="Y92" s="2"/>
      </tp>
      <tp t="s">
        <v>#N/A Requesting Data...</v>
        <stp/>
        <stp>##V3_BQLV12</stp>
        <stp>[MODL_NOW_US1.xlsx]Single Period!R210C26</stp>
        <stp>NOW US Equity</stp>
        <stp>CF_CHANGE_IN_PREPAID_EXPNSS/1M</stp>
        <stp>FPR=2021Y</stp>
        <stp>FPT=A</stp>
        <stp>FA_ACT_EST_DATA=E, EST_SOURCE=UBS</stp>
        <stp>ACT_EST_MAPPING=PRECISE</stp>
        <stp>FS=MRC</stp>
        <stp>CURRENCY=USD</stp>
        <stp>XLFILL=b</stp>
        <tr r="Z210" s="2"/>
      </tp>
      <tp t="s">
        <v>#N/A Requesting Data...</v>
        <stp/>
        <stp>##V3_BQLV12</stp>
        <stp>[MODL_NOW_US1.xlsx]Single Period!R105C26</stp>
        <stp>NOW US Equity</stp>
        <stp>ADJ_PROFIT_MARGIN</stp>
        <stp>FPR=2021Y</stp>
        <stp>FPT=A</stp>
        <stp>FA_ACT_EST_DATA=E, EST_SOURCE=UBS</stp>
        <stp>ACT_EST_MAPPING=PRECISE</stp>
        <stp>FS=MRC</stp>
        <stp>CURRENCY=USD</stp>
        <stp>XLFILL=b</stp>
        <tr r="Z105" s="2"/>
      </tp>
      <tp t="s">
        <v>#N/A Requesting Data...</v>
        <stp/>
        <stp>##V3_BQLV12</stp>
        <stp>[MODL_NOW_US1.xlsx]Single Period!R27C27</stp>
        <stp>NOW US Equity</stp>
        <stp>IS_REV_INCLUDING_INTERSEG_REV/1M</stp>
        <stp>FPR=2021Y</stp>
        <stp>FPT=A</stp>
        <stp>FA_ACT_EST_DATA=E, EST_SOURCE=RBC</stp>
        <stp>ACT_EST_MAPPING=PRECISE</stp>
        <stp>FS=MRC</stp>
        <stp>CURRENCY=USD</stp>
        <stp>XLFILL=b</stp>
        <tr r="AA27" s="2"/>
      </tp>
      <tp t="s">
        <v>#N/A Requesting Data...</v>
        <stp/>
        <stp>##V3_BQLV12</stp>
        <stp>[MODL_NOW_US1.xlsx]Single Period!R180C25</stp>
        <stp>NOW US Equity</stp>
        <stp>BS_LT_OPERATING_LEASE_LIABS/1M</stp>
        <stp>FPR=2021Y</stp>
        <stp>FPT=A</stp>
        <stp>FA_ACT_EST_DATA=E, EST_SOURCE=DBG</stp>
        <stp>ACT_EST_MAPPING=PRECISE</stp>
        <stp>FS=MRC</stp>
        <stp>CURRENCY=USD</stp>
        <stp>XLFILL=b</stp>
        <tr r="Y180" s="2"/>
      </tp>
      <tp t="s">
        <v>#N/A Requesting Data...</v>
        <stp/>
        <stp>##V3_BQLV12</stp>
        <stp>[MODL_NOW_US1.xlsx]Single Period!R230C17</stp>
        <stp>NOW US Equity</stp>
        <stp>CF_EFFECT_FOREIGN_EXCHANGES/1M</stp>
        <stp>FPR=2021Y</stp>
        <stp>FPT=A</stp>
        <stp>FA_ACT_EST_DATA=E, EST_SOURCE=RHR</stp>
        <stp>ACT_EST_MAPPING=PRECISE</stp>
        <stp>FS=MRC</stp>
        <stp>CURRENCY=USD</stp>
        <stp>XLFILL=b</stp>
        <tr r="Q230" s="2"/>
      </tp>
      <tp t="s">
        <v>#N/A Requesting Data...</v>
        <stp/>
        <stp>##V3_BQLV12</stp>
        <stp>[MODL_NOW_US1.xlsx]Single Period!R80C26</stp>
        <stp>NOW US Equity</stp>
        <stp>IS_COMP_SALES/1M</stp>
        <stp>FPR=2021Y</stp>
        <stp>FPT=A</stp>
        <stp>FA_ACT_EST_DATA=E, EST_SOURCE=UBS</stp>
        <stp>ACT_EST_MAPPING=PRECISE</stp>
        <stp>FS=MRC</stp>
        <stp>CURRENCY=USD</stp>
        <stp>XLFILL=b</stp>
        <tr r="Z80" s="2"/>
      </tp>
      <tp t="s">
        <v>#N/A Requesting Data...</v>
        <stp/>
        <stp>##V3_BQLV12</stp>
        <stp>[MODL_NOW_US1.xlsx]Single Period!R27C16</stp>
        <stp>NOW US Equity</stp>
        <stp>IS_REV_INCLUDING_INTERSEG_REV/1M</stp>
        <stp>FPR=2021Y</stp>
        <stp>FPT=A</stp>
        <stp>FA_ACT_EST_DATA=E, EST_SOURCE=BCA</stp>
        <stp>ACT_EST_MAPPING=PRECISE</stp>
        <stp>FS=MRC</stp>
        <stp>CURRENCY=USD</stp>
        <stp>XLFILL=b</stp>
        <tr r="P27" s="2"/>
      </tp>
      <tp t="s">
        <v>#N/A Requesting Data...</v>
        <stp/>
        <stp>##V3_BQLV12</stp>
        <stp>[MODL_NOW_US1.xlsx]Single Period!R210C12</stp>
        <stp>NOW US Equity</stp>
        <stp>CF_CHANGE_IN_PREPAID_EXPNSS/1M</stp>
        <stp>FPR=2021Y</stp>
        <stp>FPT=A</stp>
        <stp>FA_ACT_EST_DATA=E, EST_SOURCE=WBL</stp>
        <stp>ACT_EST_MAPPING=PRECISE</stp>
        <stp>FS=MRC</stp>
        <stp>CURRENCY=USD</stp>
        <stp>XLFILL=b</stp>
        <tr r="L210" s="2"/>
      </tp>
      <tp t="s">
        <v>#N/A Requesting Data...</v>
        <stp/>
        <stp>##V3_BQLV12</stp>
        <stp>[MODL_NOW_US1.xlsx]Single Period!R142C45</stp>
        <stp>NOW US Equity</stp>
        <stp>IS_SBC_ATT_TO_S_AND_M_PRETX/1M</stp>
        <stp>FPR=2021Y</stp>
        <stp>FPT=A</stp>
        <stp>FA_ACT_EST_DATA=E, EST_SOURCE=PJE</stp>
        <stp>ACT_EST_MAPPING=PRECISE</stp>
        <stp>FS=MRC</stp>
        <stp>CURRENCY=USD</stp>
        <stp>XLFILL=b</stp>
        <tr r="AS142" s="2"/>
      </tp>
      <tp t="s">
        <v>#N/A Requesting Data...</v>
        <stp/>
        <stp>##V3_BQLV12</stp>
        <stp>[MODL_NOW_US1.xlsx]Single Period!R137C24</stp>
        <stp>NOW US Equity</stp>
        <stp>CF_STOCK_BASED_COMPENSATION/1M</stp>
        <stp>FPR=2021Y</stp>
        <stp>FPT=A</stp>
        <stp>FA_ACT_EST_DATA=E, EST_SOURCE=CWN</stp>
        <stp>ACT_EST_MAPPING=PRECISE</stp>
        <stp>FS=MRC</stp>
        <stp>CURRENCY=USD</stp>
        <stp>XLFILL=b</stp>
        <tr r="X137" s="2"/>
      </tp>
      <tp t="s">
        <v>#N/A Requesting Data...</v>
        <stp/>
        <stp>##V3_BQLV12</stp>
        <stp>[MODL_NOW_US1.xlsx]Single Period!R9C23</stp>
        <stp>NOW US Equity</stp>
        <stp>IS_BILLINGS/1M</stp>
        <stp>FPR=2021Y</stp>
        <stp>FPT=A</stp>
        <stp>FA_ACT_EST_DATA=E, EST_SOURCE=ZXS</stp>
        <stp>ACT_EST_MAPPING=PRECISE</stp>
        <stp>FS=MRC</stp>
        <stp>CURRENCY=USD</stp>
        <stp>XLFILL=b</stp>
        <tr r="W9" s="2"/>
      </tp>
      <tp t="s">
        <v>#N/A Requesting Data...</v>
        <stp/>
        <stp>##V3_BQLV12</stp>
        <stp>[MODL_NOW_US1.xlsx]Single Period!R137C40</stp>
        <stp>NOW US Equity</stp>
        <stp>CF_STOCK_BASED_COMPENSATION/1M</stp>
        <stp>FPR=2021Y</stp>
        <stp>FPT=A</stp>
        <stp>FA_ACT_EST_DATA=E, EST_SOURCE=DWI</stp>
        <stp>ACT_EST_MAPPING=PRECISE</stp>
        <stp>FS=MRC</stp>
        <stp>CURRENCY=USD</stp>
        <stp>XLFILL=b</stp>
        <tr r="AN137" s="2"/>
      </tp>
      <tp t="s">
        <v>#N/A Requesting Data...</v>
        <stp/>
        <stp>##V3_BQLV12</stp>
        <stp>[MODL_NOW_US1.xlsx]Single Period!R184C38</stp>
        <stp>NOW US Equity</stp>
        <stp>BS_EQTY_BEFORE_MINORITY_INT/1M</stp>
        <stp>FPR=2021Y</stp>
        <stp>FPT=A</stp>
        <stp>FA_ACT_EST_DATA=E, EST_SOURCE=RWB</stp>
        <stp>ACT_EST_MAPPING=PRECISE</stp>
        <stp>FS=MRC</stp>
        <stp>CURRENCY=USD</stp>
        <stp>XLFILL=b</stp>
        <tr r="AL184" s="2"/>
      </tp>
      <tp t="s">
        <v>#N/A Requesting Data...</v>
        <stp/>
        <stp>##V3_BQLV12</stp>
        <stp>[MODL_NOW_US1.xlsx]Single Period!R89C17</stp>
        <stp>NOW US Equity</stp>
        <stp>IS_REV_INCLUDING_INTERSEG_REV/1M</stp>
        <stp>FPR=2021Y</stp>
        <stp>FPT=A</stp>
        <stp>FA_ACT_EST_DATA=E, EST_SOURCE=RHR</stp>
        <stp>ACT_EST_MAPPING=PRECISE</stp>
        <stp>FS=MRC</stp>
        <stp>CURRENCY=USD</stp>
        <stp>XLFILL=b</stp>
        <tr r="Q89" s="2"/>
      </tp>
      <tp t="s">
        <v>#N/A Requesting Data...</v>
        <stp/>
        <stp>##V3_BQLV12</stp>
        <stp>[MODL_NOW_US1.xlsx]Single Period!R105C12</stp>
        <stp>NOW US Equity</stp>
        <stp>ADJ_PROFIT_MARGIN</stp>
        <stp>FPR=2021Y</stp>
        <stp>FPT=A</stp>
        <stp>FA_ACT_EST_DATA=E, EST_SOURCE=WBL</stp>
        <stp>ACT_EST_MAPPING=PRECISE</stp>
        <stp>FS=MRC</stp>
        <stp>CURRENCY=USD</stp>
        <stp>XLFILL=b</stp>
        <tr r="L105" s="2"/>
      </tp>
      <tp t="s">
        <v>#N/A Requesting Data...</v>
        <stp/>
        <stp>##V3_BQLV12</stp>
        <stp>[MODL_NOW_US1.xlsx]Single Period!R158C26</stp>
        <stp>NOW US Equity</stp>
        <stp>BS_ACCTS_REC_EXCL_NOTES_REC/1M</stp>
        <stp>FPR=2021Y</stp>
        <stp>FPT=A</stp>
        <stp>FA_ACT_EST_DATA=E, EST_SOURCE=UBS</stp>
        <stp>ACT_EST_MAPPING=PRECISE</stp>
        <stp>FS=MRC</stp>
        <stp>CURRENCY=USD</stp>
        <stp>XLFILL=b</stp>
        <tr r="Z158" s="2"/>
      </tp>
      <tp t="s">
        <v>#N/A Requesting Data...</v>
        <stp/>
        <stp>##V3_BQLV12</stp>
        <stp>[MODL_NOW_US1.xlsx]Single Period!R210C25</stp>
        <stp>NOW US Equity</stp>
        <stp>CF_CHANGE_IN_PREPAID_EXPNSS/1M</stp>
        <stp>FPR=2021Y</stp>
        <stp>FPT=A</stp>
        <stp>FA_ACT_EST_DATA=E, EST_SOURCE=DBG</stp>
        <stp>ACT_EST_MAPPING=PRECISE</stp>
        <stp>FS=MRC</stp>
        <stp>CURRENCY=USD</stp>
        <stp>XLFILL=b</stp>
        <tr r="Y210" s="2"/>
      </tp>
      <tp t="s">
        <v>#N/A Requesting Data...</v>
        <stp/>
        <stp>##V3_BQLV12</stp>
        <stp>[MODL_NOW_US1.xlsx]Single Period!R105C25</stp>
        <stp>NOW US Equity</stp>
        <stp>ADJ_PROFIT_MARGIN</stp>
        <stp>FPR=2021Y</stp>
        <stp>FPT=A</stp>
        <stp>FA_ACT_EST_DATA=E, EST_SOURCE=DBG</stp>
        <stp>ACT_EST_MAPPING=PRECISE</stp>
        <stp>FS=MRC</stp>
        <stp>CURRENCY=USD</stp>
        <stp>XLFILL=b</stp>
        <tr r="Y105" s="2"/>
      </tp>
      <tp t="s">
        <v>#N/A Requesting Data...</v>
        <stp/>
        <stp>##V3_BQLV12</stp>
        <stp>[MODL_NOW_US1.xlsx]Single Period!R180C26</stp>
        <stp>NOW US Equity</stp>
        <stp>BS_LT_OPERATING_LEASE_LIABS/1M</stp>
        <stp>FPR=2021Y</stp>
        <stp>FPT=A</stp>
        <stp>FA_ACT_EST_DATA=E, EST_SOURCE=UBS</stp>
        <stp>ACT_EST_MAPPING=PRECISE</stp>
        <stp>FS=MRC</stp>
        <stp>CURRENCY=USD</stp>
        <stp>XLFILL=b</stp>
        <tr r="Z180" s="2"/>
      </tp>
      <tp t="s">
        <v>#N/A Requesting Data...</v>
        <stp/>
        <stp>##V3_BQLV12</stp>
        <stp>[MODL_NOW_US1.xlsx]Single Period!R27C43</stp>
        <stp>NOW US Equity</stp>
        <stp>IS_REV_INCLUDING_INTERSEG_REV/1M</stp>
        <stp>FPR=2021Y</stp>
        <stp>FPT=A</stp>
        <stp>FA_ACT_EST_DATA=E, EST_SOURCE=WFT</stp>
        <stp>ACT_EST_MAPPING=PRECISE</stp>
        <stp>FS=MRC</stp>
        <stp>CURRENCY=USD</stp>
        <stp>XLFILL=b</stp>
        <tr r="AQ27" s="2"/>
      </tp>
      <tp t="s">
        <v>#N/A Requesting Data...</v>
        <stp/>
        <stp>##V3_BQLV12</stp>
        <stp>[MODL_NOW_US1.xlsx]Single Period!R203C47</stp>
        <stp>NOW US Equity</stp>
        <stp>AMORTIZATN_OF_FINNCNG_COSTS/1M</stp>
        <stp>FPR=2021Y</stp>
        <stp>FPT=A</stp>
        <stp>FA_ACT_EST_DATA=E, EST_SOURCE=SUM</stp>
        <stp>ACT_EST_MAPPING=PRECISE</stp>
        <stp>FS=MRC</stp>
        <stp>CURRENCY=USD</stp>
        <stp>XLFILL=b</stp>
        <tr r="AU203" s="2"/>
      </tp>
      <tp t="s">
        <v>#N/A Requesting Data...</v>
        <stp/>
        <stp>##V3_BQLV12</stp>
        <stp>[MODL_NOW_US1.xlsx]Single Period!R210C27</stp>
        <stp>NOW US Equity</stp>
        <stp>CF_CHANGE_IN_PREPAID_EXPNSS/1M</stp>
        <stp>FPR=2021Y</stp>
        <stp>FPT=A</stp>
        <stp>FA_ACT_EST_DATA=E, EST_SOURCE=RBC</stp>
        <stp>ACT_EST_MAPPING=PRECISE</stp>
        <stp>FS=MRC</stp>
        <stp>CURRENCY=USD</stp>
        <stp>XLFILL=b</stp>
        <tr r="AA210" s="2"/>
      </tp>
      <tp t="s">
        <v>#N/A Requesting Data...</v>
        <stp/>
        <stp>##V3_BQLV12</stp>
        <stp>[MODL_NOW_US1.xlsx]Single Period!R105C32</stp>
        <stp>NOW US Equity</stp>
        <stp>ADJ_PROFIT_MARGIN</stp>
        <stp>FPR=2021Y</stp>
        <stp>FPT=A</stp>
        <stp>FA_ACT_EST_DATA=E, EST_SOURCE=FBC</stp>
        <stp>ACT_EST_MAPPING=PRECISE</stp>
        <stp>FS=MRC</stp>
        <stp>CURRENCY=USD</stp>
        <stp>XLFILL=b</stp>
        <tr r="AF105" s="2"/>
      </tp>
      <tp t="s">
        <v>#N/A Requesting Data...</v>
        <stp/>
        <stp>##V3_BQLV12</stp>
        <stp>[MODL_NOW_US1.xlsx]Single Period!R105C27</stp>
        <stp>NOW US Equity</stp>
        <stp>ADJ_PROFIT_MARGIN</stp>
        <stp>FPR=2021Y</stp>
        <stp>FPT=A</stp>
        <stp>FA_ACT_EST_DATA=E, EST_SOURCE=RBC</stp>
        <stp>ACT_EST_MAPPING=PRECISE</stp>
        <stp>FS=MRC</stp>
        <stp>CURRENCY=USD</stp>
        <stp>XLFILL=b</stp>
        <tr r="AA105" s="2"/>
      </tp>
      <tp t="s">
        <v>#N/A Requesting Data...</v>
        <stp/>
        <stp>##V3_BQLV12</stp>
        <stp>[MODL_NOW_US1.xlsx]Single Period!R184C24</stp>
        <stp>NOW US Equity</stp>
        <stp>BS_EQTY_BEFORE_MINORITY_INT/1M</stp>
        <stp>FPR=2021Y</stp>
        <stp>FPT=A</stp>
        <stp>FA_ACT_EST_DATA=E, EST_SOURCE=CWN</stp>
        <stp>ACT_EST_MAPPING=PRECISE</stp>
        <stp>FS=MRC</stp>
        <stp>CURRENCY=USD</stp>
        <stp>XLFILL=b</stp>
        <tr r="X184" s="2"/>
      </tp>
      <tp t="s">
        <v>#N/A Requesting Data...</v>
        <stp/>
        <stp>##V3_BQLV12</stp>
        <stp>[MODL_NOW_US1.xlsx]Single Period!R210C32</stp>
        <stp>NOW US Equity</stp>
        <stp>CF_CHANGE_IN_PREPAID_EXPNSS/1M</stp>
        <stp>FPR=2021Y</stp>
        <stp>FPT=A</stp>
        <stp>FA_ACT_EST_DATA=E, EST_SOURCE=FBC</stp>
        <stp>ACT_EST_MAPPING=PRECISE</stp>
        <stp>FS=MRC</stp>
        <stp>CURRENCY=USD</stp>
        <stp>XLFILL=b</stp>
        <tr r="AF210" s="2"/>
      </tp>
      <tp t="s">
        <v>#N/A Requesting Data...</v>
        <stp/>
        <stp>##V3_BQLV12</stp>
        <stp>[MODL_NOW_US1.xlsx]Single Period!R184C40</stp>
        <stp>NOW US Equity</stp>
        <stp>BS_EQTY_BEFORE_MINORITY_INT/1M</stp>
        <stp>FPR=2021Y</stp>
        <stp>FPT=A</stp>
        <stp>FA_ACT_EST_DATA=E, EST_SOURCE=DWI</stp>
        <stp>ACT_EST_MAPPING=PRECISE</stp>
        <stp>FS=MRC</stp>
        <stp>CURRENCY=USD</stp>
        <stp>XLFILL=b</stp>
        <tr r="AN184" s="2"/>
      </tp>
      <tp t="s">
        <v>#N/A Requesting Data...</v>
        <stp/>
        <stp>##V3_BQLV12</stp>
        <stp>[MODL_NOW_US1.xlsx]Single Period!R137C38</stp>
        <stp>NOW US Equity</stp>
        <stp>CF_STOCK_BASED_COMPENSATION/1M</stp>
        <stp>FPR=2021Y</stp>
        <stp>FPT=A</stp>
        <stp>FA_ACT_EST_DATA=E, EST_SOURCE=RWB</stp>
        <stp>ACT_EST_MAPPING=PRECISE</stp>
        <stp>FS=MRC</stp>
        <stp>CURRENCY=USD</stp>
        <stp>XLFILL=b</stp>
        <tr r="AL137" s="2"/>
      </tp>
      <tp t="s">
        <v>#N/A Requesting Data...</v>
        <stp/>
        <stp>##V3_BQLV12</stp>
        <stp>[MODL_NOW_US1.xlsx]Single Period!R30C25</stp>
        <stp>NOW US Equity</stp>
        <stp>CF_FREE_CASH_FLOW_AS_REPORTED/1M</stp>
        <stp>FPR=2021Y</stp>
        <stp>FPT=A</stp>
        <stp>FA_ACT_EST_DATA=E, EST_SOURCE=DBG</stp>
        <stp>ACT_EST_MAPPING=PRECISE</stp>
        <stp>FS=MRC</stp>
        <stp>CURRENCY=USD</stp>
        <stp>XLFILL=b</stp>
        <tr r="Y30" s="2"/>
      </tp>
      <tp t="s">
        <v>#N/A Requesting Data...</v>
        <stp/>
        <stp>##V3_BQLV12</stp>
        <stp>[MODL_NOW_US1.xlsx]Single Period!R124C47</stp>
        <stp>NOW US Equity</stp>
        <stp>IS_EBIT_AS_REPORTED/1M</stp>
        <stp>FPR=2021Y</stp>
        <stp>FPT=A</stp>
        <stp>FA_ACT_EST_DATA=E, EST_SOURCE=SUM</stp>
        <stp>ACT_EST_MAPPING=PRECISE</stp>
        <stp>FS=MRC</stp>
        <stp>CURRENCY=USD</stp>
        <stp>XLFILL=b</stp>
        <tr r="AU124" s="2"/>
      </tp>
      <tp t="s">
        <v>#N/A Requesting Data...</v>
        <stp/>
        <stp>##V3_BQLV12</stp>
        <stp>[MODL_NOW_US1.xlsx]Single Period!R92C29</stp>
        <stp>NOW US Equity</stp>
        <stp>IS_ADJ_GENL_AND_ADMIN_EXPN_AR/1M</stp>
        <stp>FPR=2021Y</stp>
        <stp>FPT=A</stp>
        <stp>FA_ACT_EST_DATA=E, EST_SOURCE=BNS</stp>
        <stp>ACT_EST_MAPPING=PRECISE</stp>
        <stp>FS=MRC</stp>
        <stp>CURRENCY=USD</stp>
        <stp>XLFILL=b</stp>
        <tr r="AC92" s="2"/>
      </tp>
      <tp t="s">
        <v>#N/A Requesting Data...</v>
        <stp/>
        <stp>##V3_BQLV12</stp>
        <stp>[MODL_NOW_US1.xlsx]Single Period!R178C22</stp>
        <stp>NOW US Equity</stp>
        <stp>BS_ADJ_TOTAL_LT_LIABILITIES/1M</stp>
        <stp>FPR=2021Y</stp>
        <stp>FPT=A</stp>
        <stp>FA_ACT_EST_DATA=E, EST_SOURCE=NDH</stp>
        <stp>ACT_EST_MAPPING=PRECISE</stp>
        <stp>FS=MRC</stp>
        <stp>CURRENCY=USD</stp>
        <stp>XLFILL=b</stp>
        <tr r="V178" s="2"/>
      </tp>
      <tp t="s">
        <v>#N/A Requesting Data...</v>
        <stp/>
        <stp>##V3_BQLV12</stp>
        <stp>[MODL_NOW_US1.xlsx]Single Period!R143C25</stp>
        <stp>NOW US Equity</stp>
        <stp>IS_SBC_ATTRIBUTABLE_TO_R_AND_D_PRETX/1M</stp>
        <stp>FPR=2021Y</stp>
        <stp>FPT=A</stp>
        <stp>FA_ACT_EST_DATA=E, EST_SOURCE=DBG</stp>
        <stp>ACT_EST_MAPPING=PRECISE</stp>
        <stp>FS=MRC</stp>
        <stp>CURRENCY=USD</stp>
        <stp>XLFILL=b</stp>
        <tr r="Y143" s="2"/>
      </tp>
      <tp t="s">
        <v>#N/A Requesting Data...</v>
        <stp/>
        <stp>##V3_BQLV12</stp>
        <stp>[MODL_NOW_US1.xlsx]Single Period!R83C44</stp>
        <stp>NOW US Equity</stp>
        <stp>IS_ADJUSTED_COGS_AS_REPORTED/1M</stp>
        <stp>FPR=2021Y</stp>
        <stp>FPT=A</stp>
        <stp>FA_ACT_EST_DATA=E, EST_SOURCE=ARE</stp>
        <stp>ACT_EST_MAPPING=PRECISE</stp>
        <stp>FS=MRC</stp>
        <stp>CURRENCY=USD</stp>
        <stp>XLFILL=b</stp>
        <tr r="AR83" s="2"/>
      </tp>
      <tp t="s">
        <v>#N/A Requesting Data...</v>
        <stp/>
        <stp>##V3_BQLV12</stp>
        <stp>[MODL_NOW_US1.xlsx]Single Period!R54C48</stp>
        <stp>NOW US Equity</stp>
        <stp>IS_FOREIGN_CURRENCY_TURNOVER/1M</stp>
        <stp>FPR=2021Y</stp>
        <stp>FPT=A</stp>
        <stp>FA_ACT_EST_DATA=E, EST_SOURCE=CRC</stp>
        <stp>ACT_EST_MAPPING=PRECISE</stp>
        <stp>FS=MRC</stp>
        <stp>CURRENCY=USD</stp>
        <stp>XLFILL=b</stp>
        <tr r="AV54" s="2"/>
      </tp>
      <tp t="s">
        <v>#N/A Requesting Data...</v>
        <stp/>
        <stp>##V3_BQLV12</stp>
        <stp>[MODL_NOW_US1.xlsx]Single Period!R66C37</stp>
        <stp>SEG0000230986 Segment</stp>
        <stp>SALES_REV_TURN/1M</stp>
        <stp>FPR=2021Y</stp>
        <stp>FPT=A</stp>
        <stp>FA_ACT_EST_DATA=E, EST_SOURCE=TTC</stp>
        <stp>ACT_EST_MAPPING=PRECISE</stp>
        <stp>FS=MRC</stp>
        <stp>CURRENCY=USD</stp>
        <stp>XLFILL=b</stp>
        <tr r="AK66" s="2"/>
      </tp>
      <tp t="s">
        <v>#N/A Requesting Data...</v>
        <stp/>
        <stp>##V3_BQLV12</stp>
        <stp>[MODL_NOW_US1.xlsx]Single Period!R20C48</stp>
        <stp>SEG0000230986 Segment</stp>
        <stp>SALES_REV_TURN/1M</stp>
        <stp>FPR=2021Y</stp>
        <stp>FPT=A</stp>
        <stp>FA_ACT_EST_DATA=E, EST_SOURCE=CRC</stp>
        <stp>ACT_EST_MAPPING=PRECISE</stp>
        <stp>FS=MRC</stp>
        <stp>CURRENCY=USD</stp>
        <stp>XLFILL=b</stp>
        <tr r="AV20" s="2"/>
      </tp>
      <tp t="s">
        <v>#N/A Requesting Data...</v>
        <stp/>
        <stp>##V3_BQLV12</stp>
        <stp>[MODL_NOW_US1.xlsx]Single Period!R209C14</stp>
        <stp>NOW US Equity</stp>
        <stp>CF_CHANGE_IN_ACCOUNTS_PAYABLE/1M</stp>
        <stp>FPR=2021Y</stp>
        <stp>FPT=A</stp>
        <stp>FA_ACT_EST_DATA=E, EST_SOURCE=BMO</stp>
        <stp>ACT_EST_MAPPING=PRECISE</stp>
        <stp>FS=MRC</stp>
        <stp>CURRENCY=USD</stp>
        <stp>XLFILL=b</stp>
        <tr r="N209" s="2"/>
      </tp>
      <tp t="s">
        <v>#N/A Requesting Data...</v>
        <stp/>
        <stp>##V3_BQLV12</stp>
        <stp>[MODL_NOW_US1.xlsx]Single Period!R133C24</stp>
        <stp>NOW US Equity</stp>
        <stp>IS_SH_FOR_DILUTED_EPS/1M</stp>
        <stp>FPR=2021Y</stp>
        <stp>FPT=A</stp>
        <stp>FA_ACT_EST_DATA=E, EST_SOURCE=CWN</stp>
        <stp>ACT_EST_MAPPING=PRECISE</stp>
        <stp>FS=MRC</stp>
        <stp>CURRENCY=USD</stp>
        <stp>XLFILL=b</stp>
        <tr r="X133" s="2"/>
      </tp>
      <tp t="s">
        <v>#N/A Requesting Data...</v>
        <stp/>
        <stp>##V3_BQLV12</stp>
        <stp>[MODL_NOW_US1.xlsx]Single Period!R20C44</stp>
        <stp>SEG0000230986 Segment</stp>
        <stp>SALES_REV_TURN/1M</stp>
        <stp>FPR=2021Y</stp>
        <stp>FPT=A</stp>
        <stp>FA_ACT_EST_DATA=E, EST_SOURCE=ARE</stp>
        <stp>ACT_EST_MAPPING=PRECISE</stp>
        <stp>FS=MRC</stp>
        <stp>CURRENCY=USD</stp>
        <stp>XLFILL=b</stp>
        <tr r="AR20" s="2"/>
      </tp>
      <tp t="s">
        <v>#N/A Requesting Data...</v>
        <stp/>
        <stp>##V3_BQLV12</stp>
        <stp>[MODL_NOW_US1.xlsx]Single Period!R83C41</stp>
        <stp>NOW US Equity</stp>
        <stp>IS_ADJUSTED_COGS_AS_REPORTED/1M</stp>
        <stp>FPR=2021Y</stp>
        <stp>FPT=A</stp>
        <stp>FA_ACT_EST_DATA=E, EST_SOURCE=ARG</stp>
        <stp>ACT_EST_MAPPING=PRECISE</stp>
        <stp>FS=MRC</stp>
        <stp>CURRENCY=USD</stp>
        <stp>XLFILL=b</stp>
        <tr r="AO83" s="2"/>
      </tp>
      <tp t="s">
        <v>#N/A Requesting Data...</v>
        <stp/>
        <stp>##V3_BQLV12</stp>
        <stp>[MODL_NOW_US1.xlsx]Single Period!R143C27</stp>
        <stp>NOW US Equity</stp>
        <stp>IS_SBC_ATTRIBUTABLE_TO_R_AND_D_PRETX/1M</stp>
        <stp>FPR=2021Y</stp>
        <stp>FPT=A</stp>
        <stp>FA_ACT_EST_DATA=E, EST_SOURCE=RBC</stp>
        <stp>ACT_EST_MAPPING=PRECISE</stp>
        <stp>FS=MRC</stp>
        <stp>CURRENCY=USD</stp>
        <stp>XLFILL=b</stp>
        <tr r="AA143" s="2"/>
      </tp>
      <tp t="s">
        <v>#N/A Requesting Data...</v>
        <stp/>
        <stp>##V3_BQLV12</stp>
        <stp>[MODL_NOW_US1.xlsx]Single Period!R20C41</stp>
        <stp>SEG0000230986 Segment</stp>
        <stp>SALES_REV_TURN/1M</stp>
        <stp>FPR=2021Y</stp>
        <stp>FPT=A</stp>
        <stp>FA_ACT_EST_DATA=E, EST_SOURCE=ARG</stp>
        <stp>ACT_EST_MAPPING=PRECISE</stp>
        <stp>FS=MRC</stp>
        <stp>CURRENCY=USD</stp>
        <stp>XLFILL=b</stp>
        <tr r="AO20" s="2"/>
      </tp>
      <tp t="s">
        <v>#N/A Requesting Data...</v>
        <stp/>
        <stp>##V3_BQLV12</stp>
        <stp>[MODL_NOW_US1.xlsx]Single Period!R133C39</stp>
        <stp>NOW US Equity</stp>
        <stp>IS_SH_FOR_DILUTED_EPS/1M</stp>
        <stp>FPR=2021Y</stp>
        <stp>FPT=A</stp>
        <stp>FA_ACT_EST_DATA=E, EST_SOURCE=DZB</stp>
        <stp>ACT_EST_MAPPING=PRECISE</stp>
        <stp>FS=MRC</stp>
        <stp>CURRENCY=USD</stp>
        <stp>XLFILL=b</stp>
        <tr r="AM133" s="2"/>
      </tp>
      <tp t="s">
        <v>#N/A Requesting Data...</v>
        <stp/>
        <stp>##V3_BQLV12</stp>
        <stp>[MODL_NOW_US1.xlsx]Single Period!R101C17</stp>
        <stp>NOW US Equity</stp>
        <stp>CB_IS_OTHER_NON_OPER_INC_EXPN/1M</stp>
        <stp>FPR=2021Y</stp>
        <stp>FPT=A</stp>
        <stp>FA_ACT_EST_DATA=E, EST_SOURCE=RHR</stp>
        <stp>ACT_EST_MAPPING=PRECISE</stp>
        <stp>FS=MRC</stp>
        <stp>CURRENCY=USD</stp>
        <stp>XLFILL=b</stp>
        <tr r="Q101" s="2"/>
      </tp>
      <tp t="s">
        <v>#N/A Requesting Data...</v>
        <stp/>
        <stp>##V3_BQLV12</stp>
        <stp>[MODL_NOW_US1.xlsx]Single Period!R54C44</stp>
        <stp>NOW US Equity</stp>
        <stp>IS_FOREIGN_CURRENCY_TURNOVER/1M</stp>
        <stp>FPR=2021Y</stp>
        <stp>FPT=A</stp>
        <stp>FA_ACT_EST_DATA=E, EST_SOURCE=ARE</stp>
        <stp>ACT_EST_MAPPING=PRECISE</stp>
        <stp>FS=MRC</stp>
        <stp>CURRENCY=USD</stp>
        <stp>XLFILL=b</stp>
        <tr r="AR54" s="2"/>
      </tp>
      <tp t="s">
        <v>#N/A Requesting Data...</v>
        <stp/>
        <stp>##V3_BQLV12</stp>
        <stp>[MODL_NOW_US1.xlsx]Single Period!R133C37</stp>
        <stp>NOW US Equity</stp>
        <stp>IS_SH_FOR_DILUTED_EPS/1M</stp>
        <stp>FPR=2021Y</stp>
        <stp>FPT=A</stp>
        <stp>FA_ACT_EST_DATA=E, EST_SOURCE=TTC</stp>
        <stp>ACT_EST_MAPPING=PRECISE</stp>
        <stp>FS=MRC</stp>
        <stp>CURRENCY=USD</stp>
        <stp>XLFILL=b</stp>
        <tr r="AK133" s="2"/>
      </tp>
      <tp t="s">
        <v>#N/A Requesting Data...</v>
        <stp/>
        <stp>##V3_BQLV12</stp>
        <stp>[MODL_NOW_US1.xlsx]Single Period!R66C42</stp>
        <stp>SEG0000230986 Segment</stp>
        <stp>SALES_REV_TURN/1M</stp>
        <stp>FPR=2021Y</stp>
        <stp>FPT=A</stp>
        <stp>FA_ACT_EST_DATA=E, EST_SOURCE=CTI</stp>
        <stp>ACT_EST_MAPPING=PRECISE</stp>
        <stp>FS=MRC</stp>
        <stp>CURRENCY=USD</stp>
        <stp>XLFILL=b</stp>
        <tr r="AP66" s="2"/>
      </tp>
      <tp t="s">
        <v>#N/A Requesting Data...</v>
        <stp/>
        <stp>##V3_BQLV12</stp>
        <stp>[MODL_NOW_US1.xlsx]Single Period!R83C48</stp>
        <stp>NOW US Equity</stp>
        <stp>IS_ADJUSTED_COGS_AS_REPORTED/1M</stp>
        <stp>FPR=2021Y</stp>
        <stp>FPT=A</stp>
        <stp>FA_ACT_EST_DATA=E, EST_SOURCE=CRC</stp>
        <stp>ACT_EST_MAPPING=PRECISE</stp>
        <stp>FS=MRC</stp>
        <stp>CURRENCY=USD</stp>
        <stp>XLFILL=b</stp>
        <tr r="AV83" s="2"/>
      </tp>
      <tp t="s">
        <v>#N/A Requesting Data...</v>
        <stp/>
        <stp>##V3_BQLV12</stp>
        <stp>[MODL_NOW_US1.xlsx]Single Period!R133C41</stp>
        <stp>NOW US Equity</stp>
        <stp>IS_SH_FOR_DILUTED_EPS/1M</stp>
        <stp>FPR=2021Y</stp>
        <stp>FPT=A</stp>
        <stp>FA_ACT_EST_DATA=E, EST_SOURCE=ARG</stp>
        <stp>ACT_EST_MAPPING=PRECISE</stp>
        <stp>FS=MRC</stp>
        <stp>CURRENCY=USD</stp>
        <stp>XLFILL=b</stp>
        <tr r="AO133" s="2"/>
      </tp>
      <tp t="s">
        <v>#N/A Requesting Data...</v>
        <stp/>
        <stp>##V3_BQLV12</stp>
        <stp>[MODL_NOW_US1.xlsx]Single Period!R16C39</stp>
        <stp>SEG0000230969 Segment</stp>
        <stp>SALES_REV_TURN/1M</stp>
        <stp>FPR=2021Y</stp>
        <stp>FPT=A</stp>
        <stp>FA_ACT_EST_DATA=E, EST_SOURCE=DZB</stp>
        <stp>ACT_EST_MAPPING=PRECISE</stp>
        <stp>FS=MRC</stp>
        <stp>CURRENCY=USD</stp>
        <stp>XLFILL=b</stp>
        <tr r="AM16" s="2"/>
      </tp>
      <tp t="s">
        <v>#N/A Requesting Data...</v>
        <stp/>
        <stp>##V3_BQLV12</stp>
        <stp>[MODL_NOW_US1.xlsx]Single Period!R58C47</stp>
        <stp>SEG0000230975 Segment</stp>
        <stp>SALES_REV_TURN/1M</stp>
        <stp>FPR=2021Y</stp>
        <stp>FPT=A</stp>
        <stp>FA_ACT_EST_DATA=E, EST_SOURCE=SUM</stp>
        <stp>ACT_EST_MAPPING=PRECISE</stp>
        <stp>FS=MRC</stp>
        <stp>CURRENCY=USD</stp>
        <stp>XLFILL=b</stp>
        <tr r="AU58" s="2"/>
      </tp>
      <tp t="s">
        <v>#N/A Requesting Data...</v>
        <stp/>
        <stp>##V3_BQLV12</stp>
        <stp>[MODL_NOW_US1.xlsx]Single Period!R54C41</stp>
        <stp>NOW US Equity</stp>
        <stp>IS_FOREIGN_CURRENCY_TURNOVER/1M</stp>
        <stp>FPR=2021Y</stp>
        <stp>FPT=A</stp>
        <stp>FA_ACT_EST_DATA=E, EST_SOURCE=ARG</stp>
        <stp>ACT_EST_MAPPING=PRECISE</stp>
        <stp>FS=MRC</stp>
        <stp>CURRENCY=USD</stp>
        <stp>XLFILL=b</stp>
        <tr r="AO54" s="2"/>
      </tp>
      <tp t="s">
        <v>#N/A Requesting Data...</v>
        <stp/>
        <stp>##V3_BQLV12</stp>
        <stp>[MODL_NOW_US1.xlsx]Single Period!R169C24</stp>
        <stp>NOW US Equity</stp>
        <stp>CB_BS_OTHER_NONCURRENT_ASSETS/1M</stp>
        <stp>FPR=2021Y</stp>
        <stp>FPT=A</stp>
        <stp>FA_ACT_EST_DATA=E, EST_SOURCE=CWN</stp>
        <stp>ACT_EST_MAPPING=PRECISE</stp>
        <stp>FS=MRC</stp>
        <stp>CURRENCY=USD</stp>
        <stp>XLFILL=b</stp>
        <tr r="X169" s="2"/>
      </tp>
      <tp t="s">
        <v>#N/A Requesting Data...</v>
        <stp/>
        <stp>##V3_BQLV12</stp>
        <stp>[MODL_NOW_US1.xlsx]Single Period!R102C11</stp>
        <stp>NOW US Equity</stp>
        <stp>IS_COMP_PTP_EX_STK_BASED_COMP/1M</stp>
        <stp>FPR=2021Y</stp>
        <stp>FPT=A</stp>
        <stp>FA_ACT_EST_DATA=E, EST_SOURCE=JPM</stp>
        <stp>ACT_EST_MAPPING=PRECISE</stp>
        <stp>FS=MRC</stp>
        <stp>CURRENCY=USD</stp>
        <stp>XLFILL=b</stp>
        <tr r="K102" s="2"/>
      </tp>
      <tp t="s">
        <v>#N/A Requesting Data...</v>
        <stp/>
        <stp>##V3_BQLV12</stp>
        <stp>[MODL_NOW_US1.xlsx]Single Period!R15C28</stp>
        <stp>SEG0000230992 Segment</stp>
        <stp>SALES_REV_TURN/1M</stp>
        <stp>FPR=2021Y</stp>
        <stp>FPT=A</stp>
        <stp>FA_ACT_EST_DATA=E, EST_SOURCE=EVR</stp>
        <stp>ACT_EST_MAPPING=PRECISE</stp>
        <stp>FS=MRC</stp>
        <stp>CURRENCY=USD</stp>
        <stp>XLFILL=b</stp>
        <tr r="AB15" s="2"/>
      </tp>
      <tp t="s">
        <v>#N/A Requesting Data...</v>
        <stp/>
        <stp>##V3_BQLV12</stp>
        <stp>[MODL_NOW_US1.xlsx]Single Period!R75C28</stp>
        <stp>SEG0000230992 Segment</stp>
        <stp>SALES_REV_TURN/1M</stp>
        <stp>FPR=2021Y</stp>
        <stp>FPT=A</stp>
        <stp>FA_ACT_EST_DATA=E, EST_SOURCE=EVR</stp>
        <stp>ACT_EST_MAPPING=PRECISE</stp>
        <stp>FS=MRC</stp>
        <stp>CURRENCY=USD</stp>
        <stp>XLFILL=b</stp>
        <tr r="AB75" s="2"/>
      </tp>
      <tp t="s">
        <v>#N/A Requesting Data...</v>
        <stp/>
        <stp>##V3_BQLV12</stp>
        <stp>[MODL_NOW_US1.xlsx]Single Period!R235C15</stp>
        <stp>NOW US Equity</stp>
        <stp>CF_FREE_CASH_FLOW_AS_REPORTED/1M</stp>
        <stp>FPR=2021Y</stp>
        <stp>FPT=A</stp>
        <stp>FA_ACT_EST_DATA=E, EST_SOURCE=OPY</stp>
        <stp>ACT_EST_MAPPING=PRECISE</stp>
        <stp>FS=MRC</stp>
        <stp>CURRENCY=USD</stp>
        <stp>XLFILL=b</stp>
        <tr r="O235" s="2"/>
      </tp>
      <tp t="s">
        <v>#N/A Requesting Data...</v>
        <stp/>
        <stp>##V3_BQLV12</stp>
        <stp>[MODL_NOW_US1.xlsx]Single Period!R99C39</stp>
        <stp>NOW US Equity</stp>
        <stp>IS_COMPARABLE_EBITDA/1M</stp>
        <stp>FPR=2021Y</stp>
        <stp>FPT=A</stp>
        <stp>FA_ACT_EST_DATA=E, EST_SOURCE=DZB</stp>
        <stp>ACT_EST_MAPPING=PRECISE</stp>
        <stp>FS=MRC</stp>
        <stp>CURRENCY=USD</stp>
        <stp>XLFILL=b</stp>
        <tr r="AM99" s="2"/>
      </tp>
      <tp t="s">
        <v>#N/A Requesting Data...</v>
        <stp/>
        <stp>##V3_BQLV12</stp>
        <stp>[MODL_NOW_US1.xlsx]Single Period!R143C26</stp>
        <stp>NOW US Equity</stp>
        <stp>IS_SBC_ATTRIBUTABLE_TO_R_AND_D_PRETX/1M</stp>
        <stp>FPR=2021Y</stp>
        <stp>FPT=A</stp>
        <stp>FA_ACT_EST_DATA=E, EST_SOURCE=UBS</stp>
        <stp>ACT_EST_MAPPING=PRECISE</stp>
        <stp>FS=MRC</stp>
        <stp>CURRENCY=USD</stp>
        <stp>XLFILL=b</stp>
        <tr r="Z143" s="2"/>
      </tp>
      <tp t="s">
        <v>#N/A Requesting Data...</v>
        <stp/>
        <stp>##V3_BQLV12</stp>
        <stp>[MODL_NOW_US1.xlsx]Single Period!R169C37</stp>
        <stp>NOW US Equity</stp>
        <stp>CB_BS_OTHER_NONCURRENT_ASSETS/1M</stp>
        <stp>FPR=2021Y</stp>
        <stp>FPT=A</stp>
        <stp>FA_ACT_EST_DATA=E, EST_SOURCE=TTC</stp>
        <stp>ACT_EST_MAPPING=PRECISE</stp>
        <stp>FS=MRC</stp>
        <stp>CURRENCY=USD</stp>
        <stp>XLFILL=b</stp>
        <tr r="AK169" s="2"/>
      </tp>
      <tp t="s">
        <v>#N/A Requesting Data...</v>
        <stp/>
        <stp>##V3_BQLV12</stp>
        <stp>[MODL_NOW_US1.xlsx]Single Period!R169C39</stp>
        <stp>NOW US Equity</stp>
        <stp>CB_BS_OTHER_NONCURRENT_ASSETS/1M</stp>
        <stp>FPR=2021Y</stp>
        <stp>FPT=A</stp>
        <stp>FA_ACT_EST_DATA=E, EST_SOURCE=DZB</stp>
        <stp>ACT_EST_MAPPING=PRECISE</stp>
        <stp>FS=MRC</stp>
        <stp>CURRENCY=USD</stp>
        <stp>XLFILL=b</stp>
        <tr r="AM169" s="2"/>
      </tp>
      <tp t="s">
        <v>#N/A Requesting Data...</v>
        <stp/>
        <stp>##V3_BQLV12</stp>
        <stp>[MODL_NOW_US1.xlsx]Single Period!R169C41</stp>
        <stp>NOW US Equity</stp>
        <stp>CB_BS_OTHER_NONCURRENT_ASSETS/1M</stp>
        <stp>FPR=2021Y</stp>
        <stp>FPT=A</stp>
        <stp>FA_ACT_EST_DATA=E, EST_SOURCE=ARG</stp>
        <stp>ACT_EST_MAPPING=PRECISE</stp>
        <stp>FS=MRC</stp>
        <stp>CURRENCY=USD</stp>
        <stp>XLFILL=b</stp>
        <tr r="AO169" s="2"/>
      </tp>
      <tp t="s">
        <v>#N/A Requesting Data...</v>
        <stp/>
        <stp>##V3_BQLV12</stp>
        <stp>[MODL_NOW_US1.xlsx]Single Period!R16C46</stp>
        <stp>SEG0000230969 Segment</stp>
        <stp>SALES_REV_TURN/1M</stp>
        <stp>FPR=2021Y</stp>
        <stp>FPT=A</stp>
        <stp>FA_ACT_EST_DATA=E, EST_SOURCE=MZS</stp>
        <stp>ACT_EST_MAPPING=PRECISE</stp>
        <stp>FS=MRC</stp>
        <stp>CURRENCY=USD</stp>
        <stp>XLFILL=b</stp>
        <tr r="AT16" s="2"/>
      </tp>
      <tp t="s">
        <v>#N/A Requesting Data...</v>
        <stp/>
        <stp>##V3_BQLV12</stp>
        <stp>[MODL_NOW_US1.xlsx]Single Period!R101C45</stp>
        <stp>NOW US Equity</stp>
        <stp>CB_IS_OTHER_NON_OPER_INC_EXPN/1M</stp>
        <stp>FPR=2021Y</stp>
        <stp>FPT=A</stp>
        <stp>FA_ACT_EST_DATA=E, EST_SOURCE=PJE</stp>
        <stp>ACT_EST_MAPPING=PRECISE</stp>
        <stp>FS=MRC</stp>
        <stp>CURRENCY=USD</stp>
        <stp>XLFILL=b</stp>
        <tr r="AS101" s="2"/>
      </tp>
      <tp t="s">
        <v>#N/A Requesting Data...</v>
        <stp/>
        <stp>##V3_BQLV12</stp>
        <stp>[MODL_NOW_US1.xlsx]Single Period!R3C14</stp>
        <stp>NOW US Equity</stp>
        <stp>LAST(IS_COMP_SALES(FA_ACT_EST_DATA=E, EST_SOURCE=BMO).firm_name)</stp>
        <stp>FPR=2021Y</stp>
        <stp>FPT=A</stp>
        <stp>ACT_EST_MAPPING=PRECISE</stp>
        <stp>FS=MRC</stp>
        <stp>CURRENCY=USD</stp>
        <stp>XLFILL=b</stp>
        <tr r="N3" s="2"/>
      </tp>
      <tp t="s">
        <v>#N/A Requesting Data...</v>
        <stp/>
        <stp>##V3_BQLV12</stp>
        <stp>[MODL_NOW_US1.xlsx]Single Period!R126C10</stp>
        <stp>NOW US Equity</stp>
        <stp>IS_NON_OPERATING_INC_LOSS_GAAP/1M</stp>
        <stp>FPR=2021Y</stp>
        <stp>FPT=A</stp>
        <stp>FA_ACT_EST_DATA=E, EST_SOURCE=CMPY</stp>
        <stp>ACT_EST_MAPPING=PRECISE</stp>
        <stp>FS=MRC</stp>
        <stp>CURRENCY=USD</stp>
        <stp>XLFILL=b</stp>
        <tr r="J126" s="2"/>
      </tp>
      <tp t="s">
        <v>#N/A Requesting Data...</v>
        <stp/>
        <stp>##V3_BQLV12</stp>
        <stp>[MODL_NOW_US1.xlsx]Single Period!R134C28</stp>
        <stp>NOW US Equity</stp>
        <stp>IS_COMP_EPS_GAAP</stp>
        <stp>FPR=2021Y</stp>
        <stp>FPT=A</stp>
        <stp>FA_ACT_EST_DATA=E, EST_SOURCE=EVR</stp>
        <stp>ACT_EST_MAPPING=PRECISE</stp>
        <stp>FS=MRC</stp>
        <stp>CURRENCY=USD</stp>
        <stp>XLFILL=b</stp>
        <tr r="AB134" s="2"/>
      </tp>
      <tp t="s">
        <v>#N/A Requesting Data...</v>
        <stp/>
        <stp>##V3_BQLV12</stp>
        <stp>[MODL_NOW_US1.xlsx]Single Period!R201C21</stp>
        <stp>NOW US Equity</stp>
        <stp>D_AND_A_TO_SALES</stp>
        <stp>FPR=2021Y</stp>
        <stp>FPT=A</stp>
        <stp>FA_ACT_EST_DATA=E, EST_SOURCE=JMP</stp>
        <stp>ACT_EST_MAPPING=PRECISE</stp>
        <stp>FS=MRC</stp>
        <stp>CURRENCY=USD</stp>
        <stp>XLFILL=b</stp>
        <tr r="U201" s="2"/>
      </tp>
      <tp t="s">
        <v>#N/A Requesting Data...</v>
        <stp/>
        <stp>##V3_BQLV12</stp>
        <stp>[MODL_NOW_US1.xlsx]Single Period!R3C21</stp>
        <stp>NOW US Equity</stp>
        <stp>LAST(IS_COMP_SALES(FA_ACT_EST_DATA=E, EST_SOURCE=JMP).firm_name)</stp>
        <stp>FPR=2021Y</stp>
        <stp>FPT=A</stp>
        <stp>ACT_EST_MAPPING=PRECISE</stp>
        <stp>FS=MRC</stp>
        <stp>CURRENCY=USD</stp>
        <stp>XLFILL=b</stp>
        <tr r="U3" s="2"/>
      </tp>
      <tp t="s">
        <v>#N/A Requesting Data...</v>
        <stp/>
        <stp>##V3_BQLV12</stp>
        <stp>[MODL_NOW_US1.xlsx]Single Period!R128C43</stp>
        <stp>NOW US Equity</stp>
        <stp>IS_INC_TAX_EXP/1M</stp>
        <stp>FPR=2021Y</stp>
        <stp>FPT=A</stp>
        <stp>FA_ACT_EST_DATA=E, EST_SOURCE=WFT</stp>
        <stp>ACT_EST_MAPPING=PRECISE</stp>
        <stp>FS=MRC</stp>
        <stp>CURRENCY=USD</stp>
        <stp>XLFILL=b</stp>
        <tr r="AQ128" s="2"/>
      </tp>
      <tp t="s">
        <v>#N/A Requesting Data...</v>
        <stp/>
        <stp>##V3_BQLV12</stp>
        <stp>[MODL_NOW_US1.xlsx]Single Period!R10C17</stp>
        <stp>NOW US Equity</stp>
        <stp>BILLNG_AMOUNT_GROWTH_PCT</stp>
        <stp>FPR=2021Y</stp>
        <stp>FPT=A</stp>
        <stp>FA_ACT_EST_DATA=E, EST_SOURCE=RHR</stp>
        <stp>ACT_EST_MAPPING=PRECISE</stp>
        <stp>FS=MRC</stp>
        <stp>CURRENCY=USD</stp>
        <stp>XLFILL=b</stp>
        <tr r="Q10" s="2"/>
      </tp>
      <tp t="s">
        <v>#N/A Requesting Data...</v>
        <stp/>
        <stp>##V3_BQLV12</stp>
        <stp>[MODL_NOW_US1.xlsx]Single Period!R168C36</stp>
        <stp>NOW US Equity</stp>
        <stp>CB_BS_DEFERRED_COST_LT/1M</stp>
        <stp>FPR=2021Y</stp>
        <stp>FPT=A</stp>
        <stp>FA_ACT_EST_DATA=E, EST_SOURCE=JEF</stp>
        <stp>ACT_EST_MAPPING=PRECISE</stp>
        <stp>FS=MRC</stp>
        <stp>CURRENCY=USD</stp>
        <stp>XLFILL=b</stp>
        <tr r="AJ168" s="2"/>
      </tp>
      <tp t="s">
        <v>#N/A Requesting Data...</v>
        <stp/>
        <stp>##V3_BQLV12</stp>
        <stp>[MODL_NOW_US1.xlsx]Single Period!R99C9</stp>
        <stp>NOW US Equity</stp>
        <stp>CONTRIBUTOR_STATS(IS_COMPARABLE_EBITDA, MEDIAN)/1M</stp>
        <stp>FPR=2021Y</stp>
        <stp>FPT=A</stp>
        <stp>FA_ACT_EST_DATA=E</stp>
        <stp>ACT_EST_MAPPING=PRECISE</stp>
        <stp>FS=MRC</stp>
        <stp>CURRENCY=USD</stp>
        <stp>XLFILL=b</stp>
        <tr r="I99" s="2"/>
      </tp>
      <tp t="s">
        <v>#N/A Requesting Data...</v>
        <stp/>
        <stp>##V3_BQLV12</stp>
        <stp>[MODL_NOW_US1.xlsx]Single Period!R64C28</stp>
        <stp>SEG0000230975 Segment</stp>
        <stp>CB_IS_GROSS_MARGIN</stp>
        <stp>FPR=2021Y</stp>
        <stp>FPT=A</stp>
        <stp>FA_ACT_EST_DATA=E, EST_SOURCE=EVR</stp>
        <stp>ACT_EST_MAPPING=PRECISE</stp>
        <stp>FS=MRC</stp>
        <stp>CURRENCY=USD</stp>
        <stp>XLFILL=b</stp>
        <tr r="AB64" s="2"/>
      </tp>
      <tp t="s">
        <v>#N/A Requesting Data...</v>
        <stp/>
        <stp>##V3_BQLV12</stp>
        <stp>[MODL_NOW_US1.xlsx]Single Period!R232C28</stp>
        <stp>NOW US Equity</stp>
        <stp>CF_CASH_AND_CASH_EQUIV_BEG_BAL/1M</stp>
        <stp>FPR=2021Y</stp>
        <stp>FPT=A</stp>
        <stp>FA_ACT_EST_DATA=E, EST_SOURCE=EVR</stp>
        <stp>ACT_EST_MAPPING=PRECISE</stp>
        <stp>FS=MRC</stp>
        <stp>CURRENCY=USD</stp>
        <stp>XLFILL=b</stp>
        <tr r="AB232" s="2"/>
      </tp>
      <tp t="s">
        <v>#N/A Requesting Data...</v>
        <stp/>
        <stp>##V3_BQLV12</stp>
        <stp>[MODL_NOW_US1.xlsx]Single Period!R10C45</stp>
        <stp>NOW US Equity</stp>
        <stp>BILLNG_AMOUNT_GROWTH_PCT</stp>
        <stp>FPR=2021Y</stp>
        <stp>FPT=A</stp>
        <stp>FA_ACT_EST_DATA=E, EST_SOURCE=PJE</stp>
        <stp>ACT_EST_MAPPING=PRECISE</stp>
        <stp>FS=MRC</stp>
        <stp>CURRENCY=USD</stp>
        <stp>XLFILL=b</stp>
        <tr r="AS10" s="2"/>
      </tp>
      <tp t="s">
        <v>#N/A Requesting Data...</v>
        <stp/>
        <stp>##V3_BQLV12</stp>
        <stp>[MODL_NOW_US1.xlsx]Single Period!R233C42</stp>
        <stp>NOW US Equity</stp>
        <stp>CF_CASH_AND_CASH_EQUIV_END_BAL/1M</stp>
        <stp>FPR=2021Y</stp>
        <stp>FPT=A</stp>
        <stp>FA_ACT_EST_DATA=E, EST_SOURCE=CTI</stp>
        <stp>ACT_EST_MAPPING=PRECISE</stp>
        <stp>FS=MRC</stp>
        <stp>CURRENCY=USD</stp>
        <stp>XLFILL=b</stp>
        <tr r="AP233" s="2"/>
      </tp>
      <tp t="s">
        <v>#N/A Requesting Data...</v>
        <stp/>
        <stp>##V3_BQLV12</stp>
        <stp>[MODL_NOW_US1.xlsx]Single Period!R168C13</stp>
        <stp>NOW US Equity</stp>
        <stp>CB_BS_DEFERRED_COST_LT/1M</stp>
        <stp>FPR=2021Y</stp>
        <stp>FPT=A</stp>
        <stp>FA_ACT_EST_DATA=E, EST_SOURCE=KEY</stp>
        <stp>ACT_EST_MAPPING=PRECISE</stp>
        <stp>FS=MRC</stp>
        <stp>CURRENCY=USD</stp>
        <stp>XLFILL=b</stp>
        <tr r="M168" s="2"/>
      </tp>
      <tp t="s">
        <v>#N/A Requesting Data...</v>
        <stp/>
        <stp>##V3_BQLV12</stp>
        <stp>[MODL_NOW_US1.xlsx]Single Period!R40C49</stp>
        <stp>NOW US Equity</stp>
        <stp>BILLNG_AMOUNT_GROWTH_PCT</stp>
        <stp>FPR=2021Y</stp>
        <stp>FPT=A</stp>
        <stp>FA_ACT_EST_DATA=E, EST_SOURCE=SCB</stp>
        <stp>ACT_EST_MAPPING=PRECISE</stp>
        <stp>FS=MRC</stp>
        <stp>CURRENCY=USD</stp>
        <stp>XLFILL=b</stp>
        <tr r="AW40" s="2"/>
      </tp>
      <tp t="s">
        <v>#N/A Requesting Data...</v>
        <stp/>
        <stp>##V3_BQLV12</stp>
        <stp>[MODL_NOW_US1.xlsx]Single Period!R156C22</stp>
        <stp>NOW US Equity</stp>
        <stp>BS_CASH_NEAR_CASH_ITEM/1M</stp>
        <stp>FPR=2021Y</stp>
        <stp>FPT=A</stp>
        <stp>FA_ACT_EST_DATA=E, EST_SOURCE=NDH</stp>
        <stp>ACT_EST_MAPPING=PRECISE</stp>
        <stp>FS=MRC</stp>
        <stp>CURRENCY=USD</stp>
        <stp>XLFILL=b</stp>
        <tr r="V156" s="2"/>
      </tp>
      <tp t="s">
        <v>#N/A Requesting Data...</v>
        <stp/>
        <stp>##V3_BQLV12</stp>
        <stp>[MODL_NOW_US1.xlsx]Single Period!R195C17</stp>
        <stp>NOW US Equity</stp>
        <stp>CB_BS_DEFERRED_COST_LT/1M</stp>
        <stp>FPR=2021Y</stp>
        <stp>FPT=A</stp>
        <stp>FA_ACT_EST_DATA=E, EST_SOURCE=RHR</stp>
        <stp>ACT_EST_MAPPING=PRECISE</stp>
        <stp>FS=MRC</stp>
        <stp>CURRENCY=USD</stp>
        <stp>XLFILL=b</stp>
        <tr r="Q195" s="2"/>
      </tp>
      <tp t="s">
        <v>#N/A Requesting Data...</v>
        <stp/>
        <stp>##V3_BQLV12</stp>
        <stp>[MODL_NOW_US1.xlsx]Single Period!R70C22</stp>
        <stp>SEG0000230986 Segment</stp>
        <stp>IS_ADJ_GROSS_MARGIN_PCT_AR</stp>
        <stp>FPR=2021Y</stp>
        <stp>FPT=A</stp>
        <stp>FA_ACT_EST_DATA=E, EST_SOURCE=NDH</stp>
        <stp>ACT_EST_MAPPING=PRECISE</stp>
        <stp>FS=MRC</stp>
        <stp>CURRENCY=USD</stp>
        <stp>XLFILL=b</stp>
        <tr r="V70" s="2"/>
      </tp>
      <tp t="s">
        <v>#N/A Requesting Data...</v>
        <stp/>
        <stp>##V3_BQLV12</stp>
        <stp>[MODL_NOW_US1.xlsx]Single Period!R22C22</stp>
        <stp>SEG0000230986 Segment</stp>
        <stp>IS_ADJ_GROSS_MARGIN_PCT_AR</stp>
        <stp>FPR=2021Y</stp>
        <stp>FPT=A</stp>
        <stp>FA_ACT_EST_DATA=E, EST_SOURCE=NDH</stp>
        <stp>ACT_EST_MAPPING=PRECISE</stp>
        <stp>FS=MRC</stp>
        <stp>CURRENCY=USD</stp>
        <stp>XLFILL=b</stp>
        <tr r="V22" s="2"/>
      </tp>
      <tp t="s">
        <v>#N/A Requesting Data...</v>
        <stp/>
        <stp>##V3_BQLV12</stp>
        <stp>[MODL_NOW_US1.xlsx]Single Period!R233C37</stp>
        <stp>NOW US Equity</stp>
        <stp>CF_CASH_AND_CASH_EQUIV_END_BAL/1M</stp>
        <stp>FPR=2021Y</stp>
        <stp>FPT=A</stp>
        <stp>FA_ACT_EST_DATA=E, EST_SOURCE=TTC</stp>
        <stp>ACT_EST_MAPPING=PRECISE</stp>
        <stp>FS=MRC</stp>
        <stp>CURRENCY=USD</stp>
        <stp>XLFILL=b</stp>
        <tr r="AK233" s="2"/>
      </tp>
      <tp t="s">
        <v>#N/A Requesting Data...</v>
        <stp/>
        <stp>##V3_BQLV12</stp>
        <stp>[MODL_NOW_US1.xlsx]Single Period!R30C13</stp>
        <stp>NOW US Equity</stp>
        <stp>CF_FREE_CASH_FLOW_AS_REPORTED/1M</stp>
        <stp>FPR=2021Y</stp>
        <stp>FPT=A</stp>
        <stp>FA_ACT_EST_DATA=E, EST_SOURCE=KEY</stp>
        <stp>ACT_EST_MAPPING=PRECISE</stp>
        <stp>FS=MRC</stp>
        <stp>CURRENCY=USD</stp>
        <stp>XLFILL=b</stp>
        <tr r="M30" s="2"/>
      </tp>
      <tp t="s">
        <v>#N/A Requesting Data...</v>
        <stp/>
        <stp>##V3_BQLV12</stp>
        <stp>[MODL_NOW_US1.xlsx]Single Period!R184C28</stp>
        <stp>NOW US Equity</stp>
        <stp>BS_EQTY_BEFORE_MINORITY_INT/1M</stp>
        <stp>FPR=2021Y</stp>
        <stp>FPT=A</stp>
        <stp>FA_ACT_EST_DATA=E, EST_SOURCE=EVR</stp>
        <stp>ACT_EST_MAPPING=PRECISE</stp>
        <stp>FS=MRC</stp>
        <stp>CURRENCY=USD</stp>
        <stp>XLFILL=b</stp>
        <tr r="AB184" s="2"/>
      </tp>
      <tp t="s">
        <v>#N/A Requesting Data...</v>
        <stp/>
        <stp>##V3_BQLV12</stp>
        <stp>[MODL_NOW_US1.xlsx]Single Period!R158C49</stp>
        <stp>NOW US Equity</stp>
        <stp>BS_ACCTS_REC_EXCL_NOTES_REC/1M</stp>
        <stp>FPR=2021Y</stp>
        <stp>FPT=A</stp>
        <stp>FA_ACT_EST_DATA=E, EST_SOURCE=SCB</stp>
        <stp>ACT_EST_MAPPING=PRECISE</stp>
        <stp>FS=MRC</stp>
        <stp>CURRENCY=USD</stp>
        <stp>XLFILL=b</stp>
        <tr r="AW158" s="2"/>
      </tp>
      <tp t="s">
        <v>#N/A Requesting Data...</v>
        <stp/>
        <stp>##V3_BQLV12</stp>
        <stp>[MODL_NOW_US1.xlsx]Single Period!R92C22</stp>
        <stp>NOW US Equity</stp>
        <stp>IS_ADJ_GENL_AND_ADMIN_EXPN_AR/1M</stp>
        <stp>FPR=2021Y</stp>
        <stp>FPT=A</stp>
        <stp>FA_ACT_EST_DATA=E, EST_SOURCE=NDH</stp>
        <stp>ACT_EST_MAPPING=PRECISE</stp>
        <stp>FS=MRC</stp>
        <stp>CURRENCY=USD</stp>
        <stp>XLFILL=b</stp>
        <tr r="V92" s="2"/>
      </tp>
      <tp t="s">
        <v>#N/A Requesting Data...</v>
        <stp/>
        <stp>##V3_BQLV12</stp>
        <stp>[MODL_NOW_US1.xlsx]Single Period!R139C45</stp>
        <stp>NOW US Equity</stp>
        <stp>IS_SBC_ATTRIB_TO_COGS_PRETX/1M</stp>
        <stp>FPR=2021Y</stp>
        <stp>FPT=A</stp>
        <stp>FA_ACT_EST_DATA=E, EST_SOURCE=PJE</stp>
        <stp>ACT_EST_MAPPING=PRECISE</stp>
        <stp>FS=MRC</stp>
        <stp>CURRENCY=USD</stp>
        <stp>XLFILL=b</stp>
        <tr r="AS139" s="2"/>
      </tp>
      <tp t="s">
        <v>#N/A Requesting Data...</v>
        <stp/>
        <stp>##V3_BQLV12</stp>
        <stp>[MODL_NOW_US1.xlsx]Single Period!R161C33</stp>
        <stp>NOW US Equity</stp>
        <stp>BS_TOTAL_NON_CURRENT_ASSETS/1M</stp>
        <stp>FPR=2021Y</stp>
        <stp>FPT=A</stp>
        <stp>FA_ACT_EST_DATA=E, EST_SOURCE=MAC</stp>
        <stp>ACT_EST_MAPPING=PRECISE</stp>
        <stp>FS=MRC</stp>
        <stp>CURRENCY=USD</stp>
        <stp>XLFILL=b</stp>
        <tr r="AG161" s="2"/>
      </tp>
      <tp t="s">
        <v>#N/A Requesting Data...</v>
        <stp/>
        <stp>##V3_BQLV12</stp>
        <stp>[MODL_NOW_US1.xlsx]Single Period!R158C16</stp>
        <stp>NOW US Equity</stp>
        <stp>BS_ACCTS_REC_EXCL_NOTES_REC/1M</stp>
        <stp>FPR=2021Y</stp>
        <stp>FPT=A</stp>
        <stp>FA_ACT_EST_DATA=E, EST_SOURCE=BCA</stp>
        <stp>ACT_EST_MAPPING=PRECISE</stp>
        <stp>FS=MRC</stp>
        <stp>CURRENCY=USD</stp>
        <stp>XLFILL=b</stp>
        <tr r="P158" s="2"/>
      </tp>
      <tp t="s">
        <v>#N/A Requesting Data...</v>
        <stp/>
        <stp>##V3_BQLV12</stp>
        <stp>[MODL_NOW_US1.xlsx]Single Period!R180C16</stp>
        <stp>NOW US Equity</stp>
        <stp>BS_LT_OPERATING_LEASE_LIABS/1M</stp>
        <stp>FPR=2021Y</stp>
        <stp>FPT=A</stp>
        <stp>FA_ACT_EST_DATA=E, EST_SOURCE=BCA</stp>
        <stp>ACT_EST_MAPPING=PRECISE</stp>
        <stp>FS=MRC</stp>
        <stp>CURRENCY=USD</stp>
        <stp>XLFILL=b</stp>
        <tr r="P180" s="2"/>
      </tp>
      <tp t="s">
        <v>#N/A Requesting Data...</v>
        <stp/>
        <stp>##V3_BQLV12</stp>
        <stp>[MODL_NOW_US1.xlsx]Single Period!R161C30</stp>
        <stp>NOW US Equity</stp>
        <stp>BS_TOTAL_NON_CURRENT_ASSETS/1M</stp>
        <stp>FPR=2021Y</stp>
        <stp>FPT=A</stp>
        <stp>FA_ACT_EST_DATA=E, EST_SOURCE=BAM</stp>
        <stp>ACT_EST_MAPPING=PRECISE</stp>
        <stp>FS=MRC</stp>
        <stp>CURRENCY=USD</stp>
        <stp>XLFILL=b</stp>
        <tr r="AD161" s="2"/>
      </tp>
      <tp t="s">
        <v>#N/A Requesting Data...</v>
        <stp/>
        <stp>##V3_BQLV12</stp>
        <stp>[MODL_NOW_US1.xlsx]Single Period!R80C43</stp>
        <stp>NOW US Equity</stp>
        <stp>IS_COMP_SALES/1M</stp>
        <stp>FPR=2021Y</stp>
        <stp>FPT=A</stp>
        <stp>FA_ACT_EST_DATA=E, EST_SOURCE=WFT</stp>
        <stp>ACT_EST_MAPPING=PRECISE</stp>
        <stp>FS=MRC</stp>
        <stp>CURRENCY=USD</stp>
        <stp>XLFILL=b</stp>
        <tr r="AQ80" s="2"/>
      </tp>
      <tp t="s">
        <v>#N/A Requesting Data...</v>
        <stp/>
        <stp>##V3_BQLV12</stp>
        <stp>[MODL_NOW_US1.xlsx]Single Period!R161C20</stp>
        <stp>NOW US Equity</stp>
        <stp>BS_TOTAL_NON_CURRENT_ASSETS/1M</stp>
        <stp>FPR=2021Y</stp>
        <stp>FPT=A</stp>
        <stp>FA_ACT_EST_DATA=E, EST_SOURCE=CAN</stp>
        <stp>ACT_EST_MAPPING=PRECISE</stp>
        <stp>FS=MRC</stp>
        <stp>CURRENCY=USD</stp>
        <stp>XLFILL=b</stp>
        <tr r="T161" s="2"/>
      </tp>
      <tp t="s">
        <v>#N/A Requesting Data...</v>
        <stp/>
        <stp>##V3_BQLV12</stp>
        <stp>[MODL_NOW_US1.xlsx]Single Period!R30C18</stp>
        <stp>NOW US Equity</stp>
        <stp>CF_FREE_CASH_FLOW_AS_REPORTED/1M</stp>
        <stp>FPR=2021Y</stp>
        <stp>FPT=A</stp>
        <stp>FA_ACT_EST_DATA=E, EST_SOURCE=SNR</stp>
        <stp>ACT_EST_MAPPING=PRECISE</stp>
        <stp>FS=MRC</stp>
        <stp>CURRENCY=USD</stp>
        <stp>XLFILL=b</stp>
        <tr r="R30" s="2"/>
      </tp>
      <tp t="s">
        <v>#N/A Requesting Data...</v>
        <stp/>
        <stp>##V3_BQLV12</stp>
        <stp>[MODL_NOW_US1.xlsx]Single Period!R137C28</stp>
        <stp>NOW US Equity</stp>
        <stp>CF_STOCK_BASED_COMPENSATION/1M</stp>
        <stp>FPR=2021Y</stp>
        <stp>FPT=A</stp>
        <stp>FA_ACT_EST_DATA=E, EST_SOURCE=EVR</stp>
        <stp>ACT_EST_MAPPING=PRECISE</stp>
        <stp>FS=MRC</stp>
        <stp>CURRENCY=USD</stp>
        <stp>XLFILL=b</stp>
        <tr r="AB137" s="2"/>
      </tp>
      <tp t="s">
        <v>#N/A Requesting Data...</v>
        <stp/>
        <stp>##V3_BQLV12</stp>
        <stp>[MODL_NOW_US1.xlsx]Single Period!R178C13</stp>
        <stp>NOW US Equity</stp>
        <stp>BS_ADJ_TOTAL_LT_LIABILITIES/1M</stp>
        <stp>FPR=2021Y</stp>
        <stp>FPT=A</stp>
        <stp>FA_ACT_EST_DATA=E, EST_SOURCE=KEY</stp>
        <stp>ACT_EST_MAPPING=PRECISE</stp>
        <stp>FS=MRC</stp>
        <stp>CURRENCY=USD</stp>
        <stp>XLFILL=b</stp>
        <tr r="M178" s="2"/>
      </tp>
      <tp t="s">
        <v>#N/A Requesting Data...</v>
        <stp/>
        <stp>##V3_BQLV12</stp>
        <stp>[MODL_NOW_US1.xlsx]Single Period!R180C49</stp>
        <stp>NOW US Equity</stp>
        <stp>BS_LT_OPERATING_LEASE_LIABS/1M</stp>
        <stp>FPR=2021Y</stp>
        <stp>FPT=A</stp>
        <stp>FA_ACT_EST_DATA=E, EST_SOURCE=SCB</stp>
        <stp>ACT_EST_MAPPING=PRECISE</stp>
        <stp>FS=MRC</stp>
        <stp>CURRENCY=USD</stp>
        <stp>XLFILL=b</stp>
        <tr r="AW180" s="2"/>
      </tp>
      <tp t="s">
        <v>#N/A Requesting Data...</v>
        <stp/>
        <stp>##V3_BQLV12</stp>
        <stp>[MODL_NOW_US1.xlsx]Single Period!R178C36</stp>
        <stp>NOW US Equity</stp>
        <stp>BS_ADJ_TOTAL_LT_LIABILITIES/1M</stp>
        <stp>FPR=2021Y</stp>
        <stp>FPT=A</stp>
        <stp>FA_ACT_EST_DATA=E, EST_SOURCE=JEF</stp>
        <stp>ACT_EST_MAPPING=PRECISE</stp>
        <stp>FS=MRC</stp>
        <stp>CURRENCY=USD</stp>
        <stp>XLFILL=b</stp>
        <tr r="AJ178" s="2"/>
      </tp>
      <tp t="s">
        <v>#N/A Requesting Data...</v>
        <stp/>
        <stp>##V3_BQLV12</stp>
        <stp>[MODL_NOW_US1.xlsx]Single Period!R30C22</stp>
        <stp>NOW US Equity</stp>
        <stp>CF_FREE_CASH_FLOW_AS_REPORTED/1M</stp>
        <stp>FPR=2021Y</stp>
        <stp>FPT=A</stp>
        <stp>FA_ACT_EST_DATA=E, EST_SOURCE=NDH</stp>
        <stp>ACT_EST_MAPPING=PRECISE</stp>
        <stp>FS=MRC</stp>
        <stp>CURRENCY=USD</stp>
        <stp>XLFILL=b</stp>
        <tr r="V30" s="2"/>
      </tp>
      <tp t="s">
        <v>#N/A Requesting Data...</v>
        <stp/>
        <stp>##V3_BQLV12</stp>
        <stp>[MODL_NOW_US1.xlsx]Single Period!R191C43</stp>
        <stp>NOW US Equity</stp>
        <stp>ST_DEFERRED_REVENUE/1M</stp>
        <stp>FPR=2021Y</stp>
        <stp>FPT=A</stp>
        <stp>FA_ACT_EST_DATA=E, EST_SOURCE=WFT</stp>
        <stp>ACT_EST_MAPPING=PRECISE</stp>
        <stp>FS=MRC</stp>
        <stp>CURRENCY=USD</stp>
        <stp>XLFILL=b</stp>
        <tr r="AQ191" s="2"/>
      </tp>
      <tp t="s">
        <v>#N/A Requesting Data...</v>
        <stp/>
        <stp>##V3_BQLV12</stp>
        <stp>[MODL_NOW_US1.xlsx]Single Period!R176C43</stp>
        <stp>NOW US Equity</stp>
        <stp>ST_DEFERRED_REVENUE/1M</stp>
        <stp>FPR=2021Y</stp>
        <stp>FPT=A</stp>
        <stp>FA_ACT_EST_DATA=E, EST_SOURCE=WFT</stp>
        <stp>ACT_EST_MAPPING=PRECISE</stp>
        <stp>FS=MRC</stp>
        <stp>CURRENCY=USD</stp>
        <stp>XLFILL=b</stp>
        <tr r="AQ176" s="2"/>
      </tp>
      <tp t="s">
        <v>#N/A Requesting Data...</v>
        <stp/>
        <stp>##V3_BQLV12</stp>
        <stp>[MODL_NOW_US1.xlsx]Single Period!R179C43</stp>
        <stp>NOW US Equity</stp>
        <stp>LT_DEFERRED_REVENUE/1M</stp>
        <stp>FPR=2021Y</stp>
        <stp>FPT=A</stp>
        <stp>FA_ACT_EST_DATA=E, EST_SOURCE=WFT</stp>
        <stp>ACT_EST_MAPPING=PRECISE</stp>
        <stp>FS=MRC</stp>
        <stp>CURRENCY=USD</stp>
        <stp>XLFILL=b</stp>
        <tr r="AQ179" s="2"/>
      </tp>
      <tp t="s">
        <v>#N/A Requesting Data...</v>
        <stp/>
        <stp>##V3_BQLV12</stp>
        <stp>[MODL_NOW_US1.xlsx]Single Period!R192C43</stp>
        <stp>NOW US Equity</stp>
        <stp>LT_DEFERRED_REVENUE/1M</stp>
        <stp>FPR=2021Y</stp>
        <stp>FPT=A</stp>
        <stp>FA_ACT_EST_DATA=E, EST_SOURCE=WFT</stp>
        <stp>ACT_EST_MAPPING=PRECISE</stp>
        <stp>FS=MRC</stp>
        <stp>CURRENCY=USD</stp>
        <stp>XLFILL=b</stp>
        <tr r="AQ192" s="2"/>
      </tp>
      <tp t="s">
        <v>#N/A Requesting Data...</v>
        <stp/>
        <stp>##V3_BQLV12</stp>
        <stp>[MODL_NOW_US1.xlsx]Single Period!R203C37</stp>
        <stp>NOW US Equity</stp>
        <stp>AMORTIZATN_OF_FINNCNG_COSTS/1M</stp>
        <stp>FPR=2021Y</stp>
        <stp>FPT=A</stp>
        <stp>FA_ACT_EST_DATA=E, EST_SOURCE=TTC</stp>
        <stp>ACT_EST_MAPPING=PRECISE</stp>
        <stp>FS=MRC</stp>
        <stp>CURRENCY=USD</stp>
        <stp>XLFILL=b</stp>
        <tr r="AK203" s="2"/>
      </tp>
      <tp t="s">
        <v>#N/A Requesting Data...</v>
        <stp/>
        <stp>##V3_BQLV12</stp>
        <stp>[MODL_NOW_US1.xlsx]Single Period!R92C13</stp>
        <stp>NOW US Equity</stp>
        <stp>IS_ADJ_GENL_AND_ADMIN_EXPN_AR/1M</stp>
        <stp>FPR=2021Y</stp>
        <stp>FPT=A</stp>
        <stp>FA_ACT_EST_DATA=E, EST_SOURCE=KEY</stp>
        <stp>ACT_EST_MAPPING=PRECISE</stp>
        <stp>FS=MRC</stp>
        <stp>CURRENCY=USD</stp>
        <stp>XLFILL=b</stp>
        <tr r="M92" s="2"/>
      </tp>
      <tp t="s">
        <v>#N/A Requesting Data...</v>
        <stp/>
        <stp>##V3_BQLV12</stp>
        <stp>[MODL_NOW_US1.xlsx]Single Period!R124C37</stp>
        <stp>NOW US Equity</stp>
        <stp>IS_EBIT_AS_REPORTED/1M</stp>
        <stp>FPR=2021Y</stp>
        <stp>FPT=A</stp>
        <stp>FA_ACT_EST_DATA=E, EST_SOURCE=TTC</stp>
        <stp>ACT_EST_MAPPING=PRECISE</stp>
        <stp>FS=MRC</stp>
        <stp>CURRENCY=USD</stp>
        <stp>XLFILL=b</stp>
        <tr r="AK124" s="2"/>
      </tp>
      <tp t="s">
        <v>#N/A Requesting Data...</v>
        <stp/>
        <stp>##V3_BQLV12</stp>
        <stp>[MODL_NOW_US1.xlsx]Single Period!R124C42</stp>
        <stp>NOW US Equity</stp>
        <stp>IS_EBIT_AS_REPORTED/1M</stp>
        <stp>FPR=2021Y</stp>
        <stp>FPT=A</stp>
        <stp>FA_ACT_EST_DATA=E, EST_SOURCE=CTI</stp>
        <stp>ACT_EST_MAPPING=PRECISE</stp>
        <stp>FS=MRC</stp>
        <stp>CURRENCY=USD</stp>
        <stp>XLFILL=b</stp>
        <tr r="AP124" s="2"/>
      </tp>
      <tp t="s">
        <v>#N/A Requesting Data...</v>
        <stp/>
        <stp>##V3_BQLV12</stp>
        <stp>[MODL_NOW_US1.xlsx]Single Period!R210C49</stp>
        <stp>NOW US Equity</stp>
        <stp>CF_CHANGE_IN_PREPAID_EXPNSS/1M</stp>
        <stp>FPR=2021Y</stp>
        <stp>FPT=A</stp>
        <stp>FA_ACT_EST_DATA=E, EST_SOURCE=SCB</stp>
        <stp>ACT_EST_MAPPING=PRECISE</stp>
        <stp>FS=MRC</stp>
        <stp>CURRENCY=USD</stp>
        <stp>XLFILL=b</stp>
        <tr r="AW210" s="2"/>
      </tp>
      <tp t="s">
        <v>#N/A Requesting Data...</v>
        <stp/>
        <stp>##V3_BQLV12</stp>
        <stp>[MODL_NOW_US1.xlsx]Single Period!R80C16</stp>
        <stp>NOW US Equity</stp>
        <stp>IS_COMP_SALES/1M</stp>
        <stp>FPR=2021Y</stp>
        <stp>FPT=A</stp>
        <stp>FA_ACT_EST_DATA=E, EST_SOURCE=BCA</stp>
        <stp>ACT_EST_MAPPING=PRECISE</stp>
        <stp>FS=MRC</stp>
        <stp>CURRENCY=USD</stp>
        <stp>XLFILL=b</stp>
        <tr r="P80" s="2"/>
      </tp>
      <tp t="s">
        <v>#N/A Requesting Data...</v>
        <stp/>
        <stp>##V3_BQLV12</stp>
        <stp>[MODL_NOW_US1.xlsx]Single Period!R98C11</stp>
        <stp>NOW US Equity</stp>
        <stp>CF_DEPR_AMORT/1M</stp>
        <stp>FPR=2021Y</stp>
        <stp>FPT=A</stp>
        <stp>FA_ACT_EST_DATA=E, EST_SOURCE=JPM</stp>
        <stp>ACT_EST_MAPPING=PRECISE</stp>
        <stp>FS=MRC</stp>
        <stp>CURRENCY=USD</stp>
        <stp>XLFILL=b</stp>
        <tr r="K98" s="2"/>
      </tp>
      <tp t="s">
        <v>#N/A Requesting Data...</v>
        <stp/>
        <stp>##V3_BQLV12</stp>
        <stp>[MODL_NOW_US1.xlsx]Single Period!R27C26</stp>
        <stp>NOW US Equity</stp>
        <stp>IS_REV_INCLUDING_INTERSEG_REV/1M</stp>
        <stp>FPR=2021Y</stp>
        <stp>FPT=A</stp>
        <stp>FA_ACT_EST_DATA=E, EST_SOURCE=UBS</stp>
        <stp>ACT_EST_MAPPING=PRECISE</stp>
        <stp>FS=MRC</stp>
        <stp>CURRENCY=USD</stp>
        <stp>XLFILL=b</stp>
        <tr r="Z27" s="2"/>
      </tp>
      <tp t="s">
        <v>#N/A Requesting Data...</v>
        <stp/>
        <stp>##V3_BQLV12</stp>
        <stp>[MODL_NOW_US1.xlsx]Single Period!R210C16</stp>
        <stp>NOW US Equity</stp>
        <stp>CF_CHANGE_IN_PREPAID_EXPNSS/1M</stp>
        <stp>FPR=2021Y</stp>
        <stp>FPT=A</stp>
        <stp>FA_ACT_EST_DATA=E, EST_SOURCE=BCA</stp>
        <stp>ACT_EST_MAPPING=PRECISE</stp>
        <stp>FS=MRC</stp>
        <stp>CURRENCY=USD</stp>
        <stp>XLFILL=b</stp>
        <tr r="P210" s="2"/>
      </tp>
      <tp t="s">
        <v>#N/A Requesting Data...</v>
        <stp/>
        <stp>##V3_BQLV12</stp>
        <stp>[MODL_NOW_US1.xlsx]Single Period!R105C49</stp>
        <stp>NOW US Equity</stp>
        <stp>ADJ_PROFIT_MARGIN</stp>
        <stp>FPR=2021Y</stp>
        <stp>FPT=A</stp>
        <stp>FA_ACT_EST_DATA=E, EST_SOURCE=SCB</stp>
        <stp>ACT_EST_MAPPING=PRECISE</stp>
        <stp>FS=MRC</stp>
        <stp>CURRENCY=USD</stp>
        <stp>XLFILL=b</stp>
        <tr r="AW105" s="2"/>
      </tp>
      <tp t="s">
        <v>#N/A Requesting Data...</v>
        <stp/>
        <stp>##V3_BQLV12</stp>
        <stp>[MODL_NOW_US1.xlsx]Single Period!R80C27</stp>
        <stp>NOW US Equity</stp>
        <stp>IS_COMP_SALES/1M</stp>
        <stp>FPR=2021Y</stp>
        <stp>FPT=A</stp>
        <stp>FA_ACT_EST_DATA=E, EST_SOURCE=RBC</stp>
        <stp>ACT_EST_MAPPING=PRECISE</stp>
        <stp>FS=MRC</stp>
        <stp>CURRENCY=USD</stp>
        <stp>XLFILL=b</stp>
        <tr r="AA80" s="2"/>
      </tp>
      <tp t="s">
        <v>#N/A Requesting Data...</v>
        <stp/>
        <stp>##V3_BQLV12</stp>
        <stp>[MODL_NOW_US1.xlsx]Single Period!R92C18</stp>
        <stp>NOW US Equity</stp>
        <stp>IS_ADJ_GENL_AND_ADMIN_EXPN_AR/1M</stp>
        <stp>FPR=2021Y</stp>
        <stp>FPT=A</stp>
        <stp>FA_ACT_EST_DATA=E, EST_SOURCE=SNR</stp>
        <stp>ACT_EST_MAPPING=PRECISE</stp>
        <stp>FS=MRC</stp>
        <stp>CURRENCY=USD</stp>
        <stp>XLFILL=b</stp>
        <tr r="R92" s="2"/>
      </tp>
      <tp t="s">
        <v>#N/A Requesting Data...</v>
        <stp/>
        <stp>##V3_BQLV12</stp>
        <stp>[MODL_NOW_US1.xlsx]Single Period!R105C16</stp>
        <stp>NOW US Equity</stp>
        <stp>ADJ_PROFIT_MARGIN</stp>
        <stp>FPR=2021Y</stp>
        <stp>FPT=A</stp>
        <stp>FA_ACT_EST_DATA=E, EST_SOURCE=BCA</stp>
        <stp>ACT_EST_MAPPING=PRECISE</stp>
        <stp>FS=MRC</stp>
        <stp>CURRENCY=USD</stp>
        <stp>XLFILL=b</stp>
        <tr r="P105" s="2"/>
      </tp>
      <tp t="s">
        <v>#N/A Requesting Data...</v>
        <stp/>
        <stp>##V3_BQLV12</stp>
        <stp>[MODL_NOW_US1.xlsx]Single Period!R203C42</stp>
        <stp>NOW US Equity</stp>
        <stp>AMORTIZATN_OF_FINNCNG_COSTS/1M</stp>
        <stp>FPR=2021Y</stp>
        <stp>FPT=A</stp>
        <stp>FA_ACT_EST_DATA=E, EST_SOURCE=CTI</stp>
        <stp>ACT_EST_MAPPING=PRECISE</stp>
        <stp>FS=MRC</stp>
        <stp>CURRENCY=USD</stp>
        <stp>XLFILL=b</stp>
        <tr r="AP203" s="2"/>
      </tp>
      <tp t="s">
        <v>#N/A Requesting Data...</v>
        <stp/>
        <stp>##V3_BQLV12</stp>
        <stp>[MODL_NOW_US1.xlsx]Single Period!R150C15</stp>
        <stp>NOW US Equity</stp>
        <stp>IS_INC_TAX_EFFECT_NONGAAP_REC/1M</stp>
        <stp>FPR=2021Y</stp>
        <stp>FPT=A</stp>
        <stp>FA_ACT_EST_DATA=E, EST_SOURCE=OPY</stp>
        <stp>ACT_EST_MAPPING=PRECISE</stp>
        <stp>FS=MRC</stp>
        <stp>CURRENCY=USD</stp>
        <stp>XLFILL=b</stp>
        <tr r="O150" s="2"/>
      </tp>
      <tp t="s">
        <v>#N/A Requesting Data...</v>
        <stp/>
        <stp>##V3_BQLV12</stp>
        <stp>[MODL_NOW_US1.xlsx]Single Period!R58C37</stp>
        <stp>SEG0000230975 Segment</stp>
        <stp>SALES_REV_TURN/1M</stp>
        <stp>FPR=2021Y</stp>
        <stp>FPT=A</stp>
        <stp>FA_ACT_EST_DATA=E, EST_SOURCE=TTC</stp>
        <stp>ACT_EST_MAPPING=PRECISE</stp>
        <stp>FS=MRC</stp>
        <stp>CURRENCY=USD</stp>
        <stp>XLFILL=b</stp>
        <tr r="AK58" s="2"/>
      </tp>
      <tp t="s">
        <v>#N/A Requesting Data...</v>
        <stp/>
        <stp>##V3_BQLV12</stp>
        <stp>[MODL_NOW_US1.xlsx]Single Period!R143C32</stp>
        <stp>NOW US Equity</stp>
        <stp>IS_SBC_ATTRIBUTABLE_TO_R_AND_D_PRETX/1M</stp>
        <stp>FPR=2021Y</stp>
        <stp>FPT=A</stp>
        <stp>FA_ACT_EST_DATA=E, EST_SOURCE=FBC</stp>
        <stp>ACT_EST_MAPPING=PRECISE</stp>
        <stp>FS=MRC</stp>
        <stp>CURRENCY=USD</stp>
        <stp>XLFILL=b</stp>
        <tr r="AF143" s="2"/>
      </tp>
      <tp t="s">
        <v>#N/A Requesting Data...</v>
        <stp/>
        <stp>##V3_BQLV12</stp>
        <stp>[MODL_NOW_US1.xlsx]Single Period!R83C37</stp>
        <stp>NOW US Equity</stp>
        <stp>IS_ADJUSTED_COGS_AS_REPORTED/1M</stp>
        <stp>FPR=2021Y</stp>
        <stp>FPT=A</stp>
        <stp>FA_ACT_EST_DATA=E, EST_SOURCE=TTC</stp>
        <stp>ACT_EST_MAPPING=PRECISE</stp>
        <stp>FS=MRC</stp>
        <stp>CURRENCY=USD</stp>
        <stp>XLFILL=b</stp>
        <tr r="AK83" s="2"/>
      </tp>
      <tp t="s">
        <v>#N/A Requesting Data...</v>
        <stp/>
        <stp>##V3_BQLV12</stp>
        <stp>[MODL_NOW_US1.xlsx]Single Period!R75C38</stp>
        <stp>SEG0000230992 Segment</stp>
        <stp>SALES_REV_TURN/1M</stp>
        <stp>FPR=2021Y</stp>
        <stp>FPT=A</stp>
        <stp>FA_ACT_EST_DATA=E, EST_SOURCE=RWB</stp>
        <stp>ACT_EST_MAPPING=PRECISE</stp>
        <stp>FS=MRC</stp>
        <stp>CURRENCY=USD</stp>
        <stp>XLFILL=b</stp>
        <tr r="AL75" s="2"/>
      </tp>
      <tp t="s">
        <v>#N/A Requesting Data...</v>
        <stp/>
        <stp>##V3_BQLV12</stp>
        <stp>[MODL_NOW_US1.xlsx]Single Period!R15C38</stp>
        <stp>SEG0000230992 Segment</stp>
        <stp>SALES_REV_TURN/1M</stp>
        <stp>FPR=2021Y</stp>
        <stp>FPT=A</stp>
        <stp>FA_ACT_EST_DATA=E, EST_SOURCE=RWB</stp>
        <stp>ACT_EST_MAPPING=PRECISE</stp>
        <stp>FS=MRC</stp>
        <stp>CURRENCY=USD</stp>
        <stp>XLFILL=b</stp>
        <tr r="AL15" s="2"/>
      </tp>
      <tp t="s">
        <v>#N/A Requesting Data...</v>
        <stp/>
        <stp>##V3_BQLV12</stp>
        <stp>[MODL_NOW_US1.xlsx]Single Period!R133C47</stp>
        <stp>NOW US Equity</stp>
        <stp>IS_SH_FOR_DILUTED_EPS/1M</stp>
        <stp>FPR=2021Y</stp>
        <stp>FPT=A</stp>
        <stp>FA_ACT_EST_DATA=E, EST_SOURCE=SUM</stp>
        <stp>ACT_EST_MAPPING=PRECISE</stp>
        <stp>FS=MRC</stp>
        <stp>CURRENCY=USD</stp>
        <stp>XLFILL=b</stp>
        <tr r="AU133" s="2"/>
      </tp>
      <tp t="s">
        <v>#N/A Requesting Data...</v>
        <stp/>
        <stp>##V3_BQLV12</stp>
        <stp>[MODL_NOW_US1.xlsx]Single Period!R20C34</stp>
        <stp>SEG0000230986 Segment</stp>
        <stp>SALES_REV_TURN/1M</stp>
        <stp>FPR=2021Y</stp>
        <stp>FPT=A</stp>
        <stp>FA_ACT_EST_DATA=E, EST_SOURCE=PSG</stp>
        <stp>ACT_EST_MAPPING=PRECISE</stp>
        <stp>FS=MRC</stp>
        <stp>CURRENCY=USD</stp>
        <stp>XLFILL=b</stp>
        <tr r="AH20" s="2"/>
      </tp>
      <tp t="s">
        <v>#N/A Requesting Data...</v>
        <stp/>
        <stp>##V3_BQLV12</stp>
        <stp>[MODL_NOW_US1.xlsx]Single Period!R169C31</stp>
        <stp>NOW US Equity</stp>
        <stp>CB_BS_OTHER_NONCURRENT_ASSETS/1M</stp>
        <stp>FPR=2021Y</stp>
        <stp>FPT=A</stp>
        <stp>FA_ACT_EST_DATA=E, EST_SOURCE=GSR</stp>
        <stp>ACT_EST_MAPPING=PRECISE</stp>
        <stp>FS=MRC</stp>
        <stp>CURRENCY=USD</stp>
        <stp>XLFILL=b</stp>
        <tr r="AE169" s="2"/>
      </tp>
      <tp t="s">
        <v>#N/A Requesting Data...</v>
        <stp/>
        <stp>##V3_BQLV12</stp>
        <stp>[MODL_NOW_US1.xlsx]Single Period!R200C49</stp>
        <stp>NOW US Equity</stp>
        <stp>CF_DEPR_AMORT/1M</stp>
        <stp>FPR=2021Y</stp>
        <stp>FPT=A</stp>
        <stp>FA_ACT_EST_DATA=E, EST_SOURCE=SCB</stp>
        <stp>ACT_EST_MAPPING=PRECISE</stp>
        <stp>FS=MRC</stp>
        <stp>CURRENCY=USD</stp>
        <stp>XLFILL=b</stp>
        <tr r="AW200" s="2"/>
      </tp>
      <tp t="s">
        <v>#N/A Requesting Data...</v>
        <stp/>
        <stp>##V3_BQLV12</stp>
        <stp>[MODL_NOW_US1.xlsx]Single Period!R15C24</stp>
        <stp>SEG0000230992 Segment</stp>
        <stp>SALES_REV_TURN/1M</stp>
        <stp>FPR=2021Y</stp>
        <stp>FPT=A</stp>
        <stp>FA_ACT_EST_DATA=E, EST_SOURCE=CWN</stp>
        <stp>ACT_EST_MAPPING=PRECISE</stp>
        <stp>FS=MRC</stp>
        <stp>CURRENCY=USD</stp>
        <stp>XLFILL=b</stp>
        <tr r="X15" s="2"/>
      </tp>
      <tp t="s">
        <v>#N/A Requesting Data...</v>
        <stp/>
        <stp>##V3_BQLV12</stp>
        <stp>[MODL_NOW_US1.xlsx]Single Period!R75C24</stp>
        <stp>SEG0000230992 Segment</stp>
        <stp>SALES_REV_TURN/1M</stp>
        <stp>FPR=2021Y</stp>
        <stp>FPT=A</stp>
        <stp>FA_ACT_EST_DATA=E, EST_SOURCE=CWN</stp>
        <stp>ACT_EST_MAPPING=PRECISE</stp>
        <stp>FS=MRC</stp>
        <stp>CURRENCY=USD</stp>
        <stp>XLFILL=b</stp>
        <tr r="X75" s="2"/>
      </tp>
      <tp t="s">
        <v>#N/A Requesting Data...</v>
        <stp/>
        <stp>##V3_BQLV12</stp>
        <stp>[MODL_NOW_US1.xlsx]Single Period!R58C42</stp>
        <stp>SEG0000230975 Segment</stp>
        <stp>SALES_REV_TURN/1M</stp>
        <stp>FPR=2021Y</stp>
        <stp>FPT=A</stp>
        <stp>FA_ACT_EST_DATA=E, EST_SOURCE=CTI</stp>
        <stp>ACT_EST_MAPPING=PRECISE</stp>
        <stp>FS=MRC</stp>
        <stp>CURRENCY=USD</stp>
        <stp>XLFILL=b</stp>
        <tr r="AP58" s="2"/>
      </tp>
      <tp t="s">
        <v>#N/A Requesting Data...</v>
        <stp/>
        <stp>##V3_BQLV12</stp>
        <stp>[MODL_NOW_US1.xlsx]Single Period!R69C14</stp>
        <stp>SEG0000230986 Segment</stp>
        <stp>IS_ADJ_GROSS_PROFIT_AS_REPORTED/1M</stp>
        <stp>FPR=2021Y</stp>
        <stp>FPT=A</stp>
        <stp>FA_ACT_EST_DATA=E, EST_SOURCE=BMO</stp>
        <stp>ACT_EST_MAPPING=PRECISE</stp>
        <stp>FS=MRC</stp>
        <stp>CURRENCY=USD</stp>
        <stp>XLFILL=b</stp>
        <tr r="N69" s="2"/>
      </tp>
      <tp t="s">
        <v>#N/A Requesting Data...</v>
        <stp/>
        <stp>##V3_BQLV12</stp>
        <stp>[MODL_NOW_US1.xlsx]Single Period!R77C39</stp>
        <stp>SEG0000230969 Segment</stp>
        <stp>SALES_REV_TURN/1M</stp>
        <stp>FPR=2021Y</stp>
        <stp>FPT=A</stp>
        <stp>FA_ACT_EST_DATA=E, EST_SOURCE=DZB</stp>
        <stp>ACT_EST_MAPPING=PRECISE</stp>
        <stp>FS=MRC</stp>
        <stp>CURRENCY=USD</stp>
        <stp>XLFILL=b</stp>
        <tr r="AM77" s="2"/>
      </tp>
      <tp t="s">
        <v>#N/A Requesting Data...</v>
        <stp/>
        <stp>##V3_BQLV12</stp>
        <stp>[MODL_NOW_US1.xlsx]Single Period!R15C40</stp>
        <stp>SEG0000230992 Segment</stp>
        <stp>SALES_REV_TURN/1M</stp>
        <stp>FPR=2021Y</stp>
        <stp>FPT=A</stp>
        <stp>FA_ACT_EST_DATA=E, EST_SOURCE=DWI</stp>
        <stp>ACT_EST_MAPPING=PRECISE</stp>
        <stp>FS=MRC</stp>
        <stp>CURRENCY=USD</stp>
        <stp>XLFILL=b</stp>
        <tr r="AN15" s="2"/>
      </tp>
      <tp t="s">
        <v>#N/A Requesting Data...</v>
        <stp/>
        <stp>##V3_BQLV12</stp>
        <stp>[MODL_NOW_US1.xlsx]Single Period!R75C40</stp>
        <stp>SEG0000230992 Segment</stp>
        <stp>SALES_REV_TURN/1M</stp>
        <stp>FPR=2021Y</stp>
        <stp>FPT=A</stp>
        <stp>FA_ACT_EST_DATA=E, EST_SOURCE=DWI</stp>
        <stp>ACT_EST_MAPPING=PRECISE</stp>
        <stp>FS=MRC</stp>
        <stp>CURRENCY=USD</stp>
        <stp>XLFILL=b</stp>
        <tr r="AN75" s="2"/>
      </tp>
      <tp t="s">
        <v>#N/A Requesting Data...</v>
        <stp/>
        <stp>##V3_BQLV12</stp>
        <stp>[MODL_NOW_US1.xlsx]Single Period!R66C47</stp>
        <stp>SEG0000230986 Segment</stp>
        <stp>SALES_REV_TURN/1M</stp>
        <stp>FPR=2021Y</stp>
        <stp>FPT=A</stp>
        <stp>FA_ACT_EST_DATA=E, EST_SOURCE=SUM</stp>
        <stp>ACT_EST_MAPPING=PRECISE</stp>
        <stp>FS=MRC</stp>
        <stp>CURRENCY=USD</stp>
        <stp>XLFILL=b</stp>
        <tr r="AU66" s="2"/>
      </tp>
      <tp t="s">
        <v>#N/A Requesting Data...</v>
        <stp/>
        <stp>##V3_BQLV12</stp>
        <stp>[MODL_NOW_US1.xlsx]Single Period!R54C37</stp>
        <stp>NOW US Equity</stp>
        <stp>IS_FOREIGN_CURRENCY_TURNOVER/1M</stp>
        <stp>FPR=2021Y</stp>
        <stp>FPT=A</stp>
        <stp>FA_ACT_EST_DATA=E, EST_SOURCE=TTC</stp>
        <stp>ACT_EST_MAPPING=PRECISE</stp>
        <stp>FS=MRC</stp>
        <stp>CURRENCY=USD</stp>
        <stp>XLFILL=b</stp>
        <tr r="AK54" s="2"/>
      </tp>
      <tp t="s">
        <v>#N/A Requesting Data...</v>
        <stp/>
        <stp>##V3_BQLV12</stp>
        <stp>[MODL_NOW_US1.xlsx]Single Period!R14C23</stp>
        <stp>SEG0000230975 Segment</stp>
        <stp>SALES_REV_TURN/1M</stp>
        <stp>FPR=2021Y</stp>
        <stp>FPT=A</stp>
        <stp>FA_ACT_EST_DATA=E, EST_SOURCE=ZXS</stp>
        <stp>ACT_EST_MAPPING=PRECISE</stp>
        <stp>FS=MRC</stp>
        <stp>CURRENCY=USD</stp>
        <stp>XLFILL=b</stp>
        <tr r="W14" s="2"/>
      </tp>
      <tp t="s">
        <v>#N/A Requesting Data...</v>
        <stp/>
        <stp>##V3_BQLV12</stp>
        <stp>[MODL_NOW_US1.xlsx]Single Period!R69C21</stp>
        <stp>SEG0000230986 Segment</stp>
        <stp>IS_ADJ_GROSS_PROFIT_AS_REPORTED/1M</stp>
        <stp>FPR=2021Y</stp>
        <stp>FPT=A</stp>
        <stp>FA_ACT_EST_DATA=E, EST_SOURCE=JMP</stp>
        <stp>ACT_EST_MAPPING=PRECISE</stp>
        <stp>FS=MRC</stp>
        <stp>CURRENCY=USD</stp>
        <stp>XLFILL=b</stp>
        <tr r="U69" s="2"/>
      </tp>
      <tp t="s">
        <v>#N/A Requesting Data...</v>
        <stp/>
        <stp>##V3_BQLV12</stp>
        <stp>[MODL_NOW_US1.xlsx]Single Period!R61C18</stp>
        <stp>SEG0000230975 Segment</stp>
        <stp>IS_ADJ_GROSS_PROFIT_AS_REPORTED/1M</stp>
        <stp>FPR=2021Y</stp>
        <stp>FPT=A</stp>
        <stp>FA_ACT_EST_DATA=E, EST_SOURCE=SNR</stp>
        <stp>ACT_EST_MAPPING=PRECISE</stp>
        <stp>FS=MRC</stp>
        <stp>CURRENCY=USD</stp>
        <stp>XLFILL=b</stp>
        <tr r="R61" s="2"/>
      </tp>
      <tp t="s">
        <v>#N/A Requesting Data...</v>
        <stp/>
        <stp>##V3_BQLV12</stp>
        <stp>[MODL_NOW_US1.xlsx]Single Period!R20C35</stp>
        <stp>SEG0000230986 Segment</stp>
        <stp>SALES_REV_TURN/1M</stp>
        <stp>FPR=2021Y</stp>
        <stp>FPT=A</stp>
        <stp>FA_ACT_EST_DATA=E, EST_SOURCE=MSR</stp>
        <stp>ACT_EST_MAPPING=PRECISE</stp>
        <stp>FS=MRC</stp>
        <stp>CURRENCY=USD</stp>
        <stp>XLFILL=b</stp>
        <tr r="AI20" s="2"/>
      </tp>
      <tp t="s">
        <v>#N/A Requesting Data...</v>
        <stp/>
        <stp>##V3_BQLV12</stp>
        <stp>[MODL_NOW_US1.xlsx]Single Period!R20C31</stp>
        <stp>SEG0000230986 Segment</stp>
        <stp>SALES_REV_TURN/1M</stp>
        <stp>FPR=2021Y</stp>
        <stp>FPT=A</stp>
        <stp>FA_ACT_EST_DATA=E, EST_SOURCE=GSR</stp>
        <stp>ACT_EST_MAPPING=PRECISE</stp>
        <stp>FS=MRC</stp>
        <stp>CURRENCY=USD</stp>
        <stp>XLFILL=b</stp>
        <tr r="AE20" s="2"/>
      </tp>
      <tp t="s">
        <v>#N/A Requesting Data...</v>
        <stp/>
        <stp>##V3_BQLV12</stp>
        <stp>[MODL_NOW_US1.xlsx]Single Period!R61C29</stp>
        <stp>SEG0000230975 Segment</stp>
        <stp>IS_ADJ_GROSS_PROFIT_AS_REPORTED/1M</stp>
        <stp>FPR=2021Y</stp>
        <stp>FPT=A</stp>
        <stp>FA_ACT_EST_DATA=E, EST_SOURCE=BNS</stp>
        <stp>ACT_EST_MAPPING=PRECISE</stp>
        <stp>FS=MRC</stp>
        <stp>CURRENCY=USD</stp>
        <stp>XLFILL=b</stp>
        <tr r="AC61" s="2"/>
      </tp>
      <tp t="s">
        <v>#N/A Requesting Data...</v>
        <stp/>
        <stp>##V3_BQLV12</stp>
        <stp>[MODL_NOW_US1.xlsx]Single Period!R232C5</stp>
        <stp>NOW US Equity</stp>
        <stp>CF_CASH_AND_CASH_EQUIV_BEG_BAL/1M</stp>
        <stp>FPR=2021Y</stp>
        <stp>FPT=A</stp>
        <stp>FA_ACT_EST_DATA=E</stp>
        <stp>ACT_EST_MAPPING=PRECISE</stp>
        <stp>FS=MRC</stp>
        <stp>CURRENCY=USD</stp>
        <stp>XLFILL=b</stp>
        <tr r="E232" s="2"/>
      </tp>
      <tp t="s">
        <v>#N/A Requesting Data...</v>
        <stp/>
        <stp>##V3_BQLV12</stp>
        <stp>[MODL_NOW_US1.xlsx]Single Period!R169C47</stp>
        <stp>NOW US Equity</stp>
        <stp>CB_BS_OTHER_NONCURRENT_ASSETS/1M</stp>
        <stp>FPR=2021Y</stp>
        <stp>FPT=A</stp>
        <stp>FA_ACT_EST_DATA=E, EST_SOURCE=SUM</stp>
        <stp>ACT_EST_MAPPING=PRECISE</stp>
        <stp>FS=MRC</stp>
        <stp>CURRENCY=USD</stp>
        <stp>XLFILL=b</stp>
        <tr r="AU169" s="2"/>
      </tp>
      <tp t="s">
        <v>#N/A Requesting Data...</v>
        <stp/>
        <stp>##V3_BQLV12</stp>
        <stp>[MODL_NOW_US1.xlsx]Single Period!R20C19</stp>
        <stp>SEG0000230986 Segment</stp>
        <stp>SALES_REV_TURN/1M</stp>
        <stp>FPR=2021Y</stp>
        <stp>FPT=A</stp>
        <stp>FA_ACT_EST_DATA=E, EST_SOURCE=MSV</stp>
        <stp>ACT_EST_MAPPING=PRECISE</stp>
        <stp>FS=MRC</stp>
        <stp>CURRENCY=USD</stp>
        <stp>XLFILL=b</stp>
        <tr r="S20" s="2"/>
      </tp>
      <tp t="s">
        <v>#N/A Requesting Data...</v>
        <stp/>
        <stp>##V3_BQLV12</stp>
        <stp>[MODL_NOW_US1.xlsx]Single Period!R133C31</stp>
        <stp>NOW US Equity</stp>
        <stp>IS_SH_FOR_DILUTED_EPS/1M</stp>
        <stp>FPR=2021Y</stp>
        <stp>FPT=A</stp>
        <stp>FA_ACT_EST_DATA=E, EST_SOURCE=GSR</stp>
        <stp>ACT_EST_MAPPING=PRECISE</stp>
        <stp>FS=MRC</stp>
        <stp>CURRENCY=USD</stp>
        <stp>XLFILL=b</stp>
        <tr r="AE133" s="2"/>
      </tp>
      <tp t="s">
        <v>#N/A Requesting Data...</v>
        <stp/>
        <stp>##V3_BQLV12</stp>
        <stp>[MODL_NOW_US1.xlsx]Single Period!R77C46</stp>
        <stp>SEG0000230969 Segment</stp>
        <stp>SALES_REV_TURN/1M</stp>
        <stp>FPR=2021Y</stp>
        <stp>FPT=A</stp>
        <stp>FA_ACT_EST_DATA=E, EST_SOURCE=MZS</stp>
        <stp>ACT_EST_MAPPING=PRECISE</stp>
        <stp>FS=MRC</stp>
        <stp>CURRENCY=USD</stp>
        <stp>XLFILL=b</stp>
        <tr r="AT77" s="2"/>
      </tp>
      <tp t="s">
        <v>#N/A Requesting Data...</v>
        <stp/>
        <stp>##V3_BQLV12</stp>
        <stp>[MODL_NOW_US1.xlsx]Single Period!R119C11</stp>
        <stp>NOW US Equity</stp>
        <stp>CB_IS_S_AND_M_EXPENSE/1M</stp>
        <stp>FPR=2021Y</stp>
        <stp>FPT=A</stp>
        <stp>FA_ACT_EST_DATA=E, EST_SOURCE=JPM</stp>
        <stp>ACT_EST_MAPPING=PRECISE</stp>
        <stp>FS=MRC</stp>
        <stp>CURRENCY=USD</stp>
        <stp>XLFILL=b</stp>
        <tr r="K119" s="2"/>
      </tp>
      <tp t="s">
        <v>#N/A Requesting Data...</v>
        <stp/>
        <stp>##V3_BQLV12</stp>
        <stp>[MODL_NOW_US1.xlsx]Single Period!R201C17</stp>
        <stp>NOW US Equity</stp>
        <stp>D_AND_A_TO_SALES</stp>
        <stp>FPR=2021Y</stp>
        <stp>FPT=A</stp>
        <stp>FA_ACT_EST_DATA=E, EST_SOURCE=RHR</stp>
        <stp>ACT_EST_MAPPING=PRECISE</stp>
        <stp>FS=MRC</stp>
        <stp>CURRENCY=USD</stp>
        <stp>XLFILL=b</stp>
        <tr r="Q201" s="2"/>
      </tp>
      <tp t="s">
        <v>#N/A Requesting Data...</v>
        <stp/>
        <stp>##V3_BQLV12</stp>
        <stp>[MODL_NOW_US1.xlsx]Single Period!R201C45</stp>
        <stp>NOW US Equity</stp>
        <stp>D_AND_A_TO_SALES</stp>
        <stp>FPR=2021Y</stp>
        <stp>FPT=A</stp>
        <stp>FA_ACT_EST_DATA=E, EST_SOURCE=PJE</stp>
        <stp>ACT_EST_MAPPING=PRECISE</stp>
        <stp>FS=MRC</stp>
        <stp>CURRENCY=USD</stp>
        <stp>XLFILL=b</stp>
        <tr r="AS201" s="2"/>
      </tp>
      <tp t="s">
        <v>#N/A Requesting Data...</v>
        <stp/>
        <stp>##V3_BQLV12</stp>
        <stp>[MODL_NOW_US1.xlsx]Single Period!R3C29</stp>
        <stp>NOW US Equity</stp>
        <stp>LAST(IS_COMP_SALES(FA_ACT_EST_DATA=E, EST_SOURCE=BNS).firm_name)</stp>
        <stp>FPR=2021Y</stp>
        <stp>FPT=A</stp>
        <stp>ACT_EST_MAPPING=PRECISE</stp>
        <stp>FS=MRC</stp>
        <stp>CURRENCY=USD</stp>
        <stp>XLFILL=b</stp>
        <tr r="AC3" s="2"/>
      </tp>
      <tp t="s">
        <v>#N/A Requesting Data...</v>
        <stp/>
        <stp>##V3_BQLV12</stp>
        <stp>[MODL_NOW_US1.xlsx]Single Period!R3C18</stp>
        <stp>NOW US Equity</stp>
        <stp>LAST(IS_COMP_SALES(FA_ACT_EST_DATA=E, EST_SOURCE=SNR).firm_name)</stp>
        <stp>FPR=2021Y</stp>
        <stp>FPT=A</stp>
        <stp>ACT_EST_MAPPING=PRECISE</stp>
        <stp>FS=MRC</stp>
        <stp>CURRENCY=USD</stp>
        <stp>XLFILL=b</stp>
        <tr r="R3" s="2"/>
      </tp>
      <tp t="s">
        <v>#N/A Requesting Data...</v>
        <stp/>
        <stp>##V3_BQLV12</stp>
        <stp>[MODL_NOW_US1.xlsx]Single Period!R10C21</stp>
        <stp>NOW US Equity</stp>
        <stp>BILLNG_AMOUNT_GROWTH_PCT</stp>
        <stp>FPR=2021Y</stp>
        <stp>FPT=A</stp>
        <stp>FA_ACT_EST_DATA=E, EST_SOURCE=JMP</stp>
        <stp>ACT_EST_MAPPING=PRECISE</stp>
        <stp>FS=MRC</stp>
        <stp>CURRENCY=USD</stp>
        <stp>XLFILL=b</stp>
        <tr r="U10" s="2"/>
      </tp>
      <tp t="s">
        <v>#N/A Requesting Data...</v>
        <stp/>
        <stp>##V3_BQLV12</stp>
        <stp>[MODL_NOW_US1.xlsx]Single Period!R126C17</stp>
        <stp>NOW US Equity</stp>
        <stp>IS_NON_OPERATING_INC_LOSS_GAAP/1M</stp>
        <stp>FPR=2021Y</stp>
        <stp>FPT=A</stp>
        <stp>FA_ACT_EST_DATA=E, EST_SOURCE=RHR</stp>
        <stp>ACT_EST_MAPPING=PRECISE</stp>
        <stp>FS=MRC</stp>
        <stp>CURRENCY=USD</stp>
        <stp>XLFILL=b</stp>
        <tr r="Q126" s="2"/>
      </tp>
      <tp t="s">
        <v>#N/A Requesting Data...</v>
        <stp/>
        <stp>##V3_BQLV12</stp>
        <stp>[MODL_NOW_US1.xlsx]Single Period!R128C13</stp>
        <stp>NOW US Equity</stp>
        <stp>IS_INC_TAX_EXP/1M</stp>
        <stp>FPR=2021Y</stp>
        <stp>FPT=A</stp>
        <stp>FA_ACT_EST_DATA=E, EST_SOURCE=KEY</stp>
        <stp>ACT_EST_MAPPING=PRECISE</stp>
        <stp>FS=MRC</stp>
        <stp>CURRENCY=USD</stp>
        <stp>XLFILL=b</stp>
        <tr r="M128" s="2"/>
      </tp>
      <tp t="s">
        <v>#N/A Requesting Data...</v>
        <stp/>
        <stp>##V3_BQLV12</stp>
        <stp>[MODL_NOW_US1.xlsx]Single Period!R232C47</stp>
        <stp>NOW US Equity</stp>
        <stp>CF_CASH_AND_CASH_EQUIV_BEG_BAL/1M</stp>
        <stp>FPR=2021Y</stp>
        <stp>FPT=A</stp>
        <stp>FA_ACT_EST_DATA=E, EST_SOURCE=SUM</stp>
        <stp>ACT_EST_MAPPING=PRECISE</stp>
        <stp>FS=MRC</stp>
        <stp>CURRENCY=USD</stp>
        <stp>XLFILL=b</stp>
        <tr r="AU232" s="2"/>
      </tp>
      <tp t="s">
        <v>#N/A Requesting Data...</v>
        <stp/>
        <stp>##V3_BQLV12</stp>
        <stp>[MODL_NOW_US1.xlsx]Single Period!R64C47</stp>
        <stp>SEG0000230975 Segment</stp>
        <stp>CB_IS_GROSS_MARGIN</stp>
        <stp>FPR=2021Y</stp>
        <stp>FPT=A</stp>
        <stp>FA_ACT_EST_DATA=E, EST_SOURCE=SUM</stp>
        <stp>ACT_EST_MAPPING=PRECISE</stp>
        <stp>FS=MRC</stp>
        <stp>CURRENCY=USD</stp>
        <stp>XLFILL=b</stp>
        <tr r="AU64" s="2"/>
      </tp>
      <tp t="s">
        <v>#N/A Requesting Data...</v>
        <stp/>
        <stp>##V3_BQLV12</stp>
        <stp>[MODL_NOW_US1.xlsx]Single Period!R233C24</stp>
        <stp>NOW US Equity</stp>
        <stp>CF_CASH_AND_CASH_EQUIV_END_BAL/1M</stp>
        <stp>FPR=2021Y</stp>
        <stp>FPT=A</stp>
        <stp>FA_ACT_EST_DATA=E, EST_SOURCE=CWN</stp>
        <stp>ACT_EST_MAPPING=PRECISE</stp>
        <stp>FS=MRC</stp>
        <stp>CURRENCY=USD</stp>
        <stp>XLFILL=b</stp>
        <tr r="X233" s="2"/>
      </tp>
      <tp t="s">
        <v>#N/A Requesting Data...</v>
        <stp/>
        <stp>##V3_BQLV12</stp>
        <stp>[MODL_NOW_US1.xlsx]Single Period!R128C36</stp>
        <stp>NOW US Equity</stp>
        <stp>IS_INC_TAX_EXP/1M</stp>
        <stp>FPR=2021Y</stp>
        <stp>FPT=A</stp>
        <stp>FA_ACT_EST_DATA=E, EST_SOURCE=JEF</stp>
        <stp>ACT_EST_MAPPING=PRECISE</stp>
        <stp>FS=MRC</stp>
        <stp>CURRENCY=USD</stp>
        <stp>XLFILL=b</stp>
        <tr r="AJ128" s="2"/>
      </tp>
      <tp t="s">
        <v>#N/A Requesting Data...</v>
        <stp/>
        <stp>##V3_BQLV12</stp>
        <stp>[MODL_NOW_US1.xlsx]Single Period!R233C40</stp>
        <stp>NOW US Equity</stp>
        <stp>CF_CASH_AND_CASH_EQUIV_END_BAL/1M</stp>
        <stp>FPR=2021Y</stp>
        <stp>FPT=A</stp>
        <stp>FA_ACT_EST_DATA=E, EST_SOURCE=DWI</stp>
        <stp>ACT_EST_MAPPING=PRECISE</stp>
        <stp>FS=MRC</stp>
        <stp>CURRENCY=USD</stp>
        <stp>XLFILL=b</stp>
        <tr r="AN233" s="2"/>
      </tp>
      <tp t="s">
        <v>#N/A Requesting Data...</v>
        <stp/>
        <stp>##V3_BQLV12</stp>
        <stp>[MODL_NOW_US1.xlsx]Single Period!R204C45</stp>
        <stp>NOW US Equity</stp>
        <stp>CF_DEF_INC_TAX/1M</stp>
        <stp>FPR=2021Y</stp>
        <stp>FPT=A</stp>
        <stp>FA_ACT_EST_DATA=E, EST_SOURCE=PJE</stp>
        <stp>ACT_EST_MAPPING=PRECISE</stp>
        <stp>FS=MRC</stp>
        <stp>CURRENCY=USD</stp>
        <stp>XLFILL=b</stp>
        <tr r="AS204" s="2"/>
      </tp>
      <tp t="s">
        <v>#N/A Requesting Data...</v>
        <stp/>
        <stp>##V3_BQLV12</stp>
        <stp>[MODL_NOW_US1.xlsx]Single Period!R168C43</stp>
        <stp>NOW US Equity</stp>
        <stp>CB_BS_DEFERRED_COST_LT/1M</stp>
        <stp>FPR=2021Y</stp>
        <stp>FPT=A</stp>
        <stp>FA_ACT_EST_DATA=E, EST_SOURCE=WFT</stp>
        <stp>ACT_EST_MAPPING=PRECISE</stp>
        <stp>FS=MRC</stp>
        <stp>CURRENCY=USD</stp>
        <stp>XLFILL=b</stp>
        <tr r="AQ168" s="2"/>
      </tp>
      <tp t="s">
        <v>#N/A Requesting Data...</v>
        <stp/>
        <stp>##V3_BQLV12</stp>
        <stp>[MODL_NOW_US1.xlsx]Single Period!R40C14</stp>
        <stp>NOW US Equity</stp>
        <stp>BILLNG_AMOUNT_GROWTH_PCT</stp>
        <stp>FPR=2021Y</stp>
        <stp>FPT=A</stp>
        <stp>FA_ACT_EST_DATA=E, EST_SOURCE=BMO</stp>
        <stp>ACT_EST_MAPPING=PRECISE</stp>
        <stp>FS=MRC</stp>
        <stp>CURRENCY=USD</stp>
        <stp>XLFILL=b</stp>
        <tr r="N40" s="2"/>
      </tp>
      <tp t="s">
        <v>#N/A Requesting Data...</v>
        <stp/>
        <stp>##V3_BQLV12</stp>
        <stp>[MODL_NOW_US1.xlsx]Single Period!R62C22</stp>
        <stp>SEG0000230975 Segment</stp>
        <stp>IS_ADJ_GROSS_MARGIN_PCT_AR</stp>
        <stp>FPR=2021Y</stp>
        <stp>FPT=A</stp>
        <stp>FA_ACT_EST_DATA=E, EST_SOURCE=NDH</stp>
        <stp>ACT_EST_MAPPING=PRECISE</stp>
        <stp>FS=MRC</stp>
        <stp>CURRENCY=USD</stp>
        <stp>XLFILL=b</stp>
        <tr r="V62" s="2"/>
      </tp>
      <tp t="s">
        <v>#N/A Requesting Data...</v>
        <stp/>
        <stp>##V3_BQLV12</stp>
        <stp>[MODL_NOW_US1.xlsx]Single Period!R18C22</stp>
        <stp>SEG0000230975 Segment</stp>
        <stp>IS_ADJ_GROSS_MARGIN_PCT_AR</stp>
        <stp>FPR=2021Y</stp>
        <stp>FPT=A</stp>
        <stp>FA_ACT_EST_DATA=E, EST_SOURCE=NDH</stp>
        <stp>ACT_EST_MAPPING=PRECISE</stp>
        <stp>FS=MRC</stp>
        <stp>CURRENCY=USD</stp>
        <stp>XLFILL=b</stp>
        <tr r="V18" s="2"/>
      </tp>
      <tp t="s">
        <v>#N/A Requesting Data...</v>
        <stp/>
        <stp>##V3_BQLV12</stp>
        <stp>[MODL_NOW_US1.xlsx]Single Period!R233C38</stp>
        <stp>NOW US Equity</stp>
        <stp>CF_CASH_AND_CASH_EQUIV_END_BAL/1M</stp>
        <stp>FPR=2021Y</stp>
        <stp>FPT=A</stp>
        <stp>FA_ACT_EST_DATA=E, EST_SOURCE=RWB</stp>
        <stp>ACT_EST_MAPPING=PRECISE</stp>
        <stp>FS=MRC</stp>
        <stp>CURRENCY=USD</stp>
        <stp>XLFILL=b</stp>
        <tr r="AL233" s="2"/>
      </tp>
      <tp t="s">
        <v>#N/A Requesting Data...</v>
        <stp/>
        <stp>##V3_BQLV12</stp>
        <stp>[MODL_NOW_US1.xlsx]Single Period!R9C39</stp>
        <stp>NOW US Equity</stp>
        <stp>IS_BILLINGS/1M</stp>
        <stp>FPR=2021Y</stp>
        <stp>FPT=A</stp>
        <stp>FA_ACT_EST_DATA=E, EST_SOURCE=DZB</stp>
        <stp>ACT_EST_MAPPING=PRECISE</stp>
        <stp>FS=MRC</stp>
        <stp>CURRENCY=USD</stp>
        <stp>XLFILL=b</stp>
        <tr r="AM9" s="2"/>
      </tp>
      <tp t="s">
        <v>#N/A Requesting Data...</v>
        <stp/>
        <stp>##V3_BQLV12</stp>
        <stp>[MODL_NOW_US1.xlsx]Single Period!R142C17</stp>
        <stp>NOW US Equity</stp>
        <stp>IS_SBC_ATT_TO_S_AND_M_PRETX/1M</stp>
        <stp>FPR=2021Y</stp>
        <stp>FPT=A</stp>
        <stp>FA_ACT_EST_DATA=E, EST_SOURCE=RHR</stp>
        <stp>ACT_EST_MAPPING=PRECISE</stp>
        <stp>FS=MRC</stp>
        <stp>CURRENCY=USD</stp>
        <stp>XLFILL=b</stp>
        <tr r="Q142" s="2"/>
      </tp>
      <tp t="s">
        <v>#N/A Requesting Data...</v>
        <stp/>
        <stp>##V3_BQLV12</stp>
        <stp>[MODL_NOW_US1.xlsx]Single Period!R10C10</stp>
        <stp>NOW US Equity</stp>
        <stp>BILLNG_AMOUNT_GROWTH_PCT</stp>
        <stp>FPR=2021Y</stp>
        <stp>FPT=A</stp>
        <stp>FA_ACT_EST_DATA=E, EST_SOURCE=CMPY</stp>
        <stp>ACT_EST_MAPPING=PRECISE</stp>
        <stp>FS=MRC</stp>
        <stp>CURRENCY=USD</stp>
        <stp>XLFILL=b</stp>
        <tr r="J10" s="2"/>
      </tp>
      <tp t="s">
        <v>#N/A Requesting Data...</v>
        <stp/>
        <stp>##V3_BQLV12</stp>
        <stp>[MODL_NOW_US1.xlsx]Single Period!R40C10</stp>
        <stp>NOW US Equity</stp>
        <stp>BILLNG_AMOUNT_GROWTH_PCT</stp>
        <stp>FPR=2021Y</stp>
        <stp>FPT=A</stp>
        <stp>FA_ACT_EST_DATA=E, EST_SOURCE=CMPY</stp>
        <stp>ACT_EST_MAPPING=PRECISE</stp>
        <stp>FS=MRC</stp>
        <stp>CURRENCY=USD</stp>
        <stp>XLFILL=b</stp>
        <tr r="J40" s="2"/>
      </tp>
      <tp t="s">
        <v>#N/A Requesting Data...</v>
        <stp/>
        <stp>##V3_BQLV12</stp>
        <stp>[MODL_NOW_US1.xlsx]Single Period!R98C31</stp>
        <stp>NOW US Equity</stp>
        <stp>CF_DEPR_AMORT/1M</stp>
        <stp>FPR=2021Y</stp>
        <stp>FPT=A</stp>
        <stp>FA_ACT_EST_DATA=E, EST_SOURCE=GSR</stp>
        <stp>ACT_EST_MAPPING=PRECISE</stp>
        <stp>FS=MRC</stp>
        <stp>CURRENCY=USD</stp>
        <stp>XLFILL=b</stp>
        <tr r="AE98" s="2"/>
      </tp>
      <tp t="s">
        <v>#N/A Requesting Data...</v>
        <stp/>
        <stp>##V3_BQLV12</stp>
        <stp>[MODL_NOW_US1.xlsx]Single Period!R161C25</stp>
        <stp>NOW US Equity</stp>
        <stp>BS_TOTAL_NON_CURRENT_ASSETS/1M</stp>
        <stp>FPR=2021Y</stp>
        <stp>FPT=A</stp>
        <stp>FA_ACT_EST_DATA=E, EST_SOURCE=DBG</stp>
        <stp>ACT_EST_MAPPING=PRECISE</stp>
        <stp>FS=MRC</stp>
        <stp>CURRENCY=USD</stp>
        <stp>XLFILL=b</stp>
        <tr r="Y161" s="2"/>
      </tp>
      <tp t="s">
        <v>#N/A Requesting Data...</v>
        <stp/>
        <stp>##V3_BQLV12</stp>
        <stp>[MODL_NOW_US1.xlsx]Single Period!R80C13</stp>
        <stp>NOW US Equity</stp>
        <stp>IS_COMP_SALES/1M</stp>
        <stp>FPR=2021Y</stp>
        <stp>FPT=A</stp>
        <stp>FA_ACT_EST_DATA=E, EST_SOURCE=KEY</stp>
        <stp>ACT_EST_MAPPING=PRECISE</stp>
        <stp>FS=MRC</stp>
        <stp>CURRENCY=USD</stp>
        <stp>XLFILL=b</stp>
        <tr r="M80" s="2"/>
      </tp>
      <tp t="s">
        <v>#N/A Requesting Data...</v>
        <stp/>
        <stp>##V3_BQLV12</stp>
        <stp>[MODL_NOW_US1.xlsx]Single Period!R191C36</stp>
        <stp>NOW US Equity</stp>
        <stp>ST_DEFERRED_REVENUE/1M</stp>
        <stp>FPR=2021Y</stp>
        <stp>FPT=A</stp>
        <stp>FA_ACT_EST_DATA=E, EST_SOURCE=JEF</stp>
        <stp>ACT_EST_MAPPING=PRECISE</stp>
        <stp>FS=MRC</stp>
        <stp>CURRENCY=USD</stp>
        <stp>XLFILL=b</stp>
        <tr r="AJ191" s="2"/>
      </tp>
      <tp t="s">
        <v>#N/A Requesting Data...</v>
        <stp/>
        <stp>##V3_BQLV12</stp>
        <stp>[MODL_NOW_US1.xlsx]Single Period!R176C36</stp>
        <stp>NOW US Equity</stp>
        <stp>ST_DEFERRED_REVENUE/1M</stp>
        <stp>FPR=2021Y</stp>
        <stp>FPT=A</stp>
        <stp>FA_ACT_EST_DATA=E, EST_SOURCE=JEF</stp>
        <stp>ACT_EST_MAPPING=PRECISE</stp>
        <stp>FS=MRC</stp>
        <stp>CURRENCY=USD</stp>
        <stp>XLFILL=b</stp>
        <tr r="AJ176" s="2"/>
      </tp>
      <tp t="s">
        <v>#N/A Requesting Data...</v>
        <stp/>
        <stp>##V3_BQLV12</stp>
        <stp>[MODL_NOW_US1.xlsx]Single Period!R179C36</stp>
        <stp>NOW US Equity</stp>
        <stp>LT_DEFERRED_REVENUE/1M</stp>
        <stp>FPR=2021Y</stp>
        <stp>FPT=A</stp>
        <stp>FA_ACT_EST_DATA=E, EST_SOURCE=JEF</stp>
        <stp>ACT_EST_MAPPING=PRECISE</stp>
        <stp>FS=MRC</stp>
        <stp>CURRENCY=USD</stp>
        <stp>XLFILL=b</stp>
        <tr r="AJ179" s="2"/>
      </tp>
      <tp t="s">
        <v>#N/A Requesting Data...</v>
        <stp/>
        <stp>##V3_BQLV12</stp>
        <stp>[MODL_NOW_US1.xlsx]Single Period!R192C36</stp>
        <stp>NOW US Equity</stp>
        <stp>LT_DEFERRED_REVENUE/1M</stp>
        <stp>FPR=2021Y</stp>
        <stp>FPT=A</stp>
        <stp>FA_ACT_EST_DATA=E, EST_SOURCE=JEF</stp>
        <stp>ACT_EST_MAPPING=PRECISE</stp>
        <stp>FS=MRC</stp>
        <stp>CURRENCY=USD</stp>
        <stp>XLFILL=b</stp>
        <tr r="AJ192" s="2"/>
      </tp>
      <tp t="s">
        <v>#N/A Requesting Data...</v>
        <stp/>
        <stp>##V3_BQLV12</stp>
        <stp>[MODL_NOW_US1.xlsx]Single Period!R178C43</stp>
        <stp>NOW US Equity</stp>
        <stp>BS_ADJ_TOTAL_LT_LIABILITIES/1M</stp>
        <stp>FPR=2021Y</stp>
        <stp>FPT=A</stp>
        <stp>FA_ACT_EST_DATA=E, EST_SOURCE=WFT</stp>
        <stp>ACT_EST_MAPPING=PRECISE</stp>
        <stp>FS=MRC</stp>
        <stp>CURRENCY=USD</stp>
        <stp>XLFILL=b</stp>
        <tr r="AQ178" s="2"/>
      </tp>
      <tp t="s">
        <v>#N/A Requesting Data...</v>
        <stp/>
        <stp>##V3_BQLV12</stp>
        <stp>[MODL_NOW_US1.xlsx]Single Period!R161C32</stp>
        <stp>NOW US Equity</stp>
        <stp>BS_TOTAL_NON_CURRENT_ASSETS/1M</stp>
        <stp>FPR=2021Y</stp>
        <stp>FPT=A</stp>
        <stp>FA_ACT_EST_DATA=E, EST_SOURCE=FBC</stp>
        <stp>ACT_EST_MAPPING=PRECISE</stp>
        <stp>FS=MRC</stp>
        <stp>CURRENCY=USD</stp>
        <stp>XLFILL=b</stp>
        <tr r="AF161" s="2"/>
      </tp>
      <tp t="s">
        <v>#N/A Requesting Data...</v>
        <stp/>
        <stp>##V3_BQLV12</stp>
        <stp>[MODL_NOW_US1.xlsx]Single Period!R161C27</stp>
        <stp>NOW US Equity</stp>
        <stp>BS_TOTAL_NON_CURRENT_ASSETS/1M</stp>
        <stp>FPR=2021Y</stp>
        <stp>FPT=A</stp>
        <stp>FA_ACT_EST_DATA=E, EST_SOURCE=RBC</stp>
        <stp>ACT_EST_MAPPING=PRECISE</stp>
        <stp>FS=MRC</stp>
        <stp>CURRENCY=USD</stp>
        <stp>XLFILL=b</stp>
        <tr r="AA161" s="2"/>
      </tp>
      <tp t="s">
        <v>#N/A Requesting Data...</v>
        <stp/>
        <stp>##V3_BQLV12</stp>
        <stp>[MODL_NOW_US1.xlsx]Single Period!R27C25</stp>
        <stp>NOW US Equity</stp>
        <stp>IS_REV_INCLUDING_INTERSEG_REV/1M</stp>
        <stp>FPR=2021Y</stp>
        <stp>FPT=A</stp>
        <stp>FA_ACT_EST_DATA=E, EST_SOURCE=DBG</stp>
        <stp>ACT_EST_MAPPING=PRECISE</stp>
        <stp>FS=MRC</stp>
        <stp>CURRENCY=USD</stp>
        <stp>XLFILL=b</stp>
        <tr r="Y27" s="2"/>
      </tp>
      <tp t="s">
        <v>#N/A Requesting Data...</v>
        <stp/>
        <stp>##V3_BQLV12</stp>
        <stp>[MODL_NOW_US1.xlsx]Single Period!R161C12</stp>
        <stp>NOW US Equity</stp>
        <stp>BS_TOTAL_NON_CURRENT_ASSETS/1M</stp>
        <stp>FPR=2021Y</stp>
        <stp>FPT=A</stp>
        <stp>FA_ACT_EST_DATA=E, EST_SOURCE=WBL</stp>
        <stp>ACT_EST_MAPPING=PRECISE</stp>
        <stp>FS=MRC</stp>
        <stp>CURRENCY=USD</stp>
        <stp>XLFILL=b</stp>
        <tr r="L161" s="2"/>
      </tp>
      <tp t="s">
        <v>#N/A Requesting Data...</v>
        <stp/>
        <stp>##V3_BQLV12</stp>
        <stp>[MODL_NOW_US1.xlsx]Single Period!R30C43</stp>
        <stp>NOW US Equity</stp>
        <stp>CF_FREE_CASH_FLOW_AS_REPORTED/1M</stp>
        <stp>FPR=2021Y</stp>
        <stp>FPT=A</stp>
        <stp>FA_ACT_EST_DATA=E, EST_SOURCE=WFT</stp>
        <stp>ACT_EST_MAPPING=PRECISE</stp>
        <stp>FS=MRC</stp>
        <stp>CURRENCY=USD</stp>
        <stp>XLFILL=b</stp>
        <tr r="AQ30" s="2"/>
      </tp>
      <tp t="s">
        <v>#N/A Requesting Data...</v>
        <stp/>
        <stp>##V3_BQLV12</stp>
        <stp>[MODL_NOW_US1.xlsx]Single Period!R92C16</stp>
        <stp>NOW US Equity</stp>
        <stp>IS_ADJ_GENL_AND_ADMIN_EXPN_AR/1M</stp>
        <stp>FPR=2021Y</stp>
        <stp>FPT=A</stp>
        <stp>FA_ACT_EST_DATA=E, EST_SOURCE=BCA</stp>
        <stp>ACT_EST_MAPPING=PRECISE</stp>
        <stp>FS=MRC</stp>
        <stp>CURRENCY=USD</stp>
        <stp>XLFILL=b</stp>
        <tr r="P92" s="2"/>
      </tp>
      <tp t="s">
        <v>#N/A Requesting Data...</v>
        <stp/>
        <stp>##V3_BQLV12</stp>
        <stp>[MODL_NOW_US1.xlsx]Single Period!R80C18</stp>
        <stp>NOW US Equity</stp>
        <stp>IS_COMP_SALES/1M</stp>
        <stp>FPR=2021Y</stp>
        <stp>FPT=A</stp>
        <stp>FA_ACT_EST_DATA=E, EST_SOURCE=SNR</stp>
        <stp>ACT_EST_MAPPING=PRECISE</stp>
        <stp>FS=MRC</stp>
        <stp>CURRENCY=USD</stp>
        <stp>XLFILL=b</stp>
        <tr r="R80" s="2"/>
      </tp>
      <tp t="s">
        <v>#N/A Requesting Data...</v>
        <stp/>
        <stp>##V3_BQLV12</stp>
        <stp>[MODL_NOW_US1.xlsx]Single Period!R92C27</stp>
        <stp>NOW US Equity</stp>
        <stp>IS_ADJ_GENL_AND_ADMIN_EXPN_AR/1M</stp>
        <stp>FPR=2021Y</stp>
        <stp>FPT=A</stp>
        <stp>FA_ACT_EST_DATA=E, EST_SOURCE=RBC</stp>
        <stp>ACT_EST_MAPPING=PRECISE</stp>
        <stp>FS=MRC</stp>
        <stp>CURRENCY=USD</stp>
        <stp>XLFILL=b</stp>
        <tr r="AA92" s="2"/>
      </tp>
      <tp t="s">
        <v>#N/A Requesting Data...</v>
        <stp/>
        <stp>##V3_BQLV12</stp>
        <stp>[MODL_NOW_US1.xlsx]Single Period!R203C38</stp>
        <stp>NOW US Equity</stp>
        <stp>AMORTIZATN_OF_FINNCNG_COSTS/1M</stp>
        <stp>FPR=2021Y</stp>
        <stp>FPT=A</stp>
        <stp>FA_ACT_EST_DATA=E, EST_SOURCE=RWB</stp>
        <stp>ACT_EST_MAPPING=PRECISE</stp>
        <stp>FS=MRC</stp>
        <stp>CURRENCY=USD</stp>
        <stp>XLFILL=b</stp>
        <tr r="AL203" s="2"/>
      </tp>
      <tp t="s">
        <v>#N/A Requesting Data...</v>
        <stp/>
        <stp>##V3_BQLV12</stp>
        <stp>[MODL_NOW_US1.xlsx]Single Period!R80C22</stp>
        <stp>NOW US Equity</stp>
        <stp>IS_COMP_SALES/1M</stp>
        <stp>FPR=2021Y</stp>
        <stp>FPT=A</stp>
        <stp>FA_ACT_EST_DATA=E, EST_SOURCE=NDH</stp>
        <stp>ACT_EST_MAPPING=PRECISE</stp>
        <stp>FS=MRC</stp>
        <stp>CURRENCY=USD</stp>
        <stp>XLFILL=b</stp>
        <tr r="V80" s="2"/>
      </tp>
      <tp t="s">
        <v>#N/A Requesting Data...</v>
        <stp/>
        <stp>##V3_BQLV12</stp>
        <stp>[MODL_NOW_US1.xlsx]Single Period!R137C47</stp>
        <stp>NOW US Equity</stp>
        <stp>CF_STOCK_BASED_COMPENSATION/1M</stp>
        <stp>FPR=2021Y</stp>
        <stp>FPT=A</stp>
        <stp>FA_ACT_EST_DATA=E, EST_SOURCE=SUM</stp>
        <stp>ACT_EST_MAPPING=PRECISE</stp>
        <stp>FS=MRC</stp>
        <stp>CURRENCY=USD</stp>
        <stp>XLFILL=b</stp>
        <tr r="AU137" s="2"/>
      </tp>
      <tp t="s">
        <v>#N/A Requesting Data...</v>
        <stp/>
        <stp>##V3_BQLV12</stp>
        <stp>[MODL_NOW_US1.xlsx]Single Period!R124C38</stp>
        <stp>NOW US Equity</stp>
        <stp>IS_EBIT_AS_REPORTED/1M</stp>
        <stp>FPR=2021Y</stp>
        <stp>FPT=A</stp>
        <stp>FA_ACT_EST_DATA=E, EST_SOURCE=RWB</stp>
        <stp>ACT_EST_MAPPING=PRECISE</stp>
        <stp>FS=MRC</stp>
        <stp>CURRENCY=USD</stp>
        <stp>XLFILL=b</stp>
        <tr r="AL124" s="2"/>
      </tp>
      <tp t="s">
        <v>#N/A Requesting Data...</v>
        <stp/>
        <stp>##V3_BQLV12</stp>
        <stp>[MODL_NOW_US1.xlsx]Single Period!R189C17</stp>
        <stp>NOW US Equity</stp>
        <stp>CUR_RATIO</stp>
        <stp>FPR=2021Y</stp>
        <stp>FPT=A</stp>
        <stp>FA_ACT_EST_DATA=E, EST_SOURCE=RHR</stp>
        <stp>ACT_EST_MAPPING=PRECISE</stp>
        <stp>FS=MRC</stp>
        <stp>CURRENCY=USD</stp>
        <stp>XLFILL=b</stp>
        <tr r="Q189" s="2"/>
      </tp>
      <tp t="s">
        <v>#N/A Requesting Data...</v>
        <stp/>
        <stp>##V3_BQLV12</stp>
        <stp>[MODL_NOW_US1.xlsx]Single Period!R9C46</stp>
        <stp>NOW US Equity</stp>
        <stp>IS_BILLINGS/1M</stp>
        <stp>FPR=2021Y</stp>
        <stp>FPT=A</stp>
        <stp>FA_ACT_EST_DATA=E, EST_SOURCE=MZS</stp>
        <stp>ACT_EST_MAPPING=PRECISE</stp>
        <stp>FS=MRC</stp>
        <stp>CURRENCY=USD</stp>
        <stp>XLFILL=b</stp>
        <tr r="AT9" s="2"/>
      </tp>
      <tp t="s">
        <v>#N/A Requesting Data...</v>
        <stp/>
        <stp>##V3_BQLV12</stp>
        <stp>[MODL_NOW_US1.xlsx]Single Period!R161C26</stp>
        <stp>NOW US Equity</stp>
        <stp>BS_TOTAL_NON_CURRENT_ASSETS/1M</stp>
        <stp>FPR=2021Y</stp>
        <stp>FPT=A</stp>
        <stp>FA_ACT_EST_DATA=E, EST_SOURCE=UBS</stp>
        <stp>ACT_EST_MAPPING=PRECISE</stp>
        <stp>FS=MRC</stp>
        <stp>CURRENCY=USD</stp>
        <stp>XLFILL=b</stp>
        <tr r="Z161" s="2"/>
      </tp>
      <tp t="s">
        <v>#N/A Requesting Data...</v>
        <stp/>
        <stp>##V3_BQLV12</stp>
        <stp>[MODL_NOW_US1.xlsx]Single Period!R30C16</stp>
        <stp>NOW US Equity</stp>
        <stp>CF_FREE_CASH_FLOW_AS_REPORTED/1M</stp>
        <stp>FPR=2021Y</stp>
        <stp>FPT=A</stp>
        <stp>FA_ACT_EST_DATA=E, EST_SOURCE=BCA</stp>
        <stp>ACT_EST_MAPPING=PRECISE</stp>
        <stp>FS=MRC</stp>
        <stp>CURRENCY=USD</stp>
        <stp>XLFILL=b</stp>
        <tr r="P30" s="2"/>
      </tp>
      <tp t="s">
        <v>#N/A Requesting Data...</v>
        <stp/>
        <stp>##V3_BQLV12</stp>
        <stp>[MODL_NOW_US1.xlsx]Single Period!R92C43</stp>
        <stp>NOW US Equity</stp>
        <stp>IS_ADJ_GENL_AND_ADMIN_EXPN_AR/1M</stp>
        <stp>FPR=2021Y</stp>
        <stp>FPT=A</stp>
        <stp>FA_ACT_EST_DATA=E, EST_SOURCE=WFT</stp>
        <stp>ACT_EST_MAPPING=PRECISE</stp>
        <stp>FS=MRC</stp>
        <stp>CURRENCY=USD</stp>
        <stp>XLFILL=b</stp>
        <tr r="AQ92" s="2"/>
      </tp>
      <tp t="s">
        <v>#N/A Requesting Data...</v>
        <stp/>
        <stp>##V3_BQLV12</stp>
        <stp>[MODL_NOW_US1.xlsx]Single Period!R191C13</stp>
        <stp>NOW US Equity</stp>
        <stp>ST_DEFERRED_REVENUE/1M</stp>
        <stp>FPR=2021Y</stp>
        <stp>FPT=A</stp>
        <stp>FA_ACT_EST_DATA=E, EST_SOURCE=KEY</stp>
        <stp>ACT_EST_MAPPING=PRECISE</stp>
        <stp>FS=MRC</stp>
        <stp>CURRENCY=USD</stp>
        <stp>XLFILL=b</stp>
        <tr r="M191" s="2"/>
      </tp>
      <tp t="s">
        <v>#N/A Requesting Data...</v>
        <stp/>
        <stp>##V3_BQLV12</stp>
        <stp>[MODL_NOW_US1.xlsx]Single Period!R176C13</stp>
        <stp>NOW US Equity</stp>
        <stp>ST_DEFERRED_REVENUE/1M</stp>
        <stp>FPR=2021Y</stp>
        <stp>FPT=A</stp>
        <stp>FA_ACT_EST_DATA=E, EST_SOURCE=KEY</stp>
        <stp>ACT_EST_MAPPING=PRECISE</stp>
        <stp>FS=MRC</stp>
        <stp>CURRENCY=USD</stp>
        <stp>XLFILL=b</stp>
        <tr r="M176" s="2"/>
      </tp>
      <tp t="s">
        <v>#N/A Requesting Data...</v>
        <stp/>
        <stp>##V3_BQLV12</stp>
        <stp>[MODL_NOW_US1.xlsx]Single Period!R184C47</stp>
        <stp>NOW US Equity</stp>
        <stp>BS_EQTY_BEFORE_MINORITY_INT/1M</stp>
        <stp>FPR=2021Y</stp>
        <stp>FPT=A</stp>
        <stp>FA_ACT_EST_DATA=E, EST_SOURCE=SUM</stp>
        <stp>ACT_EST_MAPPING=PRECISE</stp>
        <stp>FS=MRC</stp>
        <stp>CURRENCY=USD</stp>
        <stp>XLFILL=b</stp>
        <tr r="AU184" s="2"/>
      </tp>
      <tp t="s">
        <v>#N/A Requesting Data...</v>
        <stp/>
        <stp>##V3_BQLV12</stp>
        <stp>[MODL_NOW_US1.xlsx]Single Period!R179C13</stp>
        <stp>NOW US Equity</stp>
        <stp>LT_DEFERRED_REVENUE/1M</stp>
        <stp>FPR=2021Y</stp>
        <stp>FPT=A</stp>
        <stp>FA_ACT_EST_DATA=E, EST_SOURCE=KEY</stp>
        <stp>ACT_EST_MAPPING=PRECISE</stp>
        <stp>FS=MRC</stp>
        <stp>CURRENCY=USD</stp>
        <stp>XLFILL=b</stp>
        <tr r="M179" s="2"/>
      </tp>
      <tp t="s">
        <v>#N/A Requesting Data...</v>
        <stp/>
        <stp>##V3_BQLV12</stp>
        <stp>[MODL_NOW_US1.xlsx]Single Period!R192C13</stp>
        <stp>NOW US Equity</stp>
        <stp>LT_DEFERRED_REVENUE/1M</stp>
        <stp>FPR=2021Y</stp>
        <stp>FPT=A</stp>
        <stp>FA_ACT_EST_DATA=E, EST_SOURCE=KEY</stp>
        <stp>ACT_EST_MAPPING=PRECISE</stp>
        <stp>FS=MRC</stp>
        <stp>CURRENCY=USD</stp>
        <stp>XLFILL=b</stp>
        <tr r="M192" s="2"/>
      </tp>
      <tp t="s">
        <v>#N/A Requesting Data...</v>
        <stp/>
        <stp>##V3_BQLV12</stp>
        <stp>[MODL_NOW_US1.xlsx]Single Period!R30C27</stp>
        <stp>NOW US Equity</stp>
        <stp>CF_FREE_CASH_FLOW_AS_REPORTED/1M</stp>
        <stp>FPR=2021Y</stp>
        <stp>FPT=A</stp>
        <stp>FA_ACT_EST_DATA=E, EST_SOURCE=RBC</stp>
        <stp>ACT_EST_MAPPING=PRECISE</stp>
        <stp>FS=MRC</stp>
        <stp>CURRENCY=USD</stp>
        <stp>XLFILL=b</stp>
        <tr r="AA30" s="2"/>
      </tp>
      <tp t="s">
        <v>#N/A Requesting Data...</v>
        <stp/>
        <stp>##V3_BQLV12</stp>
        <stp>[MODL_NOW_US1.xlsx]Single Period!R124C40</stp>
        <stp>NOW US Equity</stp>
        <stp>IS_EBIT_AS_REPORTED/1M</stp>
        <stp>FPR=2021Y</stp>
        <stp>FPT=A</stp>
        <stp>FA_ACT_EST_DATA=E, EST_SOURCE=DWI</stp>
        <stp>ACT_EST_MAPPING=PRECISE</stp>
        <stp>FS=MRC</stp>
        <stp>CURRENCY=USD</stp>
        <stp>XLFILL=b</stp>
        <tr r="AN124" s="2"/>
      </tp>
      <tp t="s">
        <v>#N/A Requesting Data...</v>
        <stp/>
        <stp>##V3_BQLV12</stp>
        <stp>[MODL_NOW_US1.xlsx]Single Period!R173C45</stp>
        <stp>NOW US Equity</stp>
        <stp>BS_CUR_LIAB/1M</stp>
        <stp>FPR=2021Y</stp>
        <stp>FPT=A</stp>
        <stp>FA_ACT_EST_DATA=E, EST_SOURCE=PJE</stp>
        <stp>ACT_EST_MAPPING=PRECISE</stp>
        <stp>FS=MRC</stp>
        <stp>CURRENCY=USD</stp>
        <stp>XLFILL=b</stp>
        <tr r="AS173" s="2"/>
      </tp>
      <tp t="s">
        <v>#N/A Requesting Data...</v>
        <stp/>
        <stp>##V3_BQLV12</stp>
        <stp>[MODL_NOW_US1.xlsx]Single Period!R124C24</stp>
        <stp>NOW US Equity</stp>
        <stp>IS_EBIT_AS_REPORTED/1M</stp>
        <stp>FPR=2021Y</stp>
        <stp>FPT=A</stp>
        <stp>FA_ACT_EST_DATA=E, EST_SOURCE=CWN</stp>
        <stp>ACT_EST_MAPPING=PRECISE</stp>
        <stp>FS=MRC</stp>
        <stp>CURRENCY=USD</stp>
        <stp>XLFILL=b</stp>
        <tr r="X124" s="2"/>
      </tp>
      <tp t="s">
        <v>#N/A Requesting Data...</v>
        <stp/>
        <stp>##V3_BQLV12</stp>
        <stp>[MODL_NOW_US1.xlsx]Single Period!R98C47</stp>
        <stp>NOW US Equity</stp>
        <stp>CF_DEPR_AMORT/1M</stp>
        <stp>FPR=2021Y</stp>
        <stp>FPT=A</stp>
        <stp>FA_ACT_EST_DATA=E, EST_SOURCE=SUM</stp>
        <stp>ACT_EST_MAPPING=PRECISE</stp>
        <stp>FS=MRC</stp>
        <stp>CURRENCY=USD</stp>
        <stp>XLFILL=b</stp>
        <tr r="AU98" s="2"/>
      </tp>
      <tp t="s">
        <v>#N/A Requesting Data...</v>
        <stp/>
        <stp>##V3_BQLV12</stp>
        <stp>[MODL_NOW_US1.xlsx]Single Period!R27C29</stp>
        <stp>NOW US Equity</stp>
        <stp>IS_REV_INCLUDING_INTERSEG_REV/1M</stp>
        <stp>FPR=2021Y</stp>
        <stp>FPT=A</stp>
        <stp>FA_ACT_EST_DATA=E, EST_SOURCE=BNS</stp>
        <stp>ACT_EST_MAPPING=PRECISE</stp>
        <stp>FS=MRC</stp>
        <stp>CURRENCY=USD</stp>
        <stp>XLFILL=b</stp>
        <tr r="AC27" s="2"/>
      </tp>
      <tp t="s">
        <v>#N/A Requesting Data...</v>
        <stp/>
        <stp>##V3_BQLV12</stp>
        <stp>[MODL_NOW_US1.xlsx]Single Period!R203C24</stp>
        <stp>NOW US Equity</stp>
        <stp>AMORTIZATN_OF_FINNCNG_COSTS/1M</stp>
        <stp>FPR=2021Y</stp>
        <stp>FPT=A</stp>
        <stp>FA_ACT_EST_DATA=E, EST_SOURCE=CWN</stp>
        <stp>ACT_EST_MAPPING=PRECISE</stp>
        <stp>FS=MRC</stp>
        <stp>CURRENCY=USD</stp>
        <stp>XLFILL=b</stp>
        <tr r="X203" s="2"/>
      </tp>
      <tp t="s">
        <v>#N/A Requesting Data...</v>
        <stp/>
        <stp>##V3_BQLV12</stp>
        <stp>[MODL_NOW_US1.xlsx]Single Period!R203C40</stp>
        <stp>NOW US Equity</stp>
        <stp>AMORTIZATN_OF_FINNCNG_COSTS/1M</stp>
        <stp>FPR=2021Y</stp>
        <stp>FPT=A</stp>
        <stp>FA_ACT_EST_DATA=E, EST_SOURCE=DWI</stp>
        <stp>ACT_EST_MAPPING=PRECISE</stp>
        <stp>FS=MRC</stp>
        <stp>CURRENCY=USD</stp>
        <stp>XLFILL=b</stp>
        <tr r="AN203" s="2"/>
      </tp>
      <tp t="s">
        <v>#N/A Requesting Data...</v>
        <stp/>
        <stp>##V3_BQLV12</stp>
        <stp>[MODL_NOW_US1.xlsx]Single Period!R230C45</stp>
        <stp>NOW US Equity</stp>
        <stp>CF_EFFECT_FOREIGN_EXCHANGES/1M</stp>
        <stp>FPR=2021Y</stp>
        <stp>FPT=A</stp>
        <stp>FA_ACT_EST_DATA=E, EST_SOURCE=PJE</stp>
        <stp>ACT_EST_MAPPING=PRECISE</stp>
        <stp>FS=MRC</stp>
        <stp>CURRENCY=USD</stp>
        <stp>XLFILL=b</stp>
        <tr r="AS230" s="2"/>
      </tp>
      <tp t="s">
        <v>#N/A Requesting Data...</v>
        <stp/>
        <stp>##V3_BQLV12</stp>
        <stp>[MODL_NOW_US1.xlsx]Single Period!R58C38</stp>
        <stp>SEG0000230975 Segment</stp>
        <stp>SALES_REV_TURN/1M</stp>
        <stp>FPR=2021Y</stp>
        <stp>FPT=A</stp>
        <stp>FA_ACT_EST_DATA=E, EST_SOURCE=RWB</stp>
        <stp>ACT_EST_MAPPING=PRECISE</stp>
        <stp>FS=MRC</stp>
        <stp>CURRENCY=USD</stp>
        <stp>XLFILL=b</stp>
        <tr r="AL58" s="2"/>
      </tp>
      <tp t="s">
        <v>#N/A Requesting Data...</v>
        <stp/>
        <stp>##V3_BQLV12</stp>
        <stp>[MODL_NOW_US1.xlsx]Single Period!R119C31</stp>
        <stp>NOW US Equity</stp>
        <stp>CB_IS_S_AND_M_EXPENSE/1M</stp>
        <stp>FPR=2021Y</stp>
        <stp>FPT=A</stp>
        <stp>FA_ACT_EST_DATA=E, EST_SOURCE=GSR</stp>
        <stp>ACT_EST_MAPPING=PRECISE</stp>
        <stp>FS=MRC</stp>
        <stp>CURRENCY=USD</stp>
        <stp>XLFILL=b</stp>
        <tr r="AE119" s="2"/>
      </tp>
      <tp t="s">
        <v>#N/A Requesting Data...</v>
        <stp/>
        <stp>##V3_BQLV12</stp>
        <stp>[MODL_NOW_US1.xlsx]Single Period!R143C33</stp>
        <stp>NOW US Equity</stp>
        <stp>IS_SBC_ATTRIBUTABLE_TO_R_AND_D_PRETX/1M</stp>
        <stp>FPR=2021Y</stp>
        <stp>FPT=A</stp>
        <stp>FA_ACT_EST_DATA=E, EST_SOURCE=MAC</stp>
        <stp>ACT_EST_MAPPING=PRECISE</stp>
        <stp>FS=MRC</stp>
        <stp>CURRENCY=USD</stp>
        <stp>XLFILL=b</stp>
        <tr r="AG143" s="2"/>
      </tp>
      <tp t="s">
        <v>#N/A Requesting Data...</v>
        <stp/>
        <stp>##V3_BQLV12</stp>
        <stp>[MODL_NOW_US1.xlsx]Single Period!R54C38</stp>
        <stp>NOW US Equity</stp>
        <stp>IS_FOREIGN_CURRENCY_TURNOVER/1M</stp>
        <stp>FPR=2021Y</stp>
        <stp>FPT=A</stp>
        <stp>FA_ACT_EST_DATA=E, EST_SOURCE=RWB</stp>
        <stp>ACT_EST_MAPPING=PRECISE</stp>
        <stp>FS=MRC</stp>
        <stp>CURRENCY=USD</stp>
        <stp>XLFILL=b</stp>
        <tr r="AL54" s="2"/>
      </tp>
      <tp t="s">
        <v>#N/A Requesting Data...</v>
        <stp/>
        <stp>##V3_BQLV12</stp>
        <stp>[MODL_NOW_US1.xlsx]Single Period!R200C14</stp>
        <stp>NOW US Equity</stp>
        <stp>CF_DEPR_AMORT/1M</stp>
        <stp>FPR=2021Y</stp>
        <stp>FPT=A</stp>
        <stp>FA_ACT_EST_DATA=E, EST_SOURCE=BMO</stp>
        <stp>ACT_EST_MAPPING=PRECISE</stp>
        <stp>FS=MRC</stp>
        <stp>CURRENCY=USD</stp>
        <stp>XLFILL=b</stp>
        <tr r="N200" s="2"/>
      </tp>
      <tp t="s">
        <v>#N/A Requesting Data...</v>
        <stp/>
        <stp>##V3_BQLV12</stp>
        <stp>[MODL_NOW_US1.xlsx]Single Period!R143C16</stp>
        <stp>NOW US Equity</stp>
        <stp>IS_SBC_ATTRIBUTABLE_TO_R_AND_D_PRETX/1M</stp>
        <stp>FPR=2021Y</stp>
        <stp>FPT=A</stp>
        <stp>FA_ACT_EST_DATA=E, EST_SOURCE=BCA</stp>
        <stp>ACT_EST_MAPPING=PRECISE</stp>
        <stp>FS=MRC</stp>
        <stp>CURRENCY=USD</stp>
        <stp>XLFILL=b</stp>
        <tr r="P143" s="2"/>
      </tp>
      <tp t="s">
        <v>#N/A Requesting Data...</v>
        <stp/>
        <stp>##V3_BQLV12</stp>
        <stp>[MODL_NOW_US1.xlsx]Single Period!R133C11</stp>
        <stp>NOW US Equity</stp>
        <stp>IS_SH_FOR_DILUTED_EPS/1M</stp>
        <stp>FPR=2021Y</stp>
        <stp>FPT=A</stp>
        <stp>FA_ACT_EST_DATA=E, EST_SOURCE=JPM</stp>
        <stp>ACT_EST_MAPPING=PRECISE</stp>
        <stp>FS=MRC</stp>
        <stp>CURRENCY=USD</stp>
        <stp>XLFILL=b</stp>
        <tr r="K133" s="2"/>
      </tp>
      <tp t="s">
        <v>#N/A Requesting Data...</v>
        <stp/>
        <stp>##V3_BQLV12</stp>
        <stp>[MODL_NOW_US1.xlsx]Single Period!R235C40</stp>
        <stp>NOW US Equity</stp>
        <stp>CF_FREE_CASH_FLOW_AS_REPORTED/1M</stp>
        <stp>FPR=2021Y</stp>
        <stp>FPT=A</stp>
        <stp>FA_ACT_EST_DATA=E, EST_SOURCE=DWI</stp>
        <stp>ACT_EST_MAPPING=PRECISE</stp>
        <stp>FS=MRC</stp>
        <stp>CURRENCY=USD</stp>
        <stp>XLFILL=b</stp>
        <tr r="AN235" s="2"/>
      </tp>
      <tp t="s">
        <v>#N/A Requesting Data...</v>
        <stp/>
        <stp>##V3_BQLV12</stp>
        <stp>[MODL_NOW_US1.xlsx]Single Period!R75C37</stp>
        <stp>SEG0000230992 Segment</stp>
        <stp>SALES_REV_TURN/1M</stp>
        <stp>FPR=2021Y</stp>
        <stp>FPT=A</stp>
        <stp>FA_ACT_EST_DATA=E, EST_SOURCE=TTC</stp>
        <stp>ACT_EST_MAPPING=PRECISE</stp>
        <stp>FS=MRC</stp>
        <stp>CURRENCY=USD</stp>
        <stp>XLFILL=b</stp>
        <tr r="AK75" s="2"/>
      </tp>
      <tp t="s">
        <v>#N/A Requesting Data...</v>
        <stp/>
        <stp>##V3_BQLV12</stp>
        <stp>[MODL_NOW_US1.xlsx]Single Period!R15C37</stp>
        <stp>SEG0000230992 Segment</stp>
        <stp>SALES_REV_TURN/1M</stp>
        <stp>FPR=2021Y</stp>
        <stp>FPT=A</stp>
        <stp>FA_ACT_EST_DATA=E, EST_SOURCE=TTC</stp>
        <stp>ACT_EST_MAPPING=PRECISE</stp>
        <stp>FS=MRC</stp>
        <stp>CURRENCY=USD</stp>
        <stp>XLFILL=b</stp>
        <tr r="AK15" s="2"/>
      </tp>
      <tp t="s">
        <v>#N/A Requesting Data...</v>
        <stp/>
        <stp>##V3_BQLV12</stp>
        <stp>[MODL_NOW_US1.xlsx]Single Period!R235C34</stp>
        <stp>NOW US Equity</stp>
        <stp>CF_FREE_CASH_FLOW_AS_REPORTED/1M</stp>
        <stp>FPR=2021Y</stp>
        <stp>FPT=A</stp>
        <stp>FA_ACT_EST_DATA=E, EST_SOURCE=PSG</stp>
        <stp>ACT_EST_MAPPING=PRECISE</stp>
        <stp>FS=MRC</stp>
        <stp>CURRENCY=USD</stp>
        <stp>XLFILL=b</stp>
        <tr r="AH235" s="2"/>
      </tp>
      <tp t="s">
        <v>#N/A Requesting Data...</v>
        <stp/>
        <stp>##V3_BQLV12</stp>
        <stp>[MODL_NOW_US1.xlsx]Single Period!R83C38</stp>
        <stp>NOW US Equity</stp>
        <stp>IS_ADJUSTED_COGS_AS_REPORTED/1M</stp>
        <stp>FPR=2021Y</stp>
        <stp>FPT=A</stp>
        <stp>FA_ACT_EST_DATA=E, EST_SOURCE=RWB</stp>
        <stp>ACT_EST_MAPPING=PRECISE</stp>
        <stp>FS=MRC</stp>
        <stp>CURRENCY=USD</stp>
        <stp>XLFILL=b</stp>
        <tr r="AL83" s="2"/>
      </tp>
      <tp t="s">
        <v>#N/A Requesting Data...</v>
        <stp/>
        <stp>##V3_BQLV12</stp>
        <stp>[MODL_NOW_US1.xlsx]Single Period!R58C40</stp>
        <stp>SEG0000230975 Segment</stp>
        <stp>SALES_REV_TURN/1M</stp>
        <stp>FPR=2021Y</stp>
        <stp>FPT=A</stp>
        <stp>FA_ACT_EST_DATA=E, EST_SOURCE=DWI</stp>
        <stp>ACT_EST_MAPPING=PRECISE</stp>
        <stp>FS=MRC</stp>
        <stp>CURRENCY=USD</stp>
        <stp>XLFILL=b</stp>
        <tr r="AN58" s="2"/>
      </tp>
      <tp t="s">
        <v>#N/A Requesting Data...</v>
        <stp/>
        <stp>##V3_BQLV12</stp>
        <stp>[MODL_NOW_US1.xlsx]Single Period!R150C35</stp>
        <stp>NOW US Equity</stp>
        <stp>IS_INC_TAX_EFFECT_NONGAAP_REC/1M</stp>
        <stp>FPR=2021Y</stp>
        <stp>FPT=A</stp>
        <stp>FA_ACT_EST_DATA=E, EST_SOURCE=MSR</stp>
        <stp>ACT_EST_MAPPING=PRECISE</stp>
        <stp>FS=MRC</stp>
        <stp>CURRENCY=USD</stp>
        <stp>XLFILL=b</stp>
        <tr r="AI150" s="2"/>
      </tp>
      <tp t="s">
        <v>#N/A Requesting Data...</v>
        <stp/>
        <stp>##V3_BQLV12</stp>
        <stp>[MODL_NOW_US1.xlsx]Single Period!R131C48</stp>
        <stp>NOW US Equity</stp>
        <stp>IS_AVG_NUM_SH_FOR_EPS/1M</stp>
        <stp>FPR=2021Y</stp>
        <stp>FPT=A</stp>
        <stp>FA_ACT_EST_DATA=E, EST_SOURCE=CRC</stp>
        <stp>ACT_EST_MAPPING=PRECISE</stp>
        <stp>FS=MRC</stp>
        <stp>CURRENCY=USD</stp>
        <stp>XLFILL=b</stp>
        <tr r="AV131" s="2"/>
      </tp>
      <tp t="s">
        <v>#N/A Requesting Data...</v>
        <stp/>
        <stp>##V3_BQLV12</stp>
        <stp>[MODL_NOW_US1.xlsx]Single Period!R61C14</stp>
        <stp>SEG0000230975 Segment</stp>
        <stp>IS_ADJ_GROSS_PROFIT_AS_REPORTED/1M</stp>
        <stp>FPR=2021Y</stp>
        <stp>FPT=A</stp>
        <stp>FA_ACT_EST_DATA=E, EST_SOURCE=BMO</stp>
        <stp>ACT_EST_MAPPING=PRECISE</stp>
        <stp>FS=MRC</stp>
        <stp>CURRENCY=USD</stp>
        <stp>XLFILL=b</stp>
        <tr r="N61" s="2"/>
      </tp>
      <tp t="s">
        <v>#N/A Requesting Data...</v>
        <stp/>
        <stp>##V3_BQLV12</stp>
        <stp>[MODL_NOW_US1.xlsx]Single Period!R20C11</stp>
        <stp>SEG0000230986 Segment</stp>
        <stp>SALES_REV_TURN/1M</stp>
        <stp>FPR=2021Y</stp>
        <stp>FPT=A</stp>
        <stp>FA_ACT_EST_DATA=E, EST_SOURCE=JPM</stp>
        <stp>ACT_EST_MAPPING=PRECISE</stp>
        <stp>FS=MRC</stp>
        <stp>CURRENCY=USD</stp>
        <stp>XLFILL=b</stp>
        <tr r="K20" s="2"/>
      </tp>
      <tp t="s">
        <v>#N/A Requesting Data...</v>
        <stp/>
        <stp>##V3_BQLV12</stp>
        <stp>[MODL_NOW_US1.xlsx]Single Period!R58C24</stp>
        <stp>SEG0000230975 Segment</stp>
        <stp>SALES_REV_TURN/1M</stp>
        <stp>FPR=2021Y</stp>
        <stp>FPT=A</stp>
        <stp>FA_ACT_EST_DATA=E, EST_SOURCE=CWN</stp>
        <stp>ACT_EST_MAPPING=PRECISE</stp>
        <stp>FS=MRC</stp>
        <stp>CURRENCY=USD</stp>
        <stp>XLFILL=b</stp>
        <tr r="X58" s="2"/>
      </tp>
      <tp t="s">
        <v>#N/A Requesting Data...</v>
        <stp/>
        <stp>##V3_BQLV12</stp>
        <stp>[MODL_NOW_US1.xlsx]Single Period!R75C42</stp>
        <stp>SEG0000230992 Segment</stp>
        <stp>SALES_REV_TURN/1M</stp>
        <stp>FPR=2021Y</stp>
        <stp>FPT=A</stp>
        <stp>FA_ACT_EST_DATA=E, EST_SOURCE=CTI</stp>
        <stp>ACT_EST_MAPPING=PRECISE</stp>
        <stp>FS=MRC</stp>
        <stp>CURRENCY=USD</stp>
        <stp>XLFILL=b</stp>
        <tr r="AP75" s="2"/>
      </tp>
      <tp t="s">
        <v>#N/A Requesting Data...</v>
        <stp/>
        <stp>##V3_BQLV12</stp>
        <stp>[MODL_NOW_US1.xlsx]Single Period!R15C42</stp>
        <stp>SEG0000230992 Segment</stp>
        <stp>SALES_REV_TURN/1M</stp>
        <stp>FPR=2021Y</stp>
        <stp>FPT=A</stp>
        <stp>FA_ACT_EST_DATA=E, EST_SOURCE=CTI</stp>
        <stp>ACT_EST_MAPPING=PRECISE</stp>
        <stp>FS=MRC</stp>
        <stp>CURRENCY=USD</stp>
        <stp>XLFILL=b</stp>
        <tr r="AP15" s="2"/>
      </tp>
      <tp t="s">
        <v>#N/A Requesting Data...</v>
        <stp/>
        <stp>##V3_BQLV12</stp>
        <stp>[MODL_NOW_US1.xlsx]Single Period!R143C30</stp>
        <stp>NOW US Equity</stp>
        <stp>IS_SBC_ATTRIBUTABLE_TO_R_AND_D_PRETX/1M</stp>
        <stp>FPR=2021Y</stp>
        <stp>FPT=A</stp>
        <stp>FA_ACT_EST_DATA=E, EST_SOURCE=BAM</stp>
        <stp>ACT_EST_MAPPING=PRECISE</stp>
        <stp>FS=MRC</stp>
        <stp>CURRENCY=USD</stp>
        <stp>XLFILL=b</stp>
        <tr r="AD143" s="2"/>
      </tp>
      <tp t="s">
        <v>#N/A Requesting Data...</v>
        <stp/>
        <stp>##V3_BQLV12</stp>
        <stp>[MODL_NOW_US1.xlsx]Single Period!R150C42</stp>
        <stp>NOW US Equity</stp>
        <stp>IS_INC_TAX_EFFECT_NONGAAP_REC/1M</stp>
        <stp>FPR=2021Y</stp>
        <stp>FPT=A</stp>
        <stp>FA_ACT_EST_DATA=E, EST_SOURCE=CTI</stp>
        <stp>ACT_EST_MAPPING=PRECISE</stp>
        <stp>FS=MRC</stp>
        <stp>CURRENCY=USD</stp>
        <stp>XLFILL=b</stp>
        <tr r="AP150" s="2"/>
      </tp>
      <tp t="s">
        <v>#N/A Requesting Data...</v>
        <stp/>
        <stp>##V3_BQLV12</stp>
        <stp>[MODL_NOW_US1.xlsx]Single Period!R61C21</stp>
        <stp>SEG0000230975 Segment</stp>
        <stp>IS_ADJ_GROSS_PROFIT_AS_REPORTED/1M</stp>
        <stp>FPR=2021Y</stp>
        <stp>FPT=A</stp>
        <stp>FA_ACT_EST_DATA=E, EST_SOURCE=JMP</stp>
        <stp>ACT_EST_MAPPING=PRECISE</stp>
        <stp>FS=MRC</stp>
        <stp>CURRENCY=USD</stp>
        <stp>XLFILL=b</stp>
        <tr r="U61" s="2"/>
      </tp>
      <tp t="s">
        <v>#N/A Requesting Data...</v>
        <stp/>
        <stp>##V3_BQLV12</stp>
        <stp>[MODL_NOW_US1.xlsx]Single Period!R69C18</stp>
        <stp>SEG0000230986 Segment</stp>
        <stp>IS_ADJ_GROSS_PROFIT_AS_REPORTED/1M</stp>
        <stp>FPR=2021Y</stp>
        <stp>FPT=A</stp>
        <stp>FA_ACT_EST_DATA=E, EST_SOURCE=SNR</stp>
        <stp>ACT_EST_MAPPING=PRECISE</stp>
        <stp>FS=MRC</stp>
        <stp>CURRENCY=USD</stp>
        <stp>XLFILL=b</stp>
        <tr r="R69" s="2"/>
      </tp>
      <tp t="s">
        <v>#N/A Requesting Data...</v>
        <stp/>
        <stp>##V3_BQLV12</stp>
        <stp>[MODL_NOW_US1.xlsx]Single Period!R66C28</stp>
        <stp>SEG0000230986 Segment</stp>
        <stp>SALES_REV_TURN/1M</stp>
        <stp>FPR=2021Y</stp>
        <stp>FPT=A</stp>
        <stp>FA_ACT_EST_DATA=E, EST_SOURCE=EVR</stp>
        <stp>ACT_EST_MAPPING=PRECISE</stp>
        <stp>FS=MRC</stp>
        <stp>CURRENCY=USD</stp>
        <stp>XLFILL=b</stp>
        <tr r="AB66" s="2"/>
      </tp>
      <tp t="s">
        <v>#N/A Requesting Data...</v>
        <stp/>
        <stp>##V3_BQLV12</stp>
        <stp>[MODL_NOW_US1.xlsx]Single Period!R54C28</stp>
        <stp>NOW US Equity</stp>
        <stp>IS_FOREIGN_CURRENCY_TURNOVER/1M</stp>
        <stp>FPR=2021Y</stp>
        <stp>FPT=A</stp>
        <stp>FA_ACT_EST_DATA=E, EST_SOURCE=EVR</stp>
        <stp>ACT_EST_MAPPING=PRECISE</stp>
        <stp>FS=MRC</stp>
        <stp>CURRENCY=USD</stp>
        <stp>XLFILL=b</stp>
        <tr r="AB54" s="2"/>
      </tp>
      <tp t="s">
        <v>#N/A Requesting Data...</v>
        <stp/>
        <stp>##V3_BQLV12</stp>
        <stp>[MODL_NOW_US1.xlsx]Single Period!R69C29</stp>
        <stp>SEG0000230986 Segment</stp>
        <stp>IS_ADJ_GROSS_PROFIT_AS_REPORTED/1M</stp>
        <stp>FPR=2021Y</stp>
        <stp>FPT=A</stp>
        <stp>FA_ACT_EST_DATA=E, EST_SOURCE=BNS</stp>
        <stp>ACT_EST_MAPPING=PRECISE</stp>
        <stp>FS=MRC</stp>
        <stp>CURRENCY=USD</stp>
        <stp>XLFILL=b</stp>
        <tr r="AC69" s="2"/>
      </tp>
      <tp t="s">
        <v>#N/A Requesting Data...</v>
        <stp/>
        <stp>##V3_BQLV12</stp>
        <stp>[MODL_NOW_US1.xlsx]Single Period!R233C5</stp>
        <stp>NOW US Equity</stp>
        <stp>CF_CASH_AND_CASH_EQUIV_END_BAL/1M</stp>
        <stp>FPR=2021Y</stp>
        <stp>FPT=A</stp>
        <stp>FA_ACT_EST_DATA=E</stp>
        <stp>ACT_EST_MAPPING=PRECISE</stp>
        <stp>FS=MRC</stp>
        <stp>CURRENCY=USD</stp>
        <stp>XLFILL=b</stp>
        <tr r="E233" s="2"/>
      </tp>
      <tp t="s">
        <v>#N/A Requesting Data...</v>
        <stp/>
        <stp>##V3_BQLV12</stp>
        <stp>[MODL_NOW_US1.xlsx]Single Period!R102C24</stp>
        <stp>NOW US Equity</stp>
        <stp>IS_COMP_PTP_EX_STK_BASED_COMP/1M</stp>
        <stp>FPR=2021Y</stp>
        <stp>FPT=A</stp>
        <stp>FA_ACT_EST_DATA=E, EST_SOURCE=CWN</stp>
        <stp>ACT_EST_MAPPING=PRECISE</stp>
        <stp>FS=MRC</stp>
        <stp>CURRENCY=USD</stp>
        <stp>XLFILL=b</stp>
        <tr r="X102" s="2"/>
      </tp>
      <tp t="s">
        <v>#N/A Requesting Data...</v>
        <stp/>
        <stp>##V3_BQLV12</stp>
        <stp>[MODL_NOW_US1.xlsx]Single Period!R143C43</stp>
        <stp>NOW US Equity</stp>
        <stp>IS_SBC_ATTRIBUTABLE_TO_R_AND_D_PRETX/1M</stp>
        <stp>FPR=2021Y</stp>
        <stp>FPT=A</stp>
        <stp>FA_ACT_EST_DATA=E, EST_SOURCE=WFT</stp>
        <stp>ACT_EST_MAPPING=PRECISE</stp>
        <stp>FS=MRC</stp>
        <stp>CURRENCY=USD</stp>
        <stp>XLFILL=b</stp>
        <tr r="AQ143" s="2"/>
      </tp>
      <tp t="s">
        <v>#N/A Requesting Data...</v>
        <stp/>
        <stp>##V3_BQLV12</stp>
        <stp>[MODL_NOW_US1.xlsx]Single Period!R169C11</stp>
        <stp>NOW US Equity</stp>
        <stp>CB_BS_OTHER_NONCURRENT_ASSETS/1M</stp>
        <stp>FPR=2021Y</stp>
        <stp>FPT=A</stp>
        <stp>FA_ACT_EST_DATA=E, EST_SOURCE=JPM</stp>
        <stp>ACT_EST_MAPPING=PRECISE</stp>
        <stp>FS=MRC</stp>
        <stp>CURRENCY=USD</stp>
        <stp>XLFILL=b</stp>
        <tr r="K169" s="2"/>
      </tp>
      <tp t="s">
        <v>#N/A Requesting Data...</v>
        <stp/>
        <stp>##V3_BQLV12</stp>
        <stp>[MODL_NOW_US1.xlsx]Single Period!R102C37</stp>
        <stp>NOW US Equity</stp>
        <stp>IS_COMP_PTP_EX_STK_BASED_COMP/1M</stp>
        <stp>FPR=2021Y</stp>
        <stp>FPT=A</stp>
        <stp>FA_ACT_EST_DATA=E, EST_SOURCE=TTC</stp>
        <stp>ACT_EST_MAPPING=PRECISE</stp>
        <stp>FS=MRC</stp>
        <stp>CURRENCY=USD</stp>
        <stp>XLFILL=b</stp>
        <tr r="AK102" s="2"/>
      </tp>
      <tp t="s">
        <v>#N/A Requesting Data...</v>
        <stp/>
        <stp>##V3_BQLV12</stp>
        <stp>[MODL_NOW_US1.xlsx]Single Period!R102C39</stp>
        <stp>NOW US Equity</stp>
        <stp>IS_COMP_PTP_EX_STK_BASED_COMP/1M</stp>
        <stp>FPR=2021Y</stp>
        <stp>FPT=A</stp>
        <stp>FA_ACT_EST_DATA=E, EST_SOURCE=DZB</stp>
        <stp>ACT_EST_MAPPING=PRECISE</stp>
        <stp>FS=MRC</stp>
        <stp>CURRENCY=USD</stp>
        <stp>XLFILL=b</stp>
        <tr r="AM102" s="2"/>
      </tp>
      <tp t="s">
        <v>#N/A Requesting Data...</v>
        <stp/>
        <stp>##V3_BQLV12</stp>
        <stp>[MODL_NOW_US1.xlsx]Single Period!R20C15</stp>
        <stp>SEG0000230986 Segment</stp>
        <stp>SALES_REV_TURN/1M</stp>
        <stp>FPR=2021Y</stp>
        <stp>FPT=A</stp>
        <stp>FA_ACT_EST_DATA=E, EST_SOURCE=OPY</stp>
        <stp>ACT_EST_MAPPING=PRECISE</stp>
        <stp>FS=MRC</stp>
        <stp>CURRENCY=USD</stp>
        <stp>XLFILL=b</stp>
        <tr r="O20" s="2"/>
      </tp>
      <tp t="s">
        <v>#N/A Requesting Data...</v>
        <stp/>
        <stp>##V3_BQLV12</stp>
        <stp>[MODL_NOW_US1.xlsx]Single Period!R83C28</stp>
        <stp>NOW US Equity</stp>
        <stp>IS_ADJUSTED_COGS_AS_REPORTED/1M</stp>
        <stp>FPR=2021Y</stp>
        <stp>FPT=A</stp>
        <stp>FA_ACT_EST_DATA=E, EST_SOURCE=EVR</stp>
        <stp>ACT_EST_MAPPING=PRECISE</stp>
        <stp>FS=MRC</stp>
        <stp>CURRENCY=USD</stp>
        <stp>XLFILL=b</stp>
        <tr r="AB83" s="2"/>
      </tp>
      <tp t="s">
        <v>#N/A Requesting Data...</v>
        <stp/>
        <stp>##V3_BQLV12</stp>
        <stp>[MODL_NOW_US1.xlsx]Single Period!R150C44</stp>
        <stp>NOW US Equity</stp>
        <stp>IS_INC_TAX_EFFECT_NONGAAP_REC/1M</stp>
        <stp>FPR=2021Y</stp>
        <stp>FPT=A</stp>
        <stp>FA_ACT_EST_DATA=E, EST_SOURCE=ARE</stp>
        <stp>ACT_EST_MAPPING=PRECISE</stp>
        <stp>FS=MRC</stp>
        <stp>CURRENCY=USD</stp>
        <stp>XLFILL=b</stp>
        <tr r="AR150" s="2"/>
      </tp>
      <tp t="s">
        <v>#N/A Requesting Data...</v>
        <stp/>
        <stp>##V3_BQLV12</stp>
        <stp>[MODL_NOW_US1.xlsx]Single Period!R102C41</stp>
        <stp>NOW US Equity</stp>
        <stp>IS_COMP_PTP_EX_STK_BASED_COMP/1M</stp>
        <stp>FPR=2021Y</stp>
        <stp>FPT=A</stp>
        <stp>FA_ACT_EST_DATA=E, EST_SOURCE=ARG</stp>
        <stp>ACT_EST_MAPPING=PRECISE</stp>
        <stp>FS=MRC</stp>
        <stp>CURRENCY=USD</stp>
        <stp>XLFILL=b</stp>
        <tr r="AO102" s="2"/>
      </tp>
      <tp t="s">
        <v>#N/A Requesting Data...</v>
        <stp/>
        <stp>##V3_BQLV12</stp>
        <stp>[MODL_NOW_US1.xlsx]Single Period!R16C23</stp>
        <stp>SEG0000230969 Segment</stp>
        <stp>SALES_REV_TURN/1M</stp>
        <stp>FPR=2021Y</stp>
        <stp>FPT=A</stp>
        <stp>FA_ACT_EST_DATA=E, EST_SOURCE=ZXS</stp>
        <stp>ACT_EST_MAPPING=PRECISE</stp>
        <stp>FS=MRC</stp>
        <stp>CURRENCY=USD</stp>
        <stp>XLFILL=b</stp>
        <tr r="W16" s="2"/>
      </tp>
      <tp t="s">
        <v>#N/A Requesting Data...</v>
        <stp/>
        <stp>##V3_BQLV12</stp>
        <stp>[MODL_NOW_US1.xlsx]Single Period!R119C47</stp>
        <stp>NOW US Equity</stp>
        <stp>CB_IS_S_AND_M_EXPENSE/1M</stp>
        <stp>FPR=2021Y</stp>
        <stp>FPT=A</stp>
        <stp>FA_ACT_EST_DATA=E, EST_SOURCE=SUM</stp>
        <stp>ACT_EST_MAPPING=PRECISE</stp>
        <stp>FS=MRC</stp>
        <stp>CURRENCY=USD</stp>
        <stp>XLFILL=b</stp>
        <tr r="AU119" s="2"/>
      </tp>
      <tp t="s">
        <v>#N/A Requesting Data...</v>
        <stp/>
        <stp>##V3_BQLV12</stp>
        <stp>[MODL_NOW_US1.xlsx]Single Period!R131C19</stp>
        <stp>NOW US Equity</stp>
        <stp>IS_AVG_NUM_SH_FOR_EPS/1M</stp>
        <stp>FPR=2021Y</stp>
        <stp>FPT=A</stp>
        <stp>FA_ACT_EST_DATA=E, EST_SOURCE=MSV</stp>
        <stp>ACT_EST_MAPPING=PRECISE</stp>
        <stp>FS=MRC</stp>
        <stp>CURRENCY=USD</stp>
        <stp>XLFILL=b</stp>
        <tr r="S131" s="2"/>
      </tp>
      <tp t="s">
        <v>#N/A Requesting Data...</v>
        <stp/>
        <stp>##V3_BQLV12</stp>
        <stp>[MODL_NOW_US1.xlsx]Single Period!R81C8</stp>
        <stp>NOW US Equity</stp>
        <stp>CONTRIBUTOR_STATS(IS_ADJ_SALES_YOY_CHG_PCT_CC, STD)</stp>
        <stp>FPR=2021Y</stp>
        <stp>FPT=A</stp>
        <stp>FA_ACT_EST_DATA=E</stp>
        <stp>ACT_EST_MAPPING=PRECISE</stp>
        <stp>FS=MRC</stp>
        <stp>CURRENCY=USD</stp>
        <stp>XLFILL=b</stp>
        <tr r="H81" s="2"/>
      </tp>
      <tp t="s">
        <v>#N/A Requesting Data...</v>
        <stp/>
        <stp>##V3_BQLV12</stp>
        <stp>[MODL_NOW_US1.xlsx]Single Period!R134C46</stp>
        <stp>NOW US Equity</stp>
        <stp>IS_COMP_EPS_GAAP</stp>
        <stp>FPR=2021Y</stp>
        <stp>FPT=A</stp>
        <stp>FA_ACT_EST_DATA=E, EST_SOURCE=MZS</stp>
        <stp>ACT_EST_MAPPING=PRECISE</stp>
        <stp>FS=MRC</stp>
        <stp>CURRENCY=USD</stp>
        <stp>XLFILL=b</stp>
        <tr r="AT134" s="2"/>
      </tp>
      <tp t="s">
        <v>#N/A Requesting Data...</v>
        <stp/>
        <stp>##V3_BQLV12</stp>
        <stp>[MODL_NOW_US1.xlsx]Single Period!R177C10</stp>
        <stp>NOW US Equity</stp>
        <stp>BS_ST_CPTL_LEA_AND_OP_LEA_LIABS/1M</stp>
        <stp>FPR=2021Y</stp>
        <stp>FPT=A</stp>
        <stp>FA_ACT_EST_DATA=E, EST_SOURCE=CMPY</stp>
        <stp>ACT_EST_MAPPING=PRECISE</stp>
        <stp>FS=MRC</stp>
        <stp>CURRENCY=USD</stp>
        <stp>XLFILL=b</stp>
        <tr r="J177" s="2"/>
      </tp>
      <tp t="s">
        <v>#N/A Requesting Data...</v>
        <stp/>
        <stp>##V3_BQLV12</stp>
        <stp>[MODL_NOW_US1.xlsx]Single Period!R25C39</stp>
        <stp>NOW US Equity</stp>
        <stp>IS_COMP_GROSS_MARGIN_PERCENTAGE</stp>
        <stp>FPR=2021Y</stp>
        <stp>FPT=A</stp>
        <stp>FA_ACT_EST_DATA=E, EST_SOURCE=DZB</stp>
        <stp>ACT_EST_MAPPING=PRECISE</stp>
        <stp>FS=MRC</stp>
        <stp>CURRENCY=USD</stp>
        <stp>XLFILL=b</stp>
        <tr r="AM25" s="2"/>
      </tp>
      <tp t="s">
        <v>#N/A Requesting Data...</v>
        <stp/>
        <stp>##V3_BQLV12</stp>
        <stp>[MODL_NOW_US1.xlsx]Single Period!R85C39</stp>
        <stp>NOW US Equity</stp>
        <stp>IS_COMP_GROSS_MARGIN_PERCENTAGE</stp>
        <stp>FPR=2021Y</stp>
        <stp>FPT=A</stp>
        <stp>FA_ACT_EST_DATA=E, EST_SOURCE=DZB</stp>
        <stp>ACT_EST_MAPPING=PRECISE</stp>
        <stp>FS=MRC</stp>
        <stp>CURRENCY=USD</stp>
        <stp>XLFILL=b</stp>
        <tr r="AM85" s="2"/>
      </tp>
      <tp t="s">
        <v>#N/A Requesting Data...</v>
        <stp/>
        <stp>##V3_BQLV12</stp>
        <stp>[MODL_NOW_US1.xlsx]Single Period!R156C43</stp>
        <stp>NOW US Equity</stp>
        <stp>BS_CASH_NEAR_CASH_ITEM/1M</stp>
        <stp>FPR=2021Y</stp>
        <stp>FPT=A</stp>
        <stp>FA_ACT_EST_DATA=E, EST_SOURCE=WFT</stp>
        <stp>ACT_EST_MAPPING=PRECISE</stp>
        <stp>FS=MRC</stp>
        <stp>CURRENCY=USD</stp>
        <stp>XLFILL=b</stp>
        <tr r="AQ156" s="2"/>
      </tp>
      <tp t="s">
        <v>#N/A Requesting Data...</v>
        <stp/>
        <stp>##V3_BQLV12</stp>
        <stp>[MODL_NOW_US1.xlsx]Single Period!R70C43</stp>
        <stp>SEG0000230986 Segment</stp>
        <stp>IS_ADJ_GROSS_MARGIN_PCT_AR</stp>
        <stp>FPR=2021Y</stp>
        <stp>FPT=A</stp>
        <stp>FA_ACT_EST_DATA=E, EST_SOURCE=WFT</stp>
        <stp>ACT_EST_MAPPING=PRECISE</stp>
        <stp>FS=MRC</stp>
        <stp>CURRENCY=USD</stp>
        <stp>XLFILL=b</stp>
        <tr r="AQ70" s="2"/>
      </tp>
      <tp t="s">
        <v>#N/A Requesting Data...</v>
        <stp/>
        <stp>##V3_BQLV12</stp>
        <stp>[MODL_NOW_US1.xlsx]Single Period!R22C43</stp>
        <stp>SEG0000230986 Segment</stp>
        <stp>IS_ADJ_GROSS_MARGIN_PCT_AR</stp>
        <stp>FPR=2021Y</stp>
        <stp>FPT=A</stp>
        <stp>FA_ACT_EST_DATA=E, EST_SOURCE=WFT</stp>
        <stp>ACT_EST_MAPPING=PRECISE</stp>
        <stp>FS=MRC</stp>
        <stp>CURRENCY=USD</stp>
        <stp>XLFILL=b</stp>
        <tr r="AQ22" s="2"/>
      </tp>
      <tp t="s">
        <v>#N/A Requesting Data...</v>
        <stp/>
        <stp>##V3_BQLV12</stp>
        <stp>[MODL_NOW_US1.xlsx]Single Period!R195C45</stp>
        <stp>NOW US Equity</stp>
        <stp>CB_BS_DEFERRED_COST_LT/1M</stp>
        <stp>FPR=2021Y</stp>
        <stp>FPT=A</stp>
        <stp>FA_ACT_EST_DATA=E, EST_SOURCE=PJE</stp>
        <stp>ACT_EST_MAPPING=PRECISE</stp>
        <stp>FS=MRC</stp>
        <stp>CURRENCY=USD</stp>
        <stp>XLFILL=b</stp>
        <tr r="AS195" s="2"/>
      </tp>
      <tp t="s">
        <v>#N/A Requesting Data...</v>
        <stp/>
        <stp>##V3_BQLV12</stp>
        <stp>[MODL_NOW_US1.xlsx]Single Period!R123C14</stp>
        <stp>NOW US Equity</stp>
        <stp>TOTAL_OPERATING_EXPENSES_RATIO/1M</stp>
        <stp>FPR=2021Y</stp>
        <stp>FPT=A</stp>
        <stp>FA_ACT_EST_DATA=E, EST_SOURCE=BMO</stp>
        <stp>ACT_EST_MAPPING=PRECISE</stp>
        <stp>FS=MRC</stp>
        <stp>CURRENCY=USD</stp>
        <stp>XLFILL=b</stp>
        <tr r="N123" s="2"/>
      </tp>
      <tp t="s">
        <v>#N/A Requesting Data...</v>
        <stp/>
        <stp>##V3_BQLV12</stp>
        <stp>[MODL_NOW_US1.xlsx]Single Period!R233C28</stp>
        <stp>NOW US Equity</stp>
        <stp>CF_CASH_AND_CASH_EQUIV_END_BAL/1M</stp>
        <stp>FPR=2021Y</stp>
        <stp>FPT=A</stp>
        <stp>FA_ACT_EST_DATA=E, EST_SOURCE=EVR</stp>
        <stp>ACT_EST_MAPPING=PRECISE</stp>
        <stp>FS=MRC</stp>
        <stp>CURRENCY=USD</stp>
        <stp>XLFILL=b</stp>
        <tr r="AB233" s="2"/>
      </tp>
      <tp t="s">
        <v>#N/A Requesting Data...</v>
        <stp/>
        <stp>##V3_BQLV12</stp>
        <stp>[MODL_NOW_US1.xlsx]Single Period!R62C13</stp>
        <stp>SEG0000230975 Segment</stp>
        <stp>IS_ADJ_GROSS_MARGIN_PCT_AR</stp>
        <stp>FPR=2021Y</stp>
        <stp>FPT=A</stp>
        <stp>FA_ACT_EST_DATA=E, EST_SOURCE=KEY</stp>
        <stp>ACT_EST_MAPPING=PRECISE</stp>
        <stp>FS=MRC</stp>
        <stp>CURRENCY=USD</stp>
        <stp>XLFILL=b</stp>
        <tr r="M62" s="2"/>
      </tp>
      <tp t="s">
        <v>#N/A Requesting Data...</v>
        <stp/>
        <stp>##V3_BQLV12</stp>
        <stp>[MODL_NOW_US1.xlsx]Single Period!R18C13</stp>
        <stp>SEG0000230975 Segment</stp>
        <stp>IS_ADJ_GROSS_MARGIN_PCT_AR</stp>
        <stp>FPR=2021Y</stp>
        <stp>FPT=A</stp>
        <stp>FA_ACT_EST_DATA=E, EST_SOURCE=KEY</stp>
        <stp>ACT_EST_MAPPING=PRECISE</stp>
        <stp>FS=MRC</stp>
        <stp>CURRENCY=USD</stp>
        <stp>XLFILL=b</stp>
        <tr r="M18" s="2"/>
      </tp>
      <tp t="s">
        <v>#N/A Requesting Data...</v>
        <stp/>
        <stp>##V3_BQLV12</stp>
        <stp>[MODL_NOW_US1.xlsx]Single Period!R18C36</stp>
        <stp>SEG0000230975 Segment</stp>
        <stp>IS_ADJ_GROSS_MARGIN_PCT_AR</stp>
        <stp>FPR=2021Y</stp>
        <stp>FPT=A</stp>
        <stp>FA_ACT_EST_DATA=E, EST_SOURCE=JEF</stp>
        <stp>ACT_EST_MAPPING=PRECISE</stp>
        <stp>FS=MRC</stp>
        <stp>CURRENCY=USD</stp>
        <stp>XLFILL=b</stp>
        <tr r="AJ18" s="2"/>
      </tp>
      <tp t="s">
        <v>#N/A Requesting Data...</v>
        <stp/>
        <stp>##V3_BQLV12</stp>
        <stp>[MODL_NOW_US1.xlsx]Single Period!R62C36</stp>
        <stp>SEG0000230975 Segment</stp>
        <stp>IS_ADJ_GROSS_MARGIN_PCT_AR</stp>
        <stp>FPR=2021Y</stp>
        <stp>FPT=A</stp>
        <stp>FA_ACT_EST_DATA=E, EST_SOURCE=JEF</stp>
        <stp>ACT_EST_MAPPING=PRECISE</stp>
        <stp>FS=MRC</stp>
        <stp>CURRENCY=USD</stp>
        <stp>XLFILL=b</stp>
        <tr r="AJ62" s="2"/>
      </tp>
      <tp t="s">
        <v>#N/A Requesting Data...</v>
        <stp/>
        <stp>##V3_BQLV12</stp>
        <stp>[MODL_NOW_US1.xlsx]Single Period!R123C21</stp>
        <stp>NOW US Equity</stp>
        <stp>TOTAL_OPERATING_EXPENSES_RATIO/1M</stp>
        <stp>FPR=2021Y</stp>
        <stp>FPT=A</stp>
        <stp>FA_ACT_EST_DATA=E, EST_SOURCE=JMP</stp>
        <stp>ACT_EST_MAPPING=PRECISE</stp>
        <stp>FS=MRC</stp>
        <stp>CURRENCY=USD</stp>
        <stp>XLFILL=b</stp>
        <tr r="U123" s="2"/>
      </tp>
      <tp t="s">
        <v>#N/A Requesting Data...</v>
        <stp/>
        <stp>##V3_BQLV12</stp>
        <stp>[MODL_NOW_US1.xlsx]Single Period!R232C42</stp>
        <stp>NOW US Equity</stp>
        <stp>CF_CASH_AND_CASH_EQUIV_BEG_BAL/1M</stp>
        <stp>FPR=2021Y</stp>
        <stp>FPT=A</stp>
        <stp>FA_ACT_EST_DATA=E, EST_SOURCE=CTI</stp>
        <stp>ACT_EST_MAPPING=PRECISE</stp>
        <stp>FS=MRC</stp>
        <stp>CURRENCY=USD</stp>
        <stp>XLFILL=b</stp>
        <tr r="AP232" s="2"/>
      </tp>
      <tp t="s">
        <v>#N/A Requesting Data...</v>
        <stp/>
        <stp>##V3_BQLV12</stp>
        <stp>[MODL_NOW_US1.xlsx]Single Period!R64C42</stp>
        <stp>SEG0000230975 Segment</stp>
        <stp>CB_IS_GROSS_MARGIN</stp>
        <stp>FPR=2021Y</stp>
        <stp>FPT=A</stp>
        <stp>FA_ACT_EST_DATA=E, EST_SOURCE=CTI</stp>
        <stp>ACT_EST_MAPPING=PRECISE</stp>
        <stp>FS=MRC</stp>
        <stp>CURRENCY=USD</stp>
        <stp>XLFILL=b</stp>
        <tr r="AP64" s="2"/>
      </tp>
      <tp t="s">
        <v>#N/A Requesting Data...</v>
        <stp/>
        <stp>##V3_BQLV12</stp>
        <stp>[MODL_NOW_US1.xlsx]Single Period!R128C22</stp>
        <stp>NOW US Equity</stp>
        <stp>IS_INC_TAX_EXP/1M</stp>
        <stp>FPR=2021Y</stp>
        <stp>FPT=A</stp>
        <stp>FA_ACT_EST_DATA=E, EST_SOURCE=NDH</stp>
        <stp>ACT_EST_MAPPING=PRECISE</stp>
        <stp>FS=MRC</stp>
        <stp>CURRENCY=USD</stp>
        <stp>XLFILL=b</stp>
        <tr r="V128" s="2"/>
      </tp>
      <tp t="s">
        <v>#N/A Requesting Data...</v>
        <stp/>
        <stp>##V3_BQLV12</stp>
        <stp>[MODL_NOW_US1.xlsx]Single Period!R64C37</stp>
        <stp>SEG0000230975 Segment</stp>
        <stp>CB_IS_GROSS_MARGIN</stp>
        <stp>FPR=2021Y</stp>
        <stp>FPT=A</stp>
        <stp>FA_ACT_EST_DATA=E, EST_SOURCE=TTC</stp>
        <stp>ACT_EST_MAPPING=PRECISE</stp>
        <stp>FS=MRC</stp>
        <stp>CURRENCY=USD</stp>
        <stp>XLFILL=b</stp>
        <tr r="AK64" s="2"/>
      </tp>
      <tp t="s">
        <v>#N/A Requesting Data...</v>
        <stp/>
        <stp>##V3_BQLV12</stp>
        <stp>[MODL_NOW_US1.xlsx]Single Period!R232C37</stp>
        <stp>NOW US Equity</stp>
        <stp>CF_CASH_AND_CASH_EQUIV_BEG_BAL/1M</stp>
        <stp>FPR=2021Y</stp>
        <stp>FPT=A</stp>
        <stp>FA_ACT_EST_DATA=E, EST_SOURCE=TTC</stp>
        <stp>ACT_EST_MAPPING=PRECISE</stp>
        <stp>FS=MRC</stp>
        <stp>CURRENCY=USD</stp>
        <stp>XLFILL=b</stp>
        <tr r="AK232" s="2"/>
      </tp>
      <tp t="s">
        <v>#N/A Requesting Data...</v>
        <stp/>
        <stp>##V3_BQLV12</stp>
        <stp>[MODL_NOW_US1.xlsx]Single Period!R161C49</stp>
        <stp>NOW US Equity</stp>
        <stp>BS_TOTAL_NON_CURRENT_ASSETS/1M</stp>
        <stp>FPR=2021Y</stp>
        <stp>FPT=A</stp>
        <stp>FA_ACT_EST_DATA=E, EST_SOURCE=SCB</stp>
        <stp>ACT_EST_MAPPING=PRECISE</stp>
        <stp>FS=MRC</stp>
        <stp>CURRENCY=USD</stp>
        <stp>XLFILL=b</stp>
        <tr r="AW161" s="2"/>
      </tp>
      <tp t="s">
        <v>#N/A Requesting Data...</v>
        <stp/>
        <stp>##V3_BQLV12</stp>
        <stp>[MODL_NOW_US1.xlsx]Single Period!R203C28</stp>
        <stp>NOW US Equity</stp>
        <stp>AMORTIZATN_OF_FINNCNG_COSTS/1M</stp>
        <stp>FPR=2021Y</stp>
        <stp>FPT=A</stp>
        <stp>FA_ACT_EST_DATA=E, EST_SOURCE=EVR</stp>
        <stp>ACT_EST_MAPPING=PRECISE</stp>
        <stp>FS=MRC</stp>
        <stp>CURRENCY=USD</stp>
        <stp>XLFILL=b</stp>
        <tr r="AB203" s="2"/>
      </tp>
      <tp t="s">
        <v>#N/A Requesting Data...</v>
        <stp/>
        <stp>##V3_BQLV12</stp>
        <stp>[MODL_NOW_US1.xlsx]Single Period!R180C20</stp>
        <stp>NOW US Equity</stp>
        <stp>BS_LT_OPERATING_LEASE_LIABS/1M</stp>
        <stp>FPR=2021Y</stp>
        <stp>FPT=A</stp>
        <stp>FA_ACT_EST_DATA=E, EST_SOURCE=CAN</stp>
        <stp>ACT_EST_MAPPING=PRECISE</stp>
        <stp>FS=MRC</stp>
        <stp>CURRENCY=USD</stp>
        <stp>XLFILL=b</stp>
        <tr r="T180" s="2"/>
      </tp>
      <tp t="s">
        <v>#N/A Requesting Data...</v>
        <stp/>
        <stp>##V3_BQLV12</stp>
        <stp>[MODL_NOW_US1.xlsx]Single Period!R27C22</stp>
        <stp>NOW US Equity</stp>
        <stp>IS_REV_INCLUDING_INTERSEG_REV/1M</stp>
        <stp>FPR=2021Y</stp>
        <stp>FPT=A</stp>
        <stp>FA_ACT_EST_DATA=E, EST_SOURCE=NDH</stp>
        <stp>ACT_EST_MAPPING=PRECISE</stp>
        <stp>FS=MRC</stp>
        <stp>CURRENCY=USD</stp>
        <stp>XLFILL=b</stp>
        <tr r="V27" s="2"/>
      </tp>
      <tp t="s">
        <v>#N/A Requesting Data...</v>
        <stp/>
        <stp>##V3_BQLV12</stp>
        <stp>[MODL_NOW_US1.xlsx]Single Period!R180C30</stp>
        <stp>NOW US Equity</stp>
        <stp>BS_LT_OPERATING_LEASE_LIABS/1M</stp>
        <stp>FPR=2021Y</stp>
        <stp>FPT=A</stp>
        <stp>FA_ACT_EST_DATA=E, EST_SOURCE=BAM</stp>
        <stp>ACT_EST_MAPPING=PRECISE</stp>
        <stp>FS=MRC</stp>
        <stp>CURRENCY=USD</stp>
        <stp>XLFILL=b</stp>
        <tr r="AD180" s="2"/>
      </tp>
      <tp t="s">
        <v>#N/A Requesting Data...</v>
        <stp/>
        <stp>##V3_BQLV12</stp>
        <stp>[MODL_NOW_US1.xlsx]Single Period!R161C16</stp>
        <stp>NOW US Equity</stp>
        <stp>BS_TOTAL_NON_CURRENT_ASSETS/1M</stp>
        <stp>FPR=2021Y</stp>
        <stp>FPT=A</stp>
        <stp>FA_ACT_EST_DATA=E, EST_SOURCE=BCA</stp>
        <stp>ACT_EST_MAPPING=PRECISE</stp>
        <stp>FS=MRC</stp>
        <stp>CURRENCY=USD</stp>
        <stp>XLFILL=b</stp>
        <tr r="P161" s="2"/>
      </tp>
      <tp t="s">
        <v>#N/A Requesting Data...</v>
        <stp/>
        <stp>##V3_BQLV12</stp>
        <stp>[MODL_NOW_US1.xlsx]Single Period!R124C28</stp>
        <stp>NOW US Equity</stp>
        <stp>IS_EBIT_AS_REPORTED/1M</stp>
        <stp>FPR=2021Y</stp>
        <stp>FPT=A</stp>
        <stp>FA_ACT_EST_DATA=E, EST_SOURCE=EVR</stp>
        <stp>ACT_EST_MAPPING=PRECISE</stp>
        <stp>FS=MRC</stp>
        <stp>CURRENCY=USD</stp>
        <stp>XLFILL=b</stp>
        <tr r="AB124" s="2"/>
      </tp>
      <tp t="s">
        <v>#N/A Requesting Data...</v>
        <stp/>
        <stp>##V3_BQLV12</stp>
        <stp>[MODL_NOW_US1.xlsx]Single Period!R158C33</stp>
        <stp>NOW US Equity</stp>
        <stp>BS_ACCTS_REC_EXCL_NOTES_REC/1M</stp>
        <stp>FPR=2021Y</stp>
        <stp>FPT=A</stp>
        <stp>FA_ACT_EST_DATA=E, EST_SOURCE=MAC</stp>
        <stp>ACT_EST_MAPPING=PRECISE</stp>
        <stp>FS=MRC</stp>
        <stp>CURRENCY=USD</stp>
        <stp>XLFILL=b</stp>
        <tr r="AG158" s="2"/>
      </tp>
      <tp t="s">
        <v>#N/A Requesting Data...</v>
        <stp/>
        <stp>##V3_BQLV12</stp>
        <stp>[MODL_NOW_US1.xlsx]Single Period!R180C33</stp>
        <stp>NOW US Equity</stp>
        <stp>BS_LT_OPERATING_LEASE_LIABS/1M</stp>
        <stp>FPR=2021Y</stp>
        <stp>FPT=A</stp>
        <stp>FA_ACT_EST_DATA=E, EST_SOURCE=MAC</stp>
        <stp>ACT_EST_MAPPING=PRECISE</stp>
        <stp>FS=MRC</stp>
        <stp>CURRENCY=USD</stp>
        <stp>XLFILL=b</stp>
        <tr r="AG180" s="2"/>
      </tp>
      <tp t="s">
        <v>#N/A Requesting Data...</v>
        <stp/>
        <stp>##V3_BQLV12</stp>
        <stp>[MODL_NOW_US1.xlsx]Single Period!R158C30</stp>
        <stp>NOW US Equity</stp>
        <stp>BS_ACCTS_REC_EXCL_NOTES_REC/1M</stp>
        <stp>FPR=2021Y</stp>
        <stp>FPT=A</stp>
        <stp>FA_ACT_EST_DATA=E, EST_SOURCE=BAM</stp>
        <stp>ACT_EST_MAPPING=PRECISE</stp>
        <stp>FS=MRC</stp>
        <stp>CURRENCY=USD</stp>
        <stp>XLFILL=b</stp>
        <tr r="AD158" s="2"/>
      </tp>
      <tp t="s">
        <v>#N/A Requesting Data...</v>
        <stp/>
        <stp>##V3_BQLV12</stp>
        <stp>[MODL_NOW_US1.xlsx]Single Period!R30C26</stp>
        <stp>NOW US Equity</stp>
        <stp>CF_FREE_CASH_FLOW_AS_REPORTED/1M</stp>
        <stp>FPR=2021Y</stp>
        <stp>FPT=A</stp>
        <stp>FA_ACT_EST_DATA=E, EST_SOURCE=UBS</stp>
        <stp>ACT_EST_MAPPING=PRECISE</stp>
        <stp>FS=MRC</stp>
        <stp>CURRENCY=USD</stp>
        <stp>XLFILL=b</stp>
        <tr r="Z30" s="2"/>
      </tp>
      <tp t="s">
        <v>#N/A Requesting Data...</v>
        <stp/>
        <stp>##V3_BQLV12</stp>
        <stp>[MODL_NOW_US1.xlsx]Single Period!R191C22</stp>
        <stp>NOW US Equity</stp>
        <stp>ST_DEFERRED_REVENUE/1M</stp>
        <stp>FPR=2021Y</stp>
        <stp>FPT=A</stp>
        <stp>FA_ACT_EST_DATA=E, EST_SOURCE=NDH</stp>
        <stp>ACT_EST_MAPPING=PRECISE</stp>
        <stp>FS=MRC</stp>
        <stp>CURRENCY=USD</stp>
        <stp>XLFILL=b</stp>
        <tr r="V191" s="2"/>
      </tp>
      <tp t="s">
        <v>#N/A Requesting Data...</v>
        <stp/>
        <stp>##V3_BQLV12</stp>
        <stp>[MODL_NOW_US1.xlsx]Single Period!R176C22</stp>
        <stp>NOW US Equity</stp>
        <stp>ST_DEFERRED_REVENUE/1M</stp>
        <stp>FPR=2021Y</stp>
        <stp>FPT=A</stp>
        <stp>FA_ACT_EST_DATA=E, EST_SOURCE=NDH</stp>
        <stp>ACT_EST_MAPPING=PRECISE</stp>
        <stp>FS=MRC</stp>
        <stp>CURRENCY=USD</stp>
        <stp>XLFILL=b</stp>
        <tr r="V176" s="2"/>
      </tp>
      <tp t="s">
        <v>#N/A Requesting Data...</v>
        <stp/>
        <stp>##V3_BQLV12</stp>
        <stp>[MODL_NOW_US1.xlsx]Single Period!R179C22</stp>
        <stp>NOW US Equity</stp>
        <stp>LT_DEFERRED_REVENUE/1M</stp>
        <stp>FPR=2021Y</stp>
        <stp>FPT=A</stp>
        <stp>FA_ACT_EST_DATA=E, EST_SOURCE=NDH</stp>
        <stp>ACT_EST_MAPPING=PRECISE</stp>
        <stp>FS=MRC</stp>
        <stp>CURRENCY=USD</stp>
        <stp>XLFILL=b</stp>
        <tr r="V179" s="2"/>
      </tp>
      <tp t="s">
        <v>#N/A Requesting Data...</v>
        <stp/>
        <stp>##V3_BQLV12</stp>
        <stp>[MODL_NOW_US1.xlsx]Single Period!R158C20</stp>
        <stp>NOW US Equity</stp>
        <stp>BS_ACCTS_REC_EXCL_NOTES_REC/1M</stp>
        <stp>FPR=2021Y</stp>
        <stp>FPT=A</stp>
        <stp>FA_ACT_EST_DATA=E, EST_SOURCE=CAN</stp>
        <stp>ACT_EST_MAPPING=PRECISE</stp>
        <stp>FS=MRC</stp>
        <stp>CURRENCY=USD</stp>
        <stp>XLFILL=b</stp>
        <tr r="T158" s="2"/>
      </tp>
      <tp t="s">
        <v>#N/A Requesting Data...</v>
        <stp/>
        <stp>##V3_BQLV12</stp>
        <stp>[MODL_NOW_US1.xlsx]Single Period!R192C22</stp>
        <stp>NOW US Equity</stp>
        <stp>LT_DEFERRED_REVENUE/1M</stp>
        <stp>FPR=2021Y</stp>
        <stp>FPT=A</stp>
        <stp>FA_ACT_EST_DATA=E, EST_SOURCE=NDH</stp>
        <stp>ACT_EST_MAPPING=PRECISE</stp>
        <stp>FS=MRC</stp>
        <stp>CURRENCY=USD</stp>
        <stp>XLFILL=b</stp>
        <tr r="V192" s="2"/>
      </tp>
      <tp t="s">
        <v>#N/A Requesting Data...</v>
        <stp/>
        <stp>##V3_BQLV12</stp>
        <stp>[MODL_NOW_US1.xlsx]Single Period!R80C29</stp>
        <stp>NOW US Equity</stp>
        <stp>IS_COMP_SALES/1M</stp>
        <stp>FPR=2021Y</stp>
        <stp>FPT=A</stp>
        <stp>FA_ACT_EST_DATA=E, EST_SOURCE=BNS</stp>
        <stp>ACT_EST_MAPPING=PRECISE</stp>
        <stp>FS=MRC</stp>
        <stp>CURRENCY=USD</stp>
        <stp>XLFILL=b</stp>
        <tr r="AC80" s="2"/>
      </tp>
      <tp t="s">
        <v>#N/A Requesting Data...</v>
        <stp/>
        <stp>##V3_BQLV12</stp>
        <stp>[MODL_NOW_US1.xlsx]Single Period!R89C21</stp>
        <stp>NOW US Equity</stp>
        <stp>IS_REV_INCLUDING_INTERSEG_REV/1M</stp>
        <stp>FPR=2021Y</stp>
        <stp>FPT=A</stp>
        <stp>FA_ACT_EST_DATA=E, EST_SOURCE=JMP</stp>
        <stp>ACT_EST_MAPPING=PRECISE</stp>
        <stp>FS=MRC</stp>
        <stp>CURRENCY=USD</stp>
        <stp>XLFILL=b</stp>
        <tr r="U89" s="2"/>
      </tp>
      <tp t="s">
        <v>#N/A Requesting Data...</v>
        <stp/>
        <stp>##V3_BQLV12</stp>
        <stp>[MODL_NOW_US1.xlsx]Single Period!R184C37</stp>
        <stp>NOW US Equity</stp>
        <stp>BS_EQTY_BEFORE_MINORITY_INT/1M</stp>
        <stp>FPR=2021Y</stp>
        <stp>FPT=A</stp>
        <stp>FA_ACT_EST_DATA=E, EST_SOURCE=TTC</stp>
        <stp>ACT_EST_MAPPING=PRECISE</stp>
        <stp>FS=MRC</stp>
        <stp>CURRENCY=USD</stp>
        <stp>XLFILL=b</stp>
        <tr r="AK184" s="2"/>
      </tp>
      <tp t="s">
        <v>#N/A Requesting Data...</v>
        <stp/>
        <stp>##V3_BQLV12</stp>
        <stp>[MODL_NOW_US1.xlsx]Single Period!R210C20</stp>
        <stp>NOW US Equity</stp>
        <stp>CF_CHANGE_IN_PREPAID_EXPNSS/1M</stp>
        <stp>FPR=2021Y</stp>
        <stp>FPT=A</stp>
        <stp>FA_ACT_EST_DATA=E, EST_SOURCE=CAN</stp>
        <stp>ACT_EST_MAPPING=PRECISE</stp>
        <stp>FS=MRC</stp>
        <stp>CURRENCY=USD</stp>
        <stp>XLFILL=b</stp>
        <tr r="T210" s="2"/>
      </tp>
      <tp t="s">
        <v>#N/A Requesting Data...</v>
        <stp/>
        <stp>##V3_BQLV12</stp>
        <stp>[MODL_NOW_US1.xlsx]Single Period!R105C20</stp>
        <stp>NOW US Equity</stp>
        <stp>ADJ_PROFIT_MARGIN</stp>
        <stp>FPR=2021Y</stp>
        <stp>FPT=A</stp>
        <stp>FA_ACT_EST_DATA=E, EST_SOURCE=CAN</stp>
        <stp>ACT_EST_MAPPING=PRECISE</stp>
        <stp>FS=MRC</stp>
        <stp>CURRENCY=USD</stp>
        <stp>XLFILL=b</stp>
        <tr r="T105" s="2"/>
      </tp>
      <tp t="s">
        <v>#N/A Requesting Data...</v>
        <stp/>
        <stp>##V3_BQLV12</stp>
        <stp>[MODL_NOW_US1.xlsx]Single Period!R137C42</stp>
        <stp>NOW US Equity</stp>
        <stp>CF_STOCK_BASED_COMPENSATION/1M</stp>
        <stp>FPR=2021Y</stp>
        <stp>FPT=A</stp>
        <stp>FA_ACT_EST_DATA=E, EST_SOURCE=CTI</stp>
        <stp>ACT_EST_MAPPING=PRECISE</stp>
        <stp>FS=MRC</stp>
        <stp>CURRENCY=USD</stp>
        <stp>XLFILL=b</stp>
        <tr r="AP137" s="2"/>
      </tp>
      <tp t="s">
        <v>#N/A Requesting Data...</v>
        <stp/>
        <stp>##V3_BQLV12</stp>
        <stp>[MODL_NOW_US1.xlsx]Single Period!R98C37</stp>
        <stp>NOW US Equity</stp>
        <stp>CF_DEPR_AMORT/1M</stp>
        <stp>FPR=2021Y</stp>
        <stp>FPT=A</stp>
        <stp>FA_ACT_EST_DATA=E, EST_SOURCE=TTC</stp>
        <stp>ACT_EST_MAPPING=PRECISE</stp>
        <stp>FS=MRC</stp>
        <stp>CURRENCY=USD</stp>
        <stp>XLFILL=b</stp>
        <tr r="AK98" s="2"/>
      </tp>
      <tp t="s">
        <v>#N/A Requesting Data...</v>
        <stp/>
        <stp>##V3_BQLV12</stp>
        <stp>[MODL_NOW_US1.xlsx]Single Period!R105C30</stp>
        <stp>NOW US Equity</stp>
        <stp>ADJ_PROFIT_MARGIN</stp>
        <stp>FPR=2021Y</stp>
        <stp>FPT=A</stp>
        <stp>FA_ACT_EST_DATA=E, EST_SOURCE=BAM</stp>
        <stp>ACT_EST_MAPPING=PRECISE</stp>
        <stp>FS=MRC</stp>
        <stp>CURRENCY=USD</stp>
        <stp>XLFILL=b</stp>
        <tr r="AD105" s="2"/>
      </tp>
      <tp t="s">
        <v>#N/A Requesting Data...</v>
        <stp/>
        <stp>##V3_BQLV12</stp>
        <stp>[MODL_NOW_US1.xlsx]Single Period!R98C39</stp>
        <stp>NOW US Equity</stp>
        <stp>CF_DEPR_AMORT/1M</stp>
        <stp>FPR=2021Y</stp>
        <stp>FPT=A</stp>
        <stp>FA_ACT_EST_DATA=E, EST_SOURCE=DZB</stp>
        <stp>ACT_EST_MAPPING=PRECISE</stp>
        <stp>FS=MRC</stp>
        <stp>CURRENCY=USD</stp>
        <stp>XLFILL=b</stp>
        <tr r="AM98" s="2"/>
      </tp>
      <tp t="s">
        <v>#N/A Requesting Data...</v>
        <stp/>
        <stp>##V3_BQLV12</stp>
        <stp>[MODL_NOW_US1.xlsx]Single Period!R210C30</stp>
        <stp>NOW US Equity</stp>
        <stp>CF_CHANGE_IN_PREPAID_EXPNSS/1M</stp>
        <stp>FPR=2021Y</stp>
        <stp>FPT=A</stp>
        <stp>FA_ACT_EST_DATA=E, EST_SOURCE=BAM</stp>
        <stp>ACT_EST_MAPPING=PRECISE</stp>
        <stp>FS=MRC</stp>
        <stp>CURRENCY=USD</stp>
        <stp>XLFILL=b</stp>
        <tr r="AD210" s="2"/>
      </tp>
      <tp t="s">
        <v>#N/A Requesting Data...</v>
        <stp/>
        <stp>##V3_BQLV12</stp>
        <stp>[MODL_NOW_US1.xlsx]Single Period!R98C41</stp>
        <stp>NOW US Equity</stp>
        <stp>CF_DEPR_AMORT/1M</stp>
        <stp>FPR=2021Y</stp>
        <stp>FPT=A</stp>
        <stp>FA_ACT_EST_DATA=E, EST_SOURCE=ARG</stp>
        <stp>ACT_EST_MAPPING=PRECISE</stp>
        <stp>FS=MRC</stp>
        <stp>CURRENCY=USD</stp>
        <stp>XLFILL=b</stp>
        <tr r="AO98" s="2"/>
      </tp>
      <tp t="s">
        <v>#N/A Requesting Data...</v>
        <stp/>
        <stp>##V3_BQLV12</stp>
        <stp>[MODL_NOW_US1.xlsx]Single Period!R27C13</stp>
        <stp>NOW US Equity</stp>
        <stp>IS_REV_INCLUDING_INTERSEG_REV/1M</stp>
        <stp>FPR=2021Y</stp>
        <stp>FPT=A</stp>
        <stp>FA_ACT_EST_DATA=E, EST_SOURCE=KEY</stp>
        <stp>ACT_EST_MAPPING=PRECISE</stp>
        <stp>FS=MRC</stp>
        <stp>CURRENCY=USD</stp>
        <stp>XLFILL=b</stp>
        <tr r="M27" s="2"/>
      </tp>
      <tp t="s">
        <v>#N/A Requesting Data...</v>
        <stp/>
        <stp>##V3_BQLV12</stp>
        <stp>[MODL_NOW_US1.xlsx]Single Period!R139C17</stp>
        <stp>NOW US Equity</stp>
        <stp>IS_SBC_ATTRIB_TO_COGS_PRETX/1M</stp>
        <stp>FPR=2021Y</stp>
        <stp>FPT=A</stp>
        <stp>FA_ACT_EST_DATA=E, EST_SOURCE=RHR</stp>
        <stp>ACT_EST_MAPPING=PRECISE</stp>
        <stp>FS=MRC</stp>
        <stp>CURRENCY=USD</stp>
        <stp>XLFILL=b</stp>
        <tr r="Q139" s="2"/>
      </tp>
      <tp t="s">
        <v>#N/A Requesting Data...</v>
        <stp/>
        <stp>##V3_BQLV12</stp>
        <stp>[MODL_NOW_US1.xlsx]Single Period!R80C25</stp>
        <stp>NOW US Equity</stp>
        <stp>IS_COMP_SALES/1M</stp>
        <stp>FPR=2021Y</stp>
        <stp>FPT=A</stp>
        <stp>FA_ACT_EST_DATA=E, EST_SOURCE=DBG</stp>
        <stp>ACT_EST_MAPPING=PRECISE</stp>
        <stp>FS=MRC</stp>
        <stp>CURRENCY=USD</stp>
        <stp>XLFILL=b</stp>
        <tr r="Y80" s="2"/>
      </tp>
      <tp t="s">
        <v>#N/A Requesting Data...</v>
        <stp/>
        <stp>##V3_BQLV12</stp>
        <stp>[MODL_NOW_US1.xlsx]Single Period!R27C18</stp>
        <stp>NOW US Equity</stp>
        <stp>IS_REV_INCLUDING_INTERSEG_REV/1M</stp>
        <stp>FPR=2021Y</stp>
        <stp>FPT=A</stp>
        <stp>FA_ACT_EST_DATA=E, EST_SOURCE=SNR</stp>
        <stp>ACT_EST_MAPPING=PRECISE</stp>
        <stp>FS=MRC</stp>
        <stp>CURRENCY=USD</stp>
        <stp>XLFILL=b</stp>
        <tr r="R27" s="2"/>
      </tp>
      <tp t="s">
        <v>#N/A Requesting Data...</v>
        <stp/>
        <stp>##V3_BQLV12</stp>
        <stp>[MODL_NOW_US1.xlsx]Single Period!R105C33</stp>
        <stp>NOW US Equity</stp>
        <stp>ADJ_PROFIT_MARGIN</stp>
        <stp>FPR=2021Y</stp>
        <stp>FPT=A</stp>
        <stp>FA_ACT_EST_DATA=E, EST_SOURCE=MAC</stp>
        <stp>ACT_EST_MAPPING=PRECISE</stp>
        <stp>FS=MRC</stp>
        <stp>CURRENCY=USD</stp>
        <stp>XLFILL=b</stp>
        <tr r="AG105" s="2"/>
      </tp>
      <tp t="s">
        <v>#N/A Requesting Data...</v>
        <stp/>
        <stp>##V3_BQLV12</stp>
        <stp>[MODL_NOW_US1.xlsx]Single Period!R137C37</stp>
        <stp>NOW US Equity</stp>
        <stp>CF_STOCK_BASED_COMPENSATION/1M</stp>
        <stp>FPR=2021Y</stp>
        <stp>FPT=A</stp>
        <stp>FA_ACT_EST_DATA=E, EST_SOURCE=TTC</stp>
        <stp>ACT_EST_MAPPING=PRECISE</stp>
        <stp>FS=MRC</stp>
        <stp>CURRENCY=USD</stp>
        <stp>XLFILL=b</stp>
        <tr r="AK137" s="2"/>
      </tp>
      <tp t="s">
        <v>#N/A Requesting Data...</v>
        <stp/>
        <stp>##V3_BQLV12</stp>
        <stp>[MODL_NOW_US1.xlsx]Single Period!R210C33</stp>
        <stp>NOW US Equity</stp>
        <stp>CF_CHANGE_IN_PREPAID_EXPNSS/1M</stp>
        <stp>FPR=2021Y</stp>
        <stp>FPT=A</stp>
        <stp>FA_ACT_EST_DATA=E, EST_SOURCE=MAC</stp>
        <stp>ACT_EST_MAPPING=PRECISE</stp>
        <stp>FS=MRC</stp>
        <stp>CURRENCY=USD</stp>
        <stp>XLFILL=b</stp>
        <tr r="AG210" s="2"/>
      </tp>
      <tp t="s">
        <v>#N/A Requesting Data...</v>
        <stp/>
        <stp>##V3_BQLV12</stp>
        <stp>[MODL_NOW_US1.xlsx]Single Period!R184C42</stp>
        <stp>NOW US Equity</stp>
        <stp>BS_EQTY_BEFORE_MINORITY_INT/1M</stp>
        <stp>FPR=2021Y</stp>
        <stp>FPT=A</stp>
        <stp>FA_ACT_EST_DATA=E, EST_SOURCE=CTI</stp>
        <stp>ACT_EST_MAPPING=PRECISE</stp>
        <stp>FS=MRC</stp>
        <stp>CURRENCY=USD</stp>
        <stp>XLFILL=b</stp>
        <tr r="AP184" s="2"/>
      </tp>
      <tp t="s">
        <v>#N/A Requesting Data...</v>
        <stp/>
        <stp>##V3_BQLV12</stp>
        <stp>[MODL_NOW_US1.xlsx]Single Period!R98C24</stp>
        <stp>NOW US Equity</stp>
        <stp>CF_DEPR_AMORT/1M</stp>
        <stp>FPR=2021Y</stp>
        <stp>FPT=A</stp>
        <stp>FA_ACT_EST_DATA=E, EST_SOURCE=CWN</stp>
        <stp>ACT_EST_MAPPING=PRECISE</stp>
        <stp>FS=MRC</stp>
        <stp>CURRENCY=USD</stp>
        <stp>XLFILL=b</stp>
        <tr r="X98" s="2"/>
      </tp>
      <tp t="s">
        <v>#N/A Requesting Data...</v>
        <stp/>
        <stp>##V3_BQLV12</stp>
        <stp>[MODL_NOW_US1.xlsx]Single Period!R92C26</stp>
        <stp>NOW US Equity</stp>
        <stp>IS_ADJ_GENL_AND_ADMIN_EXPN_AR/1M</stp>
        <stp>FPR=2021Y</stp>
        <stp>FPT=A</stp>
        <stp>FA_ACT_EST_DATA=E, EST_SOURCE=UBS</stp>
        <stp>ACT_EST_MAPPING=PRECISE</stp>
        <stp>FS=MRC</stp>
        <stp>CURRENCY=USD</stp>
        <stp>XLFILL=b</stp>
        <tr r="Z92" s="2"/>
      </tp>
      <tp t="s">
        <v>#N/A Requesting Data...</v>
        <stp/>
        <stp>##V3_BQLV12</stp>
        <stp>[MODL_NOW_US1.xlsx]Single Period!R14C39</stp>
        <stp>SEG0000230975 Segment</stp>
        <stp>SALES_REV_TURN/1M</stp>
        <stp>FPR=2021Y</stp>
        <stp>FPT=A</stp>
        <stp>FA_ACT_EST_DATA=E, EST_SOURCE=DZB</stp>
        <stp>ACT_EST_MAPPING=PRECISE</stp>
        <stp>FS=MRC</stp>
        <stp>CURRENCY=USD</stp>
        <stp>XLFILL=b</stp>
        <tr r="AM14" s="2"/>
      </tp>
      <tp t="s">
        <v>#N/A Requesting Data...</v>
        <stp/>
        <stp>##V3_BQLV12</stp>
        <stp>[MODL_NOW_US1.xlsx]Single Period!R66C38</stp>
        <stp>SEG0000230986 Segment</stp>
        <stp>SALES_REV_TURN/1M</stp>
        <stp>FPR=2021Y</stp>
        <stp>FPT=A</stp>
        <stp>FA_ACT_EST_DATA=E, EST_SOURCE=RWB</stp>
        <stp>ACT_EST_MAPPING=PRECISE</stp>
        <stp>FS=MRC</stp>
        <stp>CURRENCY=USD</stp>
        <stp>XLFILL=b</stp>
        <tr r="AL66" s="2"/>
      </tp>
      <tp t="s">
        <v>#N/A Requesting Data...</v>
        <stp/>
        <stp>##V3_BQLV12</stp>
        <stp>[MODL_NOW_US1.xlsx]Single Period!R54C24</stp>
        <stp>NOW US Equity</stp>
        <stp>IS_FOREIGN_CURRENCY_TURNOVER/1M</stp>
        <stp>FPR=2021Y</stp>
        <stp>FPT=A</stp>
        <stp>FA_ACT_EST_DATA=E, EST_SOURCE=CWN</stp>
        <stp>ACT_EST_MAPPING=PRECISE</stp>
        <stp>FS=MRC</stp>
        <stp>CURRENCY=USD</stp>
        <stp>XLFILL=b</stp>
        <tr r="X54" s="2"/>
      </tp>
      <tp t="s">
        <v>#N/A Requesting Data...</v>
        <stp/>
        <stp>##V3_BQLV12</stp>
        <stp>[MODL_NOW_US1.xlsx]Single Period!R235C42</stp>
        <stp>NOW US Equity</stp>
        <stp>CF_FREE_CASH_FLOW_AS_REPORTED/1M</stp>
        <stp>FPR=2021Y</stp>
        <stp>FPT=A</stp>
        <stp>FA_ACT_EST_DATA=E, EST_SOURCE=CTI</stp>
        <stp>ACT_EST_MAPPING=PRECISE</stp>
        <stp>FS=MRC</stp>
        <stp>CURRENCY=USD</stp>
        <stp>XLFILL=b</stp>
        <tr r="AP235" s="2"/>
      </tp>
      <tp t="s">
        <v>#N/A Requesting Data...</v>
        <stp/>
        <stp>##V3_BQLV12</stp>
        <stp>[MODL_NOW_US1.xlsx]Single Period!R209C49</stp>
        <stp>NOW US Equity</stp>
        <stp>CF_CHANGE_IN_ACCOUNTS_PAYABLE/1M</stp>
        <stp>FPR=2021Y</stp>
        <stp>FPT=A</stp>
        <stp>FA_ACT_EST_DATA=E, EST_SOURCE=SCB</stp>
        <stp>ACT_EST_MAPPING=PRECISE</stp>
        <stp>FS=MRC</stp>
        <stp>CURRENCY=USD</stp>
        <stp>XLFILL=b</stp>
        <tr r="AW209" s="2"/>
      </tp>
      <tp t="s">
        <v>#N/A Requesting Data...</v>
        <stp/>
        <stp>##V3_BQLV12</stp>
        <stp>[MODL_NOW_US1.xlsx]Single Period!R102C31</stp>
        <stp>NOW US Equity</stp>
        <stp>IS_COMP_PTP_EX_STK_BASED_COMP/1M</stp>
        <stp>FPR=2021Y</stp>
        <stp>FPT=A</stp>
        <stp>FA_ACT_EST_DATA=E, EST_SOURCE=GSR</stp>
        <stp>ACT_EST_MAPPING=PRECISE</stp>
        <stp>FS=MRC</stp>
        <stp>CURRENCY=USD</stp>
        <stp>XLFILL=b</stp>
        <tr r="AE102" s="2"/>
      </tp>
      <tp t="s">
        <v>#N/A Requesting Data...</v>
        <stp/>
        <stp>##V3_BQLV12</stp>
        <stp>[MODL_NOW_US1.xlsx]Single Period!R66C40</stp>
        <stp>SEG0000230986 Segment</stp>
        <stp>SALES_REV_TURN/1M</stp>
        <stp>FPR=2021Y</stp>
        <stp>FPT=A</stp>
        <stp>FA_ACT_EST_DATA=E, EST_SOURCE=DWI</stp>
        <stp>ACT_EST_MAPPING=PRECISE</stp>
        <stp>FS=MRC</stp>
        <stp>CURRENCY=USD</stp>
        <stp>XLFILL=b</stp>
        <tr r="AN66" s="2"/>
      </tp>
      <tp t="s">
        <v>#N/A Requesting Data...</v>
        <stp/>
        <stp>##V3_BQLV12</stp>
        <stp>[MODL_NOW_US1.xlsx]Single Period!R15C47</stp>
        <stp>SEG0000230992 Segment</stp>
        <stp>SALES_REV_TURN/1M</stp>
        <stp>FPR=2021Y</stp>
        <stp>FPT=A</stp>
        <stp>FA_ACT_EST_DATA=E, EST_SOURCE=SUM</stp>
        <stp>ACT_EST_MAPPING=PRECISE</stp>
        <stp>FS=MRC</stp>
        <stp>CURRENCY=USD</stp>
        <stp>XLFILL=b</stp>
        <tr r="AU15" s="2"/>
      </tp>
      <tp t="s">
        <v>#N/A Requesting Data...</v>
        <stp/>
        <stp>##V3_BQLV12</stp>
        <stp>[MODL_NOW_US1.xlsx]Single Period!R75C47</stp>
        <stp>SEG0000230992 Segment</stp>
        <stp>SALES_REV_TURN/1M</stp>
        <stp>FPR=2021Y</stp>
        <stp>FPT=A</stp>
        <stp>FA_ACT_EST_DATA=E, EST_SOURCE=SUM</stp>
        <stp>ACT_EST_MAPPING=PRECISE</stp>
        <stp>FS=MRC</stp>
        <stp>CURRENCY=USD</stp>
        <stp>XLFILL=b</stp>
        <tr r="AU75" s="2"/>
      </tp>
      <tp t="s">
        <v>#N/A Requesting Data...</v>
        <stp/>
        <stp>##V3_BQLV12</stp>
        <stp>[MODL_NOW_US1.xlsx]Single Period!R101C21</stp>
        <stp>NOW US Equity</stp>
        <stp>CB_IS_OTHER_NON_OPER_INC_EXPN/1M</stp>
        <stp>FPR=2021Y</stp>
        <stp>FPT=A</stp>
        <stp>FA_ACT_EST_DATA=E, EST_SOURCE=JMP</stp>
        <stp>ACT_EST_MAPPING=PRECISE</stp>
        <stp>FS=MRC</stp>
        <stp>CURRENCY=USD</stp>
        <stp>XLFILL=b</stp>
        <tr r="U101" s="2"/>
      </tp>
      <tp t="s">
        <v>#N/A Requesting Data...</v>
        <stp/>
        <stp>##V3_BQLV12</stp>
        <stp>[MODL_NOW_US1.xlsx]Single Period!R83C24</stp>
        <stp>NOW US Equity</stp>
        <stp>IS_ADJUSTED_COGS_AS_REPORTED/1M</stp>
        <stp>FPR=2021Y</stp>
        <stp>FPT=A</stp>
        <stp>FA_ACT_EST_DATA=E, EST_SOURCE=CWN</stp>
        <stp>ACT_EST_MAPPING=PRECISE</stp>
        <stp>FS=MRC</stp>
        <stp>CURRENCY=USD</stp>
        <stp>XLFILL=b</stp>
        <tr r="X83" s="2"/>
      </tp>
      <tp t="s">
        <v>#N/A Requesting Data...</v>
        <stp/>
        <stp>##V3_BQLV12</stp>
        <stp>[MODL_NOW_US1.xlsx]Single Period!R235C44</stp>
        <stp>NOW US Equity</stp>
        <stp>CF_FREE_CASH_FLOW_AS_REPORTED/1M</stp>
        <stp>FPR=2021Y</stp>
        <stp>FPT=A</stp>
        <stp>FA_ACT_EST_DATA=E, EST_SOURCE=ARE</stp>
        <stp>ACT_EST_MAPPING=PRECISE</stp>
        <stp>FS=MRC</stp>
        <stp>CURRENCY=USD</stp>
        <stp>XLFILL=b</stp>
        <tr r="AR235" s="2"/>
      </tp>
      <tp t="s">
        <v>#N/A Requesting Data...</v>
        <stp/>
        <stp>##V3_BQLV12</stp>
        <stp>[MODL_NOW_US1.xlsx]Single Period!R99C23</stp>
        <stp>NOW US Equity</stp>
        <stp>IS_COMPARABLE_EBITDA/1M</stp>
        <stp>FPR=2021Y</stp>
        <stp>FPT=A</stp>
        <stp>FA_ACT_EST_DATA=E, EST_SOURCE=ZXS</stp>
        <stp>ACT_EST_MAPPING=PRECISE</stp>
        <stp>FS=MRC</stp>
        <stp>CURRENCY=USD</stp>
        <stp>XLFILL=b</stp>
        <tr r="W99" s="2"/>
      </tp>
      <tp t="s">
        <v>#N/A Requesting Data...</v>
        <stp/>
        <stp>##V3_BQLV12</stp>
        <stp>[MODL_NOW_US1.xlsx]Single Period!R143C12</stp>
        <stp>NOW US Equity</stp>
        <stp>IS_SBC_ATTRIBUTABLE_TO_R_AND_D_PRETX/1M</stp>
        <stp>FPR=2021Y</stp>
        <stp>FPT=A</stp>
        <stp>FA_ACT_EST_DATA=E, EST_SOURCE=WBL</stp>
        <stp>ACT_EST_MAPPING=PRECISE</stp>
        <stp>FS=MRC</stp>
        <stp>CURRENCY=USD</stp>
        <stp>XLFILL=b</stp>
        <tr r="L143" s="2"/>
      </tp>
      <tp t="s">
        <v>#N/A Requesting Data...</v>
        <stp/>
        <stp>##V3_BQLV12</stp>
        <stp>[MODL_NOW_US1.xlsx]Single Period!R143C20</stp>
        <stp>NOW US Equity</stp>
        <stp>IS_SBC_ATTRIBUTABLE_TO_R_AND_D_PRETX/1M</stp>
        <stp>FPR=2021Y</stp>
        <stp>FPT=A</stp>
        <stp>FA_ACT_EST_DATA=E, EST_SOURCE=CAN</stp>
        <stp>ACT_EST_MAPPING=PRECISE</stp>
        <stp>FS=MRC</stp>
        <stp>CURRENCY=USD</stp>
        <stp>XLFILL=b</stp>
        <tr r="T143" s="2"/>
      </tp>
      <tp t="s">
        <v>#N/A Requesting Data...</v>
        <stp/>
        <stp>##V3_BQLV12</stp>
        <stp>[MODL_NOW_US1.xlsx]Single Period!R66C24</stp>
        <stp>SEG0000230986 Segment</stp>
        <stp>SALES_REV_TURN/1M</stp>
        <stp>FPR=2021Y</stp>
        <stp>FPT=A</stp>
        <stp>FA_ACT_EST_DATA=E, EST_SOURCE=CWN</stp>
        <stp>ACT_EST_MAPPING=PRECISE</stp>
        <stp>FS=MRC</stp>
        <stp>CURRENCY=USD</stp>
        <stp>XLFILL=b</stp>
        <tr r="X66" s="2"/>
      </tp>
      <tp t="s">
        <v>#N/A Requesting Data...</v>
        <stp/>
        <stp>##V3_BQLV12</stp>
        <stp>[MODL_NOW_US1.xlsx]Single Period!R150C40</stp>
        <stp>NOW US Equity</stp>
        <stp>IS_INC_TAX_EFFECT_NONGAAP_REC/1M</stp>
        <stp>FPR=2021Y</stp>
        <stp>FPT=A</stp>
        <stp>FA_ACT_EST_DATA=E, EST_SOURCE=DWI</stp>
        <stp>ACT_EST_MAPPING=PRECISE</stp>
        <stp>FS=MRC</stp>
        <stp>CURRENCY=USD</stp>
        <stp>XLFILL=b</stp>
        <tr r="AN150" s="2"/>
      </tp>
      <tp t="s">
        <v>#N/A Requesting Data...</v>
        <stp/>
        <stp>##V3_BQLV12</stp>
        <stp>[MODL_NOW_US1.xlsx]Single Period!R14C46</stp>
        <stp>SEG0000230975 Segment</stp>
        <stp>SALES_REV_TURN/1M</stp>
        <stp>FPR=2021Y</stp>
        <stp>FPT=A</stp>
        <stp>FA_ACT_EST_DATA=E, EST_SOURCE=MZS</stp>
        <stp>ACT_EST_MAPPING=PRECISE</stp>
        <stp>FS=MRC</stp>
        <stp>CURRENCY=USD</stp>
        <stp>XLFILL=b</stp>
        <tr r="AT14" s="2"/>
      </tp>
      <tp t="s">
        <v>#N/A Requesting Data...</v>
        <stp/>
        <stp>##V3_BQLV12</stp>
        <stp>[MODL_NOW_US1.xlsx]Single Period!R58C28</stp>
        <stp>SEG0000230975 Segment</stp>
        <stp>SALES_REV_TURN/1M</stp>
        <stp>FPR=2021Y</stp>
        <stp>FPT=A</stp>
        <stp>FA_ACT_EST_DATA=E, EST_SOURCE=EVR</stp>
        <stp>ACT_EST_MAPPING=PRECISE</stp>
        <stp>FS=MRC</stp>
        <stp>CURRENCY=USD</stp>
        <stp>XLFILL=b</stp>
        <tr r="AB58" s="2"/>
      </tp>
      <tp t="s">
        <v>#N/A Requesting Data...</v>
        <stp/>
        <stp>##V3_BQLV12</stp>
        <stp>[MODL_NOW_US1.xlsx]Single Period!R119C39</stp>
        <stp>NOW US Equity</stp>
        <stp>CB_IS_S_AND_M_EXPENSE/1M</stp>
        <stp>FPR=2021Y</stp>
        <stp>FPT=A</stp>
        <stp>FA_ACT_EST_DATA=E, EST_SOURCE=DZB</stp>
        <stp>ACT_EST_MAPPING=PRECISE</stp>
        <stp>FS=MRC</stp>
        <stp>CURRENCY=USD</stp>
        <stp>XLFILL=b</stp>
        <tr r="AM119" s="2"/>
      </tp>
      <tp t="s">
        <v>#N/A Requesting Data...</v>
        <stp/>
        <stp>##V3_BQLV12</stp>
        <stp>[MODL_NOW_US1.xlsx]Single Period!R119C37</stp>
        <stp>NOW US Equity</stp>
        <stp>CB_IS_S_AND_M_EXPENSE/1M</stp>
        <stp>FPR=2021Y</stp>
        <stp>FPT=A</stp>
        <stp>FA_ACT_EST_DATA=E, EST_SOURCE=TTC</stp>
        <stp>ACT_EST_MAPPING=PRECISE</stp>
        <stp>FS=MRC</stp>
        <stp>CURRENCY=USD</stp>
        <stp>XLFILL=b</stp>
        <tr r="AK119" s="2"/>
      </tp>
      <tp t="s">
        <v>#N/A Requesting Data...</v>
        <stp/>
        <stp>##V3_BQLV12</stp>
        <stp>[MODL_NOW_US1.xlsx]Single Period!R102C47</stp>
        <stp>NOW US Equity</stp>
        <stp>IS_COMP_PTP_EX_STK_BASED_COMP/1M</stp>
        <stp>FPR=2021Y</stp>
        <stp>FPT=A</stp>
        <stp>FA_ACT_EST_DATA=E, EST_SOURCE=SUM</stp>
        <stp>ACT_EST_MAPPING=PRECISE</stp>
        <stp>FS=MRC</stp>
        <stp>CURRENCY=USD</stp>
        <stp>XLFILL=b</stp>
        <tr r="AU102" s="2"/>
      </tp>
      <tp t="s">
        <v>#N/A Requesting Data...</v>
        <stp/>
        <stp>##V3_BQLV12</stp>
        <stp>[MODL_NOW_US1.xlsx]Single Period!R119C41</stp>
        <stp>NOW US Equity</stp>
        <stp>CB_IS_S_AND_M_EXPENSE/1M</stp>
        <stp>FPR=2021Y</stp>
        <stp>FPT=A</stp>
        <stp>FA_ACT_EST_DATA=E, EST_SOURCE=ARG</stp>
        <stp>ACT_EST_MAPPING=PRECISE</stp>
        <stp>FS=MRC</stp>
        <stp>CURRENCY=USD</stp>
        <stp>XLFILL=b</stp>
        <tr r="AO119" s="2"/>
      </tp>
      <tp t="s">
        <v>#N/A Requesting Data...</v>
        <stp/>
        <stp>##V3_BQLV12</stp>
        <stp>[MODL_NOW_US1.xlsx]Single Period!R131C23</stp>
        <stp>NOW US Equity</stp>
        <stp>IS_AVG_NUM_SH_FOR_EPS/1M</stp>
        <stp>FPR=2021Y</stp>
        <stp>FPT=A</stp>
        <stp>FA_ACT_EST_DATA=E, EST_SOURCE=ZXS</stp>
        <stp>ACT_EST_MAPPING=PRECISE</stp>
        <stp>FS=MRC</stp>
        <stp>CURRENCY=USD</stp>
        <stp>XLFILL=b</stp>
        <tr r="W131" s="2"/>
      </tp>
      <tp t="s">
        <v>#N/A Requesting Data...</v>
        <stp/>
        <stp>##V3_BQLV12</stp>
        <stp>[MODL_NOW_US1.xlsx]Single Period!R235C35</stp>
        <stp>NOW US Equity</stp>
        <stp>CF_FREE_CASH_FLOW_AS_REPORTED/1M</stp>
        <stp>FPR=2021Y</stp>
        <stp>FPT=A</stp>
        <stp>FA_ACT_EST_DATA=E, EST_SOURCE=MSR</stp>
        <stp>ACT_EST_MAPPING=PRECISE</stp>
        <stp>FS=MRC</stp>
        <stp>CURRENCY=USD</stp>
        <stp>XLFILL=b</stp>
        <tr r="AI235" s="2"/>
      </tp>
      <tp t="s">
        <v>#N/A Requesting Data...</v>
        <stp/>
        <stp>##V3_BQLV12</stp>
        <stp>[MODL_NOW_US1.xlsx]Single Period!R77C23</stp>
        <stp>SEG0000230969 Segment</stp>
        <stp>SALES_REV_TURN/1M</stp>
        <stp>FPR=2021Y</stp>
        <stp>FPT=A</stp>
        <stp>FA_ACT_EST_DATA=E, EST_SOURCE=ZXS</stp>
        <stp>ACT_EST_MAPPING=PRECISE</stp>
        <stp>FS=MRC</stp>
        <stp>CURRENCY=USD</stp>
        <stp>XLFILL=b</stp>
        <tr r="W77" s="2"/>
      </tp>
      <tp t="s">
        <v>#N/A Requesting Data...</v>
        <stp/>
        <stp>##V3_BQLV12</stp>
        <stp>[MODL_NOW_US1.xlsx]Single Period!R150C34</stp>
        <stp>NOW US Equity</stp>
        <stp>IS_INC_TAX_EFFECT_NONGAAP_REC/1M</stp>
        <stp>FPR=2021Y</stp>
        <stp>FPT=A</stp>
        <stp>FA_ACT_EST_DATA=E, EST_SOURCE=PSG</stp>
        <stp>ACT_EST_MAPPING=PRECISE</stp>
        <stp>FS=MRC</stp>
        <stp>CURRENCY=USD</stp>
        <stp>XLFILL=b</stp>
        <tr r="AH150" s="2"/>
      </tp>
      <tp t="s">
        <v>#N/A Requesting Data...</v>
        <stp/>
        <stp>##V3_BQLV12</stp>
        <stp>[MODL_NOW_US1.xlsx]Single Period!R119C24</stp>
        <stp>NOW US Equity</stp>
        <stp>CB_IS_S_AND_M_EXPENSE/1M</stp>
        <stp>FPR=2021Y</stp>
        <stp>FPT=A</stp>
        <stp>FA_ACT_EST_DATA=E, EST_SOURCE=CWN</stp>
        <stp>ACT_EST_MAPPING=PRECISE</stp>
        <stp>FS=MRC</stp>
        <stp>CURRENCY=USD</stp>
        <stp>XLFILL=b</stp>
        <tr r="X119" s="2"/>
      </tp>
      <tp t="s">
        <v>#N/A Requesting Data...</v>
        <stp/>
        <stp>##V3_BQLV12</stp>
        <stp>[MODL_NOW_US1.xlsx]Single Period!R85C46</stp>
        <stp>NOW US Equity</stp>
        <stp>IS_COMP_GROSS_MARGIN_PERCENTAGE</stp>
        <stp>FPR=2021Y</stp>
        <stp>FPT=A</stp>
        <stp>FA_ACT_EST_DATA=E, EST_SOURCE=MZS</stp>
        <stp>ACT_EST_MAPPING=PRECISE</stp>
        <stp>FS=MRC</stp>
        <stp>CURRENCY=USD</stp>
        <stp>XLFILL=b</stp>
        <tr r="AT85" s="2"/>
      </tp>
      <tp t="s">
        <v>#N/A Requesting Data...</v>
        <stp/>
        <stp>##V3_BQLV12</stp>
        <stp>[MODL_NOW_US1.xlsx]Single Period!R134C23</stp>
        <stp>NOW US Equity</stp>
        <stp>IS_COMP_EPS_GAAP</stp>
        <stp>FPR=2021Y</stp>
        <stp>FPT=A</stp>
        <stp>FA_ACT_EST_DATA=E, EST_SOURCE=ZXS</stp>
        <stp>ACT_EST_MAPPING=PRECISE</stp>
        <stp>FS=MRC</stp>
        <stp>CURRENCY=USD</stp>
        <stp>XLFILL=b</stp>
        <tr r="W134" s="2"/>
      </tp>
      <tp t="s">
        <v>#N/A Requesting Data...</v>
        <stp/>
        <stp>##V3_BQLV12</stp>
        <stp>[MODL_NOW_US1.xlsx]Single Period!R25C46</stp>
        <stp>NOW US Equity</stp>
        <stp>IS_COMP_GROSS_MARGIN_PERCENTAGE</stp>
        <stp>FPR=2021Y</stp>
        <stp>FPT=A</stp>
        <stp>FA_ACT_EST_DATA=E, EST_SOURCE=MZS</stp>
        <stp>ACT_EST_MAPPING=PRECISE</stp>
        <stp>FS=MRC</stp>
        <stp>CURRENCY=USD</stp>
        <stp>XLFILL=b</stp>
        <tr r="AT25" s="2"/>
      </tp>
      <tp t="s">
        <v>#N/A Requesting Data...</v>
        <stp/>
        <stp>##V3_BQLV12</stp>
        <stp>[MODL_NOW_US1.xlsx]Single Period!R201C14</stp>
        <stp>NOW US Equity</stp>
        <stp>D_AND_A_TO_SALES</stp>
        <stp>FPR=2021Y</stp>
        <stp>FPT=A</stp>
        <stp>FA_ACT_EST_DATA=E, EST_SOURCE=BMO</stp>
        <stp>ACT_EST_MAPPING=PRECISE</stp>
        <stp>FS=MRC</stp>
        <stp>CURRENCY=USD</stp>
        <stp>XLFILL=b</stp>
        <tr r="N201" s="2"/>
      </tp>
      <tp t="s">
        <v>#N/A Requesting Data...</v>
        <stp/>
        <stp>##V3_BQLV12</stp>
        <stp>[MODL_NOW_US1.xlsx]Single Period!R3C17</stp>
        <stp>NOW US Equity</stp>
        <stp>LAST(IS_COMP_SALES(FA_ACT_EST_DATA=E, EST_SOURCE=RHR).firm_name)</stp>
        <stp>FPR=2021Y</stp>
        <stp>FPT=A</stp>
        <stp>ACT_EST_MAPPING=PRECISE</stp>
        <stp>FS=MRC</stp>
        <stp>CURRENCY=USD</stp>
        <stp>XLFILL=b</stp>
        <tr r="Q3" s="2"/>
      </tp>
      <tp t="s">
        <v>#N/A Requesting Data...</v>
        <stp/>
        <stp>##V3_BQLV12</stp>
        <stp>[MODL_NOW_US1.xlsx]Single Period!R195C14</stp>
        <stp>NOW US Equity</stp>
        <stp>CB_BS_DEFERRED_COST_LT/1M</stp>
        <stp>FPR=2021Y</stp>
        <stp>FPT=A</stp>
        <stp>FA_ACT_EST_DATA=E, EST_SOURCE=BMO</stp>
        <stp>ACT_EST_MAPPING=PRECISE</stp>
        <stp>FS=MRC</stp>
        <stp>CURRENCY=USD</stp>
        <stp>XLFILL=b</stp>
        <tr r="N195" s="2"/>
      </tp>
      <tp t="s">
        <v>#N/A Requesting Data...</v>
        <stp/>
        <stp>##V3_BQLV12</stp>
        <stp>[MODL_NOW_US1.xlsx]Single Period!R123C45</stp>
        <stp>NOW US Equity</stp>
        <stp>TOTAL_OPERATING_EXPENSES_RATIO/1M</stp>
        <stp>FPR=2021Y</stp>
        <stp>FPT=A</stp>
        <stp>FA_ACT_EST_DATA=E, EST_SOURCE=PJE</stp>
        <stp>ACT_EST_MAPPING=PRECISE</stp>
        <stp>FS=MRC</stp>
        <stp>CURRENCY=USD</stp>
        <stp>XLFILL=b</stp>
        <tr r="AS123" s="2"/>
      </tp>
      <tp t="s">
        <v>#N/A Requesting Data...</v>
        <stp/>
        <stp>##V3_BQLV12</stp>
        <stp>[MODL_NOW_US1.xlsx]Single Period!R92C6</stp>
        <stp>NOW US Equity</stp>
        <stp>CONTRIBUTOR_STATS(IS_ADJ_GENL_AND_ADMIN_EXPN_AR, MIN)/1M</stp>
        <stp>FPR=2021Y</stp>
        <stp>FPT=A</stp>
        <stp>FA_ACT_EST_DATA=E</stp>
        <stp>ACT_EST_MAPPING=PRECISE</stp>
        <stp>FS=MRC</stp>
        <stp>CURRENCY=USD</stp>
        <stp>XLFILL=b</stp>
        <tr r="F92" s="2"/>
      </tp>
      <tp t="s">
        <v>#N/A Requesting Data...</v>
        <stp/>
        <stp>##V3_BQLV12</stp>
        <stp>[MODL_NOW_US1.xlsx]Single Period!R126C29</stp>
        <stp>NOW US Equity</stp>
        <stp>IS_NON_OPERATING_INC_LOSS_GAAP/1M</stp>
        <stp>FPR=2021Y</stp>
        <stp>FPT=A</stp>
        <stp>FA_ACT_EST_DATA=E, EST_SOURCE=BNS</stp>
        <stp>ACT_EST_MAPPING=PRECISE</stp>
        <stp>FS=MRC</stp>
        <stp>CURRENCY=USD</stp>
        <stp>XLFILL=b</stp>
        <tr r="AC126" s="2"/>
      </tp>
      <tp t="s">
        <v>#N/A Requesting Data...</v>
        <stp/>
        <stp>##V3_BQLV12</stp>
        <stp>[MODL_NOW_US1.xlsx]Single Period!R126C18</stp>
        <stp>NOW US Equity</stp>
        <stp>IS_NON_OPERATING_INC_LOSS_GAAP/1M</stp>
        <stp>FPR=2021Y</stp>
        <stp>FPT=A</stp>
        <stp>FA_ACT_EST_DATA=E, EST_SOURCE=SNR</stp>
        <stp>ACT_EST_MAPPING=PRECISE</stp>
        <stp>FS=MRC</stp>
        <stp>CURRENCY=USD</stp>
        <stp>XLFILL=b</stp>
        <tr r="R126" s="2"/>
      </tp>
      <tp t="s">
        <v>#N/A Requesting Data...</v>
        <stp/>
        <stp>##V3_BQLV12</stp>
        <stp>[MODL_NOW_US1.xlsx]Single Period!R18C26</stp>
        <stp>SEG0000230975 Segment</stp>
        <stp>IS_ADJ_GROSS_MARGIN_PCT_AR</stp>
        <stp>FPR=2021Y</stp>
        <stp>FPT=A</stp>
        <stp>FA_ACT_EST_DATA=E, EST_SOURCE=UBS</stp>
        <stp>ACT_EST_MAPPING=PRECISE</stp>
        <stp>FS=MRC</stp>
        <stp>CURRENCY=USD</stp>
        <stp>XLFILL=b</stp>
        <tr r="Z18" s="2"/>
      </tp>
      <tp t="s">
        <v>#N/A Requesting Data...</v>
        <stp/>
        <stp>##V3_BQLV12</stp>
        <stp>[MODL_NOW_US1.xlsx]Single Period!R62C26</stp>
        <stp>SEG0000230975 Segment</stp>
        <stp>IS_ADJ_GROSS_MARGIN_PCT_AR</stp>
        <stp>FPR=2021Y</stp>
        <stp>FPT=A</stp>
        <stp>FA_ACT_EST_DATA=E, EST_SOURCE=UBS</stp>
        <stp>ACT_EST_MAPPING=PRECISE</stp>
        <stp>FS=MRC</stp>
        <stp>CURRENCY=USD</stp>
        <stp>XLFILL=b</stp>
        <tr r="Z62" s="2"/>
      </tp>
      <tp t="s">
        <v>#N/A Requesting Data...</v>
        <stp/>
        <stp>##V3_BQLV12</stp>
        <stp>[MODL_NOW_US1.xlsx]Single Period!R40C17</stp>
        <stp>NOW US Equity</stp>
        <stp>BILLNG_AMOUNT_GROWTH_PCT</stp>
        <stp>FPR=2021Y</stp>
        <stp>FPT=A</stp>
        <stp>FA_ACT_EST_DATA=E, EST_SOURCE=RHR</stp>
        <stp>ACT_EST_MAPPING=PRECISE</stp>
        <stp>FS=MRC</stp>
        <stp>CURRENCY=USD</stp>
        <stp>XLFILL=b</stp>
        <tr r="Q40" s="2"/>
      </tp>
      <tp t="s">
        <v>#N/A Requesting Data...</v>
        <stp/>
        <stp>##V3_BQLV12</stp>
        <stp>[MODL_NOW_US1.xlsx]Single Period!R64C35</stp>
        <stp>SEG0000230975 Segment</stp>
        <stp>CB_IS_GROSS_MARGIN</stp>
        <stp>FPR=2021Y</stp>
        <stp>FPT=A</stp>
        <stp>FA_ACT_EST_DATA=E, EST_SOURCE=MSR</stp>
        <stp>ACT_EST_MAPPING=PRECISE</stp>
        <stp>FS=MRC</stp>
        <stp>CURRENCY=USD</stp>
        <stp>XLFILL=b</stp>
        <tr r="AI64" s="2"/>
      </tp>
      <tp t="s">
        <v>#N/A Requesting Data...</v>
        <stp/>
        <stp>##V3_BQLV12</stp>
        <stp>[MODL_NOW_US1.xlsx]Single Period!R232C19</stp>
        <stp>NOW US Equity</stp>
        <stp>CF_CASH_AND_CASH_EQUIV_BEG_BAL/1M</stp>
        <stp>FPR=2021Y</stp>
        <stp>FPT=A</stp>
        <stp>FA_ACT_EST_DATA=E, EST_SOURCE=MSV</stp>
        <stp>ACT_EST_MAPPING=PRECISE</stp>
        <stp>FS=MRC</stp>
        <stp>CURRENCY=USD</stp>
        <stp>XLFILL=b</stp>
        <tr r="S232" s="2"/>
      </tp>
      <tp t="s">
        <v>#N/A Requesting Data...</v>
        <stp/>
        <stp>##V3_BQLV12</stp>
        <stp>[MODL_NOW_US1.xlsx]Single Period!R64C31</stp>
        <stp>SEG0000230975 Segment</stp>
        <stp>CB_IS_GROSS_MARGIN</stp>
        <stp>FPR=2021Y</stp>
        <stp>FPT=A</stp>
        <stp>FA_ACT_EST_DATA=E, EST_SOURCE=GSR</stp>
        <stp>ACT_EST_MAPPING=PRECISE</stp>
        <stp>FS=MRC</stp>
        <stp>CURRENCY=USD</stp>
        <stp>XLFILL=b</stp>
        <tr r="AE64" s="2"/>
      </tp>
      <tp t="s">
        <v>#N/A Requesting Data...</v>
        <stp/>
        <stp>##V3_BQLV12</stp>
        <stp>[MODL_NOW_US1.xlsx]Single Period!R64C19</stp>
        <stp>SEG0000230975 Segment</stp>
        <stp>CB_IS_GROSS_MARGIN</stp>
        <stp>FPR=2021Y</stp>
        <stp>FPT=A</stp>
        <stp>FA_ACT_EST_DATA=E, EST_SOURCE=MSV</stp>
        <stp>ACT_EST_MAPPING=PRECISE</stp>
        <stp>FS=MRC</stp>
        <stp>CURRENCY=USD</stp>
        <stp>XLFILL=b</stp>
        <tr r="S64" s="2"/>
      </tp>
      <tp t="s">
        <v>#N/A Requesting Data...</v>
        <stp/>
        <stp>##V3_BQLV12</stp>
        <stp>[MODL_NOW_US1.xlsx]Single Period!R232C35</stp>
        <stp>NOW US Equity</stp>
        <stp>CF_CASH_AND_CASH_EQUIV_BEG_BAL/1M</stp>
        <stp>FPR=2021Y</stp>
        <stp>FPT=A</stp>
        <stp>FA_ACT_EST_DATA=E, EST_SOURCE=MSR</stp>
        <stp>ACT_EST_MAPPING=PRECISE</stp>
        <stp>FS=MRC</stp>
        <stp>CURRENCY=USD</stp>
        <stp>XLFILL=b</stp>
        <tr r="AI232" s="2"/>
      </tp>
      <tp t="s">
        <v>#N/A Requesting Data...</v>
        <stp/>
        <stp>##V3_BQLV12</stp>
        <stp>[MODL_NOW_US1.xlsx]Single Period!R232C31</stp>
        <stp>NOW US Equity</stp>
        <stp>CF_CASH_AND_CASH_EQUIV_BEG_BAL/1M</stp>
        <stp>FPR=2021Y</stp>
        <stp>FPT=A</stp>
        <stp>FA_ACT_EST_DATA=E, EST_SOURCE=GSR</stp>
        <stp>ACT_EST_MAPPING=PRECISE</stp>
        <stp>FS=MRC</stp>
        <stp>CURRENCY=USD</stp>
        <stp>XLFILL=b</stp>
        <tr r="AE232" s="2"/>
      </tp>
      <tp t="s">
        <v>#N/A Requesting Data...</v>
        <stp/>
        <stp>##V3_BQLV12</stp>
        <stp>[MODL_NOW_US1.xlsx]Single Period!R156C33</stp>
        <stp>NOW US Equity</stp>
        <stp>BS_CASH_NEAR_CASH_ITEM/1M</stp>
        <stp>FPR=2021Y</stp>
        <stp>FPT=A</stp>
        <stp>FA_ACT_EST_DATA=E, EST_SOURCE=MAC</stp>
        <stp>ACT_EST_MAPPING=PRECISE</stp>
        <stp>FS=MRC</stp>
        <stp>CURRENCY=USD</stp>
        <stp>XLFILL=b</stp>
        <tr r="AG156" s="2"/>
      </tp>
      <tp t="s">
        <v>#N/A Requesting Data...</v>
        <stp/>
        <stp>##V3_BQLV12</stp>
        <stp>[MODL_NOW_US1.xlsx]Single Period!R128C49</stp>
        <stp>NOW US Equity</stp>
        <stp>IS_INC_TAX_EXP/1M</stp>
        <stp>FPR=2021Y</stp>
        <stp>FPT=A</stp>
        <stp>FA_ACT_EST_DATA=E, EST_SOURCE=SCB</stp>
        <stp>ACT_EST_MAPPING=PRECISE</stp>
        <stp>FS=MRC</stp>
        <stp>CURRENCY=USD</stp>
        <stp>XLFILL=b</stp>
        <tr r="AW128" s="2"/>
      </tp>
      <tp t="s">
        <v>#N/A Requesting Data...</v>
        <stp/>
        <stp>##V3_BQLV12</stp>
        <stp>[MODL_NOW_US1.xlsx]Single Period!R40C45</stp>
        <stp>NOW US Equity</stp>
        <stp>BILLNG_AMOUNT_GROWTH_PCT</stp>
        <stp>FPR=2021Y</stp>
        <stp>FPT=A</stp>
        <stp>FA_ACT_EST_DATA=E, EST_SOURCE=PJE</stp>
        <stp>ACT_EST_MAPPING=PRECISE</stp>
        <stp>FS=MRC</stp>
        <stp>CURRENCY=USD</stp>
        <stp>XLFILL=b</stp>
        <tr r="AS40" s="2"/>
      </tp>
      <tp t="s">
        <v>#N/A Requesting Data...</v>
        <stp/>
        <stp>##V3_BQLV12</stp>
        <stp>[MODL_NOW_US1.xlsx]Single Period!R18C25</stp>
        <stp>SEG0000230975 Segment</stp>
        <stp>IS_ADJ_GROSS_MARGIN_PCT_AR</stp>
        <stp>FPR=2021Y</stp>
        <stp>FPT=A</stp>
        <stp>FA_ACT_EST_DATA=E, EST_SOURCE=DBG</stp>
        <stp>ACT_EST_MAPPING=PRECISE</stp>
        <stp>FS=MRC</stp>
        <stp>CURRENCY=USD</stp>
        <stp>XLFILL=b</stp>
        <tr r="Y18" s="2"/>
      </tp>
      <tp t="s">
        <v>#N/A Requesting Data...</v>
        <stp/>
        <stp>##V3_BQLV12</stp>
        <stp>[MODL_NOW_US1.xlsx]Single Period!R62C25</stp>
        <stp>SEG0000230975 Segment</stp>
        <stp>IS_ADJ_GROSS_MARGIN_PCT_AR</stp>
        <stp>FPR=2021Y</stp>
        <stp>FPT=A</stp>
        <stp>FA_ACT_EST_DATA=E, EST_SOURCE=DBG</stp>
        <stp>ACT_EST_MAPPING=PRECISE</stp>
        <stp>FS=MRC</stp>
        <stp>CURRENCY=USD</stp>
        <stp>XLFILL=b</stp>
        <tr r="Y62" s="2"/>
      </tp>
      <tp t="s">
        <v>#N/A Requesting Data...</v>
        <stp/>
        <stp>##V3_BQLV12</stp>
        <stp>[MODL_NOW_US1.xlsx]Single Period!R128C16</stp>
        <stp>NOW US Equity</stp>
        <stp>IS_INC_TAX_EXP/1M</stp>
        <stp>FPR=2021Y</stp>
        <stp>FPT=A</stp>
        <stp>FA_ACT_EST_DATA=E, EST_SOURCE=BCA</stp>
        <stp>ACT_EST_MAPPING=PRECISE</stp>
        <stp>FS=MRC</stp>
        <stp>CURRENCY=USD</stp>
        <stp>XLFILL=b</stp>
        <tr r="P128" s="2"/>
      </tp>
      <tp t="s">
        <v>#N/A Requesting Data...</v>
        <stp/>
        <stp>##V3_BQLV12</stp>
        <stp>[MODL_NOW_US1.xlsx]Single Period!R18C27</stp>
        <stp>SEG0000230975 Segment</stp>
        <stp>IS_ADJ_GROSS_MARGIN_PCT_AR</stp>
        <stp>FPR=2021Y</stp>
        <stp>FPT=A</stp>
        <stp>FA_ACT_EST_DATA=E, EST_SOURCE=RBC</stp>
        <stp>ACT_EST_MAPPING=PRECISE</stp>
        <stp>FS=MRC</stp>
        <stp>CURRENCY=USD</stp>
        <stp>XLFILL=b</stp>
        <tr r="AA18" s="2"/>
      </tp>
      <tp t="s">
        <v>#N/A Requesting Data...</v>
        <stp/>
        <stp>##V3_BQLV12</stp>
        <stp>[MODL_NOW_US1.xlsx]Single Period!R62C27</stp>
        <stp>SEG0000230975 Segment</stp>
        <stp>IS_ADJ_GROSS_MARGIN_PCT_AR</stp>
        <stp>FPR=2021Y</stp>
        <stp>FPT=A</stp>
        <stp>FA_ACT_EST_DATA=E, EST_SOURCE=RBC</stp>
        <stp>ACT_EST_MAPPING=PRECISE</stp>
        <stp>FS=MRC</stp>
        <stp>CURRENCY=USD</stp>
        <stp>XLFILL=b</stp>
        <tr r="AA62" s="2"/>
      </tp>
      <tp t="s">
        <v>#N/A Requesting Data...</v>
        <stp/>
        <stp>##V3_BQLV12</stp>
        <stp>[MODL_NOW_US1.xlsx]Single Period!R10C49</stp>
        <stp>NOW US Equity</stp>
        <stp>BILLNG_AMOUNT_GROWTH_PCT</stp>
        <stp>FPR=2021Y</stp>
        <stp>FPT=A</stp>
        <stp>FA_ACT_EST_DATA=E, EST_SOURCE=SCB</stp>
        <stp>ACT_EST_MAPPING=PRECISE</stp>
        <stp>FS=MRC</stp>
        <stp>CURRENCY=USD</stp>
        <stp>XLFILL=b</stp>
        <tr r="AW10" s="2"/>
      </tp>
      <tp t="s">
        <v>#N/A Requesting Data...</v>
        <stp/>
        <stp>##V3_BQLV12</stp>
        <stp>[MODL_NOW_US1.xlsx]Single Period!R70C33</stp>
        <stp>SEG0000230986 Segment</stp>
        <stp>IS_ADJ_GROSS_MARGIN_PCT_AR</stp>
        <stp>FPR=2021Y</stp>
        <stp>FPT=A</stp>
        <stp>FA_ACT_EST_DATA=E, EST_SOURCE=MAC</stp>
        <stp>ACT_EST_MAPPING=PRECISE</stp>
        <stp>FS=MRC</stp>
        <stp>CURRENCY=USD</stp>
        <stp>XLFILL=b</stp>
        <tr r="AG70" s="2"/>
      </tp>
      <tp t="s">
        <v>#N/A Requesting Data...</v>
        <stp/>
        <stp>##V3_BQLV12</stp>
        <stp>[MODL_NOW_US1.xlsx]Single Period!R62C32</stp>
        <stp>SEG0000230975 Segment</stp>
        <stp>IS_ADJ_GROSS_MARGIN_PCT_AR</stp>
        <stp>FPR=2021Y</stp>
        <stp>FPT=A</stp>
        <stp>FA_ACT_EST_DATA=E, EST_SOURCE=FBC</stp>
        <stp>ACT_EST_MAPPING=PRECISE</stp>
        <stp>FS=MRC</stp>
        <stp>CURRENCY=USD</stp>
        <stp>XLFILL=b</stp>
        <tr r="AF62" s="2"/>
      </tp>
      <tp t="s">
        <v>#N/A Requesting Data...</v>
        <stp/>
        <stp>##V3_BQLV12</stp>
        <stp>[MODL_NOW_US1.xlsx]Single Period!R22C33</stp>
        <stp>SEG0000230986 Segment</stp>
        <stp>IS_ADJ_GROSS_MARGIN_PCT_AR</stp>
        <stp>FPR=2021Y</stp>
        <stp>FPT=A</stp>
        <stp>FA_ACT_EST_DATA=E, EST_SOURCE=MAC</stp>
        <stp>ACT_EST_MAPPING=PRECISE</stp>
        <stp>FS=MRC</stp>
        <stp>CURRENCY=USD</stp>
        <stp>XLFILL=b</stp>
        <tr r="AG22" s="2"/>
      </tp>
      <tp t="s">
        <v>#N/A Requesting Data...</v>
        <stp/>
        <stp>##V3_BQLV12</stp>
        <stp>[MODL_NOW_US1.xlsx]Single Period!R18C32</stp>
        <stp>SEG0000230975 Segment</stp>
        <stp>IS_ADJ_GROSS_MARGIN_PCT_AR</stp>
        <stp>FPR=2021Y</stp>
        <stp>FPT=A</stp>
        <stp>FA_ACT_EST_DATA=E, EST_SOURCE=FBC</stp>
        <stp>ACT_EST_MAPPING=PRECISE</stp>
        <stp>FS=MRC</stp>
        <stp>CURRENCY=USD</stp>
        <stp>XLFILL=b</stp>
        <tr r="AF18" s="2"/>
      </tp>
      <tp t="s">
        <v>#N/A Requesting Data...</v>
        <stp/>
        <stp>##V3_BQLV12</stp>
        <stp>[MODL_NOW_US1.xlsx]Single Period!R146C23</stp>
        <stp>NOW US Equity</stp>
        <stp>IS_AMORT_ACQD_INTANGIBLES_COGS/1M</stp>
        <stp>FPR=2021Y</stp>
        <stp>FPT=A</stp>
        <stp>FA_ACT_EST_DATA=E, EST_SOURCE=ZXS</stp>
        <stp>ACT_EST_MAPPING=PRECISE</stp>
        <stp>FS=MRC</stp>
        <stp>CURRENCY=USD</stp>
        <stp>XLFILL=b</stp>
        <tr r="W146" s="2"/>
      </tp>
      <tp t="s">
        <v>#N/A Requesting Data...</v>
        <stp/>
        <stp>##V3_BQLV12</stp>
        <stp>[MODL_NOW_US1.xlsx]Single Period!R204C10</stp>
        <stp>NOW US Equity</stp>
        <stp>CF_DEF_INC_TAX/1M</stp>
        <stp>FPR=2021Y</stp>
        <stp>FPT=A</stp>
        <stp>FA_ACT_EST_DATA=E, EST_SOURCE=CMPY</stp>
        <stp>ACT_EST_MAPPING=PRECISE</stp>
        <stp>FS=MRC</stp>
        <stp>CURRENCY=USD</stp>
        <stp>XLFILL=b</stp>
        <tr r="J204" s="2"/>
      </tp>
      <tp t="s">
        <v>#N/A Requesting Data...</v>
        <stp/>
        <stp>##V3_BQLV12</stp>
        <stp>[MODL_NOW_US1.xlsx]Single Period!R70C30</stp>
        <stp>SEG0000230986 Segment</stp>
        <stp>IS_ADJ_GROSS_MARGIN_PCT_AR</stp>
        <stp>FPR=2021Y</stp>
        <stp>FPT=A</stp>
        <stp>FA_ACT_EST_DATA=E, EST_SOURCE=BAM</stp>
        <stp>ACT_EST_MAPPING=PRECISE</stp>
        <stp>FS=MRC</stp>
        <stp>CURRENCY=USD</stp>
        <stp>XLFILL=b</stp>
        <tr r="AD70" s="2"/>
      </tp>
      <tp t="s">
        <v>#N/A Requesting Data...</v>
        <stp/>
        <stp>##V3_BQLV12</stp>
        <stp>[MODL_NOW_US1.xlsx]Single Period!R22C30</stp>
        <stp>SEG0000230986 Segment</stp>
        <stp>IS_ADJ_GROSS_MARGIN_PCT_AR</stp>
        <stp>FPR=2021Y</stp>
        <stp>FPT=A</stp>
        <stp>FA_ACT_EST_DATA=E, EST_SOURCE=BAM</stp>
        <stp>ACT_EST_MAPPING=PRECISE</stp>
        <stp>FS=MRC</stp>
        <stp>CURRENCY=USD</stp>
        <stp>XLFILL=b</stp>
        <tr r="AD22" s="2"/>
      </tp>
      <tp t="s">
        <v>#N/A Requesting Data...</v>
        <stp/>
        <stp>##V3_BQLV12</stp>
        <stp>[MODL_NOW_US1.xlsx]Single Period!R62C12</stp>
        <stp>SEG0000230975 Segment</stp>
        <stp>IS_ADJ_GROSS_MARGIN_PCT_AR</stp>
        <stp>FPR=2021Y</stp>
        <stp>FPT=A</stp>
        <stp>FA_ACT_EST_DATA=E, EST_SOURCE=WBL</stp>
        <stp>ACT_EST_MAPPING=PRECISE</stp>
        <stp>FS=MRC</stp>
        <stp>CURRENCY=USD</stp>
        <stp>XLFILL=b</stp>
        <tr r="L62" s="2"/>
      </tp>
      <tp t="s">
        <v>#N/A Requesting Data...</v>
        <stp/>
        <stp>##V3_BQLV12</stp>
        <stp>[MODL_NOW_US1.xlsx]Single Period!R18C12</stp>
        <stp>SEG0000230975 Segment</stp>
        <stp>IS_ADJ_GROSS_MARGIN_PCT_AR</stp>
        <stp>FPR=2021Y</stp>
        <stp>FPT=A</stp>
        <stp>FA_ACT_EST_DATA=E, EST_SOURCE=WBL</stp>
        <stp>ACT_EST_MAPPING=PRECISE</stp>
        <stp>FS=MRC</stp>
        <stp>CURRENCY=USD</stp>
        <stp>XLFILL=b</stp>
        <tr r="L18" s="2"/>
      </tp>
      <tp t="s">
        <v>#N/A Requesting Data...</v>
        <stp/>
        <stp>##V3_BQLV12</stp>
        <stp>[MODL_NOW_US1.xlsx]Single Period!R128C10</stp>
        <stp>NOW US Equity</stp>
        <stp>IS_INC_TAX_EXP/1M</stp>
        <stp>FPR=2021Y</stp>
        <stp>FPT=A</stp>
        <stp>FA_ACT_EST_DATA=E, EST_SOURCE=CMPY</stp>
        <stp>ACT_EST_MAPPING=PRECISE</stp>
        <stp>FS=MRC</stp>
        <stp>CURRENCY=USD</stp>
        <stp>XLFILL=b</stp>
        <tr r="J128" s="2"/>
      </tp>
      <tp t="s">
        <v>#N/A Requesting Data...</v>
        <stp/>
        <stp>##V3_BQLV12</stp>
        <stp>[MODL_NOW_US1.xlsx]Single Period!R70C20</stp>
        <stp>SEG0000230986 Segment</stp>
        <stp>IS_ADJ_GROSS_MARGIN_PCT_AR</stp>
        <stp>FPR=2021Y</stp>
        <stp>FPT=A</stp>
        <stp>FA_ACT_EST_DATA=E, EST_SOURCE=CAN</stp>
        <stp>ACT_EST_MAPPING=PRECISE</stp>
        <stp>FS=MRC</stp>
        <stp>CURRENCY=USD</stp>
        <stp>XLFILL=b</stp>
        <tr r="T70" s="2"/>
      </tp>
      <tp t="s">
        <v>#N/A Requesting Data...</v>
        <stp/>
        <stp>##V3_BQLV12</stp>
        <stp>[MODL_NOW_US1.xlsx]Single Period!R22C20</stp>
        <stp>SEG0000230986 Segment</stp>
        <stp>IS_ADJ_GROSS_MARGIN_PCT_AR</stp>
        <stp>FPR=2021Y</stp>
        <stp>FPT=A</stp>
        <stp>FA_ACT_EST_DATA=E, EST_SOURCE=CAN</stp>
        <stp>ACT_EST_MAPPING=PRECISE</stp>
        <stp>FS=MRC</stp>
        <stp>CURRENCY=USD</stp>
        <stp>XLFILL=b</stp>
        <tr r="T22" s="2"/>
      </tp>
      <tp t="s">
        <v>#N/A Requesting Data...</v>
        <stp/>
        <stp>##V3_BQLV12</stp>
        <stp>[MODL_NOW_US1.xlsx]Single Period!R232C34</stp>
        <stp>NOW US Equity</stp>
        <stp>CF_CASH_AND_CASH_EQUIV_BEG_BAL/1M</stp>
        <stp>FPR=2021Y</stp>
        <stp>FPT=A</stp>
        <stp>FA_ACT_EST_DATA=E, EST_SOURCE=PSG</stp>
        <stp>ACT_EST_MAPPING=PRECISE</stp>
        <stp>FS=MRC</stp>
        <stp>CURRENCY=USD</stp>
        <stp>XLFILL=b</stp>
        <tr r="AH232" s="2"/>
      </tp>
      <tp t="s">
        <v>#N/A Requesting Data...</v>
        <stp/>
        <stp>##V3_BQLV12</stp>
        <stp>[MODL_NOW_US1.xlsx]Single Period!R156C20</stp>
        <stp>NOW US Equity</stp>
        <stp>BS_CASH_NEAR_CASH_ITEM/1M</stp>
        <stp>FPR=2021Y</stp>
        <stp>FPT=A</stp>
        <stp>FA_ACT_EST_DATA=E, EST_SOURCE=CAN</stp>
        <stp>ACT_EST_MAPPING=PRECISE</stp>
        <stp>FS=MRC</stp>
        <stp>CURRENCY=USD</stp>
        <stp>XLFILL=b</stp>
        <tr r="T156" s="2"/>
      </tp>
      <tp t="s">
        <v>#N/A Requesting Data...</v>
        <stp/>
        <stp>##V3_BQLV12</stp>
        <stp>[MODL_NOW_US1.xlsx]Single Period!R156C30</stp>
        <stp>NOW US Equity</stp>
        <stp>BS_CASH_NEAR_CASH_ITEM/1M</stp>
        <stp>FPR=2021Y</stp>
        <stp>FPT=A</stp>
        <stp>FA_ACT_EST_DATA=E, EST_SOURCE=BAM</stp>
        <stp>ACT_EST_MAPPING=PRECISE</stp>
        <stp>FS=MRC</stp>
        <stp>CURRENCY=USD</stp>
        <stp>XLFILL=b</stp>
        <tr r="AD156" s="2"/>
      </tp>
      <tp t="s">
        <v>#N/A Requesting Data...</v>
        <stp/>
        <stp>##V3_BQLV12</stp>
        <stp>[MODL_NOW_US1.xlsx]Single Period!R195C21</stp>
        <stp>NOW US Equity</stp>
        <stp>CB_BS_DEFERRED_COST_LT/1M</stp>
        <stp>FPR=2021Y</stp>
        <stp>FPT=A</stp>
        <stp>FA_ACT_EST_DATA=E, EST_SOURCE=JMP</stp>
        <stp>ACT_EST_MAPPING=PRECISE</stp>
        <stp>FS=MRC</stp>
        <stp>CURRENCY=USD</stp>
        <stp>XLFILL=b</stp>
        <tr r="U195" s="2"/>
      </tp>
      <tp t="s">
        <v>#N/A Requesting Data...</v>
        <stp/>
        <stp>##V3_BQLV12</stp>
        <stp>[MODL_NOW_US1.xlsx]Single Period!R211C23</stp>
        <stp>NOW US Equity</stp>
        <stp>CF_CHG_IN_DEFER_UNEARND_REV_ST/1M</stp>
        <stp>FPR=2021Y</stp>
        <stp>FPT=A</stp>
        <stp>FA_ACT_EST_DATA=E, EST_SOURCE=ZXS</stp>
        <stp>ACT_EST_MAPPING=PRECISE</stp>
        <stp>FS=MRC</stp>
        <stp>CURRENCY=USD</stp>
        <stp>XLFILL=b</stp>
        <tr r="W211" s="2"/>
      </tp>
      <tp t="s">
        <v>#N/A Requesting Data...</v>
        <stp/>
        <stp>##V3_BQLV12</stp>
        <stp>[MODL_NOW_US1.xlsx]Single Period!R64C34</stp>
        <stp>SEG0000230975 Segment</stp>
        <stp>CB_IS_GROSS_MARGIN</stp>
        <stp>FPR=2021Y</stp>
        <stp>FPT=A</stp>
        <stp>FA_ACT_EST_DATA=E, EST_SOURCE=PSG</stp>
        <stp>ACT_EST_MAPPING=PRECISE</stp>
        <stp>FS=MRC</stp>
        <stp>CURRENCY=USD</stp>
        <stp>XLFILL=b</stp>
        <tr r="AH64" s="2"/>
      </tp>
      <tp t="s">
        <v>#N/A Requesting Data...</v>
        <stp/>
        <stp>##V3_BQLV12</stp>
        <stp>[MODL_NOW_US1.xlsx]Single Period!R27C20</stp>
        <stp>NOW US Equity</stp>
        <stp>IS_REV_INCLUDING_INTERSEG_REV/1M</stp>
        <stp>FPR=2021Y</stp>
        <stp>FPT=A</stp>
        <stp>FA_ACT_EST_DATA=E, EST_SOURCE=CAN</stp>
        <stp>ACT_EST_MAPPING=PRECISE</stp>
        <stp>FS=MRC</stp>
        <stp>CURRENCY=USD</stp>
        <stp>XLFILL=b</stp>
        <tr r="T27" s="2"/>
      </tp>
      <tp t="s">
        <v>#N/A Requesting Data...</v>
        <stp/>
        <stp>##V3_BQLV12</stp>
        <stp>[MODL_NOW_US1.xlsx]Single Period!R142C29</stp>
        <stp>NOW US Equity</stp>
        <stp>IS_SBC_ATT_TO_S_AND_M_PRETX/1M</stp>
        <stp>FPR=2021Y</stp>
        <stp>FPT=A</stp>
        <stp>FA_ACT_EST_DATA=E, EST_SOURCE=BNS</stp>
        <stp>ACT_EST_MAPPING=PRECISE</stp>
        <stp>FS=MRC</stp>
        <stp>CURRENCY=USD</stp>
        <stp>XLFILL=b</stp>
        <tr r="AC142" s="2"/>
      </tp>
      <tp t="s">
        <v>#N/A Requesting Data...</v>
        <stp/>
        <stp>##V3_BQLV12</stp>
        <stp>[MODL_NOW_US1.xlsx]Single Period!R191C16</stp>
        <stp>NOW US Equity</stp>
        <stp>ST_DEFERRED_REVENUE/1M</stp>
        <stp>FPR=2021Y</stp>
        <stp>FPT=A</stp>
        <stp>FA_ACT_EST_DATA=E, EST_SOURCE=BCA</stp>
        <stp>ACT_EST_MAPPING=PRECISE</stp>
        <stp>FS=MRC</stp>
        <stp>CURRENCY=USD</stp>
        <stp>XLFILL=b</stp>
        <tr r="P191" s="2"/>
      </tp>
      <tp t="s">
        <v>#N/A Requesting Data...</v>
        <stp/>
        <stp>##V3_BQLV12</stp>
        <stp>[MODL_NOW_US1.xlsx]Single Period!R176C16</stp>
        <stp>NOW US Equity</stp>
        <stp>ST_DEFERRED_REVENUE/1M</stp>
        <stp>FPR=2021Y</stp>
        <stp>FPT=A</stp>
        <stp>FA_ACT_EST_DATA=E, EST_SOURCE=BCA</stp>
        <stp>ACT_EST_MAPPING=PRECISE</stp>
        <stp>FS=MRC</stp>
        <stp>CURRENCY=USD</stp>
        <stp>XLFILL=b</stp>
        <tr r="P176" s="2"/>
      </tp>
      <tp t="s">
        <v>#N/A Requesting Data...</v>
        <stp/>
        <stp>##V3_BQLV12</stp>
        <stp>[MODL_NOW_US1.xlsx]Single Period!R179C16</stp>
        <stp>NOW US Equity</stp>
        <stp>LT_DEFERRED_REVENUE/1M</stp>
        <stp>FPR=2021Y</stp>
        <stp>FPT=A</stp>
        <stp>FA_ACT_EST_DATA=E, EST_SOURCE=BCA</stp>
        <stp>ACT_EST_MAPPING=PRECISE</stp>
        <stp>FS=MRC</stp>
        <stp>CURRENCY=USD</stp>
        <stp>XLFILL=b</stp>
        <tr r="P179" s="2"/>
      </tp>
      <tp t="s">
        <v>#N/A Requesting Data...</v>
        <stp/>
        <stp>##V3_BQLV12</stp>
        <stp>[MODL_NOW_US1.xlsx]Single Period!R184C35</stp>
        <stp>NOW US Equity</stp>
        <stp>BS_EQTY_BEFORE_MINORITY_INT/1M</stp>
        <stp>FPR=2021Y</stp>
        <stp>FPT=A</stp>
        <stp>FA_ACT_EST_DATA=E, EST_SOURCE=MSR</stp>
        <stp>ACT_EST_MAPPING=PRECISE</stp>
        <stp>FS=MRC</stp>
        <stp>CURRENCY=USD</stp>
        <stp>XLFILL=b</stp>
        <tr r="AI184" s="2"/>
      </tp>
      <tp t="s">
        <v>#N/A Requesting Data...</v>
        <stp/>
        <stp>##V3_BQLV12</stp>
        <stp>[MODL_NOW_US1.xlsx]Single Period!R184C31</stp>
        <stp>NOW US Equity</stp>
        <stp>BS_EQTY_BEFORE_MINORITY_INT/1M</stp>
        <stp>FPR=2021Y</stp>
        <stp>FPT=A</stp>
        <stp>FA_ACT_EST_DATA=E, EST_SOURCE=GSR</stp>
        <stp>ACT_EST_MAPPING=PRECISE</stp>
        <stp>FS=MRC</stp>
        <stp>CURRENCY=USD</stp>
        <stp>XLFILL=b</stp>
        <tr r="AE184" s="2"/>
      </tp>
      <tp t="s">
        <v>#N/A Requesting Data...</v>
        <stp/>
        <stp>##V3_BQLV12</stp>
        <stp>[MODL_NOW_US1.xlsx]Single Period!R192C16</stp>
        <stp>NOW US Equity</stp>
        <stp>LT_DEFERRED_REVENUE/1M</stp>
        <stp>FPR=2021Y</stp>
        <stp>FPT=A</stp>
        <stp>FA_ACT_EST_DATA=E, EST_SOURCE=BCA</stp>
        <stp>ACT_EST_MAPPING=PRECISE</stp>
        <stp>FS=MRC</stp>
        <stp>CURRENCY=USD</stp>
        <stp>XLFILL=b</stp>
        <tr r="P192" s="2"/>
      </tp>
      <tp t="s">
        <v>#N/A Requesting Data...</v>
        <stp/>
        <stp>##V3_BQLV12</stp>
        <stp>[MODL_NOW_US1.xlsx]Single Period!R142C18</stp>
        <stp>NOW US Equity</stp>
        <stp>IS_SBC_ATT_TO_S_AND_M_PRETX/1M</stp>
        <stp>FPR=2021Y</stp>
        <stp>FPT=A</stp>
        <stp>FA_ACT_EST_DATA=E, EST_SOURCE=SNR</stp>
        <stp>ACT_EST_MAPPING=PRECISE</stp>
        <stp>FS=MRC</stp>
        <stp>CURRENCY=USD</stp>
        <stp>XLFILL=b</stp>
        <tr r="R142" s="2"/>
      </tp>
      <tp t="s">
        <v>#N/A Requesting Data...</v>
        <stp/>
        <stp>##V3_BQLV12</stp>
        <stp>[MODL_NOW_US1.xlsx]Single Period!R27C30</stp>
        <stp>NOW US Equity</stp>
        <stp>IS_REV_INCLUDING_INTERSEG_REV/1M</stp>
        <stp>FPR=2021Y</stp>
        <stp>FPT=A</stp>
        <stp>FA_ACT_EST_DATA=E, EST_SOURCE=BAM</stp>
        <stp>ACT_EST_MAPPING=PRECISE</stp>
        <stp>FS=MRC</stp>
        <stp>CURRENCY=USD</stp>
        <stp>XLFILL=b</stp>
        <tr r="AD27" s="2"/>
      </tp>
      <tp t="s">
        <v>#N/A Requesting Data...</v>
        <stp/>
        <stp>##V3_BQLV12</stp>
        <stp>[MODL_NOW_US1.xlsx]Single Period!R176C49</stp>
        <stp>NOW US Equity</stp>
        <stp>ST_DEFERRED_REVENUE/1M</stp>
        <stp>FPR=2021Y</stp>
        <stp>FPT=A</stp>
        <stp>FA_ACT_EST_DATA=E, EST_SOURCE=SCB</stp>
        <stp>ACT_EST_MAPPING=PRECISE</stp>
        <stp>FS=MRC</stp>
        <stp>CURRENCY=USD</stp>
        <stp>XLFILL=b</stp>
        <tr r="AW176" s="2"/>
      </tp>
      <tp t="s">
        <v>#N/A Requesting Data...</v>
        <stp/>
        <stp>##V3_BQLV12</stp>
        <stp>[MODL_NOW_US1.xlsx]Single Period!R191C49</stp>
        <stp>NOW US Equity</stp>
        <stp>ST_DEFERRED_REVENUE/1M</stp>
        <stp>FPR=2021Y</stp>
        <stp>FPT=A</stp>
        <stp>FA_ACT_EST_DATA=E, EST_SOURCE=SCB</stp>
        <stp>ACT_EST_MAPPING=PRECISE</stp>
        <stp>FS=MRC</stp>
        <stp>CURRENCY=USD</stp>
        <stp>XLFILL=b</stp>
        <tr r="AW191" s="2"/>
      </tp>
      <tp t="s">
        <v>#N/A Requesting Data...</v>
        <stp/>
        <stp>##V3_BQLV12</stp>
        <stp>[MODL_NOW_US1.xlsx]Single Period!R192C49</stp>
        <stp>NOW US Equity</stp>
        <stp>LT_DEFERRED_REVENUE/1M</stp>
        <stp>FPR=2021Y</stp>
        <stp>FPT=A</stp>
        <stp>FA_ACT_EST_DATA=E, EST_SOURCE=SCB</stp>
        <stp>ACT_EST_MAPPING=PRECISE</stp>
        <stp>FS=MRC</stp>
        <stp>CURRENCY=USD</stp>
        <stp>XLFILL=b</stp>
        <tr r="AW192" s="2"/>
      </tp>
      <tp t="s">
        <v>#N/A Requesting Data...</v>
        <stp/>
        <stp>##V3_BQLV12</stp>
        <stp>[MODL_NOW_US1.xlsx]Single Period!R184C19</stp>
        <stp>NOW US Equity</stp>
        <stp>BS_EQTY_BEFORE_MINORITY_INT/1M</stp>
        <stp>FPR=2021Y</stp>
        <stp>FPT=A</stp>
        <stp>FA_ACT_EST_DATA=E, EST_SOURCE=MSV</stp>
        <stp>ACT_EST_MAPPING=PRECISE</stp>
        <stp>FS=MRC</stp>
        <stp>CURRENCY=USD</stp>
        <stp>XLFILL=b</stp>
        <tr r="S184" s="2"/>
      </tp>
      <tp t="s">
        <v>#N/A Requesting Data...</v>
        <stp/>
        <stp>##V3_BQLV12</stp>
        <stp>[MODL_NOW_US1.xlsx]Single Period!R179C49</stp>
        <stp>NOW US Equity</stp>
        <stp>LT_DEFERRED_REVENUE/1M</stp>
        <stp>FPR=2021Y</stp>
        <stp>FPT=A</stp>
        <stp>FA_ACT_EST_DATA=E, EST_SOURCE=SCB</stp>
        <stp>ACT_EST_MAPPING=PRECISE</stp>
        <stp>FS=MRC</stp>
        <stp>CURRENCY=USD</stp>
        <stp>XLFILL=b</stp>
        <tr r="AW179" s="2"/>
      </tp>
      <tp t="s">
        <v>#N/A Requesting Data...</v>
        <stp/>
        <stp>##V3_BQLV12</stp>
        <stp>[MODL_NOW_US1.xlsx]Single Period!R92C36</stp>
        <stp>NOW US Equity</stp>
        <stp>IS_ADJ_GENL_AND_ADMIN_EXPN_AR/1M</stp>
        <stp>FPR=2021Y</stp>
        <stp>FPT=A</stp>
        <stp>FA_ACT_EST_DATA=E, EST_SOURCE=JEF</stp>
        <stp>ACT_EST_MAPPING=PRECISE</stp>
        <stp>FS=MRC</stp>
        <stp>CURRENCY=USD</stp>
        <stp>XLFILL=b</stp>
        <tr r="AJ92" s="2"/>
      </tp>
      <tp t="s">
        <v>#N/A Requesting Data...</v>
        <stp/>
        <stp>##V3_BQLV12</stp>
        <stp>[MODL_NOW_US1.xlsx]Single Period!R154C39</stp>
        <stp>NOW US Equity</stp>
        <stp>BS_CUR_ASSET_REPORT/1M</stp>
        <stp>FPR=2021Y</stp>
        <stp>FPT=A</stp>
        <stp>FA_ACT_EST_DATA=E, EST_SOURCE=DZB</stp>
        <stp>ACT_EST_MAPPING=PRECISE</stp>
        <stp>FS=MRC</stp>
        <stp>CURRENCY=USD</stp>
        <stp>XLFILL=b</stp>
        <tr r="AM154" s="2"/>
      </tp>
      <tp t="s">
        <v>#N/A Requesting Data...</v>
        <stp/>
        <stp>##V3_BQLV12</stp>
        <stp>[MODL_NOW_US1.xlsx]Single Period!R105C43</stp>
        <stp>NOW US Equity</stp>
        <stp>ADJ_PROFIT_MARGIN</stp>
        <stp>FPR=2021Y</stp>
        <stp>FPT=A</stp>
        <stp>FA_ACT_EST_DATA=E, EST_SOURCE=WFT</stp>
        <stp>ACT_EST_MAPPING=PRECISE</stp>
        <stp>FS=MRC</stp>
        <stp>CURRENCY=USD</stp>
        <stp>XLFILL=b</stp>
        <tr r="AQ105" s="2"/>
      </tp>
      <tp t="s">
        <v>#N/A Requesting Data...</v>
        <stp/>
        <stp>##V3_BQLV12</stp>
        <stp>[MODL_NOW_US1.xlsx]Single Period!R137C19</stp>
        <stp>NOW US Equity</stp>
        <stp>CF_STOCK_BASED_COMPENSATION/1M</stp>
        <stp>FPR=2021Y</stp>
        <stp>FPT=A</stp>
        <stp>FA_ACT_EST_DATA=E, EST_SOURCE=MSV</stp>
        <stp>ACT_EST_MAPPING=PRECISE</stp>
        <stp>FS=MRC</stp>
        <stp>CURRENCY=USD</stp>
        <stp>XLFILL=b</stp>
        <tr r="S137" s="2"/>
      </tp>
      <tp t="s">
        <v>#N/A Requesting Data...</v>
        <stp/>
        <stp>##V3_BQLV12</stp>
        <stp>[MODL_NOW_US1.xlsx]Single Period!R161C22</stp>
        <stp>NOW US Equity</stp>
        <stp>BS_TOTAL_NON_CURRENT_ASSETS/1M</stp>
        <stp>FPR=2021Y</stp>
        <stp>FPT=A</stp>
        <stp>FA_ACT_EST_DATA=E, EST_SOURCE=NDH</stp>
        <stp>ACT_EST_MAPPING=PRECISE</stp>
        <stp>FS=MRC</stp>
        <stp>CURRENCY=USD</stp>
        <stp>XLFILL=b</stp>
        <tr r="V161" s="2"/>
      </tp>
      <tp t="s">
        <v>#N/A Requesting Data...</v>
        <stp/>
        <stp>##V3_BQLV12</stp>
        <stp>[MODL_NOW_US1.xlsx]Single Period!R210C43</stp>
        <stp>NOW US Equity</stp>
        <stp>CF_CHANGE_IN_PREPAID_EXPNSS/1M</stp>
        <stp>FPR=2021Y</stp>
        <stp>FPT=A</stp>
        <stp>FA_ACT_EST_DATA=E, EST_SOURCE=WFT</stp>
        <stp>ACT_EST_MAPPING=PRECISE</stp>
        <stp>FS=MRC</stp>
        <stp>CURRENCY=USD</stp>
        <stp>XLFILL=b</stp>
        <tr r="AQ210" s="2"/>
      </tp>
      <tp t="s">
        <v>#N/A Requesting Data...</v>
        <stp/>
        <stp>##V3_BQLV12</stp>
        <stp>[MODL_NOW_US1.xlsx]Single Period!R137C31</stp>
        <stp>NOW US Equity</stp>
        <stp>CF_STOCK_BASED_COMPENSATION/1M</stp>
        <stp>FPR=2021Y</stp>
        <stp>FPT=A</stp>
        <stp>FA_ACT_EST_DATA=E, EST_SOURCE=GSR</stp>
        <stp>ACT_EST_MAPPING=PRECISE</stp>
        <stp>FS=MRC</stp>
        <stp>CURRENCY=USD</stp>
        <stp>XLFILL=b</stp>
        <tr r="AE137" s="2"/>
      </tp>
      <tp t="s">
        <v>#N/A Requesting Data...</v>
        <stp/>
        <stp>##V3_BQLV12</stp>
        <stp>[MODL_NOW_US1.xlsx]Single Period!R137C35</stp>
        <stp>NOW US Equity</stp>
        <stp>CF_STOCK_BASED_COMPENSATION/1M</stp>
        <stp>FPR=2021Y</stp>
        <stp>FPT=A</stp>
        <stp>FA_ACT_EST_DATA=E, EST_SOURCE=MSR</stp>
        <stp>ACT_EST_MAPPING=PRECISE</stp>
        <stp>FS=MRC</stp>
        <stp>CURRENCY=USD</stp>
        <stp>XLFILL=b</stp>
        <tr r="AI137" s="2"/>
      </tp>
      <tp t="s">
        <v>#N/A Requesting Data...</v>
        <stp/>
        <stp>##V3_BQLV12</stp>
        <stp>[MODL_NOW_US1.xlsx]Single Period!R80C12</stp>
        <stp>NOW US Equity</stp>
        <stp>IS_COMP_SALES/1M</stp>
        <stp>FPR=2021Y</stp>
        <stp>FPT=A</stp>
        <stp>FA_ACT_EST_DATA=E, EST_SOURCE=WBL</stp>
        <stp>ACT_EST_MAPPING=PRECISE</stp>
        <stp>FS=MRC</stp>
        <stp>CURRENCY=USD</stp>
        <stp>XLFILL=b</stp>
        <tr r="L80" s="2"/>
      </tp>
      <tp t="s">
        <v>#N/A Requesting Data...</v>
        <stp/>
        <stp>##V3_BQLV12</stp>
        <stp>[MODL_NOW_US1.xlsx]Single Period!R184C34</stp>
        <stp>NOW US Equity</stp>
        <stp>BS_EQTY_BEFORE_MINORITY_INT/1M</stp>
        <stp>FPR=2021Y</stp>
        <stp>FPT=A</stp>
        <stp>FA_ACT_EST_DATA=E, EST_SOURCE=PSG</stp>
        <stp>ACT_EST_MAPPING=PRECISE</stp>
        <stp>FS=MRC</stp>
        <stp>CURRENCY=USD</stp>
        <stp>XLFILL=b</stp>
        <tr r="AH184" s="2"/>
      </tp>
      <tp t="s">
        <v>#N/A Requesting Data...</v>
        <stp/>
        <stp>##V3_BQLV12</stp>
        <stp>[MODL_NOW_US1.xlsx]Single Period!R189C18</stp>
        <stp>NOW US Equity</stp>
        <stp>CUR_RATIO</stp>
        <stp>FPR=2021Y</stp>
        <stp>FPT=A</stp>
        <stp>FA_ACT_EST_DATA=E, EST_SOURCE=SNR</stp>
        <stp>ACT_EST_MAPPING=PRECISE</stp>
        <stp>FS=MRC</stp>
        <stp>CURRENCY=USD</stp>
        <stp>XLFILL=b</stp>
        <tr r="R189" s="2"/>
      </tp>
      <tp t="s">
        <v>#N/A Requesting Data...</v>
        <stp/>
        <stp>##V3_BQLV12</stp>
        <stp>[MODL_NOW_US1.xlsx]Single Period!R158C43</stp>
        <stp>NOW US Equity</stp>
        <stp>BS_ACCTS_REC_EXCL_NOTES_REC/1M</stp>
        <stp>FPR=2021Y</stp>
        <stp>FPT=A</stp>
        <stp>FA_ACT_EST_DATA=E, EST_SOURCE=WFT</stp>
        <stp>ACT_EST_MAPPING=PRECISE</stp>
        <stp>FS=MRC</stp>
        <stp>CURRENCY=USD</stp>
        <stp>XLFILL=b</stp>
        <tr r="AQ158" s="2"/>
      </tp>
      <tp t="s">
        <v>#N/A Requesting Data...</v>
        <stp/>
        <stp>##V3_BQLV12</stp>
        <stp>[MODL_NOW_US1.xlsx]Single Period!R189C29</stp>
        <stp>NOW US Equity</stp>
        <stp>CUR_RATIO</stp>
        <stp>FPR=2021Y</stp>
        <stp>FPT=A</stp>
        <stp>FA_ACT_EST_DATA=E, EST_SOURCE=BNS</stp>
        <stp>ACT_EST_MAPPING=PRECISE</stp>
        <stp>FS=MRC</stp>
        <stp>CURRENCY=USD</stp>
        <stp>XLFILL=b</stp>
        <tr r="AC189" s="2"/>
      </tp>
      <tp t="s">
        <v>#N/A Requesting Data...</v>
        <stp/>
        <stp>##V3_BQLV12</stp>
        <stp>[MODL_NOW_US1.xlsx]Single Period!R180C43</stp>
        <stp>NOW US Equity</stp>
        <stp>BS_LT_OPERATING_LEASE_LIABS/1M</stp>
        <stp>FPR=2021Y</stp>
        <stp>FPT=A</stp>
        <stp>FA_ACT_EST_DATA=E, EST_SOURCE=WFT</stp>
        <stp>ACT_EST_MAPPING=PRECISE</stp>
        <stp>FS=MRC</stp>
        <stp>CURRENCY=USD</stp>
        <stp>XLFILL=b</stp>
        <tr r="AQ180" s="2"/>
      </tp>
      <tp t="s">
        <v>#N/A Requesting Data...</v>
        <stp/>
        <stp>##V3_BQLV12</stp>
        <stp>[MODL_NOW_US1.xlsx]Single Period!R137C34</stp>
        <stp>NOW US Equity</stp>
        <stp>CF_STOCK_BASED_COMPENSATION/1M</stp>
        <stp>FPR=2021Y</stp>
        <stp>FPT=A</stp>
        <stp>FA_ACT_EST_DATA=E, EST_SOURCE=PSG</stp>
        <stp>ACT_EST_MAPPING=PRECISE</stp>
        <stp>FS=MRC</stp>
        <stp>CURRENCY=USD</stp>
        <stp>XLFILL=b</stp>
        <tr r="AH137" s="2"/>
      </tp>
      <tp t="s">
        <v>#N/A Requesting Data...</v>
        <stp/>
        <stp>##V3_BQLV12</stp>
        <stp>[MODL_NOW_US1.xlsx]Single Period!R154C46</stp>
        <stp>NOW US Equity</stp>
        <stp>BS_CUR_ASSET_REPORT/1M</stp>
        <stp>FPR=2021Y</stp>
        <stp>FPT=A</stp>
        <stp>FA_ACT_EST_DATA=E, EST_SOURCE=MZS</stp>
        <stp>ACT_EST_MAPPING=PRECISE</stp>
        <stp>FS=MRC</stp>
        <stp>CURRENCY=USD</stp>
        <stp>XLFILL=b</stp>
        <tr r="AT154" s="2"/>
      </tp>
      <tp t="s">
        <v>#N/A Requesting Data...</v>
        <stp/>
        <stp>##V3_BQLV12</stp>
        <stp>[MODL_NOW_US1.xlsx]Single Period!R80C32</stp>
        <stp>NOW US Equity</stp>
        <stp>IS_COMP_SALES/1M</stp>
        <stp>FPR=2021Y</stp>
        <stp>FPT=A</stp>
        <stp>FA_ACT_EST_DATA=E, EST_SOURCE=FBC</stp>
        <stp>ACT_EST_MAPPING=PRECISE</stp>
        <stp>FS=MRC</stp>
        <stp>CURRENCY=USD</stp>
        <stp>XLFILL=b</stp>
        <tr r="AF80" s="2"/>
      </tp>
      <tp t="s">
        <v>#N/A Requesting Data...</v>
        <stp/>
        <stp>##V3_BQLV12</stp>
        <stp>[MODL_NOW_US1.xlsx]Single Period!R30C36</stp>
        <stp>NOW US Equity</stp>
        <stp>CF_FREE_CASH_FLOW_AS_REPORTED/1M</stp>
        <stp>FPR=2021Y</stp>
        <stp>FPT=A</stp>
        <stp>FA_ACT_EST_DATA=E, EST_SOURCE=JEF</stp>
        <stp>ACT_EST_MAPPING=PRECISE</stp>
        <stp>FS=MRC</stp>
        <stp>CURRENCY=USD</stp>
        <stp>XLFILL=b</stp>
        <tr r="AJ30" s="2"/>
      </tp>
      <tp t="s">
        <v>#N/A Requesting Data...</v>
        <stp/>
        <stp>##V3_BQLV12</stp>
        <stp>[MODL_NOW_US1.xlsx]Single Period!R15C44</stp>
        <stp>SEG0000230992 Segment</stp>
        <stp>SALES_REV_TURN/1M</stp>
        <stp>FPR=2021Y</stp>
        <stp>FPT=A</stp>
        <stp>FA_ACT_EST_DATA=E, EST_SOURCE=ARE</stp>
        <stp>ACT_EST_MAPPING=PRECISE</stp>
        <stp>FS=MRC</stp>
        <stp>CURRENCY=USD</stp>
        <stp>XLFILL=b</stp>
        <tr r="AR15" s="2"/>
      </tp>
      <tp t="s">
        <v>#N/A Requesting Data...</v>
        <stp/>
        <stp>##V3_BQLV12</stp>
        <stp>[MODL_NOW_US1.xlsx]Single Period!R75C44</stp>
        <stp>SEG0000230992 Segment</stp>
        <stp>SALES_REV_TURN/1M</stp>
        <stp>FPR=2021Y</stp>
        <stp>FPT=A</stp>
        <stp>FA_ACT_EST_DATA=E, EST_SOURCE=ARE</stp>
        <stp>ACT_EST_MAPPING=PRECISE</stp>
        <stp>FS=MRC</stp>
        <stp>CURRENCY=USD</stp>
        <stp>XLFILL=b</stp>
        <tr r="AR75" s="2"/>
      </tp>
      <tp t="s">
        <v>#N/A Requesting Data...</v>
        <stp/>
        <stp>##V3_BQLV12</stp>
        <stp>[MODL_NOW_US1.xlsx]Single Period!R102C15</stp>
        <stp>NOW US Equity</stp>
        <stp>IS_COMP_PTP_EX_STK_BASED_COMP/1M</stp>
        <stp>FPR=2021Y</stp>
        <stp>FPT=A</stp>
        <stp>FA_ACT_EST_DATA=E, EST_SOURCE=OPY</stp>
        <stp>ACT_EST_MAPPING=PRECISE</stp>
        <stp>FS=MRC</stp>
        <stp>CURRENCY=USD</stp>
        <stp>XLFILL=b</stp>
        <tr r="O102" s="2"/>
      </tp>
      <tp t="s">
        <v>#N/A Requesting Data...</v>
        <stp/>
        <stp>##V3_BQLV12</stp>
        <stp>[MODL_NOW_US1.xlsx]Single Period!R133C40</stp>
        <stp>NOW US Equity</stp>
        <stp>IS_SH_FOR_DILUTED_EPS/1M</stp>
        <stp>FPR=2021Y</stp>
        <stp>FPT=A</stp>
        <stp>FA_ACT_EST_DATA=E, EST_SOURCE=DWI</stp>
        <stp>ACT_EST_MAPPING=PRECISE</stp>
        <stp>FS=MRC</stp>
        <stp>CURRENCY=USD</stp>
        <stp>XLFILL=b</stp>
        <tr r="AN133" s="2"/>
      </tp>
      <tp t="s">
        <v>#N/A Requesting Data...</v>
        <stp/>
        <stp>##V3_BQLV12</stp>
        <stp>[MODL_NOW_US1.xlsx]Single Period!R235C11</stp>
        <stp>NOW US Equity</stp>
        <stp>CF_FREE_CASH_FLOW_AS_REPORTED/1M</stp>
        <stp>FPR=2021Y</stp>
        <stp>FPT=A</stp>
        <stp>FA_ACT_EST_DATA=E, EST_SOURCE=JPM</stp>
        <stp>ACT_EST_MAPPING=PRECISE</stp>
        <stp>FS=MRC</stp>
        <stp>CURRENCY=USD</stp>
        <stp>XLFILL=b</stp>
        <tr r="K235" s="2"/>
      </tp>
      <tp t="s">
        <v>#N/A Requesting Data...</v>
        <stp/>
        <stp>##V3_BQLV12</stp>
        <stp>[MODL_NOW_US1.xlsx]Single Period!R75C41</stp>
        <stp>SEG0000230992 Segment</stp>
        <stp>SALES_REV_TURN/1M</stp>
        <stp>FPR=2021Y</stp>
        <stp>FPT=A</stp>
        <stp>FA_ACT_EST_DATA=E, EST_SOURCE=ARG</stp>
        <stp>ACT_EST_MAPPING=PRECISE</stp>
        <stp>FS=MRC</stp>
        <stp>CURRENCY=USD</stp>
        <stp>XLFILL=b</stp>
        <tr r="AO75" s="2"/>
      </tp>
      <tp t="s">
        <v>#N/A Requesting Data...</v>
        <stp/>
        <stp>##V3_BQLV12</stp>
        <stp>[MODL_NOW_US1.xlsx]Single Period!R15C41</stp>
        <stp>SEG0000230992 Segment</stp>
        <stp>SALES_REV_TURN/1M</stp>
        <stp>FPR=2021Y</stp>
        <stp>FPT=A</stp>
        <stp>FA_ACT_EST_DATA=E, EST_SOURCE=ARG</stp>
        <stp>ACT_EST_MAPPING=PRECISE</stp>
        <stp>FS=MRC</stp>
        <stp>CURRENCY=USD</stp>
        <stp>XLFILL=b</stp>
        <tr r="AO15" s="2"/>
      </tp>
      <tp t="s">
        <v>#N/A Requesting Data...</v>
        <stp/>
        <stp>##V3_BQLV12</stp>
        <stp>[MODL_NOW_US1.xlsx]Single Period!R207C46</stp>
        <stp>NOW US Equity</stp>
        <stp>CB_CF_CHANGE_IN_ACCOUNTS_RECEIVABLE/1M</stp>
        <stp>FPR=2021Y</stp>
        <stp>FPT=A</stp>
        <stp>FA_ACT_EST_DATA=E, EST_SOURCE=MZS</stp>
        <stp>ACT_EST_MAPPING=PRECISE</stp>
        <stp>FS=MRC</stp>
        <stp>CURRENCY=USD</stp>
        <stp>XLFILL=b</stp>
        <tr r="AT207" s="2"/>
      </tp>
      <tp t="s">
        <v>#N/A Requesting Data...</v>
        <stp/>
        <stp>##V3_BQLV12</stp>
        <stp>[MODL_NOW_US1.xlsx]Single Period!R75C48</stp>
        <stp>SEG0000230992 Segment</stp>
        <stp>SALES_REV_TURN/1M</stp>
        <stp>FPR=2021Y</stp>
        <stp>FPT=A</stp>
        <stp>FA_ACT_EST_DATA=E, EST_SOURCE=CRC</stp>
        <stp>ACT_EST_MAPPING=PRECISE</stp>
        <stp>FS=MRC</stp>
        <stp>CURRENCY=USD</stp>
        <stp>XLFILL=b</stp>
        <tr r="AV75" s="2"/>
      </tp>
      <tp t="s">
        <v>#N/A Requesting Data...</v>
        <stp/>
        <stp>##V3_BQLV12</stp>
        <stp>[MODL_NOW_US1.xlsx]Single Period!R15C48</stp>
        <stp>SEG0000230992 Segment</stp>
        <stp>SALES_REV_TURN/1M</stp>
        <stp>FPR=2021Y</stp>
        <stp>FPT=A</stp>
        <stp>FA_ACT_EST_DATA=E, EST_SOURCE=CRC</stp>
        <stp>ACT_EST_MAPPING=PRECISE</stp>
        <stp>FS=MRC</stp>
        <stp>CURRENCY=USD</stp>
        <stp>XLFILL=b</stp>
        <tr r="AV15" s="2"/>
      </tp>
      <tp t="s">
        <v>#N/A Requesting Data...</v>
        <stp/>
        <stp>##V3_BQLV12</stp>
        <stp>[MODL_NOW_US1.xlsx]Single Period!R133C34</stp>
        <stp>NOW US Equity</stp>
        <stp>IS_SH_FOR_DILUTED_EPS/1M</stp>
        <stp>FPR=2021Y</stp>
        <stp>FPT=A</stp>
        <stp>FA_ACT_EST_DATA=E, EST_SOURCE=PSG</stp>
        <stp>ACT_EST_MAPPING=PRECISE</stp>
        <stp>FS=MRC</stp>
        <stp>CURRENCY=USD</stp>
        <stp>XLFILL=b</stp>
        <tr r="AH133" s="2"/>
      </tp>
      <tp t="s">
        <v>#N/A Requesting Data...</v>
        <stp/>
        <stp>##V3_BQLV12</stp>
        <stp>[MODL_NOW_US1.xlsx]Single Period!R66C11</stp>
        <stp>SEG0000230986 Segment</stp>
        <stp>SALES_REV_TURN/1M</stp>
        <stp>FPR=2021Y</stp>
        <stp>FPT=A</stp>
        <stp>FA_ACT_EST_DATA=E, EST_SOURCE=JPM</stp>
        <stp>ACT_EST_MAPPING=PRECISE</stp>
        <stp>FS=MRC</stp>
        <stp>CURRENCY=USD</stp>
        <stp>XLFILL=b</stp>
        <tr r="K66" s="2"/>
      </tp>
      <tp t="s">
        <v>#N/A Requesting Data...</v>
        <stp/>
        <stp>##V3_BQLV12</stp>
        <stp>[MODL_NOW_US1.xlsx]Single Period!R200C45</stp>
        <stp>NOW US Equity</stp>
        <stp>CF_DEPR_AMORT/1M</stp>
        <stp>FPR=2021Y</stp>
        <stp>FPT=A</stp>
        <stp>FA_ACT_EST_DATA=E, EST_SOURCE=PJE</stp>
        <stp>ACT_EST_MAPPING=PRECISE</stp>
        <stp>FS=MRC</stp>
        <stp>CURRENCY=USD</stp>
        <stp>XLFILL=b</stp>
        <tr r="AS200" s="2"/>
      </tp>
      <tp t="s">
        <v>#N/A Requesting Data...</v>
        <stp/>
        <stp>##V3_BQLV12</stp>
        <stp>[MODL_NOW_US1.xlsx]Single Period!R207C39</stp>
        <stp>NOW US Equity</stp>
        <stp>CB_CF_CHANGE_IN_ACCOUNTS_RECEIVABLE/1M</stp>
        <stp>FPR=2021Y</stp>
        <stp>FPT=A</stp>
        <stp>FA_ACT_EST_DATA=E, EST_SOURCE=DZB</stp>
        <stp>ACT_EST_MAPPING=PRECISE</stp>
        <stp>FS=MRC</stp>
        <stp>CURRENCY=USD</stp>
        <stp>XLFILL=b</stp>
        <tr r="AM207" s="2"/>
      </tp>
      <tp t="s">
        <v>#N/A Requesting Data...</v>
        <stp/>
        <stp>##V3_BQLV12</stp>
        <stp>[MODL_NOW_US1.xlsx]Single Period!R69C17</stp>
        <stp>SEG0000230986 Segment</stp>
        <stp>IS_ADJ_GROSS_PROFIT_AS_REPORTED/1M</stp>
        <stp>FPR=2021Y</stp>
        <stp>FPT=A</stp>
        <stp>FA_ACT_EST_DATA=E, EST_SOURCE=RHR</stp>
        <stp>ACT_EST_MAPPING=PRECISE</stp>
        <stp>FS=MRC</stp>
        <stp>CURRENCY=USD</stp>
        <stp>XLFILL=b</stp>
        <tr r="Q69" s="2"/>
      </tp>
      <tp t="s">
        <v>#N/A Requesting Data...</v>
        <stp/>
        <stp>##V3_BQLV12</stp>
        <stp>[MODL_NOW_US1.xlsx]Single Period!R169C40</stp>
        <stp>NOW US Equity</stp>
        <stp>CB_BS_OTHER_NONCURRENT_ASSETS/1M</stp>
        <stp>FPR=2021Y</stp>
        <stp>FPT=A</stp>
        <stp>FA_ACT_EST_DATA=E, EST_SOURCE=DWI</stp>
        <stp>ACT_EST_MAPPING=PRECISE</stp>
        <stp>FS=MRC</stp>
        <stp>CURRENCY=USD</stp>
        <stp>XLFILL=b</stp>
        <tr r="AN169" s="2"/>
      </tp>
      <tp t="s">
        <v>#N/A Requesting Data...</v>
        <stp/>
        <stp>##V3_BQLV12</stp>
        <stp>[MODL_NOW_US1.xlsx]Single Period!R20C28</stp>
        <stp>SEG0000230986 Segment</stp>
        <stp>SALES_REV_TURN/1M</stp>
        <stp>FPR=2021Y</stp>
        <stp>FPT=A</stp>
        <stp>FA_ACT_EST_DATA=E, EST_SOURCE=EVR</stp>
        <stp>ACT_EST_MAPPING=PRECISE</stp>
        <stp>FS=MRC</stp>
        <stp>CURRENCY=USD</stp>
        <stp>XLFILL=b</stp>
        <tr r="AB20" s="2"/>
      </tp>
      <tp t="s">
        <v>#N/A Requesting Data...</v>
        <stp/>
        <stp>##V3_BQLV12</stp>
        <stp>[MODL_NOW_US1.xlsx]Single Period!R54C19</stp>
        <stp>NOW US Equity</stp>
        <stp>IS_FOREIGN_CURRENCY_TURNOVER/1M</stp>
        <stp>FPR=2021Y</stp>
        <stp>FPT=A</stp>
        <stp>FA_ACT_EST_DATA=E, EST_SOURCE=MSV</stp>
        <stp>ACT_EST_MAPPING=PRECISE</stp>
        <stp>FS=MRC</stp>
        <stp>CURRENCY=USD</stp>
        <stp>XLFILL=b</stp>
        <tr r="S54" s="2"/>
      </tp>
      <tp t="s">
        <v>#N/A Requesting Data...</v>
        <stp/>
        <stp>##V3_BQLV12</stp>
        <stp>[MODL_NOW_US1.xlsx]Single Period!R143C13</stp>
        <stp>NOW US Equity</stp>
        <stp>IS_SBC_ATTRIBUTABLE_TO_R_AND_D_PRETX/1M</stp>
        <stp>FPR=2021Y</stp>
        <stp>FPT=A</stp>
        <stp>FA_ACT_EST_DATA=E, EST_SOURCE=KEY</stp>
        <stp>ACT_EST_MAPPING=PRECISE</stp>
        <stp>FS=MRC</stp>
        <stp>CURRENCY=USD</stp>
        <stp>XLFILL=b</stp>
        <tr r="M143" s="2"/>
      </tp>
      <tp t="s">
        <v>#N/A Requesting Data...</v>
        <stp/>
        <stp>##V3_BQLV12</stp>
        <stp>[MODL_NOW_US1.xlsx]Single Period!R200C17</stp>
        <stp>NOW US Equity</stp>
        <stp>CF_DEPR_AMORT/1M</stp>
        <stp>FPR=2021Y</stp>
        <stp>FPT=A</stp>
        <stp>FA_ACT_EST_DATA=E, EST_SOURCE=RHR</stp>
        <stp>ACT_EST_MAPPING=PRECISE</stp>
        <stp>FS=MRC</stp>
        <stp>CURRENCY=USD</stp>
        <stp>XLFILL=b</stp>
        <tr r="Q200" s="2"/>
      </tp>
      <tp t="s">
        <v>#N/A Requesting Data...</v>
        <stp/>
        <stp>##V3_BQLV12</stp>
        <stp>[MODL_NOW_US1.xlsx]Single Period!R66C15</stp>
        <stp>SEG0000230986 Segment</stp>
        <stp>SALES_REV_TURN/1M</stp>
        <stp>FPR=2021Y</stp>
        <stp>FPT=A</stp>
        <stp>FA_ACT_EST_DATA=E, EST_SOURCE=OPY</stp>
        <stp>ACT_EST_MAPPING=PRECISE</stp>
        <stp>FS=MRC</stp>
        <stp>CURRENCY=USD</stp>
        <stp>XLFILL=b</stp>
        <tr r="O66" s="2"/>
      </tp>
      <tp t="s">
        <v>#N/A Requesting Data...</v>
        <stp/>
        <stp>##V3_BQLV12</stp>
        <stp>[MODL_NOW_US1.xlsx]Single Period!R131C46</stp>
        <stp>NOW US Equity</stp>
        <stp>IS_AVG_NUM_SH_FOR_EPS/1M</stp>
        <stp>FPR=2021Y</stp>
        <stp>FPT=A</stp>
        <stp>FA_ACT_EST_DATA=E, EST_SOURCE=MZS</stp>
        <stp>ACT_EST_MAPPING=PRECISE</stp>
        <stp>FS=MRC</stp>
        <stp>CURRENCY=USD</stp>
        <stp>XLFILL=b</stp>
        <tr r="AT131" s="2"/>
      </tp>
      <tp t="s">
        <v>#N/A Requesting Data...</v>
        <stp/>
        <stp>##V3_BQLV12</stp>
        <stp>[MODL_NOW_US1.xlsx]Single Period!R169C34</stp>
        <stp>NOW US Equity</stp>
        <stp>CB_BS_OTHER_NONCURRENT_ASSETS/1M</stp>
        <stp>FPR=2021Y</stp>
        <stp>FPT=A</stp>
        <stp>FA_ACT_EST_DATA=E, EST_SOURCE=PSG</stp>
        <stp>ACT_EST_MAPPING=PRECISE</stp>
        <stp>FS=MRC</stp>
        <stp>CURRENCY=USD</stp>
        <stp>XLFILL=b</stp>
        <tr r="AH169" s="2"/>
      </tp>
      <tp t="s">
        <v>#N/A Requesting Data...</v>
        <stp/>
        <stp>##V3_BQLV12</stp>
        <stp>[MODL_NOW_US1.xlsx]Single Period!R83C19</stp>
        <stp>NOW US Equity</stp>
        <stp>IS_ADJUSTED_COGS_AS_REPORTED/1M</stp>
        <stp>FPR=2021Y</stp>
        <stp>FPT=A</stp>
        <stp>FA_ACT_EST_DATA=E, EST_SOURCE=MSV</stp>
        <stp>ACT_EST_MAPPING=PRECISE</stp>
        <stp>FS=MRC</stp>
        <stp>CURRENCY=USD</stp>
        <stp>XLFILL=b</stp>
        <tr r="S83" s="2"/>
      </tp>
      <tp t="s">
        <v>#N/A Requesting Data...</v>
        <stp/>
        <stp>##V3_BQLV12</stp>
        <stp>[MODL_NOW_US1.xlsx]Single Period!R134C19</stp>
        <stp>NOW US Equity</stp>
        <stp>IS_COMP_EPS_GAAP</stp>
        <stp>FPR=2021Y</stp>
        <stp>FPT=A</stp>
        <stp>FA_ACT_EST_DATA=E, EST_SOURCE=MSV</stp>
        <stp>ACT_EST_MAPPING=PRECISE</stp>
        <stp>FS=MRC</stp>
        <stp>CURRENCY=USD</stp>
        <stp>XLFILL=b</stp>
        <tr r="S134" s="2"/>
      </tp>
      <tp t="s">
        <v>#N/A Requesting Data...</v>
        <stp/>
        <stp>##V3_BQLV12</stp>
        <stp>[MODL_NOW_US1.xlsx]Single Period!R26C5</stp>
        <stp>NOW US Equity</stp>
        <stp>IS_ADJ_SELLING_AND_MRKTG_EXPN_AR/1M</stp>
        <stp>FPR=2021Y</stp>
        <stp>FPT=A</stp>
        <stp>FA_ACT_EST_DATA=E</stp>
        <stp>ACT_EST_MAPPING=PRECISE</stp>
        <stp>FS=MRC</stp>
        <stp>CURRENCY=USD</stp>
        <stp>XLFILL=b</stp>
        <tr r="E26" s="2"/>
      </tp>
      <tp t="s">
        <v>#N/A Requesting Data...</v>
        <stp/>
        <stp>##V3_BQLV12</stp>
        <stp>[MODL_NOW_US1.xlsx]Single Period!R88C5</stp>
        <stp>NOW US Equity</stp>
        <stp>IS_ADJ_SELLING_AND_MRKTG_EXPN_AR/1M</stp>
        <stp>FPR=2021Y</stp>
        <stp>FPT=A</stp>
        <stp>FA_ACT_EST_DATA=E</stp>
        <stp>ACT_EST_MAPPING=PRECISE</stp>
        <stp>FS=MRC</stp>
        <stp>CURRENCY=USD</stp>
        <stp>XLFILL=b</stp>
        <tr r="E88" s="2"/>
      </tp>
      <tp t="s">
        <v>#N/A Requesting Data...</v>
        <stp/>
        <stp>##V3_BQLV12</stp>
        <stp>[MODL_NOW_US1.xlsx]Single Period!R134C48</stp>
        <stp>NOW US Equity</stp>
        <stp>IS_COMP_EPS_GAAP</stp>
        <stp>FPR=2021Y</stp>
        <stp>FPT=A</stp>
        <stp>FA_ACT_EST_DATA=E, EST_SOURCE=CRC</stp>
        <stp>ACT_EST_MAPPING=PRECISE</stp>
        <stp>FS=MRC</stp>
        <stp>CURRENCY=USD</stp>
        <stp>XLFILL=b</stp>
        <tr r="AV134" s="2"/>
      </tp>
      <tp t="s">
        <v>#N/A Requesting Data...</v>
        <stp/>
        <stp>##V3_BQLV12</stp>
        <stp>[MODL_NOW_US1.xlsx]Single Period!R220C10</stp>
        <stp>NOW US Equity</stp>
        <stp>CF_PROCDS_FROM_INVSTMNTS/1M</stp>
        <stp>FPR=2021Y</stp>
        <stp>FPT=A</stp>
        <stp>FA_ACT_EST_DATA=E, EST_SOURCE=CMPY</stp>
        <stp>ACT_EST_MAPPING=PRECISE</stp>
        <stp>FS=MRC</stp>
        <stp>CURRENCY=USD</stp>
        <stp>XLFILL=b</stp>
        <tr r="J220" s="2"/>
      </tp>
      <tp t="s">
        <v>#N/A Requesting Data...</v>
        <stp/>
        <stp>##V3_BQLV12</stp>
        <stp>[MODL_NOW_US1.xlsx]Single Period!R168C20</stp>
        <stp>NOW US Equity</stp>
        <stp>CB_BS_DEFERRED_COST_LT/1M</stp>
        <stp>FPR=2021Y</stp>
        <stp>FPT=A</stp>
        <stp>FA_ACT_EST_DATA=E, EST_SOURCE=CAN</stp>
        <stp>ACT_EST_MAPPING=PRECISE</stp>
        <stp>FS=MRC</stp>
        <stp>CURRENCY=USD</stp>
        <stp>XLFILL=b</stp>
        <tr r="T168" s="2"/>
      </tp>
      <tp t="s">
        <v>#N/A Requesting Data...</v>
        <stp/>
        <stp>##V3_BQLV12</stp>
        <stp>[MODL_NOW_US1.xlsx]Single Period!R128C26</stp>
        <stp>NOW US Equity</stp>
        <stp>IS_INC_TAX_EXP/1M</stp>
        <stp>FPR=2021Y</stp>
        <stp>FPT=A</stp>
        <stp>FA_ACT_EST_DATA=E, EST_SOURCE=UBS</stp>
        <stp>ACT_EST_MAPPING=PRECISE</stp>
        <stp>FS=MRC</stp>
        <stp>CURRENCY=USD</stp>
        <stp>XLFILL=b</stp>
        <tr r="Z128" s="2"/>
      </tp>
      <tp t="s">
        <v>#N/A Requesting Data...</v>
        <stp/>
        <stp>##V3_BQLV12</stp>
        <stp>[MODL_NOW_US1.xlsx]Single Period!R92C7</stp>
        <stp>NOW US Equity</stp>
        <stp>CONTRIBUTOR_STATS(IS_ADJ_GENL_AND_ADMIN_EXPN_AR, MAX)/1M</stp>
        <stp>FPR=2021Y</stp>
        <stp>FPT=A</stp>
        <stp>FA_ACT_EST_DATA=E</stp>
        <stp>ACT_EST_MAPPING=PRECISE</stp>
        <stp>FS=MRC</stp>
        <stp>CURRENCY=USD</stp>
        <stp>XLFILL=b</stp>
        <tr r="G92" s="2"/>
      </tp>
      <tp t="s">
        <v>#N/A Requesting Data...</v>
        <stp/>
        <stp>##V3_BQLV12</stp>
        <stp>[MODL_NOW_US1.xlsx]Single Period!R168C30</stp>
        <stp>NOW US Equity</stp>
        <stp>CB_BS_DEFERRED_COST_LT/1M</stp>
        <stp>FPR=2021Y</stp>
        <stp>FPT=A</stp>
        <stp>FA_ACT_EST_DATA=E, EST_SOURCE=BAM</stp>
        <stp>ACT_EST_MAPPING=PRECISE</stp>
        <stp>FS=MRC</stp>
        <stp>CURRENCY=USD</stp>
        <stp>XLFILL=b</stp>
        <tr r="AD168" s="2"/>
      </tp>
      <tp t="s">
        <v>#N/A Requesting Data...</v>
        <stp/>
        <stp>##V3_BQLV12</stp>
        <stp>[MODL_NOW_US1.xlsx]Single Period!R156C10</stp>
        <stp>NOW US Equity</stp>
        <stp>BS_CASH_NEAR_CASH_ITEM/1M</stp>
        <stp>FPR=2021Y</stp>
        <stp>FPT=A</stp>
        <stp>FA_ACT_EST_DATA=E, EST_SOURCE=CMPY</stp>
        <stp>ACT_EST_MAPPING=PRECISE</stp>
        <stp>FS=MRC</stp>
        <stp>CURRENCY=USD</stp>
        <stp>XLFILL=b</stp>
        <tr r="J156" s="2"/>
      </tp>
      <tp t="s">
        <v>#N/A Requesting Data...</v>
        <stp/>
        <stp>##V3_BQLV12</stp>
        <stp>[MODL_NOW_US1.xlsx]Single Period!R204C21</stp>
        <stp>NOW US Equity</stp>
        <stp>CF_DEF_INC_TAX/1M</stp>
        <stp>FPR=2021Y</stp>
        <stp>FPT=A</stp>
        <stp>FA_ACT_EST_DATA=E, EST_SOURCE=JMP</stp>
        <stp>ACT_EST_MAPPING=PRECISE</stp>
        <stp>FS=MRC</stp>
        <stp>CURRENCY=USD</stp>
        <stp>XLFILL=b</stp>
        <tr r="U204" s="2"/>
      </tp>
      <tp t="s">
        <v>#N/A Requesting Data...</v>
        <stp/>
        <stp>##V3_BQLV12</stp>
        <stp>[MODL_NOW_US1.xlsx]Single Period!R226C46</stp>
        <stp>NOW US Equity</stp>
        <stp>CF_OTHER_FINANCING_ACT_EXCL_FX/1M</stp>
        <stp>FPR=2021Y</stp>
        <stp>FPT=A</stp>
        <stp>FA_ACT_EST_DATA=E, EST_SOURCE=MZS</stp>
        <stp>ACT_EST_MAPPING=PRECISE</stp>
        <stp>FS=MRC</stp>
        <stp>CURRENCY=USD</stp>
        <stp>XLFILL=b</stp>
        <tr r="AT226" s="2"/>
      </tp>
      <tp t="s">
        <v>#N/A Requesting Data...</v>
        <stp/>
        <stp>##V3_BQLV12</stp>
        <stp>[MODL_NOW_US1.xlsx]Single Period!R233C15</stp>
        <stp>NOW US Equity</stp>
        <stp>CF_CASH_AND_CASH_EQUIV_END_BAL/1M</stp>
        <stp>FPR=2021Y</stp>
        <stp>FPT=A</stp>
        <stp>FA_ACT_EST_DATA=E, EST_SOURCE=OPY</stp>
        <stp>ACT_EST_MAPPING=PRECISE</stp>
        <stp>FS=MRC</stp>
        <stp>CURRENCY=USD</stp>
        <stp>XLFILL=b</stp>
        <tr r="O233" s="2"/>
      </tp>
      <tp t="s">
        <v>#N/A Requesting Data...</v>
        <stp/>
        <stp>##V3_BQLV12</stp>
        <stp>[MODL_NOW_US1.xlsx]Single Period!R168C33</stp>
        <stp>NOW US Equity</stp>
        <stp>CB_BS_DEFERRED_COST_LT/1M</stp>
        <stp>FPR=2021Y</stp>
        <stp>FPT=A</stp>
        <stp>FA_ACT_EST_DATA=E, EST_SOURCE=MAC</stp>
        <stp>ACT_EST_MAPPING=PRECISE</stp>
        <stp>FS=MRC</stp>
        <stp>CURRENCY=USD</stp>
        <stp>XLFILL=b</stp>
        <tr r="AG168" s="2"/>
      </tp>
      <tp t="s">
        <v>#N/A Requesting Data...</v>
        <stp/>
        <stp>##V3_BQLV12</stp>
        <stp>[MODL_NOW_US1.xlsx]Single Period!R128C32</stp>
        <stp>NOW US Equity</stp>
        <stp>IS_INC_TAX_EXP/1M</stp>
        <stp>FPR=2021Y</stp>
        <stp>FPT=A</stp>
        <stp>FA_ACT_EST_DATA=E, EST_SOURCE=FBC</stp>
        <stp>ACT_EST_MAPPING=PRECISE</stp>
        <stp>FS=MRC</stp>
        <stp>CURRENCY=USD</stp>
        <stp>XLFILL=b</stp>
        <tr r="AF128" s="2"/>
      </tp>
      <tp t="s">
        <v>#N/A Requesting Data...</v>
        <stp/>
        <stp>##V3_BQLV12</stp>
        <stp>[MODL_NOW_US1.xlsx]Single Period!R128C27</stp>
        <stp>NOW US Equity</stp>
        <stp>IS_INC_TAX_EXP/1M</stp>
        <stp>FPR=2021Y</stp>
        <stp>FPT=A</stp>
        <stp>FA_ACT_EST_DATA=E, EST_SOURCE=RBC</stp>
        <stp>ACT_EST_MAPPING=PRECISE</stp>
        <stp>FS=MRC</stp>
        <stp>CURRENCY=USD</stp>
        <stp>XLFILL=b</stp>
        <tr r="AA128" s="2"/>
      </tp>
      <tp t="s">
        <v>#N/A Requesting Data...</v>
        <stp/>
        <stp>##V3_BQLV12</stp>
        <stp>[MODL_NOW_US1.xlsx]Single Period!R233C11</stp>
        <stp>NOW US Equity</stp>
        <stp>CF_CASH_AND_CASH_EQUIV_END_BAL/1M</stp>
        <stp>FPR=2021Y</stp>
        <stp>FPT=A</stp>
        <stp>FA_ACT_EST_DATA=E, EST_SOURCE=JPM</stp>
        <stp>ACT_EST_MAPPING=PRECISE</stp>
        <stp>FS=MRC</stp>
        <stp>CURRENCY=USD</stp>
        <stp>XLFILL=b</stp>
        <tr r="K233" s="2"/>
      </tp>
      <tp t="s">
        <v>#N/A Requesting Data...</v>
        <stp/>
        <stp>##V3_BQLV12</stp>
        <stp>[MODL_NOW_US1.xlsx]Single Period!R62C49</stp>
        <stp>SEG0000230975 Segment</stp>
        <stp>IS_ADJ_GROSS_MARGIN_PCT_AR</stp>
        <stp>FPR=2021Y</stp>
        <stp>FPT=A</stp>
        <stp>FA_ACT_EST_DATA=E, EST_SOURCE=SCB</stp>
        <stp>ACT_EST_MAPPING=PRECISE</stp>
        <stp>FS=MRC</stp>
        <stp>CURRENCY=USD</stp>
        <stp>XLFILL=b</stp>
        <tr r="AW62" s="2"/>
      </tp>
      <tp t="s">
        <v>#N/A Requesting Data...</v>
        <stp/>
        <stp>##V3_BQLV12</stp>
        <stp>[MODL_NOW_US1.xlsx]Single Period!R18C49</stp>
        <stp>SEG0000230975 Segment</stp>
        <stp>IS_ADJ_GROSS_MARGIN_PCT_AR</stp>
        <stp>FPR=2021Y</stp>
        <stp>FPT=A</stp>
        <stp>FA_ACT_EST_DATA=E, EST_SOURCE=SCB</stp>
        <stp>ACT_EST_MAPPING=PRECISE</stp>
        <stp>FS=MRC</stp>
        <stp>CURRENCY=USD</stp>
        <stp>XLFILL=b</stp>
        <tr r="AW18" s="2"/>
      </tp>
      <tp t="s">
        <v>#N/A Requesting Data...</v>
        <stp/>
        <stp>##V3_BQLV12</stp>
        <stp>[MODL_NOW_US1.xlsx]Single Period!R226C39</stp>
        <stp>NOW US Equity</stp>
        <stp>CF_OTHER_FINANCING_ACT_EXCL_FX/1M</stp>
        <stp>FPR=2021Y</stp>
        <stp>FPT=A</stp>
        <stp>FA_ACT_EST_DATA=E, EST_SOURCE=DZB</stp>
        <stp>ACT_EST_MAPPING=PRECISE</stp>
        <stp>FS=MRC</stp>
        <stp>CURRENCY=USD</stp>
        <stp>XLFILL=b</stp>
        <tr r="AM226" s="2"/>
      </tp>
      <tp t="s">
        <v>#N/A Requesting Data...</v>
        <stp/>
        <stp>##V3_BQLV12</stp>
        <stp>[MODL_NOW_US1.xlsx]Single Period!R128C25</stp>
        <stp>NOW US Equity</stp>
        <stp>IS_INC_TAX_EXP/1M</stp>
        <stp>FPR=2021Y</stp>
        <stp>FPT=A</stp>
        <stp>FA_ACT_EST_DATA=E, EST_SOURCE=DBG</stp>
        <stp>ACT_EST_MAPPING=PRECISE</stp>
        <stp>FS=MRC</stp>
        <stp>CURRENCY=USD</stp>
        <stp>XLFILL=b</stp>
        <tr r="Y128" s="2"/>
      </tp>
      <tp t="s">
        <v>#N/A Requesting Data...</v>
        <stp/>
        <stp>##V3_BQLV12</stp>
        <stp>[MODL_NOW_US1.xlsx]Single Period!R18C16</stp>
        <stp>SEG0000230975 Segment</stp>
        <stp>IS_ADJ_GROSS_MARGIN_PCT_AR</stp>
        <stp>FPR=2021Y</stp>
        <stp>FPT=A</stp>
        <stp>FA_ACT_EST_DATA=E, EST_SOURCE=BCA</stp>
        <stp>ACT_EST_MAPPING=PRECISE</stp>
        <stp>FS=MRC</stp>
        <stp>CURRENCY=USD</stp>
        <stp>XLFILL=b</stp>
        <tr r="P18" s="2"/>
      </tp>
      <tp t="s">
        <v>#N/A Requesting Data...</v>
        <stp/>
        <stp>##V3_BQLV12</stp>
        <stp>[MODL_NOW_US1.xlsx]Single Period!R62C16</stp>
        <stp>SEG0000230975 Segment</stp>
        <stp>IS_ADJ_GROSS_MARGIN_PCT_AR</stp>
        <stp>FPR=2021Y</stp>
        <stp>FPT=A</stp>
        <stp>FA_ACT_EST_DATA=E, EST_SOURCE=BCA</stp>
        <stp>ACT_EST_MAPPING=PRECISE</stp>
        <stp>FS=MRC</stp>
        <stp>CURRENCY=USD</stp>
        <stp>XLFILL=b</stp>
        <tr r="P62" s="2"/>
      </tp>
      <tp t="s">
        <v>#N/A Requesting Data...</v>
        <stp/>
        <stp>##V3_BQLV12</stp>
        <stp>[MODL_NOW_US1.xlsx]Single Period!R64C41</stp>
        <stp>SEG0000230975 Segment</stp>
        <stp>CB_IS_GROSS_MARGIN</stp>
        <stp>FPR=2021Y</stp>
        <stp>FPT=A</stp>
        <stp>FA_ACT_EST_DATA=E, EST_SOURCE=ARG</stp>
        <stp>ACT_EST_MAPPING=PRECISE</stp>
        <stp>FS=MRC</stp>
        <stp>CURRENCY=USD</stp>
        <stp>XLFILL=b</stp>
        <tr r="AO64" s="2"/>
      </tp>
      <tp t="s">
        <v>#N/A Requesting Data...</v>
        <stp/>
        <stp>##V3_BQLV12</stp>
        <stp>[MODL_NOW_US1.xlsx]Single Period!R232C44</stp>
        <stp>NOW US Equity</stp>
        <stp>CF_CASH_AND_CASH_EQUIV_BEG_BAL/1M</stp>
        <stp>FPR=2021Y</stp>
        <stp>FPT=A</stp>
        <stp>FA_ACT_EST_DATA=E, EST_SOURCE=ARE</stp>
        <stp>ACT_EST_MAPPING=PRECISE</stp>
        <stp>FS=MRC</stp>
        <stp>CURRENCY=USD</stp>
        <stp>XLFILL=b</stp>
        <tr r="AR232" s="2"/>
      </tp>
      <tp t="s">
        <v>#N/A Requesting Data...</v>
        <stp/>
        <stp>##V3_BQLV12</stp>
        <stp>[MODL_NOW_US1.xlsx]Single Period!R64C44</stp>
        <stp>SEG0000230975 Segment</stp>
        <stp>CB_IS_GROSS_MARGIN</stp>
        <stp>FPR=2021Y</stp>
        <stp>FPT=A</stp>
        <stp>FA_ACT_EST_DATA=E, EST_SOURCE=ARE</stp>
        <stp>ACT_EST_MAPPING=PRECISE</stp>
        <stp>FS=MRC</stp>
        <stp>CURRENCY=USD</stp>
        <stp>XLFILL=b</stp>
        <tr r="AR64" s="2"/>
      </tp>
      <tp t="s">
        <v>#N/A Requesting Data...</v>
        <stp/>
        <stp>##V3_BQLV12</stp>
        <stp>[MODL_NOW_US1.xlsx]Single Period!R232C41</stp>
        <stp>NOW US Equity</stp>
        <stp>CF_CASH_AND_CASH_EQUIV_BEG_BAL/1M</stp>
        <stp>FPR=2021Y</stp>
        <stp>FPT=A</stp>
        <stp>FA_ACT_EST_DATA=E, EST_SOURCE=ARG</stp>
        <stp>ACT_EST_MAPPING=PRECISE</stp>
        <stp>FS=MRC</stp>
        <stp>CURRENCY=USD</stp>
        <stp>XLFILL=b</stp>
        <tr r="AO232" s="2"/>
      </tp>
      <tp t="s">
        <v>#N/A Requesting Data...</v>
        <stp/>
        <stp>##V3_BQLV12</stp>
        <stp>[MODL_NOW_US1.xlsx]Single Period!R64C48</stp>
        <stp>SEG0000230975 Segment</stp>
        <stp>CB_IS_GROSS_MARGIN</stp>
        <stp>FPR=2021Y</stp>
        <stp>FPT=A</stp>
        <stp>FA_ACT_EST_DATA=E, EST_SOURCE=CRC</stp>
        <stp>ACT_EST_MAPPING=PRECISE</stp>
        <stp>FS=MRC</stp>
        <stp>CURRENCY=USD</stp>
        <stp>XLFILL=b</stp>
        <tr r="AV64" s="2"/>
      </tp>
      <tp t="s">
        <v>#N/A Requesting Data...</v>
        <stp/>
        <stp>##V3_BQLV12</stp>
        <stp>[MODL_NOW_US1.xlsx]Single Period!R204C14</stp>
        <stp>NOW US Equity</stp>
        <stp>CF_DEF_INC_TAX/1M</stp>
        <stp>FPR=2021Y</stp>
        <stp>FPT=A</stp>
        <stp>FA_ACT_EST_DATA=E, EST_SOURCE=BMO</stp>
        <stp>ACT_EST_MAPPING=PRECISE</stp>
        <stp>FS=MRC</stp>
        <stp>CURRENCY=USD</stp>
        <stp>XLFILL=b</stp>
        <tr r="N204" s="2"/>
      </tp>
      <tp t="s">
        <v>#N/A Requesting Data...</v>
        <stp/>
        <stp>##V3_BQLV12</stp>
        <stp>[MODL_NOW_US1.xlsx]Single Period!R128C12</stp>
        <stp>NOW US Equity</stp>
        <stp>IS_INC_TAX_EXP/1M</stp>
        <stp>FPR=2021Y</stp>
        <stp>FPT=A</stp>
        <stp>FA_ACT_EST_DATA=E, EST_SOURCE=WBL</stp>
        <stp>ACT_EST_MAPPING=PRECISE</stp>
        <stp>FS=MRC</stp>
        <stp>CURRENCY=USD</stp>
        <stp>XLFILL=b</stp>
        <tr r="L128" s="2"/>
      </tp>
      <tp t="s">
        <v>#N/A Requesting Data...</v>
        <stp/>
        <stp>##V3_BQLV12</stp>
        <stp>[MODL_NOW_US1.xlsx]Single Period!R232C48</stp>
        <stp>NOW US Equity</stp>
        <stp>CF_CASH_AND_CASH_EQUIV_BEG_BAL/1M</stp>
        <stp>FPR=2021Y</stp>
        <stp>FPT=A</stp>
        <stp>FA_ACT_EST_DATA=E, EST_SOURCE=CRC</stp>
        <stp>ACT_EST_MAPPING=PRECISE</stp>
        <stp>FS=MRC</stp>
        <stp>CURRENCY=USD</stp>
        <stp>XLFILL=b</stp>
        <tr r="AV232" s="2"/>
      </tp>
      <tp t="s">
        <v>#N/A Requesting Data...</v>
        <stp/>
        <stp>##V3_BQLV12</stp>
        <stp>[MODL_NOW_US1.xlsx]Single Period!R191C27</stp>
        <stp>NOW US Equity</stp>
        <stp>ST_DEFERRED_REVENUE/1M</stp>
        <stp>FPR=2021Y</stp>
        <stp>FPT=A</stp>
        <stp>FA_ACT_EST_DATA=E, EST_SOURCE=RBC</stp>
        <stp>ACT_EST_MAPPING=PRECISE</stp>
        <stp>FS=MRC</stp>
        <stp>CURRENCY=USD</stp>
        <stp>XLFILL=b</stp>
        <tr r="AA191" s="2"/>
      </tp>
      <tp t="s">
        <v>#N/A Requesting Data...</v>
        <stp/>
        <stp>##V3_BQLV12</stp>
        <stp>[MODL_NOW_US1.xlsx]Single Period!R176C27</stp>
        <stp>NOW US Equity</stp>
        <stp>ST_DEFERRED_REVENUE/1M</stp>
        <stp>FPR=2021Y</stp>
        <stp>FPT=A</stp>
        <stp>FA_ACT_EST_DATA=E, EST_SOURCE=RBC</stp>
        <stp>ACT_EST_MAPPING=PRECISE</stp>
        <stp>FS=MRC</stp>
        <stp>CURRENCY=USD</stp>
        <stp>XLFILL=b</stp>
        <tr r="AA176" s="2"/>
      </tp>
      <tp t="s">
        <v>#N/A Requesting Data...</v>
        <stp/>
        <stp>##V3_BQLV12</stp>
        <stp>[MODL_NOW_US1.xlsx]Single Period!R179C27</stp>
        <stp>NOW US Equity</stp>
        <stp>LT_DEFERRED_REVENUE/1M</stp>
        <stp>FPR=2021Y</stp>
        <stp>FPT=A</stp>
        <stp>FA_ACT_EST_DATA=E, EST_SOURCE=RBC</stp>
        <stp>ACT_EST_MAPPING=PRECISE</stp>
        <stp>FS=MRC</stp>
        <stp>CURRENCY=USD</stp>
        <stp>XLFILL=b</stp>
        <tr r="AA179" s="2"/>
      </tp>
      <tp t="s">
        <v>#N/A Requesting Data...</v>
        <stp/>
        <stp>##V3_BQLV12</stp>
        <stp>[MODL_NOW_US1.xlsx]Single Period!R192C27</stp>
        <stp>NOW US Equity</stp>
        <stp>LT_DEFERRED_REVENUE/1M</stp>
        <stp>FPR=2021Y</stp>
        <stp>FPT=A</stp>
        <stp>FA_ACT_EST_DATA=E, EST_SOURCE=RBC</stp>
        <stp>ACT_EST_MAPPING=PRECISE</stp>
        <stp>FS=MRC</stp>
        <stp>CURRENCY=USD</stp>
        <stp>XLFILL=b</stp>
        <tr r="AA192" s="2"/>
      </tp>
      <tp t="s">
        <v>#N/A Requesting Data...</v>
        <stp/>
        <stp>##V3_BQLV12</stp>
        <stp>[MODL_NOW_US1.xlsx]Single Period!R191C32</stp>
        <stp>NOW US Equity</stp>
        <stp>ST_DEFERRED_REVENUE/1M</stp>
        <stp>FPR=2021Y</stp>
        <stp>FPT=A</stp>
        <stp>FA_ACT_EST_DATA=E, EST_SOURCE=FBC</stp>
        <stp>ACT_EST_MAPPING=PRECISE</stp>
        <stp>FS=MRC</stp>
        <stp>CURRENCY=USD</stp>
        <stp>XLFILL=b</stp>
        <tr r="AF191" s="2"/>
      </tp>
      <tp t="s">
        <v>#N/A Requesting Data...</v>
        <stp/>
        <stp>##V3_BQLV12</stp>
        <stp>[MODL_NOW_US1.xlsx]Single Period!R176C32</stp>
        <stp>NOW US Equity</stp>
        <stp>ST_DEFERRED_REVENUE/1M</stp>
        <stp>FPR=2021Y</stp>
        <stp>FPT=A</stp>
        <stp>FA_ACT_EST_DATA=E, EST_SOURCE=FBC</stp>
        <stp>ACT_EST_MAPPING=PRECISE</stp>
        <stp>FS=MRC</stp>
        <stp>CURRENCY=USD</stp>
        <stp>XLFILL=b</stp>
        <tr r="AF176" s="2"/>
      </tp>
      <tp t="s">
        <v>#N/A Requesting Data...</v>
        <stp/>
        <stp>##V3_BQLV12</stp>
        <stp>[MODL_NOW_US1.xlsx]Single Period!R179C32</stp>
        <stp>NOW US Equity</stp>
        <stp>LT_DEFERRED_REVENUE/1M</stp>
        <stp>FPR=2021Y</stp>
        <stp>FPT=A</stp>
        <stp>FA_ACT_EST_DATA=E, EST_SOURCE=FBC</stp>
        <stp>ACT_EST_MAPPING=PRECISE</stp>
        <stp>FS=MRC</stp>
        <stp>CURRENCY=USD</stp>
        <stp>XLFILL=b</stp>
        <tr r="AF179" s="2"/>
      </tp>
      <tp t="s">
        <v>#N/A Requesting Data...</v>
        <stp/>
        <stp>##V3_BQLV12</stp>
        <stp>[MODL_NOW_US1.xlsx]Single Period!R192C32</stp>
        <stp>NOW US Equity</stp>
        <stp>LT_DEFERRED_REVENUE/1M</stp>
        <stp>FPR=2021Y</stp>
        <stp>FPT=A</stp>
        <stp>FA_ACT_EST_DATA=E, EST_SOURCE=FBC</stp>
        <stp>ACT_EST_MAPPING=PRECISE</stp>
        <stp>FS=MRC</stp>
        <stp>CURRENCY=USD</stp>
        <stp>XLFILL=b</stp>
        <tr r="AF192" s="2"/>
      </tp>
      <tp t="s">
        <v>#N/A Requesting Data...</v>
        <stp/>
        <stp>##V3_BQLV12</stp>
        <stp>[MODL_NOW_US1.xlsx]Single Period!R27C12</stp>
        <stp>NOW US Equity</stp>
        <stp>IS_REV_INCLUDING_INTERSEG_REV/1M</stp>
        <stp>FPR=2021Y</stp>
        <stp>FPT=A</stp>
        <stp>FA_ACT_EST_DATA=E, EST_SOURCE=WBL</stp>
        <stp>ACT_EST_MAPPING=PRECISE</stp>
        <stp>FS=MRC</stp>
        <stp>CURRENCY=USD</stp>
        <stp>XLFILL=b</stp>
        <tr r="L27" s="2"/>
      </tp>
      <tp t="s">
        <v>#N/A Requesting Data...</v>
        <stp/>
        <stp>##V3_BQLV12</stp>
        <stp>[MODL_NOW_US1.xlsx]Single Period!R89C49</stp>
        <stp>NOW US Equity</stp>
        <stp>IS_REV_INCLUDING_INTERSEG_REV/1M</stp>
        <stp>FPR=2021Y</stp>
        <stp>FPT=A</stp>
        <stp>FA_ACT_EST_DATA=E, EST_SOURCE=SCB</stp>
        <stp>ACT_EST_MAPPING=PRECISE</stp>
        <stp>FS=MRC</stp>
        <stp>CURRENCY=USD</stp>
        <stp>XLFILL=b</stp>
        <tr r="AW89" s="2"/>
      </tp>
      <tp t="s">
        <v>#N/A Requesting Data...</v>
        <stp/>
        <stp>##V3_BQLV12</stp>
        <stp>[MODL_NOW_US1.xlsx]Single Period!R113C6</stp>
        <stp>SEG0000230986 Segment</stp>
        <stp>CONTRIBUTOR_STATS(IS_COGS_TO_FE_AND_PP_AND_G, MIN)/1M</stp>
        <stp>FPR=2021Y</stp>
        <stp>FPT=A</stp>
        <stp>FA_ACT_EST_DATA=E</stp>
        <stp>ACT_EST_MAPPING=PRECISE</stp>
        <stp>FS=MRC</stp>
        <stp>CURRENCY=USD</stp>
        <stp>XLFILL=b</stp>
        <tr r="F113" s="2"/>
      </tp>
      <tp t="s">
        <v>#N/A Requesting Data...</v>
        <stp/>
        <stp>##V3_BQLV12</stp>
        <stp>[MODL_NOW_US1.xlsx]Single Period!R113C7</stp>
        <stp>SEG0000230986 Segment</stp>
        <stp>CONTRIBUTOR_STATS(IS_COGS_TO_FE_AND_PP_AND_G, MAX)/1M</stp>
        <stp>FPR=2021Y</stp>
        <stp>FPT=A</stp>
        <stp>FA_ACT_EST_DATA=E</stp>
        <stp>ACT_EST_MAPPING=PRECISE</stp>
        <stp>FS=MRC</stp>
        <stp>CURRENCY=USD</stp>
        <stp>XLFILL=b</stp>
        <tr r="G113" s="2"/>
      </tp>
      <tp t="s">
        <v>#N/A Requesting Data...</v>
        <stp/>
        <stp>##V3_BQLV12</stp>
        <stp>[MODL_NOW_US1.xlsx]Single Period!R161C36</stp>
        <stp>NOW US Equity</stp>
        <stp>BS_TOTAL_NON_CURRENT_ASSETS/1M</stp>
        <stp>FPR=2021Y</stp>
        <stp>FPT=A</stp>
        <stp>FA_ACT_EST_DATA=E, EST_SOURCE=JEF</stp>
        <stp>ACT_EST_MAPPING=PRECISE</stp>
        <stp>FS=MRC</stp>
        <stp>CURRENCY=USD</stp>
        <stp>XLFILL=b</stp>
        <tr r="AJ161" s="2"/>
      </tp>
      <tp t="s">
        <v>#N/A Requesting Data...</v>
        <stp/>
        <stp>##V3_BQLV12</stp>
        <stp>[MODL_NOW_US1.xlsx]Single Period!R191C25</stp>
        <stp>NOW US Equity</stp>
        <stp>ST_DEFERRED_REVENUE/1M</stp>
        <stp>FPR=2021Y</stp>
        <stp>FPT=A</stp>
        <stp>FA_ACT_EST_DATA=E, EST_SOURCE=DBG</stp>
        <stp>ACT_EST_MAPPING=PRECISE</stp>
        <stp>FS=MRC</stp>
        <stp>CURRENCY=USD</stp>
        <stp>XLFILL=b</stp>
        <tr r="Y191" s="2"/>
      </tp>
      <tp t="s">
        <v>#N/A Requesting Data...</v>
        <stp/>
        <stp>##V3_BQLV12</stp>
        <stp>[MODL_NOW_US1.xlsx]Single Period!R176C25</stp>
        <stp>NOW US Equity</stp>
        <stp>ST_DEFERRED_REVENUE/1M</stp>
        <stp>FPR=2021Y</stp>
        <stp>FPT=A</stp>
        <stp>FA_ACT_EST_DATA=E, EST_SOURCE=DBG</stp>
        <stp>ACT_EST_MAPPING=PRECISE</stp>
        <stp>FS=MRC</stp>
        <stp>CURRENCY=USD</stp>
        <stp>XLFILL=b</stp>
        <tr r="Y176" s="2"/>
      </tp>
      <tp t="s">
        <v>#N/A Requesting Data...</v>
        <stp/>
        <stp>##V3_BQLV12</stp>
        <stp>[MODL_NOW_US1.xlsx]Single Period!R179C25</stp>
        <stp>NOW US Equity</stp>
        <stp>LT_DEFERRED_REVENUE/1M</stp>
        <stp>FPR=2021Y</stp>
        <stp>FPT=A</stp>
        <stp>FA_ACT_EST_DATA=E, EST_SOURCE=DBG</stp>
        <stp>ACT_EST_MAPPING=PRECISE</stp>
        <stp>FS=MRC</stp>
        <stp>CURRENCY=USD</stp>
        <stp>XLFILL=b</stp>
        <tr r="Y179" s="2"/>
      </tp>
      <tp t="s">
        <v>#N/A Requesting Data...</v>
        <stp/>
        <stp>##V3_BQLV12</stp>
        <stp>[MODL_NOW_US1.xlsx]Single Period!R192C25</stp>
        <stp>NOW US Equity</stp>
        <stp>LT_DEFERRED_REVENUE/1M</stp>
        <stp>FPR=2021Y</stp>
        <stp>FPT=A</stp>
        <stp>FA_ACT_EST_DATA=E, EST_SOURCE=DBG</stp>
        <stp>ACT_EST_MAPPING=PRECISE</stp>
        <stp>FS=MRC</stp>
        <stp>CURRENCY=USD</stp>
        <stp>XLFILL=b</stp>
        <tr r="Y192" s="2"/>
      </tp>
      <tp t="s">
        <v>#N/A Requesting Data...</v>
        <stp/>
        <stp>##V3_BQLV12</stp>
        <stp>[MODL_NOW_US1.xlsx]Single Period!R98C15</stp>
        <stp>NOW US Equity</stp>
        <stp>CF_DEPR_AMORT/1M</stp>
        <stp>FPR=2021Y</stp>
        <stp>FPT=A</stp>
        <stp>FA_ACT_EST_DATA=E, EST_SOURCE=OPY</stp>
        <stp>ACT_EST_MAPPING=PRECISE</stp>
        <stp>FS=MRC</stp>
        <stp>CURRENCY=USD</stp>
        <stp>XLFILL=b</stp>
        <tr r="O98" s="2"/>
      </tp>
      <tp t="s">
        <v>#N/A Requesting Data...</v>
        <stp/>
        <stp>##V3_BQLV12</stp>
        <stp>[MODL_NOW_US1.xlsx]Single Period!R173C21</stp>
        <stp>NOW US Equity</stp>
        <stp>BS_CUR_LIAB/1M</stp>
        <stp>FPR=2021Y</stp>
        <stp>FPT=A</stp>
        <stp>FA_ACT_EST_DATA=E, EST_SOURCE=JMP</stp>
        <stp>ACT_EST_MAPPING=PRECISE</stp>
        <stp>FS=MRC</stp>
        <stp>CURRENCY=USD</stp>
        <stp>XLFILL=b</stp>
        <tr r="U173" s="2"/>
      </tp>
      <tp t="s">
        <v>#N/A Requesting Data...</v>
        <stp/>
        <stp>##V3_BQLV12</stp>
        <stp>[MODL_NOW_US1.xlsx]Single Period!R203C15</stp>
        <stp>NOW US Equity</stp>
        <stp>AMORTIZATN_OF_FINNCNG_COSTS/1M</stp>
        <stp>FPR=2021Y</stp>
        <stp>FPT=A</stp>
        <stp>FA_ACT_EST_DATA=E, EST_SOURCE=OPY</stp>
        <stp>ACT_EST_MAPPING=PRECISE</stp>
        <stp>FS=MRC</stp>
        <stp>CURRENCY=USD</stp>
        <stp>XLFILL=b</stp>
        <tr r="O203" s="2"/>
      </tp>
      <tp t="s">
        <v>#N/A Requesting Data...</v>
        <stp/>
        <stp>##V3_BQLV12</stp>
        <stp>[MODL_NOW_US1.xlsx]Single Period!R191C12</stp>
        <stp>NOW US Equity</stp>
        <stp>ST_DEFERRED_REVENUE/1M</stp>
        <stp>FPR=2021Y</stp>
        <stp>FPT=A</stp>
        <stp>FA_ACT_EST_DATA=E, EST_SOURCE=WBL</stp>
        <stp>ACT_EST_MAPPING=PRECISE</stp>
        <stp>FS=MRC</stp>
        <stp>CURRENCY=USD</stp>
        <stp>XLFILL=b</stp>
        <tr r="L191" s="2"/>
      </tp>
      <tp t="s">
        <v>#N/A Requesting Data...</v>
        <stp/>
        <stp>##V3_BQLV12</stp>
        <stp>[MODL_NOW_US1.xlsx]Single Period!R176C12</stp>
        <stp>NOW US Equity</stp>
        <stp>ST_DEFERRED_REVENUE/1M</stp>
        <stp>FPR=2021Y</stp>
        <stp>FPT=A</stp>
        <stp>FA_ACT_EST_DATA=E, EST_SOURCE=WBL</stp>
        <stp>ACT_EST_MAPPING=PRECISE</stp>
        <stp>FS=MRC</stp>
        <stp>CURRENCY=USD</stp>
        <stp>XLFILL=b</stp>
        <tr r="L176" s="2"/>
      </tp>
      <tp t="s">
        <v>#N/A Requesting Data...</v>
        <stp/>
        <stp>##V3_BQLV12</stp>
        <stp>[MODL_NOW_US1.xlsx]Single Period!R179C12</stp>
        <stp>NOW US Equity</stp>
        <stp>LT_DEFERRED_REVENUE/1M</stp>
        <stp>FPR=2021Y</stp>
        <stp>FPT=A</stp>
        <stp>FA_ACT_EST_DATA=E, EST_SOURCE=WBL</stp>
        <stp>ACT_EST_MAPPING=PRECISE</stp>
        <stp>FS=MRC</stp>
        <stp>CURRENCY=USD</stp>
        <stp>XLFILL=b</stp>
        <tr r="L179" s="2"/>
      </tp>
      <tp t="s">
        <v>#N/A Requesting Data...</v>
        <stp/>
        <stp>##V3_BQLV12</stp>
        <stp>[MODL_NOW_US1.xlsx]Single Period!R192C12</stp>
        <stp>NOW US Equity</stp>
        <stp>LT_DEFERRED_REVENUE/1M</stp>
        <stp>FPR=2021Y</stp>
        <stp>FPT=A</stp>
        <stp>FA_ACT_EST_DATA=E, EST_SOURCE=WBL</stp>
        <stp>ACT_EST_MAPPING=PRECISE</stp>
        <stp>FS=MRC</stp>
        <stp>CURRENCY=USD</stp>
        <stp>XLFILL=b</stp>
        <tr r="L192" s="2"/>
      </tp>
      <tp t="s">
        <v>#N/A Requesting Data...</v>
        <stp/>
        <stp>##V3_BQLV12</stp>
        <stp>[MODL_NOW_US1.xlsx]Single Period!R230C21</stp>
        <stp>NOW US Equity</stp>
        <stp>CF_EFFECT_FOREIGN_EXCHANGES/1M</stp>
        <stp>FPR=2021Y</stp>
        <stp>FPT=A</stp>
        <stp>FA_ACT_EST_DATA=E, EST_SOURCE=JMP</stp>
        <stp>ACT_EST_MAPPING=PRECISE</stp>
        <stp>FS=MRC</stp>
        <stp>CURRENCY=USD</stp>
        <stp>XLFILL=b</stp>
        <tr r="U230" s="2"/>
      </tp>
      <tp t="s">
        <v>#N/A Requesting Data...</v>
        <stp/>
        <stp>##V3_BQLV12</stp>
        <stp>[MODL_NOW_US1.xlsx]Single Period!R27C32</stp>
        <stp>NOW US Equity</stp>
        <stp>IS_REV_INCLUDING_INTERSEG_REV/1M</stp>
        <stp>FPR=2021Y</stp>
        <stp>FPT=A</stp>
        <stp>FA_ACT_EST_DATA=E, EST_SOURCE=FBC</stp>
        <stp>ACT_EST_MAPPING=PRECISE</stp>
        <stp>FS=MRC</stp>
        <stp>CURRENCY=USD</stp>
        <stp>XLFILL=b</stp>
        <tr r="AF27" s="2"/>
      </tp>
      <tp t="s">
        <v>#N/A Requesting Data...</v>
        <stp/>
        <stp>##V3_BQLV12</stp>
        <stp>[MODL_NOW_US1.xlsx]Single Period!R92C33</stp>
        <stp>NOW US Equity</stp>
        <stp>IS_ADJ_GENL_AND_ADMIN_EXPN_AR/1M</stp>
        <stp>FPR=2021Y</stp>
        <stp>FPT=A</stp>
        <stp>FA_ACT_EST_DATA=E, EST_SOURCE=MAC</stp>
        <stp>ACT_EST_MAPPING=PRECISE</stp>
        <stp>FS=MRC</stp>
        <stp>CURRENCY=USD</stp>
        <stp>XLFILL=b</stp>
        <tr r="AG92" s="2"/>
      </tp>
      <tp t="s">
        <v>#N/A Requesting Data...</v>
        <stp/>
        <stp>##V3_BQLV12</stp>
        <stp>[MODL_NOW_US1.xlsx]Single Period!R124C15</stp>
        <stp>NOW US Equity</stp>
        <stp>IS_EBIT_AS_REPORTED/1M</stp>
        <stp>FPR=2021Y</stp>
        <stp>FPT=A</stp>
        <stp>FA_ACT_EST_DATA=E, EST_SOURCE=OPY</stp>
        <stp>ACT_EST_MAPPING=PRECISE</stp>
        <stp>FS=MRC</stp>
        <stp>CURRENCY=USD</stp>
        <stp>XLFILL=b</stp>
        <tr r="O124" s="2"/>
      </tp>
      <tp t="s">
        <v>#N/A Requesting Data...</v>
        <stp/>
        <stp>##V3_BQLV12</stp>
        <stp>[MODL_NOW_US1.xlsx]Single Period!R80C30</stp>
        <stp>NOW US Equity</stp>
        <stp>IS_COMP_SALES/1M</stp>
        <stp>FPR=2021Y</stp>
        <stp>FPT=A</stp>
        <stp>FA_ACT_EST_DATA=E, EST_SOURCE=BAM</stp>
        <stp>ACT_EST_MAPPING=PRECISE</stp>
        <stp>FS=MRC</stp>
        <stp>CURRENCY=USD</stp>
        <stp>XLFILL=b</stp>
        <tr r="AD80" s="2"/>
      </tp>
      <tp t="s">
        <v>#N/A Requesting Data...</v>
        <stp/>
        <stp>##V3_BQLV12</stp>
        <stp>[MODL_NOW_US1.xlsx]Single Period!R191C26</stp>
        <stp>NOW US Equity</stp>
        <stp>ST_DEFERRED_REVENUE/1M</stp>
        <stp>FPR=2021Y</stp>
        <stp>FPT=A</stp>
        <stp>FA_ACT_EST_DATA=E, EST_SOURCE=UBS</stp>
        <stp>ACT_EST_MAPPING=PRECISE</stp>
        <stp>FS=MRC</stp>
        <stp>CURRENCY=USD</stp>
        <stp>XLFILL=b</stp>
        <tr r="Z191" s="2"/>
      </tp>
      <tp t="s">
        <v>#N/A Requesting Data...</v>
        <stp/>
        <stp>##V3_BQLV12</stp>
        <stp>[MODL_NOW_US1.xlsx]Single Period!R176C26</stp>
        <stp>NOW US Equity</stp>
        <stp>ST_DEFERRED_REVENUE/1M</stp>
        <stp>FPR=2021Y</stp>
        <stp>FPT=A</stp>
        <stp>FA_ACT_EST_DATA=E, EST_SOURCE=UBS</stp>
        <stp>ACT_EST_MAPPING=PRECISE</stp>
        <stp>FS=MRC</stp>
        <stp>CURRENCY=USD</stp>
        <stp>XLFILL=b</stp>
        <tr r="Z176" s="2"/>
      </tp>
      <tp t="s">
        <v>#N/A Requesting Data...</v>
        <stp/>
        <stp>##V3_BQLV12</stp>
        <stp>[MODL_NOW_US1.xlsx]Single Period!R179C26</stp>
        <stp>NOW US Equity</stp>
        <stp>LT_DEFERRED_REVENUE/1M</stp>
        <stp>FPR=2021Y</stp>
        <stp>FPT=A</stp>
        <stp>FA_ACT_EST_DATA=E, EST_SOURCE=UBS</stp>
        <stp>ACT_EST_MAPPING=PRECISE</stp>
        <stp>FS=MRC</stp>
        <stp>CURRENCY=USD</stp>
        <stp>XLFILL=b</stp>
        <tr r="Z179" s="2"/>
      </tp>
      <tp t="s">
        <v>#N/A Requesting Data...</v>
        <stp/>
        <stp>##V3_BQLV12</stp>
        <stp>[MODL_NOW_US1.xlsx]Single Period!R230C14</stp>
        <stp>NOW US Equity</stp>
        <stp>CF_EFFECT_FOREIGN_EXCHANGES/1M</stp>
        <stp>FPR=2021Y</stp>
        <stp>FPT=A</stp>
        <stp>FA_ACT_EST_DATA=E, EST_SOURCE=BMO</stp>
        <stp>ACT_EST_MAPPING=PRECISE</stp>
        <stp>FS=MRC</stp>
        <stp>CURRENCY=USD</stp>
        <stp>XLFILL=b</stp>
        <tr r="N230" s="2"/>
      </tp>
      <tp t="s">
        <v>#N/A Requesting Data...</v>
        <stp/>
        <stp>##V3_BQLV12</stp>
        <stp>[MODL_NOW_US1.xlsx]Single Period!R192C26</stp>
        <stp>NOW US Equity</stp>
        <stp>LT_DEFERRED_REVENUE/1M</stp>
        <stp>FPR=2021Y</stp>
        <stp>FPT=A</stp>
        <stp>FA_ACT_EST_DATA=E, EST_SOURCE=UBS</stp>
        <stp>ACT_EST_MAPPING=PRECISE</stp>
        <stp>FS=MRC</stp>
        <stp>CURRENCY=USD</stp>
        <stp>XLFILL=b</stp>
        <tr r="Z192" s="2"/>
      </tp>
      <tp t="s">
        <v>#N/A Requesting Data...</v>
        <stp/>
        <stp>##V3_BQLV12</stp>
        <stp>[MODL_NOW_US1.xlsx]Single Period!R184C44</stp>
        <stp>NOW US Equity</stp>
        <stp>BS_EQTY_BEFORE_MINORITY_INT/1M</stp>
        <stp>FPR=2021Y</stp>
        <stp>FPT=A</stp>
        <stp>FA_ACT_EST_DATA=E, EST_SOURCE=ARE</stp>
        <stp>ACT_EST_MAPPING=PRECISE</stp>
        <stp>FS=MRC</stp>
        <stp>CURRENCY=USD</stp>
        <stp>XLFILL=b</stp>
        <tr r="AR184" s="2"/>
      </tp>
      <tp t="s">
        <v>#N/A Requesting Data...</v>
        <stp/>
        <stp>##V3_BQLV12</stp>
        <stp>[MODL_NOW_US1.xlsx]Single Period!R80C20</stp>
        <stp>NOW US Equity</stp>
        <stp>IS_COMP_SALES/1M</stp>
        <stp>FPR=2021Y</stp>
        <stp>FPT=A</stp>
        <stp>FA_ACT_EST_DATA=E, EST_SOURCE=CAN</stp>
        <stp>ACT_EST_MAPPING=PRECISE</stp>
        <stp>FS=MRC</stp>
        <stp>CURRENCY=USD</stp>
        <stp>XLFILL=b</stp>
        <tr r="T80" s="2"/>
      </tp>
      <tp t="s">
        <v>#N/A Requesting Data...</v>
        <stp/>
        <stp>##V3_BQLV12</stp>
        <stp>[MODL_NOW_US1.xlsx]Single Period!R184C41</stp>
        <stp>NOW US Equity</stp>
        <stp>BS_EQTY_BEFORE_MINORITY_INT/1M</stp>
        <stp>FPR=2021Y</stp>
        <stp>FPT=A</stp>
        <stp>FA_ACT_EST_DATA=E, EST_SOURCE=ARG</stp>
        <stp>ACT_EST_MAPPING=PRECISE</stp>
        <stp>FS=MRC</stp>
        <stp>CURRENCY=USD</stp>
        <stp>XLFILL=b</stp>
        <tr r="AO184" s="2"/>
      </tp>
      <tp t="s">
        <v>#N/A Requesting Data...</v>
        <stp/>
        <stp>##V3_BQLV12</stp>
        <stp>[MODL_NOW_US1.xlsx]Single Period!R173C14</stp>
        <stp>NOW US Equity</stp>
        <stp>BS_CUR_LIAB/1M</stp>
        <stp>FPR=2021Y</stp>
        <stp>FPT=A</stp>
        <stp>FA_ACT_EST_DATA=E, EST_SOURCE=BMO</stp>
        <stp>ACT_EST_MAPPING=PRECISE</stp>
        <stp>FS=MRC</stp>
        <stp>CURRENCY=USD</stp>
        <stp>XLFILL=b</stp>
        <tr r="N173" s="2"/>
      </tp>
      <tp t="s">
        <v>#N/A Requesting Data...</v>
        <stp/>
        <stp>##V3_BQLV12</stp>
        <stp>[MODL_NOW_US1.xlsx]Single Period!R167C23</stp>
        <stp>NOW US Equity</stp>
        <stp>BS_GOODWILL/1M</stp>
        <stp>FPR=2021Y</stp>
        <stp>FPT=A</stp>
        <stp>FA_ACT_EST_DATA=E, EST_SOURCE=ZXS</stp>
        <stp>ACT_EST_MAPPING=PRECISE</stp>
        <stp>FS=MRC</stp>
        <stp>CURRENCY=USD</stp>
        <stp>XLFILL=b</stp>
        <tr r="W167" s="2"/>
      </tp>
      <tp t="s">
        <v>#N/A Requesting Data...</v>
        <stp/>
        <stp>##V3_BQLV12</stp>
        <stp>[MODL_NOW_US1.xlsx]Single Period!R139C29</stp>
        <stp>NOW US Equity</stp>
        <stp>IS_SBC_ATTRIB_TO_COGS_PRETX/1M</stp>
        <stp>FPR=2021Y</stp>
        <stp>FPT=A</stp>
        <stp>FA_ACT_EST_DATA=E, EST_SOURCE=BNS</stp>
        <stp>ACT_EST_MAPPING=PRECISE</stp>
        <stp>FS=MRC</stp>
        <stp>CURRENCY=USD</stp>
        <stp>XLFILL=b</stp>
        <tr r="AC139" s="2"/>
      </tp>
      <tp t="s">
        <v>#N/A Requesting Data...</v>
        <stp/>
        <stp>##V3_BQLV12</stp>
        <stp>[MODL_NOW_US1.xlsx]Single Period!R178C33</stp>
        <stp>NOW US Equity</stp>
        <stp>BS_ADJ_TOTAL_LT_LIABILITIES/1M</stp>
        <stp>FPR=2021Y</stp>
        <stp>FPT=A</stp>
        <stp>FA_ACT_EST_DATA=E, EST_SOURCE=MAC</stp>
        <stp>ACT_EST_MAPPING=PRECISE</stp>
        <stp>FS=MRC</stp>
        <stp>CURRENCY=USD</stp>
        <stp>XLFILL=b</stp>
        <tr r="AG178" s="2"/>
      </tp>
      <tp t="s">
        <v>#N/A Requesting Data...</v>
        <stp/>
        <stp>##V3_BQLV12</stp>
        <stp>[MODL_NOW_US1.xlsx]Single Period!R139C18</stp>
        <stp>NOW US Equity</stp>
        <stp>IS_SBC_ATTRIB_TO_COGS_PRETX/1M</stp>
        <stp>FPR=2021Y</stp>
        <stp>FPT=A</stp>
        <stp>FA_ACT_EST_DATA=E, EST_SOURCE=SNR</stp>
        <stp>ACT_EST_MAPPING=PRECISE</stp>
        <stp>FS=MRC</stp>
        <stp>CURRENCY=USD</stp>
        <stp>XLFILL=b</stp>
        <tr r="R139" s="2"/>
      </tp>
      <tp t="s">
        <v>#N/A Requesting Data...</v>
        <stp/>
        <stp>##V3_BQLV12</stp>
        <stp>[MODL_NOW_US1.xlsx]Single Period!R184C48</stp>
        <stp>NOW US Equity</stp>
        <stp>BS_EQTY_BEFORE_MINORITY_INT/1M</stp>
        <stp>FPR=2021Y</stp>
        <stp>FPT=A</stp>
        <stp>FA_ACT_EST_DATA=E, EST_SOURCE=CRC</stp>
        <stp>ACT_EST_MAPPING=PRECISE</stp>
        <stp>FS=MRC</stp>
        <stp>CURRENCY=USD</stp>
        <stp>XLFILL=b</stp>
        <tr r="AV184" s="2"/>
      </tp>
      <tp t="s">
        <v>#N/A Requesting Data...</v>
        <stp/>
        <stp>##V3_BQLV12</stp>
        <stp>[MODL_NOW_US1.xlsx]Single Period!R178C20</stp>
        <stp>NOW US Equity</stp>
        <stp>BS_ADJ_TOTAL_LT_LIABILITIES/1M</stp>
        <stp>FPR=2021Y</stp>
        <stp>FPT=A</stp>
        <stp>FA_ACT_EST_DATA=E, EST_SOURCE=CAN</stp>
        <stp>ACT_EST_MAPPING=PRECISE</stp>
        <stp>FS=MRC</stp>
        <stp>CURRENCY=USD</stp>
        <stp>XLFILL=b</stp>
        <tr r="T178" s="2"/>
      </tp>
      <tp t="s">
        <v>#N/A Requesting Data...</v>
        <stp/>
        <stp>##V3_BQLV12</stp>
        <stp>[MODL_NOW_US1.xlsx]Single Period!R30C33</stp>
        <stp>NOW US Equity</stp>
        <stp>CF_FREE_CASH_FLOW_AS_REPORTED/1M</stp>
        <stp>FPR=2021Y</stp>
        <stp>FPT=A</stp>
        <stp>FA_ACT_EST_DATA=E, EST_SOURCE=MAC</stp>
        <stp>ACT_EST_MAPPING=PRECISE</stp>
        <stp>FS=MRC</stp>
        <stp>CURRENCY=USD</stp>
        <stp>XLFILL=b</stp>
        <tr r="AG30" s="2"/>
      </tp>
      <tp t="s">
        <v>#N/A Requesting Data...</v>
        <stp/>
        <stp>##V3_BQLV12</stp>
        <stp>[MODL_NOW_US1.xlsx]Single Period!R178C30</stp>
        <stp>NOW US Equity</stp>
        <stp>BS_ADJ_TOTAL_LT_LIABILITIES/1M</stp>
        <stp>FPR=2021Y</stp>
        <stp>FPT=A</stp>
        <stp>FA_ACT_EST_DATA=E, EST_SOURCE=BAM</stp>
        <stp>ACT_EST_MAPPING=PRECISE</stp>
        <stp>FS=MRC</stp>
        <stp>CURRENCY=USD</stp>
        <stp>XLFILL=b</stp>
        <tr r="AD178" s="2"/>
      </tp>
      <tp t="s">
        <v>#N/A Requesting Data...</v>
        <stp/>
        <stp>##V3_BQLV12</stp>
        <stp>[MODL_NOW_US1.xlsx]Single Period!R124C11</stp>
        <stp>NOW US Equity</stp>
        <stp>IS_EBIT_AS_REPORTED/1M</stp>
        <stp>FPR=2021Y</stp>
        <stp>FPT=A</stp>
        <stp>FA_ACT_EST_DATA=E, EST_SOURCE=JPM</stp>
        <stp>ACT_EST_MAPPING=PRECISE</stp>
        <stp>FS=MRC</stp>
        <stp>CURRENCY=USD</stp>
        <stp>XLFILL=b</stp>
        <tr r="K124" s="2"/>
      </tp>
      <tp t="s">
        <v>#N/A Requesting Data...</v>
        <stp/>
        <stp>##V3_BQLV12</stp>
        <stp>[MODL_NOW_US1.xlsx]Single Period!R137C48</stp>
        <stp>NOW US Equity</stp>
        <stp>CF_STOCK_BASED_COMPENSATION/1M</stp>
        <stp>FPR=2021Y</stp>
        <stp>FPT=A</stp>
        <stp>FA_ACT_EST_DATA=E, EST_SOURCE=CRC</stp>
        <stp>ACT_EST_MAPPING=PRECISE</stp>
        <stp>FS=MRC</stp>
        <stp>CURRENCY=USD</stp>
        <stp>XLFILL=b</stp>
        <tr r="AV137" s="2"/>
      </tp>
      <tp t="s">
        <v>#N/A Requesting Data...</v>
        <stp/>
        <stp>##V3_BQLV12</stp>
        <stp>[MODL_NOW_US1.xlsx]Single Period!R113C8</stp>
        <stp>SEG0000230986 Segment</stp>
        <stp>CONTRIBUTOR_STATS(IS_COGS_TO_FE_AND_PP_AND_G, STD)/1M</stp>
        <stp>FPR=2021Y</stp>
        <stp>FPT=A</stp>
        <stp>FA_ACT_EST_DATA=E</stp>
        <stp>ACT_EST_MAPPING=PRECISE</stp>
        <stp>FS=MRC</stp>
        <stp>CURRENCY=USD</stp>
        <stp>XLFILL=b</stp>
        <tr r="H113" s="2"/>
      </tp>
      <tp t="s">
        <v>#N/A Requesting Data...</v>
        <stp/>
        <stp>##V3_BQLV12</stp>
        <stp>[MODL_NOW_US1.xlsx]Single Period!R137C44</stp>
        <stp>NOW US Equity</stp>
        <stp>CF_STOCK_BASED_COMPENSATION/1M</stp>
        <stp>FPR=2021Y</stp>
        <stp>FPT=A</stp>
        <stp>FA_ACT_EST_DATA=E, EST_SOURCE=ARE</stp>
        <stp>ACT_EST_MAPPING=PRECISE</stp>
        <stp>FS=MRC</stp>
        <stp>CURRENCY=USD</stp>
        <stp>XLFILL=b</stp>
        <tr r="AR137" s="2"/>
      </tp>
      <tp t="s">
        <v>#N/A Requesting Data...</v>
        <stp/>
        <stp>##V3_BQLV12</stp>
        <stp>[MODL_NOW_US1.xlsx]Single Period!R203C11</stp>
        <stp>NOW US Equity</stp>
        <stp>AMORTIZATN_OF_FINNCNG_COSTS/1M</stp>
        <stp>FPR=2021Y</stp>
        <stp>FPT=A</stp>
        <stp>FA_ACT_EST_DATA=E, EST_SOURCE=JPM</stp>
        <stp>ACT_EST_MAPPING=PRECISE</stp>
        <stp>FS=MRC</stp>
        <stp>CURRENCY=USD</stp>
        <stp>XLFILL=b</stp>
        <tr r="K203" s="2"/>
      </tp>
      <tp t="s">
        <v>#N/A Requesting Data...</v>
        <stp/>
        <stp>##V3_BQLV12</stp>
        <stp>[MODL_NOW_US1.xlsx]Single Period!R161C13</stp>
        <stp>NOW US Equity</stp>
        <stp>BS_TOTAL_NON_CURRENT_ASSETS/1M</stp>
        <stp>FPR=2021Y</stp>
        <stp>FPT=A</stp>
        <stp>FA_ACT_EST_DATA=E, EST_SOURCE=KEY</stp>
        <stp>ACT_EST_MAPPING=PRECISE</stp>
        <stp>FS=MRC</stp>
        <stp>CURRENCY=USD</stp>
        <stp>XLFILL=b</stp>
        <tr r="M161" s="2"/>
      </tp>
      <tp t="s">
        <v>#N/A Requesting Data...</v>
        <stp/>
        <stp>##V3_BQLV12</stp>
        <stp>[MODL_NOW_US1.xlsx]Single Period!R137C41</stp>
        <stp>NOW US Equity</stp>
        <stp>CF_STOCK_BASED_COMPENSATION/1M</stp>
        <stp>FPR=2021Y</stp>
        <stp>FPT=A</stp>
        <stp>FA_ACT_EST_DATA=E, EST_SOURCE=ARG</stp>
        <stp>ACT_EST_MAPPING=PRECISE</stp>
        <stp>FS=MRC</stp>
        <stp>CURRENCY=USD</stp>
        <stp>XLFILL=b</stp>
        <tr r="AO137" s="2"/>
      </tp>
      <tp t="s">
        <v>#N/A Requesting Data...</v>
        <stp/>
        <stp>##V3_BQLV12</stp>
        <stp>[MODL_NOW_US1.xlsx]Single Period!R54C40</stp>
        <stp>NOW US Equity</stp>
        <stp>IS_FOREIGN_CURRENCY_TURNOVER/1M</stp>
        <stp>FPR=2021Y</stp>
        <stp>FPT=A</stp>
        <stp>FA_ACT_EST_DATA=E, EST_SOURCE=DWI</stp>
        <stp>ACT_EST_MAPPING=PRECISE</stp>
        <stp>FS=MRC</stp>
        <stp>CURRENCY=USD</stp>
        <stp>XLFILL=b</stp>
        <tr r="AN54" s="2"/>
      </tp>
      <tp t="s">
        <v>#N/A Requesting Data...</v>
        <stp/>
        <stp>##V3_BQLV12</stp>
        <stp>[MODL_NOW_US1.xlsx]Single Period!R20C38</stp>
        <stp>SEG0000230986 Segment</stp>
        <stp>SALES_REV_TURN/1M</stp>
        <stp>FPR=2021Y</stp>
        <stp>FPT=A</stp>
        <stp>FA_ACT_EST_DATA=E, EST_SOURCE=RWB</stp>
        <stp>ACT_EST_MAPPING=PRECISE</stp>
        <stp>FS=MRC</stp>
        <stp>CURRENCY=USD</stp>
        <stp>XLFILL=b</stp>
        <tr r="AL20" s="2"/>
      </tp>
      <tp t="s">
        <v>#N/A Requesting Data...</v>
        <stp/>
        <stp>##V3_BQLV12</stp>
        <stp>[MODL_NOW_US1.xlsx]Single Period!R133C42</stp>
        <stp>NOW US Equity</stp>
        <stp>IS_SH_FOR_DILUTED_EPS/1M</stp>
        <stp>FPR=2021Y</stp>
        <stp>FPT=A</stp>
        <stp>FA_ACT_EST_DATA=E, EST_SOURCE=CTI</stp>
        <stp>ACT_EST_MAPPING=PRECISE</stp>
        <stp>FS=MRC</stp>
        <stp>CURRENCY=USD</stp>
        <stp>XLFILL=b</stp>
        <tr r="AP133" s="2"/>
      </tp>
      <tp t="s">
        <v>#N/A Requesting Data...</v>
        <stp/>
        <stp>##V3_BQLV12</stp>
        <stp>[MODL_NOW_US1.xlsx]Single Period!R15C34</stp>
        <stp>SEG0000230992 Segment</stp>
        <stp>SALES_REV_TURN/1M</stp>
        <stp>FPR=2021Y</stp>
        <stp>FPT=A</stp>
        <stp>FA_ACT_EST_DATA=E, EST_SOURCE=PSG</stp>
        <stp>ACT_EST_MAPPING=PRECISE</stp>
        <stp>FS=MRC</stp>
        <stp>CURRENCY=USD</stp>
        <stp>XLFILL=b</stp>
        <tr r="AH15" s="2"/>
      </tp>
      <tp t="s">
        <v>#N/A Requesting Data...</v>
        <stp/>
        <stp>##V3_BQLV12</stp>
        <stp>[MODL_NOW_US1.xlsx]Single Period!R75C34</stp>
        <stp>SEG0000230992 Segment</stp>
        <stp>SALES_REV_TURN/1M</stp>
        <stp>FPR=2021Y</stp>
        <stp>FPT=A</stp>
        <stp>FA_ACT_EST_DATA=E, EST_SOURCE=PSG</stp>
        <stp>ACT_EST_MAPPING=PRECISE</stp>
        <stp>FS=MRC</stp>
        <stp>CURRENCY=USD</stp>
        <stp>XLFILL=b</stp>
        <tr r="AH75" s="2"/>
      </tp>
      <tp t="s">
        <v>#N/A Requesting Data...</v>
        <stp/>
        <stp>##V3_BQLV12</stp>
        <stp>[MODL_NOW_US1.xlsx]Single Period!R61C45</stp>
        <stp>SEG0000230975 Segment</stp>
        <stp>IS_ADJ_GROSS_PROFIT_AS_REPORTED/1M</stp>
        <stp>FPR=2021Y</stp>
        <stp>FPT=A</stp>
        <stp>FA_ACT_EST_DATA=E, EST_SOURCE=PJE</stp>
        <stp>ACT_EST_MAPPING=PRECISE</stp>
        <stp>FS=MRC</stp>
        <stp>CURRENCY=USD</stp>
        <stp>XLFILL=b</stp>
        <tr r="AS61" s="2"/>
      </tp>
      <tp t="s">
        <v>#N/A Requesting Data...</v>
        <stp/>
        <stp>##V3_BQLV12</stp>
        <stp>[MODL_NOW_US1.xlsx]Single Period!R169C35</stp>
        <stp>NOW US Equity</stp>
        <stp>CB_BS_OTHER_NONCURRENT_ASSETS/1M</stp>
        <stp>FPR=2021Y</stp>
        <stp>FPT=A</stp>
        <stp>FA_ACT_EST_DATA=E, EST_SOURCE=MSR</stp>
        <stp>ACT_EST_MAPPING=PRECISE</stp>
        <stp>FS=MRC</stp>
        <stp>CURRENCY=USD</stp>
        <stp>XLFILL=b</stp>
        <tr r="AI169" s="2"/>
      </tp>
      <tp t="s">
        <v>#N/A Requesting Data...</v>
        <stp/>
        <stp>##V3_BQLV12</stp>
        <stp>[MODL_NOW_US1.xlsx]Single Period!R119C15</stp>
        <stp>NOW US Equity</stp>
        <stp>CB_IS_S_AND_M_EXPENSE/1M</stp>
        <stp>FPR=2021Y</stp>
        <stp>FPT=A</stp>
        <stp>FA_ACT_EST_DATA=E, EST_SOURCE=OPY</stp>
        <stp>ACT_EST_MAPPING=PRECISE</stp>
        <stp>FS=MRC</stp>
        <stp>CURRENCY=USD</stp>
        <stp>XLFILL=b</stp>
        <tr r="O119" s="2"/>
      </tp>
      <tp t="s">
        <v>#N/A Requesting Data...</v>
        <stp/>
        <stp>##V3_BQLV12</stp>
        <stp>[MODL_NOW_US1.xlsx]Single Period!R83C40</stp>
        <stp>NOW US Equity</stp>
        <stp>IS_ADJUSTED_COGS_AS_REPORTED/1M</stp>
        <stp>FPR=2021Y</stp>
        <stp>FPT=A</stp>
        <stp>FA_ACT_EST_DATA=E, EST_SOURCE=DWI</stp>
        <stp>ACT_EST_MAPPING=PRECISE</stp>
        <stp>FS=MRC</stp>
        <stp>CURRENCY=USD</stp>
        <stp>XLFILL=b</stp>
        <tr r="AN83" s="2"/>
      </tp>
      <tp t="s">
        <v>#N/A Requesting Data...</v>
        <stp/>
        <stp>##V3_BQLV12</stp>
        <stp>[MODL_NOW_US1.xlsx]Single Period!R20C40</stp>
        <stp>SEG0000230986 Segment</stp>
        <stp>SALES_REV_TURN/1M</stp>
        <stp>FPR=2021Y</stp>
        <stp>FPT=A</stp>
        <stp>FA_ACT_EST_DATA=E, EST_SOURCE=DWI</stp>
        <stp>ACT_EST_MAPPING=PRECISE</stp>
        <stp>FS=MRC</stp>
        <stp>CURRENCY=USD</stp>
        <stp>XLFILL=b</stp>
        <tr r="AN20" s="2"/>
      </tp>
      <tp t="s">
        <v>#N/A Requesting Data...</v>
        <stp/>
        <stp>##V3_BQLV12</stp>
        <stp>[MODL_NOW_US1.xlsx]Single Period!R58C11</stp>
        <stp>SEG0000230975 Segment</stp>
        <stp>SALES_REV_TURN/1M</stp>
        <stp>FPR=2021Y</stp>
        <stp>FPT=A</stp>
        <stp>FA_ACT_EST_DATA=E, EST_SOURCE=JPM</stp>
        <stp>ACT_EST_MAPPING=PRECISE</stp>
        <stp>FS=MRC</stp>
        <stp>CURRENCY=USD</stp>
        <stp>XLFILL=b</stp>
        <tr r="K58" s="2"/>
      </tp>
      <tp t="s">
        <v>#N/A Requesting Data...</v>
        <stp/>
        <stp>##V3_BQLV12</stp>
        <stp>[MODL_NOW_US1.xlsx]Single Period!R20C24</stp>
        <stp>SEG0000230986 Segment</stp>
        <stp>SALES_REV_TURN/1M</stp>
        <stp>FPR=2021Y</stp>
        <stp>FPT=A</stp>
        <stp>FA_ACT_EST_DATA=E, EST_SOURCE=CWN</stp>
        <stp>ACT_EST_MAPPING=PRECISE</stp>
        <stp>FS=MRC</stp>
        <stp>CURRENCY=USD</stp>
        <stp>XLFILL=b</stp>
        <tr r="X20" s="2"/>
      </tp>
      <tp t="s">
        <v>#N/A Requesting Data...</v>
        <stp/>
        <stp>##V3_BQLV12</stp>
        <stp>[MODL_NOW_US1.xlsx]Single Period!R133C44</stp>
        <stp>NOW US Equity</stp>
        <stp>IS_SH_FOR_DILUTED_EPS/1M</stp>
        <stp>FPR=2021Y</stp>
        <stp>FPT=A</stp>
        <stp>FA_ACT_EST_DATA=E, EST_SOURCE=ARE</stp>
        <stp>ACT_EST_MAPPING=PRECISE</stp>
        <stp>FS=MRC</stp>
        <stp>CURRENCY=USD</stp>
        <stp>XLFILL=b</stp>
        <tr r="AR133" s="2"/>
      </tp>
      <tp t="s">
        <v>#N/A Requesting Data...</v>
        <stp/>
        <stp>##V3_BQLV12</stp>
        <stp>[MODL_NOW_US1.xlsx]Single Period!R169C42</stp>
        <stp>NOW US Equity</stp>
        <stp>CB_BS_OTHER_NONCURRENT_ASSETS/1M</stp>
        <stp>FPR=2021Y</stp>
        <stp>FPT=A</stp>
        <stp>FA_ACT_EST_DATA=E, EST_SOURCE=CTI</stp>
        <stp>ACT_EST_MAPPING=PRECISE</stp>
        <stp>FS=MRC</stp>
        <stp>CURRENCY=USD</stp>
        <stp>XLFILL=b</stp>
        <tr r="AP169" s="2"/>
      </tp>
      <tp t="s">
        <v>#N/A Requesting Data...</v>
        <stp/>
        <stp>##V3_BQLV12</stp>
        <stp>[MODL_NOW_US1.xlsx]Single Period!R15C19</stp>
        <stp>SEG0000230992 Segment</stp>
        <stp>SALES_REV_TURN/1M</stp>
        <stp>FPR=2021Y</stp>
        <stp>FPT=A</stp>
        <stp>FA_ACT_EST_DATA=E, EST_SOURCE=MSV</stp>
        <stp>ACT_EST_MAPPING=PRECISE</stp>
        <stp>FS=MRC</stp>
        <stp>CURRENCY=USD</stp>
        <stp>XLFILL=b</stp>
        <tr r="S15" s="2"/>
      </tp>
      <tp t="s">
        <v>#N/A Requesting Data...</v>
        <stp/>
        <stp>##V3_BQLV12</stp>
        <stp>[MODL_NOW_US1.xlsx]Single Period!R75C19</stp>
        <stp>SEG0000230992 Segment</stp>
        <stp>SALES_REV_TURN/1M</stp>
        <stp>FPR=2021Y</stp>
        <stp>FPT=A</stp>
        <stp>FA_ACT_EST_DATA=E, EST_SOURCE=MSV</stp>
        <stp>ACT_EST_MAPPING=PRECISE</stp>
        <stp>FS=MRC</stp>
        <stp>CURRENCY=USD</stp>
        <stp>XLFILL=b</stp>
        <tr r="S75" s="2"/>
      </tp>
      <tp t="s">
        <v>#N/A Requesting Data...</v>
        <stp/>
        <stp>##V3_BQLV12</stp>
        <stp>[MODL_NOW_US1.xlsx]Single Period!R150C11</stp>
        <stp>NOW US Equity</stp>
        <stp>IS_INC_TAX_EFFECT_NONGAAP_REC/1M</stp>
        <stp>FPR=2021Y</stp>
        <stp>FPT=A</stp>
        <stp>FA_ACT_EST_DATA=E, EST_SOURCE=JPM</stp>
        <stp>ACT_EST_MAPPING=PRECISE</stp>
        <stp>FS=MRC</stp>
        <stp>CURRENCY=USD</stp>
        <stp>XLFILL=b</stp>
        <tr r="K150" s="2"/>
      </tp>
      <tp t="s">
        <v>#N/A Requesting Data...</v>
        <stp/>
        <stp>##V3_BQLV12</stp>
        <stp>[MODL_NOW_US1.xlsx]Single Period!R75C35</stp>
        <stp>SEG0000230992 Segment</stp>
        <stp>SALES_REV_TURN/1M</stp>
        <stp>FPR=2021Y</stp>
        <stp>FPT=A</stp>
        <stp>FA_ACT_EST_DATA=E, EST_SOURCE=MSR</stp>
        <stp>ACT_EST_MAPPING=PRECISE</stp>
        <stp>FS=MRC</stp>
        <stp>CURRENCY=USD</stp>
        <stp>XLFILL=b</stp>
        <tr r="AI75" s="2"/>
      </tp>
      <tp t="s">
        <v>#N/A Requesting Data...</v>
        <stp/>
        <stp>##V3_BQLV12</stp>
        <stp>[MODL_NOW_US1.xlsx]Single Period!R15C35</stp>
        <stp>SEG0000230992 Segment</stp>
        <stp>SALES_REV_TURN/1M</stp>
        <stp>FPR=2021Y</stp>
        <stp>FPT=A</stp>
        <stp>FA_ACT_EST_DATA=E, EST_SOURCE=MSR</stp>
        <stp>ACT_EST_MAPPING=PRECISE</stp>
        <stp>FS=MRC</stp>
        <stp>CURRENCY=USD</stp>
        <stp>XLFILL=b</stp>
        <tr r="AI15" s="2"/>
      </tp>
      <tp t="s">
        <v>#N/A Requesting Data...</v>
        <stp/>
        <stp>##V3_BQLV12</stp>
        <stp>[MODL_NOW_US1.xlsx]Single Period!R15C31</stp>
        <stp>SEG0000230992 Segment</stp>
        <stp>SALES_REV_TURN/1M</stp>
        <stp>FPR=2021Y</stp>
        <stp>FPT=A</stp>
        <stp>FA_ACT_EST_DATA=E, EST_SOURCE=GSR</stp>
        <stp>ACT_EST_MAPPING=PRECISE</stp>
        <stp>FS=MRC</stp>
        <stp>CURRENCY=USD</stp>
        <stp>XLFILL=b</stp>
        <tr r="AE15" s="2"/>
      </tp>
      <tp t="s">
        <v>#N/A Requesting Data...</v>
        <stp/>
        <stp>##V3_BQLV12</stp>
        <stp>[MODL_NOW_US1.xlsx]Single Period!R75C31</stp>
        <stp>SEG0000230992 Segment</stp>
        <stp>SALES_REV_TURN/1M</stp>
        <stp>FPR=2021Y</stp>
        <stp>FPT=A</stp>
        <stp>FA_ACT_EST_DATA=E, EST_SOURCE=GSR</stp>
        <stp>ACT_EST_MAPPING=PRECISE</stp>
        <stp>FS=MRC</stp>
        <stp>CURRENCY=USD</stp>
        <stp>XLFILL=b</stp>
        <tr r="AE75" s="2"/>
      </tp>
      <tp t="s">
        <v>#N/A Requesting Data...</v>
        <stp/>
        <stp>##V3_BQLV12</stp>
        <stp>[MODL_NOW_US1.xlsx]Single Period!R133C35</stp>
        <stp>NOW US Equity</stp>
        <stp>IS_SH_FOR_DILUTED_EPS/1M</stp>
        <stp>FPR=2021Y</stp>
        <stp>FPT=A</stp>
        <stp>FA_ACT_EST_DATA=E, EST_SOURCE=MSR</stp>
        <stp>ACT_EST_MAPPING=PRECISE</stp>
        <stp>FS=MRC</stp>
        <stp>CURRENCY=USD</stp>
        <stp>XLFILL=b</stp>
        <tr r="AI133" s="2"/>
      </tp>
      <tp t="s">
        <v>#N/A Requesting Data...</v>
        <stp/>
        <stp>##V3_BQLV12</stp>
        <stp>[MODL_NOW_US1.xlsx]Single Period!R101C49</stp>
        <stp>NOW US Equity</stp>
        <stp>CB_IS_OTHER_NON_OPER_INC_EXPN/1M</stp>
        <stp>FPR=2021Y</stp>
        <stp>FPT=A</stp>
        <stp>FA_ACT_EST_DATA=E, EST_SOURCE=SCB</stp>
        <stp>ACT_EST_MAPPING=PRECISE</stp>
        <stp>FS=MRC</stp>
        <stp>CURRENCY=USD</stp>
        <stp>XLFILL=b</stp>
        <tr r="AW101" s="2"/>
      </tp>
      <tp t="s">
        <v>#N/A Requesting Data...</v>
        <stp/>
        <stp>##V3_BQLV12</stp>
        <stp>[MODL_NOW_US1.xlsx]Single Period!R58C15</stp>
        <stp>SEG0000230975 Segment</stp>
        <stp>SALES_REV_TURN/1M</stp>
        <stp>FPR=2021Y</stp>
        <stp>FPT=A</stp>
        <stp>FA_ACT_EST_DATA=E, EST_SOURCE=OPY</stp>
        <stp>ACT_EST_MAPPING=PRECISE</stp>
        <stp>FS=MRC</stp>
        <stp>CURRENCY=USD</stp>
        <stp>XLFILL=b</stp>
        <tr r="O58" s="2"/>
      </tp>
      <tp t="s">
        <v>#N/A Requesting Data...</v>
        <stp/>
        <stp>##V3_BQLV12</stp>
        <stp>[MODL_NOW_US1.xlsx]Single Period!R209C21</stp>
        <stp>NOW US Equity</stp>
        <stp>CF_CHANGE_IN_ACCOUNTS_PAYABLE/1M</stp>
        <stp>FPR=2021Y</stp>
        <stp>FPT=A</stp>
        <stp>FA_ACT_EST_DATA=E, EST_SOURCE=JMP</stp>
        <stp>ACT_EST_MAPPING=PRECISE</stp>
        <stp>FS=MRC</stp>
        <stp>CURRENCY=USD</stp>
        <stp>XLFILL=b</stp>
        <tr r="U209" s="2"/>
      </tp>
      <tp t="s">
        <v>#N/A Requesting Data...</v>
        <stp/>
        <stp>##V3_BQLV12</stp>
        <stp>[MODL_NOW_US1.xlsx]Single Period!R169C44</stp>
        <stp>NOW US Equity</stp>
        <stp>CB_BS_OTHER_NONCURRENT_ASSETS/1M</stp>
        <stp>FPR=2021Y</stp>
        <stp>FPT=A</stp>
        <stp>FA_ACT_EST_DATA=E, EST_SOURCE=ARE</stp>
        <stp>ACT_EST_MAPPING=PRECISE</stp>
        <stp>FS=MRC</stp>
        <stp>CURRENCY=USD</stp>
        <stp>XLFILL=b</stp>
        <tr r="AR169" s="2"/>
      </tp>
      <tp t="s">
        <v>#N/A Requesting Data...</v>
        <stp/>
        <stp>##V3_BQLV12</stp>
        <stp>[MODL_NOW_US1.xlsx]Single Period!R3C45</stp>
        <stp>NOW US Equity</stp>
        <stp>LAST(IS_COMP_SALES(FA_ACT_EST_DATA=E, EST_SOURCE=PJE).firm_name)</stp>
        <stp>FPR=2021Y</stp>
        <stp>FPT=A</stp>
        <stp>ACT_EST_MAPPING=PRECISE</stp>
        <stp>FS=MRC</stp>
        <stp>CURRENCY=USD</stp>
        <stp>XLFILL=b</stp>
        <tr r="AS3" s="2"/>
      </tp>
      <tp t="s">
        <v>#N/A Requesting Data...</v>
        <stp/>
        <stp>##V3_BQLV12</stp>
        <stp>[MODL_NOW_US1.xlsx]Single Period!R182C10</stp>
        <stp>NOW US Equity</stp>
        <stp>BS_OTHER_NONCURRENT_LIABILITIES/1M</stp>
        <stp>FPR=2021Y</stp>
        <stp>FPT=A</stp>
        <stp>FA_ACT_EST_DATA=E, EST_SOURCE=CMPY</stp>
        <stp>ACT_EST_MAPPING=PRECISE</stp>
        <stp>FS=MRC</stp>
        <stp>CURRENCY=USD</stp>
        <stp>XLFILL=b</stp>
        <tr r="J182" s="2"/>
      </tp>
      <tp t="s">
        <v>#N/A Requesting Data...</v>
        <stp/>
        <stp>##V3_BQLV12</stp>
        <stp>[MODL_NOW_US1.xlsx]Single Period!R204C18</stp>
        <stp>NOW US Equity</stp>
        <stp>CF_DEF_INC_TAX/1M</stp>
        <stp>FPR=2021Y</stp>
        <stp>FPT=A</stp>
        <stp>FA_ACT_EST_DATA=E, EST_SOURCE=SNR</stp>
        <stp>ACT_EST_MAPPING=PRECISE</stp>
        <stp>FS=MRC</stp>
        <stp>CURRENCY=USD</stp>
        <stp>XLFILL=b</stp>
        <tr r="R204" s="2"/>
      </tp>
      <tp t="s">
        <v>#N/A Requesting Data...</v>
        <stp/>
        <stp>##V3_BQLV12</stp>
        <stp>[MODL_NOW_US1.xlsx]Single Period!R204C29</stp>
        <stp>NOW US Equity</stp>
        <stp>CF_DEF_INC_TAX/1M</stp>
        <stp>FPR=2021Y</stp>
        <stp>FPT=A</stp>
        <stp>FA_ACT_EST_DATA=E, EST_SOURCE=BNS</stp>
        <stp>ACT_EST_MAPPING=PRECISE</stp>
        <stp>FS=MRC</stp>
        <stp>CURRENCY=USD</stp>
        <stp>XLFILL=b</stp>
        <tr r="AC204" s="2"/>
      </tp>
      <tp t="s">
        <v>#N/A Requesting Data...</v>
        <stp/>
        <stp>##V3_BQLV12</stp>
        <stp>[MODL_NOW_US1.xlsx]Single Period!R168C12</stp>
        <stp>NOW US Equity</stp>
        <stp>CB_BS_DEFERRED_COST_LT/1M</stp>
        <stp>FPR=2021Y</stp>
        <stp>FPT=A</stp>
        <stp>FA_ACT_EST_DATA=E, EST_SOURCE=WBL</stp>
        <stp>ACT_EST_MAPPING=PRECISE</stp>
        <stp>FS=MRC</stp>
        <stp>CURRENCY=USD</stp>
        <stp>XLFILL=b</stp>
        <tr r="L168" s="2"/>
      </tp>
      <tp t="s">
        <v>#N/A Requesting Data...</v>
        <stp/>
        <stp>##V3_BQLV12</stp>
        <stp>[MODL_NOW_US1.xlsx]Single Period!R168C25</stp>
        <stp>NOW US Equity</stp>
        <stp>CB_BS_DEFERRED_COST_LT/1M</stp>
        <stp>FPR=2021Y</stp>
        <stp>FPT=A</stp>
        <stp>FA_ACT_EST_DATA=E, EST_SOURCE=DBG</stp>
        <stp>ACT_EST_MAPPING=PRECISE</stp>
        <stp>FS=MRC</stp>
        <stp>CURRENCY=USD</stp>
        <stp>XLFILL=b</stp>
        <tr r="Y168" s="2"/>
      </tp>
      <tp t="s">
        <v>#N/A Requesting Data...</v>
        <stp/>
        <stp>##V3_BQLV12</stp>
        <stp>[MODL_NOW_US1.xlsx]Single Period!R146C39</stp>
        <stp>NOW US Equity</stp>
        <stp>IS_AMORT_ACQD_INTANGIBLES_COGS/1M</stp>
        <stp>FPR=2021Y</stp>
        <stp>FPT=A</stp>
        <stp>FA_ACT_EST_DATA=E, EST_SOURCE=DZB</stp>
        <stp>ACT_EST_MAPPING=PRECISE</stp>
        <stp>FS=MRC</stp>
        <stp>CURRENCY=USD</stp>
        <stp>XLFILL=b</stp>
        <tr r="AM146" s="2"/>
      </tp>
      <tp t="s">
        <v>#N/A Requesting Data...</v>
        <stp/>
        <stp>##V3_BQLV12</stp>
        <stp>[MODL_NOW_US1.xlsx]Single Period!R233C19</stp>
        <stp>NOW US Equity</stp>
        <stp>CF_CASH_AND_CASH_EQUIV_END_BAL/1M</stp>
        <stp>FPR=2021Y</stp>
        <stp>FPT=A</stp>
        <stp>FA_ACT_EST_DATA=E, EST_SOURCE=MSV</stp>
        <stp>ACT_EST_MAPPING=PRECISE</stp>
        <stp>FS=MRC</stp>
        <stp>CURRENCY=USD</stp>
        <stp>XLFILL=b</stp>
        <tr r="S233" s="2"/>
      </tp>
      <tp t="s">
        <v>#N/A Requesting Data...</v>
        <stp/>
        <stp>##V3_BQLV12</stp>
        <stp>[MODL_NOW_US1.xlsx]Single Period!R168C27</stp>
        <stp>NOW US Equity</stp>
        <stp>CB_BS_DEFERRED_COST_LT/1M</stp>
        <stp>FPR=2021Y</stp>
        <stp>FPT=A</stp>
        <stp>FA_ACT_EST_DATA=E, EST_SOURCE=RBC</stp>
        <stp>ACT_EST_MAPPING=PRECISE</stp>
        <stp>FS=MRC</stp>
        <stp>CURRENCY=USD</stp>
        <stp>XLFILL=b</stp>
        <tr r="AA168" s="2"/>
      </tp>
      <tp t="s">
        <v>#N/A Requesting Data...</v>
        <stp/>
        <stp>##V3_BQLV12</stp>
        <stp>[MODL_NOW_US1.xlsx]Single Period!R168C32</stp>
        <stp>NOW US Equity</stp>
        <stp>CB_BS_DEFERRED_COST_LT/1M</stp>
        <stp>FPR=2021Y</stp>
        <stp>FPT=A</stp>
        <stp>FA_ACT_EST_DATA=E, EST_SOURCE=FBC</stp>
        <stp>ACT_EST_MAPPING=PRECISE</stp>
        <stp>FS=MRC</stp>
        <stp>CURRENCY=USD</stp>
        <stp>XLFILL=b</stp>
        <tr r="AF168" s="2"/>
      </tp>
      <tp t="s">
        <v>#N/A Requesting Data...</v>
        <stp/>
        <stp>##V3_BQLV12</stp>
        <stp>[MODL_NOW_US1.xlsx]Single Period!R211C39</stp>
        <stp>NOW US Equity</stp>
        <stp>CF_CHG_IN_DEFER_UNEARND_REV_ST/1M</stp>
        <stp>FPR=2021Y</stp>
        <stp>FPT=A</stp>
        <stp>FA_ACT_EST_DATA=E, EST_SOURCE=DZB</stp>
        <stp>ACT_EST_MAPPING=PRECISE</stp>
        <stp>FS=MRC</stp>
        <stp>CURRENCY=USD</stp>
        <stp>XLFILL=b</stp>
        <tr r="AM211" s="2"/>
      </tp>
      <tp t="s">
        <v>#N/A Requesting Data...</v>
        <stp/>
        <stp>##V3_BQLV12</stp>
        <stp>[MODL_NOW_US1.xlsx]Single Period!R233C31</stp>
        <stp>NOW US Equity</stp>
        <stp>CF_CASH_AND_CASH_EQUIV_END_BAL/1M</stp>
        <stp>FPR=2021Y</stp>
        <stp>FPT=A</stp>
        <stp>FA_ACT_EST_DATA=E, EST_SOURCE=GSR</stp>
        <stp>ACT_EST_MAPPING=PRECISE</stp>
        <stp>FS=MRC</stp>
        <stp>CURRENCY=USD</stp>
        <stp>XLFILL=b</stp>
        <tr r="AE233" s="2"/>
      </tp>
      <tp t="s">
        <v>#N/A Requesting Data...</v>
        <stp/>
        <stp>##V3_BQLV12</stp>
        <stp>[MODL_NOW_US1.xlsx]Single Period!R233C35</stp>
        <stp>NOW US Equity</stp>
        <stp>CF_CASH_AND_CASH_EQUIV_END_BAL/1M</stp>
        <stp>FPR=2021Y</stp>
        <stp>FPT=A</stp>
        <stp>FA_ACT_EST_DATA=E, EST_SOURCE=MSR</stp>
        <stp>ACT_EST_MAPPING=PRECISE</stp>
        <stp>FS=MRC</stp>
        <stp>CURRENCY=USD</stp>
        <stp>XLFILL=b</stp>
        <tr r="AI233" s="2"/>
      </tp>
      <tp t="s">
        <v>#N/A Requesting Data...</v>
        <stp/>
        <stp>##V3_BQLV12</stp>
        <stp>[MODL_NOW_US1.xlsx]Single Period!R156C49</stp>
        <stp>NOW US Equity</stp>
        <stp>BS_CASH_NEAR_CASH_ITEM/1M</stp>
        <stp>FPR=2021Y</stp>
        <stp>FPT=A</stp>
        <stp>FA_ACT_EST_DATA=E, EST_SOURCE=SCB</stp>
        <stp>ACT_EST_MAPPING=PRECISE</stp>
        <stp>FS=MRC</stp>
        <stp>CURRENCY=USD</stp>
        <stp>XLFILL=b</stp>
        <tr r="AW156" s="2"/>
      </tp>
      <tp t="s">
        <v>#N/A Requesting Data...</v>
        <stp/>
        <stp>##V3_BQLV12</stp>
        <stp>[MODL_NOW_US1.xlsx]Single Period!R128C33</stp>
        <stp>NOW US Equity</stp>
        <stp>IS_INC_TAX_EXP/1M</stp>
        <stp>FPR=2021Y</stp>
        <stp>FPT=A</stp>
        <stp>FA_ACT_EST_DATA=E, EST_SOURCE=MAC</stp>
        <stp>ACT_EST_MAPPING=PRECISE</stp>
        <stp>FS=MRC</stp>
        <stp>CURRENCY=USD</stp>
        <stp>XLFILL=b</stp>
        <tr r="AG128" s="2"/>
      </tp>
      <tp t="s">
        <v>#N/A Requesting Data...</v>
        <stp/>
        <stp>##V3_BQLV12</stp>
        <stp>[MODL_NOW_US1.xlsx]Single Period!R70C49</stp>
        <stp>SEG0000230986 Segment</stp>
        <stp>IS_ADJ_GROSS_MARGIN_PCT_AR</stp>
        <stp>FPR=2021Y</stp>
        <stp>FPT=A</stp>
        <stp>FA_ACT_EST_DATA=E, EST_SOURCE=SCB</stp>
        <stp>ACT_EST_MAPPING=PRECISE</stp>
        <stp>FS=MRC</stp>
        <stp>CURRENCY=USD</stp>
        <stp>XLFILL=b</stp>
        <tr r="AW70" s="2"/>
      </tp>
      <tp t="s">
        <v>#N/A Requesting Data...</v>
        <stp/>
        <stp>##V3_BQLV12</stp>
        <stp>[MODL_NOW_US1.xlsx]Single Period!R22C49</stp>
        <stp>SEG0000230986 Segment</stp>
        <stp>IS_ADJ_GROSS_MARGIN_PCT_AR</stp>
        <stp>FPR=2021Y</stp>
        <stp>FPT=A</stp>
        <stp>FA_ACT_EST_DATA=E, EST_SOURCE=SCB</stp>
        <stp>ACT_EST_MAPPING=PRECISE</stp>
        <stp>FS=MRC</stp>
        <stp>CURRENCY=USD</stp>
        <stp>XLFILL=b</stp>
        <tr r="AW22" s="2"/>
      </tp>
      <tp t="s">
        <v>#N/A Requesting Data...</v>
        <stp/>
        <stp>##V3_BQLV12</stp>
        <stp>[MODL_NOW_US1.xlsx]Single Period!R156C16</stp>
        <stp>NOW US Equity</stp>
        <stp>BS_CASH_NEAR_CASH_ITEM/1M</stp>
        <stp>FPR=2021Y</stp>
        <stp>FPT=A</stp>
        <stp>FA_ACT_EST_DATA=E, EST_SOURCE=BCA</stp>
        <stp>ACT_EST_MAPPING=PRECISE</stp>
        <stp>FS=MRC</stp>
        <stp>CURRENCY=USD</stp>
        <stp>XLFILL=b</stp>
        <tr r="P156" s="2"/>
      </tp>
      <tp t="s">
        <v>#N/A Requesting Data...</v>
        <stp/>
        <stp>##V3_BQLV12</stp>
        <stp>[MODL_NOW_US1.xlsx]Single Period!R123C17</stp>
        <stp>NOW US Equity</stp>
        <stp>TOTAL_OPERATING_EXPENSES_RATIO/1M</stp>
        <stp>FPR=2021Y</stp>
        <stp>FPT=A</stp>
        <stp>FA_ACT_EST_DATA=E, EST_SOURCE=RHR</stp>
        <stp>ACT_EST_MAPPING=PRECISE</stp>
        <stp>FS=MRC</stp>
        <stp>CURRENCY=USD</stp>
        <stp>XLFILL=b</stp>
        <tr r="Q123" s="2"/>
      </tp>
      <tp t="s">
        <v>#N/A Requesting Data...</v>
        <stp/>
        <stp>##V3_BQLV12</stp>
        <stp>[MODL_NOW_US1.xlsx]Single Period!R22C16</stp>
        <stp>SEG0000230986 Segment</stp>
        <stp>IS_ADJ_GROSS_MARGIN_PCT_AR</stp>
        <stp>FPR=2021Y</stp>
        <stp>FPT=A</stp>
        <stp>FA_ACT_EST_DATA=E, EST_SOURCE=BCA</stp>
        <stp>ACT_EST_MAPPING=PRECISE</stp>
        <stp>FS=MRC</stp>
        <stp>CURRENCY=USD</stp>
        <stp>XLFILL=b</stp>
        <tr r="P22" s="2"/>
      </tp>
      <tp t="s">
        <v>#N/A Requesting Data...</v>
        <stp/>
        <stp>##V3_BQLV12</stp>
        <stp>[MODL_NOW_US1.xlsx]Single Period!R70C16</stp>
        <stp>SEG0000230986 Segment</stp>
        <stp>IS_ADJ_GROSS_MARGIN_PCT_AR</stp>
        <stp>FPR=2021Y</stp>
        <stp>FPT=A</stp>
        <stp>FA_ACT_EST_DATA=E, EST_SOURCE=BCA</stp>
        <stp>ACT_EST_MAPPING=PRECISE</stp>
        <stp>FS=MRC</stp>
        <stp>CURRENCY=USD</stp>
        <stp>XLFILL=b</stp>
        <tr r="P70" s="2"/>
      </tp>
      <tp t="s">
        <v>#N/A Requesting Data...</v>
        <stp/>
        <stp>##V3_BQLV12</stp>
        <stp>[MODL_NOW_US1.xlsx]Single Period!R146C46</stp>
        <stp>NOW US Equity</stp>
        <stp>IS_AMORT_ACQD_INTANGIBLES_COGS/1M</stp>
        <stp>FPR=2021Y</stp>
        <stp>FPT=A</stp>
        <stp>FA_ACT_EST_DATA=E, EST_SOURCE=MZS</stp>
        <stp>ACT_EST_MAPPING=PRECISE</stp>
        <stp>FS=MRC</stp>
        <stp>CURRENCY=USD</stp>
        <stp>XLFILL=b</stp>
        <tr r="AT146" s="2"/>
      </tp>
      <tp t="s">
        <v>#N/A Requesting Data...</v>
        <stp/>
        <stp>##V3_BQLV12</stp>
        <stp>[MODL_NOW_US1.xlsx]Single Period!R233C34</stp>
        <stp>NOW US Equity</stp>
        <stp>CF_CASH_AND_CASH_EQUIV_END_BAL/1M</stp>
        <stp>FPR=2021Y</stp>
        <stp>FPT=A</stp>
        <stp>FA_ACT_EST_DATA=E, EST_SOURCE=PSG</stp>
        <stp>ACT_EST_MAPPING=PRECISE</stp>
        <stp>FS=MRC</stp>
        <stp>CURRENCY=USD</stp>
        <stp>XLFILL=b</stp>
        <tr r="AH233" s="2"/>
      </tp>
      <tp t="s">
        <v>#N/A Requesting Data...</v>
        <stp/>
        <stp>##V3_BQLV12</stp>
        <stp>[MODL_NOW_US1.xlsx]Single Period!R168C26</stp>
        <stp>NOW US Equity</stp>
        <stp>CB_BS_DEFERRED_COST_LT/1M</stp>
        <stp>FPR=2021Y</stp>
        <stp>FPT=A</stp>
        <stp>FA_ACT_EST_DATA=E, EST_SOURCE=UBS</stp>
        <stp>ACT_EST_MAPPING=PRECISE</stp>
        <stp>FS=MRC</stp>
        <stp>CURRENCY=USD</stp>
        <stp>XLFILL=b</stp>
        <tr r="Z168" s="2"/>
      </tp>
      <tp t="s">
        <v>#N/A Requesting Data...</v>
        <stp/>
        <stp>##V3_BQLV12</stp>
        <stp>[MODL_NOW_US1.xlsx]Single Period!R128C20</stp>
        <stp>NOW US Equity</stp>
        <stp>IS_INC_TAX_EXP/1M</stp>
        <stp>FPR=2021Y</stp>
        <stp>FPT=A</stp>
        <stp>FA_ACT_EST_DATA=E, EST_SOURCE=CAN</stp>
        <stp>ACT_EST_MAPPING=PRECISE</stp>
        <stp>FS=MRC</stp>
        <stp>CURRENCY=USD</stp>
        <stp>XLFILL=b</stp>
        <tr r="T128" s="2"/>
      </tp>
      <tp t="s">
        <v>#N/A Requesting Data...</v>
        <stp/>
        <stp>##V3_BQLV12</stp>
        <stp>[MODL_NOW_US1.xlsx]Single Period!R220C5</stp>
        <stp>NOW US Equity</stp>
        <stp>CF_PROCDS_FROM_INVSTMNTS/1M</stp>
        <stp>FPR=2021Y</stp>
        <stp>FPT=A</stp>
        <stp>FA_ACT_EST_DATA=E</stp>
        <stp>ACT_EST_MAPPING=PRECISE</stp>
        <stp>FS=MRC</stp>
        <stp>CURRENCY=USD</stp>
        <stp>XLFILL=b</stp>
        <tr r="E220" s="2"/>
      </tp>
      <tp t="s">
        <v>#N/A Requesting Data...</v>
        <stp/>
        <stp>##V3_BQLV12</stp>
        <stp>[MODL_NOW_US1.xlsx]Single Period!R128C30</stp>
        <stp>NOW US Equity</stp>
        <stp>IS_INC_TAX_EXP/1M</stp>
        <stp>FPR=2021Y</stp>
        <stp>FPT=A</stp>
        <stp>FA_ACT_EST_DATA=E, EST_SOURCE=BAM</stp>
        <stp>ACT_EST_MAPPING=PRECISE</stp>
        <stp>FS=MRC</stp>
        <stp>CURRENCY=USD</stp>
        <stp>XLFILL=b</stp>
        <tr r="AD128" s="2"/>
      </tp>
      <tp t="s">
        <v>#N/A Requesting Data...</v>
        <stp/>
        <stp>##V3_BQLV12</stp>
        <stp>[MODL_NOW_US1.xlsx]Single Period!R211C46</stp>
        <stp>NOW US Equity</stp>
        <stp>CF_CHG_IN_DEFER_UNEARND_REV_ST/1M</stp>
        <stp>FPR=2021Y</stp>
        <stp>FPT=A</stp>
        <stp>FA_ACT_EST_DATA=E, EST_SOURCE=MZS</stp>
        <stp>ACT_EST_MAPPING=PRECISE</stp>
        <stp>FS=MRC</stp>
        <stp>CURRENCY=USD</stp>
        <stp>XLFILL=b</stp>
        <tr r="AT211" s="2"/>
      </tp>
      <tp t="s">
        <v>#N/A Requesting Data...</v>
        <stp/>
        <stp>##V3_BQLV12</stp>
        <stp>[MODL_NOW_US1.xlsx]Single Period!R124C19</stp>
        <stp>NOW US Equity</stp>
        <stp>IS_EBIT_AS_REPORTED/1M</stp>
        <stp>FPR=2021Y</stp>
        <stp>FPT=A</stp>
        <stp>FA_ACT_EST_DATA=E, EST_SOURCE=MSV</stp>
        <stp>ACT_EST_MAPPING=PRECISE</stp>
        <stp>FS=MRC</stp>
        <stp>CURRENCY=USD</stp>
        <stp>XLFILL=b</stp>
        <tr r="S124" s="2"/>
      </tp>
      <tp t="s">
        <v>#N/A Requesting Data...</v>
        <stp/>
        <stp>##V3_BQLV12</stp>
        <stp>[MODL_NOW_US1.xlsx]Single Period!R92C30</stp>
        <stp>NOW US Equity</stp>
        <stp>IS_ADJ_GENL_AND_ADMIN_EXPN_AR/1M</stp>
        <stp>FPR=2021Y</stp>
        <stp>FPT=A</stp>
        <stp>FA_ACT_EST_DATA=E, EST_SOURCE=BAM</stp>
        <stp>ACT_EST_MAPPING=PRECISE</stp>
        <stp>FS=MRC</stp>
        <stp>CURRENCY=USD</stp>
        <stp>XLFILL=b</stp>
        <tr r="AD92" s="2"/>
      </tp>
      <tp t="s">
        <v>#N/A Requesting Data...</v>
        <stp/>
        <stp>##V3_BQLV12</stp>
        <stp>[MODL_NOW_US1.xlsx]Single Period!R191C33</stp>
        <stp>NOW US Equity</stp>
        <stp>ST_DEFERRED_REVENUE/1M</stp>
        <stp>FPR=2021Y</stp>
        <stp>FPT=A</stp>
        <stp>FA_ACT_EST_DATA=E, EST_SOURCE=MAC</stp>
        <stp>ACT_EST_MAPPING=PRECISE</stp>
        <stp>FS=MRC</stp>
        <stp>CURRENCY=USD</stp>
        <stp>XLFILL=b</stp>
        <tr r="AG191" s="2"/>
      </tp>
      <tp t="s">
        <v>#N/A Requesting Data...</v>
        <stp/>
        <stp>##V3_BQLV12</stp>
        <stp>[MODL_NOW_US1.xlsx]Single Period!R176C33</stp>
        <stp>NOW US Equity</stp>
        <stp>ST_DEFERRED_REVENUE/1M</stp>
        <stp>FPR=2021Y</stp>
        <stp>FPT=A</stp>
        <stp>FA_ACT_EST_DATA=E, EST_SOURCE=MAC</stp>
        <stp>ACT_EST_MAPPING=PRECISE</stp>
        <stp>FS=MRC</stp>
        <stp>CURRENCY=USD</stp>
        <stp>XLFILL=b</stp>
        <tr r="AG176" s="2"/>
      </tp>
      <tp t="s">
        <v>#N/A Requesting Data...</v>
        <stp/>
        <stp>##V3_BQLV12</stp>
        <stp>[MODL_NOW_US1.xlsx]Single Period!R179C33</stp>
        <stp>NOW US Equity</stp>
        <stp>LT_DEFERRED_REVENUE/1M</stp>
        <stp>FPR=2021Y</stp>
        <stp>FPT=A</stp>
        <stp>FA_ACT_EST_DATA=E, EST_SOURCE=MAC</stp>
        <stp>ACT_EST_MAPPING=PRECISE</stp>
        <stp>FS=MRC</stp>
        <stp>CURRENCY=USD</stp>
        <stp>XLFILL=b</stp>
        <tr r="AG179" s="2"/>
      </tp>
      <tp t="s">
        <v>#N/A Requesting Data...</v>
        <stp/>
        <stp>##V3_BQLV12</stp>
        <stp>[MODL_NOW_US1.xlsx]Single Period!R192C33</stp>
        <stp>NOW US Equity</stp>
        <stp>LT_DEFERRED_REVENUE/1M</stp>
        <stp>FPR=2021Y</stp>
        <stp>FPT=A</stp>
        <stp>FA_ACT_EST_DATA=E, EST_SOURCE=MAC</stp>
        <stp>ACT_EST_MAPPING=PRECISE</stp>
        <stp>FS=MRC</stp>
        <stp>CURRENCY=USD</stp>
        <stp>XLFILL=b</stp>
        <tr r="AG192" s="2"/>
      </tp>
      <tp t="s">
        <v>#N/A Requesting Data...</v>
        <stp/>
        <stp>##V3_BQLV12</stp>
        <stp>[MODL_NOW_US1.xlsx]Single Period!R92C20</stp>
        <stp>NOW US Equity</stp>
        <stp>IS_ADJ_GENL_AND_ADMIN_EXPN_AR/1M</stp>
        <stp>FPR=2021Y</stp>
        <stp>FPT=A</stp>
        <stp>FA_ACT_EST_DATA=E, EST_SOURCE=CAN</stp>
        <stp>ACT_EST_MAPPING=PRECISE</stp>
        <stp>FS=MRC</stp>
        <stp>CURRENCY=USD</stp>
        <stp>XLFILL=b</stp>
        <tr r="T92" s="2"/>
      </tp>
      <tp t="s">
        <v>#N/A Requesting Data...</v>
        <stp/>
        <stp>##V3_BQLV12</stp>
        <stp>[MODL_NOW_US1.xlsx]Single Period!R180C22</stp>
        <stp>NOW US Equity</stp>
        <stp>BS_LT_OPERATING_LEASE_LIABS/1M</stp>
        <stp>FPR=2021Y</stp>
        <stp>FPT=A</stp>
        <stp>FA_ACT_EST_DATA=E, EST_SOURCE=NDH</stp>
        <stp>ACT_EST_MAPPING=PRECISE</stp>
        <stp>FS=MRC</stp>
        <stp>CURRENCY=USD</stp>
        <stp>XLFILL=b</stp>
        <tr r="V180" s="2"/>
      </tp>
      <tp t="s">
        <v>#N/A Requesting Data...</v>
        <stp/>
        <stp>##V3_BQLV12</stp>
        <stp>[MODL_NOW_US1.xlsx]Single Period!R98C35</stp>
        <stp>NOW US Equity</stp>
        <stp>CF_DEPR_AMORT/1M</stp>
        <stp>FPR=2021Y</stp>
        <stp>FPT=A</stp>
        <stp>FA_ACT_EST_DATA=E, EST_SOURCE=MSR</stp>
        <stp>ACT_EST_MAPPING=PRECISE</stp>
        <stp>FS=MRC</stp>
        <stp>CURRENCY=USD</stp>
        <stp>XLFILL=b</stp>
        <tr r="AI98" s="2"/>
      </tp>
      <tp t="s">
        <v>#N/A Requesting Data...</v>
        <stp/>
        <stp>##V3_BQLV12</stp>
        <stp>[MODL_NOW_US1.xlsx]Single Period!R203C31</stp>
        <stp>NOW US Equity</stp>
        <stp>AMORTIZATN_OF_FINNCNG_COSTS/1M</stp>
        <stp>FPR=2021Y</stp>
        <stp>FPT=A</stp>
        <stp>FA_ACT_EST_DATA=E, EST_SOURCE=GSR</stp>
        <stp>ACT_EST_MAPPING=PRECISE</stp>
        <stp>FS=MRC</stp>
        <stp>CURRENCY=USD</stp>
        <stp>XLFILL=b</stp>
        <tr r="AE203" s="2"/>
      </tp>
      <tp t="s">
        <v>#N/A Requesting Data...</v>
        <stp/>
        <stp>##V3_BQLV12</stp>
        <stp>[MODL_NOW_US1.xlsx]Single Period!R203C35</stp>
        <stp>NOW US Equity</stp>
        <stp>AMORTIZATN_OF_FINNCNG_COSTS/1M</stp>
        <stp>FPR=2021Y</stp>
        <stp>FPT=A</stp>
        <stp>FA_ACT_EST_DATA=E, EST_SOURCE=MSR</stp>
        <stp>ACT_EST_MAPPING=PRECISE</stp>
        <stp>FS=MRC</stp>
        <stp>CURRENCY=USD</stp>
        <stp>XLFILL=b</stp>
        <tr r="AI203" s="2"/>
      </tp>
      <tp t="s">
        <v>#N/A Requesting Data...</v>
        <stp/>
        <stp>##V3_BQLV12</stp>
        <stp>[MODL_NOW_US1.xlsx]Single Period!R178C26</stp>
        <stp>NOW US Equity</stp>
        <stp>BS_ADJ_TOTAL_LT_LIABILITIES/1M</stp>
        <stp>FPR=2021Y</stp>
        <stp>FPT=A</stp>
        <stp>FA_ACT_EST_DATA=E, EST_SOURCE=UBS</stp>
        <stp>ACT_EST_MAPPING=PRECISE</stp>
        <stp>FS=MRC</stp>
        <stp>CURRENCY=USD</stp>
        <stp>XLFILL=b</stp>
        <tr r="Z178" s="2"/>
      </tp>
      <tp t="s">
        <v>#N/A Requesting Data...</v>
        <stp/>
        <stp>##V3_BQLV12</stp>
        <stp>[MODL_NOW_US1.xlsx]Single Period!R203C19</stp>
        <stp>NOW US Equity</stp>
        <stp>AMORTIZATN_OF_FINNCNG_COSTS/1M</stp>
        <stp>FPR=2021Y</stp>
        <stp>FPT=A</stp>
        <stp>FA_ACT_EST_DATA=E, EST_SOURCE=MSV</stp>
        <stp>ACT_EST_MAPPING=PRECISE</stp>
        <stp>FS=MRC</stp>
        <stp>CURRENCY=USD</stp>
        <stp>XLFILL=b</stp>
        <tr r="S203" s="2"/>
      </tp>
      <tp t="s">
        <v>#N/A Requesting Data...</v>
        <stp/>
        <stp>##V3_BQLV12</stp>
        <stp>[MODL_NOW_US1.xlsx]Single Period!R124C35</stp>
        <stp>NOW US Equity</stp>
        <stp>IS_EBIT_AS_REPORTED/1M</stp>
        <stp>FPR=2021Y</stp>
        <stp>FPT=A</stp>
        <stp>FA_ACT_EST_DATA=E, EST_SOURCE=MSR</stp>
        <stp>ACT_EST_MAPPING=PRECISE</stp>
        <stp>FS=MRC</stp>
        <stp>CURRENCY=USD</stp>
        <stp>XLFILL=b</stp>
        <tr r="AI124" s="2"/>
      </tp>
      <tp t="s">
        <v>#N/A Requesting Data...</v>
        <stp/>
        <stp>##V3_BQLV12</stp>
        <stp>[MODL_NOW_US1.xlsx]Single Period!R124C31</stp>
        <stp>NOW US Equity</stp>
        <stp>IS_EBIT_AS_REPORTED/1M</stp>
        <stp>FPR=2021Y</stp>
        <stp>FPT=A</stp>
        <stp>FA_ACT_EST_DATA=E, EST_SOURCE=GSR</stp>
        <stp>ACT_EST_MAPPING=PRECISE</stp>
        <stp>FS=MRC</stp>
        <stp>CURRENCY=USD</stp>
        <stp>XLFILL=b</stp>
        <tr r="AE124" s="2"/>
      </tp>
      <tp t="s">
        <v>#N/A Requesting Data...</v>
        <stp/>
        <stp>##V3_BQLV12</stp>
        <stp>[MODL_NOW_US1.xlsx]Single Period!R27C36</stp>
        <stp>NOW US Equity</stp>
        <stp>IS_REV_INCLUDING_INTERSEG_REV/1M</stp>
        <stp>FPR=2021Y</stp>
        <stp>FPT=A</stp>
        <stp>FA_ACT_EST_DATA=E, EST_SOURCE=JEF</stp>
        <stp>ACT_EST_MAPPING=PRECISE</stp>
        <stp>FS=MRC</stp>
        <stp>CURRENCY=USD</stp>
        <stp>XLFILL=b</stp>
        <tr r="AJ27" s="2"/>
      </tp>
      <tp t="s">
        <v>#N/A Requesting Data...</v>
        <stp/>
        <stp>##V3_BQLV12</stp>
        <stp>[MODL_NOW_US1.xlsx]Single Period!R173C18</stp>
        <stp>NOW US Equity</stp>
        <stp>BS_CUR_LIAB/1M</stp>
        <stp>FPR=2021Y</stp>
        <stp>FPT=A</stp>
        <stp>FA_ACT_EST_DATA=E, EST_SOURCE=SNR</stp>
        <stp>ACT_EST_MAPPING=PRECISE</stp>
        <stp>FS=MRC</stp>
        <stp>CURRENCY=USD</stp>
        <stp>XLFILL=b</stp>
        <tr r="R173" s="2"/>
      </tp>
      <tp t="s">
        <v>#N/A Requesting Data...</v>
        <stp/>
        <stp>##V3_BQLV12</stp>
        <stp>[MODL_NOW_US1.xlsx]Single Period!R139C14</stp>
        <stp>NOW US Equity</stp>
        <stp>IS_SBC_ATTRIB_TO_COGS_PRETX/1M</stp>
        <stp>FPR=2021Y</stp>
        <stp>FPT=A</stp>
        <stp>FA_ACT_EST_DATA=E, EST_SOURCE=BMO</stp>
        <stp>ACT_EST_MAPPING=PRECISE</stp>
        <stp>FS=MRC</stp>
        <stp>CURRENCY=USD</stp>
        <stp>XLFILL=b</stp>
        <tr r="N139" s="2"/>
      </tp>
      <tp t="s">
        <v>#N/A Requesting Data...</v>
        <stp/>
        <stp>##V3_BQLV12</stp>
        <stp>[MODL_NOW_US1.xlsx]Single Period!R50C9</stp>
        <stp>NOW US Equity</stp>
        <stp>CONTRIBUTOR_STATS(NUM_CSTMR_CNTRCT_OVER_1_MILLN, MEDIAN)</stp>
        <stp>FPR=2021Y</stp>
        <stp>FPT=A</stp>
        <stp>FA_ACT_EST_DATA=E</stp>
        <stp>ACT_EST_MAPPING=PRECISE</stp>
        <stp>FS=MRC</stp>
        <stp>CURRENCY=USD</stp>
        <stp>XLFILL=b</stp>
        <tr r="I50" s="2"/>
      </tp>
      <tp t="s">
        <v>#N/A Requesting Data...</v>
        <stp/>
        <stp>##V3_BQLV12</stp>
        <stp>[MODL_NOW_US1.xlsx]Single Period!R173C29</stp>
        <stp>NOW US Equity</stp>
        <stp>BS_CUR_LIAB/1M</stp>
        <stp>FPR=2021Y</stp>
        <stp>FPT=A</stp>
        <stp>FA_ACT_EST_DATA=E, EST_SOURCE=BNS</stp>
        <stp>ACT_EST_MAPPING=PRECISE</stp>
        <stp>FS=MRC</stp>
        <stp>CURRENCY=USD</stp>
        <stp>XLFILL=b</stp>
        <tr r="AC173" s="2"/>
      </tp>
      <tp t="s">
        <v>#N/A Requesting Data...</v>
        <stp/>
        <stp>##V3_BQLV12</stp>
        <stp>[MODL_NOW_US1.xlsx]Single Period!R191C20</stp>
        <stp>NOW US Equity</stp>
        <stp>ST_DEFERRED_REVENUE/1M</stp>
        <stp>FPR=2021Y</stp>
        <stp>FPT=A</stp>
        <stp>FA_ACT_EST_DATA=E, EST_SOURCE=CAN</stp>
        <stp>ACT_EST_MAPPING=PRECISE</stp>
        <stp>FS=MRC</stp>
        <stp>CURRENCY=USD</stp>
        <stp>XLFILL=b</stp>
        <tr r="T191" s="2"/>
      </tp>
      <tp t="s">
        <v>#N/A Requesting Data...</v>
        <stp/>
        <stp>##V3_BQLV12</stp>
        <stp>[MODL_NOW_US1.xlsx]Single Period!R176C20</stp>
        <stp>NOW US Equity</stp>
        <stp>ST_DEFERRED_REVENUE/1M</stp>
        <stp>FPR=2021Y</stp>
        <stp>FPT=A</stp>
        <stp>FA_ACT_EST_DATA=E, EST_SOURCE=CAN</stp>
        <stp>ACT_EST_MAPPING=PRECISE</stp>
        <stp>FS=MRC</stp>
        <stp>CURRENCY=USD</stp>
        <stp>XLFILL=b</stp>
        <tr r="T176" s="2"/>
      </tp>
      <tp t="s">
        <v>#N/A Requesting Data...</v>
        <stp/>
        <stp>##V3_BQLV12</stp>
        <stp>[MODL_NOW_US1.xlsx]Single Period!R230C18</stp>
        <stp>NOW US Equity</stp>
        <stp>CF_EFFECT_FOREIGN_EXCHANGES/1M</stp>
        <stp>FPR=2021Y</stp>
        <stp>FPT=A</stp>
        <stp>FA_ACT_EST_DATA=E, EST_SOURCE=SNR</stp>
        <stp>ACT_EST_MAPPING=PRECISE</stp>
        <stp>FS=MRC</stp>
        <stp>CURRENCY=USD</stp>
        <stp>XLFILL=b</stp>
        <tr r="R230" s="2"/>
      </tp>
      <tp t="s">
        <v>#N/A Requesting Data...</v>
        <stp/>
        <stp>##V3_BQLV12</stp>
        <stp>[MODL_NOW_US1.xlsx]Single Period!R179C20</stp>
        <stp>NOW US Equity</stp>
        <stp>LT_DEFERRED_REVENUE/1M</stp>
        <stp>FPR=2021Y</stp>
        <stp>FPT=A</stp>
        <stp>FA_ACT_EST_DATA=E, EST_SOURCE=CAN</stp>
        <stp>ACT_EST_MAPPING=PRECISE</stp>
        <stp>FS=MRC</stp>
        <stp>CURRENCY=USD</stp>
        <stp>XLFILL=b</stp>
        <tr r="T179" s="2"/>
      </tp>
      <tp t="s">
        <v>#N/A Requesting Data...</v>
        <stp/>
        <stp>##V3_BQLV12</stp>
        <stp>[MODL_NOW_US1.xlsx]Single Period!R192C20</stp>
        <stp>NOW US Equity</stp>
        <stp>LT_DEFERRED_REVENUE/1M</stp>
        <stp>FPR=2021Y</stp>
        <stp>FPT=A</stp>
        <stp>FA_ACT_EST_DATA=E, EST_SOURCE=CAN</stp>
        <stp>ACT_EST_MAPPING=PRECISE</stp>
        <stp>FS=MRC</stp>
        <stp>CURRENCY=USD</stp>
        <stp>XLFILL=b</stp>
        <tr r="T192" s="2"/>
      </tp>
      <tp t="s">
        <v>#N/A Requesting Data...</v>
        <stp/>
        <stp>##V3_BQLV12</stp>
        <stp>[MODL_NOW_US1.xlsx]Single Period!R158C22</stp>
        <stp>NOW US Equity</stp>
        <stp>BS_ACCTS_REC_EXCL_NOTES_REC/1M</stp>
        <stp>FPR=2021Y</stp>
        <stp>FPT=A</stp>
        <stp>FA_ACT_EST_DATA=E, EST_SOURCE=NDH</stp>
        <stp>ACT_EST_MAPPING=PRECISE</stp>
        <stp>FS=MRC</stp>
        <stp>CURRENCY=USD</stp>
        <stp>XLFILL=b</stp>
        <tr r="V158" s="2"/>
      </tp>
      <tp t="s">
        <v>#N/A Requesting Data...</v>
        <stp/>
        <stp>##V3_BQLV12</stp>
        <stp>[MODL_NOW_US1.xlsx]Single Period!R89C14</stp>
        <stp>NOW US Equity</stp>
        <stp>IS_REV_INCLUDING_INTERSEG_REV/1M</stp>
        <stp>FPR=2021Y</stp>
        <stp>FPT=A</stp>
        <stp>FA_ACT_EST_DATA=E, EST_SOURCE=BMO</stp>
        <stp>ACT_EST_MAPPING=PRECISE</stp>
        <stp>FS=MRC</stp>
        <stp>CURRENCY=USD</stp>
        <stp>XLFILL=b</stp>
        <tr r="N89" s="2"/>
      </tp>
      <tp t="s">
        <v>#N/A Requesting Data...</v>
        <stp/>
        <stp>##V3_BQLV12</stp>
        <stp>[MODL_NOW_US1.xlsx]Single Period!R11C9</stp>
        <stp>NOW US Equity</stp>
        <stp>CONTRIBUTOR_STATS(NUM_CSTMR_CNTRCT_OVER_1_MILLN, MEDIAN)</stp>
        <stp>FPR=2021Y</stp>
        <stp>FPT=A</stp>
        <stp>FA_ACT_EST_DATA=E</stp>
        <stp>ACT_EST_MAPPING=PRECISE</stp>
        <stp>FS=MRC</stp>
        <stp>CURRENCY=USD</stp>
        <stp>XLFILL=b</stp>
        <tr r="I11" s="2"/>
      </tp>
      <tp t="s">
        <v>#N/A Requesting Data...</v>
        <stp/>
        <stp>##V3_BQLV12</stp>
        <stp>[MODL_NOW_US1.xlsx]Single Period!R191C30</stp>
        <stp>NOW US Equity</stp>
        <stp>ST_DEFERRED_REVENUE/1M</stp>
        <stp>FPR=2021Y</stp>
        <stp>FPT=A</stp>
        <stp>FA_ACT_EST_DATA=E, EST_SOURCE=BAM</stp>
        <stp>ACT_EST_MAPPING=PRECISE</stp>
        <stp>FS=MRC</stp>
        <stp>CURRENCY=USD</stp>
        <stp>XLFILL=b</stp>
        <tr r="AD191" s="2"/>
      </tp>
      <tp t="s">
        <v>#N/A Requesting Data...</v>
        <stp/>
        <stp>##V3_BQLV12</stp>
        <stp>[MODL_NOW_US1.xlsx]Single Period!R176C30</stp>
        <stp>NOW US Equity</stp>
        <stp>ST_DEFERRED_REVENUE/1M</stp>
        <stp>FPR=2021Y</stp>
        <stp>FPT=A</stp>
        <stp>FA_ACT_EST_DATA=E, EST_SOURCE=BAM</stp>
        <stp>ACT_EST_MAPPING=PRECISE</stp>
        <stp>FS=MRC</stp>
        <stp>CURRENCY=USD</stp>
        <stp>XLFILL=b</stp>
        <tr r="AD176" s="2"/>
      </tp>
      <tp t="s">
        <v>#N/A Requesting Data...</v>
        <stp/>
        <stp>##V3_BQLV12</stp>
        <stp>[MODL_NOW_US1.xlsx]Single Period!R230C29</stp>
        <stp>NOW US Equity</stp>
        <stp>CF_EFFECT_FOREIGN_EXCHANGES/1M</stp>
        <stp>FPR=2021Y</stp>
        <stp>FPT=A</stp>
        <stp>FA_ACT_EST_DATA=E, EST_SOURCE=BNS</stp>
        <stp>ACT_EST_MAPPING=PRECISE</stp>
        <stp>FS=MRC</stp>
        <stp>CURRENCY=USD</stp>
        <stp>XLFILL=b</stp>
        <tr r="AC230" s="2"/>
      </tp>
      <tp t="s">
        <v>#N/A Requesting Data...</v>
        <stp/>
        <stp>##V3_BQLV12</stp>
        <stp>[MODL_NOW_US1.xlsx]Single Period!R179C30</stp>
        <stp>NOW US Equity</stp>
        <stp>LT_DEFERRED_REVENUE/1M</stp>
        <stp>FPR=2021Y</stp>
        <stp>FPT=A</stp>
        <stp>FA_ACT_EST_DATA=E, EST_SOURCE=BAM</stp>
        <stp>ACT_EST_MAPPING=PRECISE</stp>
        <stp>FS=MRC</stp>
        <stp>CURRENCY=USD</stp>
        <stp>XLFILL=b</stp>
        <tr r="AD179" s="2"/>
      </tp>
      <tp t="s">
        <v>#N/A Requesting Data...</v>
        <stp/>
        <stp>##V3_BQLV12</stp>
        <stp>[MODL_NOW_US1.xlsx]Single Period!R192C30</stp>
        <stp>NOW US Equity</stp>
        <stp>LT_DEFERRED_REVENUE/1M</stp>
        <stp>FPR=2021Y</stp>
        <stp>FPT=A</stp>
        <stp>FA_ACT_EST_DATA=E, EST_SOURCE=BAM</stp>
        <stp>ACT_EST_MAPPING=PRECISE</stp>
        <stp>FS=MRC</stp>
        <stp>CURRENCY=USD</stp>
        <stp>XLFILL=b</stp>
        <tr r="AD192" s="2"/>
      </tp>
      <tp t="s">
        <v>#N/A Requesting Data...</v>
        <stp/>
        <stp>##V3_BQLV12</stp>
        <stp>[MODL_NOW_US1.xlsx]Single Period!R178C25</stp>
        <stp>NOW US Equity</stp>
        <stp>BS_ADJ_TOTAL_LT_LIABILITIES/1M</stp>
        <stp>FPR=2021Y</stp>
        <stp>FPT=A</stp>
        <stp>FA_ACT_EST_DATA=E, EST_SOURCE=DBG</stp>
        <stp>ACT_EST_MAPPING=PRECISE</stp>
        <stp>FS=MRC</stp>
        <stp>CURRENCY=USD</stp>
        <stp>XLFILL=b</stp>
        <tr r="Y178" s="2"/>
      </tp>
      <tp t="s">
        <v>#N/A Requesting Data...</v>
        <stp/>
        <stp>##V3_BQLV12</stp>
        <stp>[MODL_NOW_US1.xlsx]Single Period!R124C34</stp>
        <stp>NOW US Equity</stp>
        <stp>IS_EBIT_AS_REPORTED/1M</stp>
        <stp>FPR=2021Y</stp>
        <stp>FPT=A</stp>
        <stp>FA_ACT_EST_DATA=E, EST_SOURCE=PSG</stp>
        <stp>ACT_EST_MAPPING=PRECISE</stp>
        <stp>FS=MRC</stp>
        <stp>CURRENCY=USD</stp>
        <stp>XLFILL=b</stp>
        <tr r="AH124" s="2"/>
      </tp>
      <tp t="s">
        <v>#N/A Requesting Data...</v>
        <stp/>
        <stp>##V3_BQLV12</stp>
        <stp>[MODL_NOW_US1.xlsx]Single Period!R98C44</stp>
        <stp>NOW US Equity</stp>
        <stp>CF_DEPR_AMORT/1M</stp>
        <stp>FPR=2021Y</stp>
        <stp>FPT=A</stp>
        <stp>FA_ACT_EST_DATA=E, EST_SOURCE=ARE</stp>
        <stp>ACT_EST_MAPPING=PRECISE</stp>
        <stp>FS=MRC</stp>
        <stp>CURRENCY=USD</stp>
        <stp>XLFILL=b</stp>
        <tr r="AR98" s="2"/>
      </tp>
      <tp t="s">
        <v>#N/A Requesting Data...</v>
        <stp/>
        <stp>##V3_BQLV12</stp>
        <stp>[MODL_NOW_US1.xlsx]Single Period!R30C30</stp>
        <stp>NOW US Equity</stp>
        <stp>CF_FREE_CASH_FLOW_AS_REPORTED/1M</stp>
        <stp>FPR=2021Y</stp>
        <stp>FPT=A</stp>
        <stp>FA_ACT_EST_DATA=E, EST_SOURCE=BAM</stp>
        <stp>ACT_EST_MAPPING=PRECISE</stp>
        <stp>FS=MRC</stp>
        <stp>CURRENCY=USD</stp>
        <stp>XLFILL=b</stp>
        <tr r="AD30" s="2"/>
      </tp>
      <tp t="s">
        <v>#N/A Requesting Data...</v>
        <stp/>
        <stp>##V3_BQLV12</stp>
        <stp>[MODL_NOW_US1.xlsx]Single Period!R178C27</stp>
        <stp>NOW US Equity</stp>
        <stp>BS_ADJ_TOTAL_LT_LIABILITIES/1M</stp>
        <stp>FPR=2021Y</stp>
        <stp>FPT=A</stp>
        <stp>FA_ACT_EST_DATA=E, EST_SOURCE=RBC</stp>
        <stp>ACT_EST_MAPPING=PRECISE</stp>
        <stp>FS=MRC</stp>
        <stp>CURRENCY=USD</stp>
        <stp>XLFILL=b</stp>
        <tr r="AA178" s="2"/>
      </tp>
      <tp t="s">
        <v>#N/A Requesting Data...</v>
        <stp/>
        <stp>##V3_BQLV12</stp>
        <stp>[MODL_NOW_US1.xlsx]Single Period!R178C32</stp>
        <stp>NOW US Equity</stp>
        <stp>BS_ADJ_TOTAL_LT_LIABILITIES/1M</stp>
        <stp>FPR=2021Y</stp>
        <stp>FPT=A</stp>
        <stp>FA_ACT_EST_DATA=E, EST_SOURCE=FBC</stp>
        <stp>ACT_EST_MAPPING=PRECISE</stp>
        <stp>FS=MRC</stp>
        <stp>CURRENCY=USD</stp>
        <stp>XLFILL=b</stp>
        <tr r="AF178" s="2"/>
      </tp>
      <tp t="s">
        <v>#N/A Requesting Data...</v>
        <stp/>
        <stp>##V3_BQLV12</stp>
        <stp>[MODL_NOW_US1.xlsx]Single Period!R139C21</stp>
        <stp>NOW US Equity</stp>
        <stp>IS_SBC_ATTRIB_TO_COGS_PRETX/1M</stp>
        <stp>FPR=2021Y</stp>
        <stp>FPT=A</stp>
        <stp>FA_ACT_EST_DATA=E, EST_SOURCE=JMP</stp>
        <stp>ACT_EST_MAPPING=PRECISE</stp>
        <stp>FS=MRC</stp>
        <stp>CURRENCY=USD</stp>
        <stp>XLFILL=b</stp>
        <tr r="U139" s="2"/>
      </tp>
      <tp t="s">
        <v>#N/A Requesting Data...</v>
        <stp/>
        <stp>##V3_BQLV12</stp>
        <stp>[MODL_NOW_US1.xlsx]Single Period!R203C34</stp>
        <stp>NOW US Equity</stp>
        <stp>AMORTIZATN_OF_FINNCNG_COSTS/1M</stp>
        <stp>FPR=2021Y</stp>
        <stp>FPT=A</stp>
        <stp>FA_ACT_EST_DATA=E, EST_SOURCE=PSG</stp>
        <stp>ACT_EST_MAPPING=PRECISE</stp>
        <stp>FS=MRC</stp>
        <stp>CURRENCY=USD</stp>
        <stp>XLFILL=b</stp>
        <tr r="AH203" s="2"/>
      </tp>
      <tp t="s">
        <v>#N/A Requesting Data...</v>
        <stp/>
        <stp>##V3_BQLV12</stp>
        <stp>[MODL_NOW_US1.xlsx]Single Period!R161C43</stp>
        <stp>NOW US Equity</stp>
        <stp>BS_TOTAL_NON_CURRENT_ASSETS/1M</stp>
        <stp>FPR=2021Y</stp>
        <stp>FPT=A</stp>
        <stp>FA_ACT_EST_DATA=E, EST_SOURCE=WFT</stp>
        <stp>ACT_EST_MAPPING=PRECISE</stp>
        <stp>FS=MRC</stp>
        <stp>CURRENCY=USD</stp>
        <stp>XLFILL=b</stp>
        <tr r="AQ161" s="2"/>
      </tp>
      <tp t="s">
        <v>#N/A Requesting Data...</v>
        <stp/>
        <stp>##V3_BQLV12</stp>
        <stp>[MODL_NOW_US1.xlsx]Single Period!R30C20</stp>
        <stp>NOW US Equity</stp>
        <stp>CF_FREE_CASH_FLOW_AS_REPORTED/1M</stp>
        <stp>FPR=2021Y</stp>
        <stp>FPT=A</stp>
        <stp>FA_ACT_EST_DATA=E, EST_SOURCE=CAN</stp>
        <stp>ACT_EST_MAPPING=PRECISE</stp>
        <stp>FS=MRC</stp>
        <stp>CURRENCY=USD</stp>
        <stp>XLFILL=b</stp>
        <tr r="T30" s="2"/>
      </tp>
      <tp t="s">
        <v>#N/A Requesting Data...</v>
        <stp/>
        <stp>##V3_BQLV12</stp>
        <stp>[MODL_NOW_US1.xlsx]Single Period!R210C22</stp>
        <stp>NOW US Equity</stp>
        <stp>CF_CHANGE_IN_PREPAID_EXPNSS/1M</stp>
        <stp>FPR=2021Y</stp>
        <stp>FPT=A</stp>
        <stp>FA_ACT_EST_DATA=E, EST_SOURCE=NDH</stp>
        <stp>ACT_EST_MAPPING=PRECISE</stp>
        <stp>FS=MRC</stp>
        <stp>CURRENCY=USD</stp>
        <stp>XLFILL=b</stp>
        <tr r="V210" s="2"/>
      </tp>
      <tp t="s">
        <v>#N/A Requesting Data...</v>
        <stp/>
        <stp>##V3_BQLV12</stp>
        <stp>[MODL_NOW_US1.xlsx]Single Period!R105C22</stp>
        <stp>NOW US Equity</stp>
        <stp>ADJ_PROFIT_MARGIN</stp>
        <stp>FPR=2021Y</stp>
        <stp>FPT=A</stp>
        <stp>FA_ACT_EST_DATA=E, EST_SOURCE=NDH</stp>
        <stp>ACT_EST_MAPPING=PRECISE</stp>
        <stp>FS=MRC</stp>
        <stp>CURRENCY=USD</stp>
        <stp>XLFILL=b</stp>
        <tr r="V105" s="2"/>
      </tp>
      <tp t="s">
        <v>#N/A Requesting Data...</v>
        <stp/>
        <stp>##V3_BQLV12</stp>
        <stp>[MODL_NOW_US1.xlsx]Single Period!R98C42</stp>
        <stp>NOW US Equity</stp>
        <stp>CF_DEPR_AMORT/1M</stp>
        <stp>FPR=2021Y</stp>
        <stp>FPT=A</stp>
        <stp>FA_ACT_EST_DATA=E, EST_SOURCE=CTI</stp>
        <stp>ACT_EST_MAPPING=PRECISE</stp>
        <stp>FS=MRC</stp>
        <stp>CURRENCY=USD</stp>
        <stp>XLFILL=b</stp>
        <tr r="AP98" s="2"/>
      </tp>
      <tp t="s">
        <v>#N/A Requesting Data...</v>
        <stp/>
        <stp>##V3_BQLV12</stp>
        <stp>[MODL_NOW_US1.xlsx]Single Period!R178C12</stp>
        <stp>NOW US Equity</stp>
        <stp>BS_ADJ_TOTAL_LT_LIABILITIES/1M</stp>
        <stp>FPR=2021Y</stp>
        <stp>FPT=A</stp>
        <stp>FA_ACT_EST_DATA=E, EST_SOURCE=WBL</stp>
        <stp>ACT_EST_MAPPING=PRECISE</stp>
        <stp>FS=MRC</stp>
        <stp>CURRENCY=USD</stp>
        <stp>XLFILL=b</stp>
        <tr r="L178" s="2"/>
      </tp>
      <tp t="s">
        <v>#N/A Requesting Data...</v>
        <stp/>
        <stp>##V3_BQLV12</stp>
        <stp>[MODL_NOW_US1.xlsx]Single Period!R154C23</stp>
        <stp>NOW US Equity</stp>
        <stp>BS_CUR_ASSET_REPORT/1M</stp>
        <stp>FPR=2021Y</stp>
        <stp>FPT=A</stp>
        <stp>FA_ACT_EST_DATA=E, EST_SOURCE=ZXS</stp>
        <stp>ACT_EST_MAPPING=PRECISE</stp>
        <stp>FS=MRC</stp>
        <stp>CURRENCY=USD</stp>
        <stp>XLFILL=b</stp>
        <tr r="W154" s="2"/>
      </tp>
      <tp t="s">
        <v>#N/A Requesting Data...</v>
        <stp/>
        <stp>##V3_BQLV12</stp>
        <stp>[MODL_NOW_US1.xlsx]Single Period!R80C33</stp>
        <stp>NOW US Equity</stp>
        <stp>IS_COMP_SALES/1M</stp>
        <stp>FPR=2021Y</stp>
        <stp>FPT=A</stp>
        <stp>FA_ACT_EST_DATA=E, EST_SOURCE=MAC</stp>
        <stp>ACT_EST_MAPPING=PRECISE</stp>
        <stp>FS=MRC</stp>
        <stp>CURRENCY=USD</stp>
        <stp>XLFILL=b</stp>
        <tr r="AG80" s="2"/>
      </tp>
      <tp t="s">
        <v>#N/A Requesting Data...</v>
        <stp/>
        <stp>##V3_BQLV12</stp>
        <stp>[MODL_NOW_US1.xlsx]Single Period!R235C24</stp>
        <stp>NOW US Equity</stp>
        <stp>CF_FREE_CASH_FLOW_AS_REPORTED/1M</stp>
        <stp>FPR=2021Y</stp>
        <stp>FPT=A</stp>
        <stp>FA_ACT_EST_DATA=E, EST_SOURCE=CWN</stp>
        <stp>ACT_EST_MAPPING=PRECISE</stp>
        <stp>FS=MRC</stp>
        <stp>CURRENCY=USD</stp>
        <stp>XLFILL=b</stp>
        <tr r="X235" s="2"/>
      </tp>
      <tp t="s">
        <v>#N/A Requesting Data...</v>
        <stp/>
        <stp>##V3_BQLV12</stp>
        <stp>[MODL_NOW_US1.xlsx]Single Period!R207C23</stp>
        <stp>NOW US Equity</stp>
        <stp>CB_CF_CHANGE_IN_ACCOUNTS_RECEIVABLE/1M</stp>
        <stp>FPR=2021Y</stp>
        <stp>FPT=A</stp>
        <stp>FA_ACT_EST_DATA=E, EST_SOURCE=ZXS</stp>
        <stp>ACT_EST_MAPPING=PRECISE</stp>
        <stp>FS=MRC</stp>
        <stp>CURRENCY=USD</stp>
        <stp>XLFILL=b</stp>
        <tr r="W207" s="2"/>
      </tp>
      <tp t="s">
        <v>#N/A Requesting Data...</v>
        <stp/>
        <stp>##V3_BQLV12</stp>
        <stp>[MODL_NOW_US1.xlsx]Single Period!R169C15</stp>
        <stp>NOW US Equity</stp>
        <stp>CB_BS_OTHER_NONCURRENT_ASSETS/1M</stp>
        <stp>FPR=2021Y</stp>
        <stp>FPT=A</stp>
        <stp>FA_ACT_EST_DATA=E, EST_SOURCE=OPY</stp>
        <stp>ACT_EST_MAPPING=PRECISE</stp>
        <stp>FS=MRC</stp>
        <stp>CURRENCY=USD</stp>
        <stp>XLFILL=b</stp>
        <tr r="O169" s="2"/>
      </tp>
      <tp t="s">
        <v>#N/A Requesting Data...</v>
        <stp/>
        <stp>##V3_BQLV12</stp>
        <stp>[MODL_NOW_US1.xlsx]Single Period!R119C35</stp>
        <stp>NOW US Equity</stp>
        <stp>CB_IS_S_AND_M_EXPENSE/1M</stp>
        <stp>FPR=2021Y</stp>
        <stp>FPT=A</stp>
        <stp>FA_ACT_EST_DATA=E, EST_SOURCE=MSR</stp>
        <stp>ACT_EST_MAPPING=PRECISE</stp>
        <stp>FS=MRC</stp>
        <stp>CURRENCY=USD</stp>
        <stp>XLFILL=b</stp>
        <tr r="AI119" s="2"/>
      </tp>
      <tp t="s">
        <v>#N/A Requesting Data...</v>
        <stp/>
        <stp>##V3_BQLV12</stp>
        <stp>[MODL_NOW_US1.xlsx]Single Period!R54C42</stp>
        <stp>NOW US Equity</stp>
        <stp>IS_FOREIGN_CURRENCY_TURNOVER/1M</stp>
        <stp>FPR=2021Y</stp>
        <stp>FPT=A</stp>
        <stp>FA_ACT_EST_DATA=E, EST_SOURCE=CTI</stp>
        <stp>ACT_EST_MAPPING=PRECISE</stp>
        <stp>FS=MRC</stp>
        <stp>CURRENCY=USD</stp>
        <stp>XLFILL=b</stp>
        <tr r="AP54" s="2"/>
      </tp>
      <tp t="s">
        <v>#N/A Requesting Data...</v>
        <stp/>
        <stp>##V3_BQLV12</stp>
        <stp>[MODL_NOW_US1.xlsx]Single Period!R143C36</stp>
        <stp>NOW US Equity</stp>
        <stp>IS_SBC_ATTRIBUTABLE_TO_R_AND_D_PRETX/1M</stp>
        <stp>FPR=2021Y</stp>
        <stp>FPT=A</stp>
        <stp>FA_ACT_EST_DATA=E, EST_SOURCE=JEF</stp>
        <stp>ACT_EST_MAPPING=PRECISE</stp>
        <stp>FS=MRC</stp>
        <stp>CURRENCY=USD</stp>
        <stp>XLFILL=b</stp>
        <tr r="AJ143" s="2"/>
      </tp>
      <tp t="s">
        <v>#N/A Requesting Data...</v>
        <stp/>
        <stp>##V3_BQLV12</stp>
        <stp>[MODL_NOW_US1.xlsx]Single Period!R83C34</stp>
        <stp>NOW US Equity</stp>
        <stp>IS_ADJUSTED_COGS_AS_REPORTED/1M</stp>
        <stp>FPR=2021Y</stp>
        <stp>FPT=A</stp>
        <stp>FA_ACT_EST_DATA=E, EST_SOURCE=PSG</stp>
        <stp>ACT_EST_MAPPING=PRECISE</stp>
        <stp>FS=MRC</stp>
        <stp>CURRENCY=USD</stp>
        <stp>XLFILL=b</stp>
        <tr r="AH83" s="2"/>
      </tp>
      <tp t="s">
        <v>#N/A Requesting Data...</v>
        <stp/>
        <stp>##V3_BQLV12</stp>
        <stp>[MODL_NOW_US1.xlsx]Single Period!R20C37</stp>
        <stp>SEG0000230986 Segment</stp>
        <stp>SALES_REV_TURN/1M</stp>
        <stp>FPR=2021Y</stp>
        <stp>FPT=A</stp>
        <stp>FA_ACT_EST_DATA=E, EST_SOURCE=TTC</stp>
        <stp>ACT_EST_MAPPING=PRECISE</stp>
        <stp>FS=MRC</stp>
        <stp>CURRENCY=USD</stp>
        <stp>XLFILL=b</stp>
        <tr r="AK20" s="2"/>
      </tp>
      <tp t="s">
        <v>#N/A Requesting Data...</v>
        <stp/>
        <stp>##V3_BQLV12</stp>
        <stp>[MODL_NOW_US1.xlsx]Single Period!R66C48</stp>
        <stp>SEG0000230986 Segment</stp>
        <stp>SALES_REV_TURN/1M</stp>
        <stp>FPR=2021Y</stp>
        <stp>FPT=A</stp>
        <stp>FA_ACT_EST_DATA=E, EST_SOURCE=CRC</stp>
        <stp>ACT_EST_MAPPING=PRECISE</stp>
        <stp>FS=MRC</stp>
        <stp>CURRENCY=USD</stp>
        <stp>XLFILL=b</stp>
        <tr r="AV66" s="2"/>
      </tp>
      <tp t="s">
        <v>#N/A Requesting Data...</v>
        <stp/>
        <stp>##V3_BQLV12</stp>
        <stp>[MODL_NOW_US1.xlsx]Single Period!R69C45</stp>
        <stp>SEG0000230986 Segment</stp>
        <stp>IS_ADJ_GROSS_PROFIT_AS_REPORTED/1M</stp>
        <stp>FPR=2021Y</stp>
        <stp>FPT=A</stp>
        <stp>FA_ACT_EST_DATA=E, EST_SOURCE=PJE</stp>
        <stp>ACT_EST_MAPPING=PRECISE</stp>
        <stp>FS=MRC</stp>
        <stp>CURRENCY=USD</stp>
        <stp>XLFILL=b</stp>
        <tr r="AS69" s="2"/>
      </tp>
      <tp t="s">
        <v>#N/A Requesting Data...</v>
        <stp/>
        <stp>##V3_BQLV12</stp>
        <stp>[MODL_NOW_US1.xlsx]Single Period!R58C34</stp>
        <stp>SEG0000230975 Segment</stp>
        <stp>SALES_REV_TURN/1M</stp>
        <stp>FPR=2021Y</stp>
        <stp>FPT=A</stp>
        <stp>FA_ACT_EST_DATA=E, EST_SOURCE=PSG</stp>
        <stp>ACT_EST_MAPPING=PRECISE</stp>
        <stp>FS=MRC</stp>
        <stp>CURRENCY=USD</stp>
        <stp>XLFILL=b</stp>
        <tr r="AH58" s="2"/>
      </tp>
      <tp t="s">
        <v>#N/A Requesting Data...</v>
        <stp/>
        <stp>##V3_BQLV12</stp>
        <stp>[MODL_NOW_US1.xlsx]Single Period!R66C44</stp>
        <stp>SEG0000230986 Segment</stp>
        <stp>SALES_REV_TURN/1M</stp>
        <stp>FPR=2021Y</stp>
        <stp>FPT=A</stp>
        <stp>FA_ACT_EST_DATA=E, EST_SOURCE=ARE</stp>
        <stp>ACT_EST_MAPPING=PRECISE</stp>
        <stp>FS=MRC</stp>
        <stp>CURRENCY=USD</stp>
        <stp>XLFILL=b</stp>
        <tr r="AR66" s="2"/>
      </tp>
      <tp t="s">
        <v>#N/A Requesting Data...</v>
        <stp/>
        <stp>##V3_BQLV12</stp>
        <stp>[MODL_NOW_US1.xlsx]Single Period!R66C41</stp>
        <stp>SEG0000230986 Segment</stp>
        <stp>SALES_REV_TURN/1M</stp>
        <stp>FPR=2021Y</stp>
        <stp>FPT=A</stp>
        <stp>FA_ACT_EST_DATA=E, EST_SOURCE=ARG</stp>
        <stp>ACT_EST_MAPPING=PRECISE</stp>
        <stp>FS=MRC</stp>
        <stp>CURRENCY=USD</stp>
        <stp>XLFILL=b</stp>
        <tr r="AO66" s="2"/>
      </tp>
      <tp t="s">
        <v>#N/A Requesting Data...</v>
        <stp/>
        <stp>##V3_BQLV12</stp>
        <stp>[MODL_NOW_US1.xlsx]Single Period!R143C22</stp>
        <stp>NOW US Equity</stp>
        <stp>IS_SBC_ATTRIBUTABLE_TO_R_AND_D_PRETX/1M</stp>
        <stp>FPR=2021Y</stp>
        <stp>FPT=A</stp>
        <stp>FA_ACT_EST_DATA=E, EST_SOURCE=NDH</stp>
        <stp>ACT_EST_MAPPING=PRECISE</stp>
        <stp>FS=MRC</stp>
        <stp>CURRENCY=USD</stp>
        <stp>XLFILL=b</stp>
        <tr r="V143" s="2"/>
      </tp>
      <tp t="s">
        <v>#N/A Requesting Data...</v>
        <stp/>
        <stp>##V3_BQLV12</stp>
        <stp>[MODL_NOW_US1.xlsx]Single Period!R235C41</stp>
        <stp>NOW US Equity</stp>
        <stp>CF_FREE_CASH_FLOW_AS_REPORTED/1M</stp>
        <stp>FPR=2021Y</stp>
        <stp>FPT=A</stp>
        <stp>FA_ACT_EST_DATA=E, EST_SOURCE=ARG</stp>
        <stp>ACT_EST_MAPPING=PRECISE</stp>
        <stp>FS=MRC</stp>
        <stp>CURRENCY=USD</stp>
        <stp>XLFILL=b</stp>
        <tr r="AO235" s="2"/>
      </tp>
      <tp t="s">
        <v>#N/A Requesting Data...</v>
        <stp/>
        <stp>##V3_BQLV12</stp>
        <stp>[MODL_NOW_US1.xlsx]Single Period!R75C11</stp>
        <stp>SEG0000230992 Segment</stp>
        <stp>SALES_REV_TURN/1M</stp>
        <stp>FPR=2021Y</stp>
        <stp>FPT=A</stp>
        <stp>FA_ACT_EST_DATA=E, EST_SOURCE=JPM</stp>
        <stp>ACT_EST_MAPPING=PRECISE</stp>
        <stp>FS=MRC</stp>
        <stp>CURRENCY=USD</stp>
        <stp>XLFILL=b</stp>
        <tr r="K75" s="2"/>
      </tp>
      <tp t="s">
        <v>#N/A Requesting Data...</v>
        <stp/>
        <stp>##V3_BQLV12</stp>
        <stp>[MODL_NOW_US1.xlsx]Single Period!R15C11</stp>
        <stp>SEG0000230992 Segment</stp>
        <stp>SALES_REV_TURN/1M</stp>
        <stp>FPR=2021Y</stp>
        <stp>FPT=A</stp>
        <stp>FA_ACT_EST_DATA=E, EST_SOURCE=JPM</stp>
        <stp>ACT_EST_MAPPING=PRECISE</stp>
        <stp>FS=MRC</stp>
        <stp>CURRENCY=USD</stp>
        <stp>XLFILL=b</stp>
        <tr r="K15" s="2"/>
      </tp>
      <tp t="s">
        <v>#N/A Requesting Data...</v>
        <stp/>
        <stp>##V3_BQLV12</stp>
        <stp>[MODL_NOW_US1.xlsx]Single Period!R20C42</stp>
        <stp>SEG0000230986 Segment</stp>
        <stp>SALES_REV_TURN/1M</stp>
        <stp>FPR=2021Y</stp>
        <stp>FPT=A</stp>
        <stp>FA_ACT_EST_DATA=E, EST_SOURCE=CTI</stp>
        <stp>ACT_EST_MAPPING=PRECISE</stp>
        <stp>FS=MRC</stp>
        <stp>CURRENCY=USD</stp>
        <stp>XLFILL=b</stp>
        <tr r="AP20" s="2"/>
      </tp>
      <tp t="s">
        <v>#N/A Requesting Data...</v>
        <stp/>
        <stp>##V3_BQLV12</stp>
        <stp>[MODL_NOW_US1.xlsx]Single Period!R54C34</stp>
        <stp>NOW US Equity</stp>
        <stp>IS_FOREIGN_CURRENCY_TURNOVER/1M</stp>
        <stp>FPR=2021Y</stp>
        <stp>FPT=A</stp>
        <stp>FA_ACT_EST_DATA=E, EST_SOURCE=PSG</stp>
        <stp>ACT_EST_MAPPING=PRECISE</stp>
        <stp>FS=MRC</stp>
        <stp>CURRENCY=USD</stp>
        <stp>XLFILL=b</stp>
        <tr r="AH54" s="2"/>
      </tp>
      <tp t="s">
        <v>#N/A Requesting Data...</v>
        <stp/>
        <stp>##V3_BQLV12</stp>
        <stp>[MODL_NOW_US1.xlsx]Single Period!R150C31</stp>
        <stp>NOW US Equity</stp>
        <stp>IS_INC_TAX_EFFECT_NONGAAP_REC/1M</stp>
        <stp>FPR=2021Y</stp>
        <stp>FPT=A</stp>
        <stp>FA_ACT_EST_DATA=E, EST_SOURCE=GSR</stp>
        <stp>ACT_EST_MAPPING=PRECISE</stp>
        <stp>FS=MRC</stp>
        <stp>CURRENCY=USD</stp>
        <stp>XLFILL=b</stp>
        <tr r="AE150" s="2"/>
      </tp>
      <tp t="s">
        <v>#N/A Requesting Data...</v>
        <stp/>
        <stp>##V3_BQLV12</stp>
        <stp>[MODL_NOW_US1.xlsx]Single Period!R83C42</stp>
        <stp>NOW US Equity</stp>
        <stp>IS_ADJUSTED_COGS_AS_REPORTED/1M</stp>
        <stp>FPR=2021Y</stp>
        <stp>FPT=A</stp>
        <stp>FA_ACT_EST_DATA=E, EST_SOURCE=CTI</stp>
        <stp>ACT_EST_MAPPING=PRECISE</stp>
        <stp>FS=MRC</stp>
        <stp>CURRENCY=USD</stp>
        <stp>XLFILL=b</stp>
        <tr r="AP83" s="2"/>
      </tp>
      <tp t="s">
        <v>#N/A Requesting Data...</v>
        <stp/>
        <stp>##V3_BQLV12</stp>
        <stp>[MODL_NOW_US1.xlsx]Single Period!R235C39</stp>
        <stp>NOW US Equity</stp>
        <stp>CF_FREE_CASH_FLOW_AS_REPORTED/1M</stp>
        <stp>FPR=2021Y</stp>
        <stp>FPT=A</stp>
        <stp>FA_ACT_EST_DATA=E, EST_SOURCE=DZB</stp>
        <stp>ACT_EST_MAPPING=PRECISE</stp>
        <stp>FS=MRC</stp>
        <stp>CURRENCY=USD</stp>
        <stp>XLFILL=b</stp>
        <tr r="AM235" s="2"/>
      </tp>
      <tp t="s">
        <v>#N/A Requesting Data...</v>
        <stp/>
        <stp>##V3_BQLV12</stp>
        <stp>[MODL_NOW_US1.xlsx]Single Period!R235C37</stp>
        <stp>NOW US Equity</stp>
        <stp>CF_FREE_CASH_FLOW_AS_REPORTED/1M</stp>
        <stp>FPR=2021Y</stp>
        <stp>FPT=A</stp>
        <stp>FA_ACT_EST_DATA=E, EST_SOURCE=TTC</stp>
        <stp>ACT_EST_MAPPING=PRECISE</stp>
        <stp>FS=MRC</stp>
        <stp>CURRENCY=USD</stp>
        <stp>XLFILL=b</stp>
        <tr r="AK235" s="2"/>
      </tp>
      <tp t="s">
        <v>#N/A Requesting Data...</v>
        <stp/>
        <stp>##V3_BQLV12</stp>
        <stp>[MODL_NOW_US1.xlsx]Single Period!R209C45</stp>
        <stp>NOW US Equity</stp>
        <stp>CF_CHANGE_IN_ACCOUNTS_PAYABLE/1M</stp>
        <stp>FPR=2021Y</stp>
        <stp>FPT=A</stp>
        <stp>FA_ACT_EST_DATA=E, EST_SOURCE=PJE</stp>
        <stp>ACT_EST_MAPPING=PRECISE</stp>
        <stp>FS=MRC</stp>
        <stp>CURRENCY=USD</stp>
        <stp>XLFILL=b</stp>
        <tr r="AS209" s="2"/>
      </tp>
      <tp t="s">
        <v>#N/A Requesting Data...</v>
        <stp/>
        <stp>##V3_BQLV12</stp>
        <stp>[MODL_NOW_US1.xlsx]Single Period!R58C35</stp>
        <stp>SEG0000230975 Segment</stp>
        <stp>SALES_REV_TURN/1M</stp>
        <stp>FPR=2021Y</stp>
        <stp>FPT=A</stp>
        <stp>FA_ACT_EST_DATA=E, EST_SOURCE=MSR</stp>
        <stp>ACT_EST_MAPPING=PRECISE</stp>
        <stp>FS=MRC</stp>
        <stp>CURRENCY=USD</stp>
        <stp>XLFILL=b</stp>
        <tr r="AI58" s="2"/>
      </tp>
      <tp t="s">
        <v>#N/A Requesting Data...</v>
        <stp/>
        <stp>##V3_BQLV12</stp>
        <stp>[MODL_NOW_US1.xlsx]Single Period!R58C31</stp>
        <stp>SEG0000230975 Segment</stp>
        <stp>SALES_REV_TURN/1M</stp>
        <stp>FPR=2021Y</stp>
        <stp>FPT=A</stp>
        <stp>FA_ACT_EST_DATA=E, EST_SOURCE=GSR</stp>
        <stp>ACT_EST_MAPPING=PRECISE</stp>
        <stp>FS=MRC</stp>
        <stp>CURRENCY=USD</stp>
        <stp>XLFILL=b</stp>
        <tr r="AE58" s="2"/>
      </tp>
      <tp t="s">
        <v>#N/A Requesting Data...</v>
        <stp/>
        <stp>##V3_BQLV12</stp>
        <stp>[MODL_NOW_US1.xlsx]Single Period!R102C40</stp>
        <stp>NOW US Equity</stp>
        <stp>IS_COMP_PTP_EX_STK_BASED_COMP/1M</stp>
        <stp>FPR=2021Y</stp>
        <stp>FPT=A</stp>
        <stp>FA_ACT_EST_DATA=E, EST_SOURCE=DWI</stp>
        <stp>ACT_EST_MAPPING=PRECISE</stp>
        <stp>FS=MRC</stp>
        <stp>CURRENCY=USD</stp>
        <stp>XLFILL=b</stp>
        <tr r="AN102" s="2"/>
      </tp>
      <tp t="s">
        <v>#N/A Requesting Data...</v>
        <stp/>
        <stp>##V3_BQLV12</stp>
        <stp>[MODL_NOW_US1.xlsx]Single Period!R133C15</stp>
        <stp>NOW US Equity</stp>
        <stp>IS_SH_FOR_DILUTED_EPS/1M</stp>
        <stp>FPR=2021Y</stp>
        <stp>FPT=A</stp>
        <stp>FA_ACT_EST_DATA=E, EST_SOURCE=OPY</stp>
        <stp>ACT_EST_MAPPING=PRECISE</stp>
        <stp>FS=MRC</stp>
        <stp>CURRENCY=USD</stp>
        <stp>XLFILL=b</stp>
        <tr r="O133" s="2"/>
      </tp>
      <tp t="s">
        <v>#N/A Requesting Data...</v>
        <stp/>
        <stp>##V3_BQLV12</stp>
        <stp>[MODL_NOW_US1.xlsx]Single Period!R83C31</stp>
        <stp>NOW US Equity</stp>
        <stp>IS_ADJUSTED_COGS_AS_REPORTED/1M</stp>
        <stp>FPR=2021Y</stp>
        <stp>FPT=A</stp>
        <stp>FA_ACT_EST_DATA=E, EST_SOURCE=GSR</stp>
        <stp>ACT_EST_MAPPING=PRECISE</stp>
        <stp>FS=MRC</stp>
        <stp>CURRENCY=USD</stp>
        <stp>XLFILL=b</stp>
        <tr r="AE83" s="2"/>
      </tp>
      <tp t="s">
        <v>#N/A Requesting Data...</v>
        <stp/>
        <stp>##V3_BQLV12</stp>
        <stp>[MODL_NOW_US1.xlsx]Single Period!R150C47</stp>
        <stp>NOW US Equity</stp>
        <stp>IS_INC_TAX_EFFECT_NONGAAP_REC/1M</stp>
        <stp>FPR=2021Y</stp>
        <stp>FPT=A</stp>
        <stp>FA_ACT_EST_DATA=E, EST_SOURCE=SUM</stp>
        <stp>ACT_EST_MAPPING=PRECISE</stp>
        <stp>FS=MRC</stp>
        <stp>CURRENCY=USD</stp>
        <stp>XLFILL=b</stp>
        <tr r="AU150" s="2"/>
      </tp>
      <tp t="s">
        <v>#N/A Requesting Data...</v>
        <stp/>
        <stp>##V3_BQLV12</stp>
        <stp>[MODL_NOW_US1.xlsx]Single Period!R119C44</stp>
        <stp>NOW US Equity</stp>
        <stp>CB_IS_S_AND_M_EXPENSE/1M</stp>
        <stp>FPR=2021Y</stp>
        <stp>FPT=A</stp>
        <stp>FA_ACT_EST_DATA=E, EST_SOURCE=ARE</stp>
        <stp>ACT_EST_MAPPING=PRECISE</stp>
        <stp>FS=MRC</stp>
        <stp>CURRENCY=USD</stp>
        <stp>XLFILL=b</stp>
        <tr r="AR119" s="2"/>
      </tp>
      <tp t="s">
        <v>#N/A Requesting Data...</v>
        <stp/>
        <stp>##V3_BQLV12</stp>
        <stp>[MODL_NOW_US1.xlsx]Single Period!R101C14</stp>
        <stp>NOW US Equity</stp>
        <stp>CB_IS_OTHER_NON_OPER_INC_EXPN/1M</stp>
        <stp>FPR=2021Y</stp>
        <stp>FPT=A</stp>
        <stp>FA_ACT_EST_DATA=E, EST_SOURCE=BMO</stp>
        <stp>ACT_EST_MAPPING=PRECISE</stp>
        <stp>FS=MRC</stp>
        <stp>CURRENCY=USD</stp>
        <stp>XLFILL=b</stp>
        <tr r="N101" s="2"/>
      </tp>
      <tp t="s">
        <v>#N/A Requesting Data...</v>
        <stp/>
        <stp>##V3_BQLV12</stp>
        <stp>[MODL_NOW_US1.xlsx]Single Period!R58C19</stp>
        <stp>SEG0000230975 Segment</stp>
        <stp>SALES_REV_TURN/1M</stp>
        <stp>FPR=2021Y</stp>
        <stp>FPT=A</stp>
        <stp>FA_ACT_EST_DATA=E, EST_SOURCE=MSV</stp>
        <stp>ACT_EST_MAPPING=PRECISE</stp>
        <stp>FS=MRC</stp>
        <stp>CURRENCY=USD</stp>
        <stp>XLFILL=b</stp>
        <tr r="S58" s="2"/>
      </tp>
      <tp t="s">
        <v>#N/A Requesting Data...</v>
        <stp/>
        <stp>##V3_BQLV12</stp>
        <stp>[MODL_NOW_US1.xlsx]Single Period!R83C35</stp>
        <stp>NOW US Equity</stp>
        <stp>IS_ADJUSTED_COGS_AS_REPORTED/1M</stp>
        <stp>FPR=2021Y</stp>
        <stp>FPT=A</stp>
        <stp>FA_ACT_EST_DATA=E, EST_SOURCE=MSR</stp>
        <stp>ACT_EST_MAPPING=PRECISE</stp>
        <stp>FS=MRC</stp>
        <stp>CURRENCY=USD</stp>
        <stp>XLFILL=b</stp>
        <tr r="AI83" s="2"/>
      </tp>
      <tp t="s">
        <v>#N/A Requesting Data...</v>
        <stp/>
        <stp>##V3_BQLV12</stp>
        <stp>[MODL_NOW_US1.xlsx]Single Period!R209C17</stp>
        <stp>NOW US Equity</stp>
        <stp>CF_CHANGE_IN_ACCOUNTS_PAYABLE/1M</stp>
        <stp>FPR=2021Y</stp>
        <stp>FPT=A</stp>
        <stp>FA_ACT_EST_DATA=E, EST_SOURCE=RHR</stp>
        <stp>ACT_EST_MAPPING=PRECISE</stp>
        <stp>FS=MRC</stp>
        <stp>CURRENCY=USD</stp>
        <stp>XLFILL=b</stp>
        <tr r="Q209" s="2"/>
      </tp>
      <tp t="s">
        <v>#N/A Requesting Data...</v>
        <stp/>
        <stp>##V3_BQLV12</stp>
        <stp>[MODL_NOW_US1.xlsx]Single Period!R119C42</stp>
        <stp>NOW US Equity</stp>
        <stp>CB_IS_S_AND_M_EXPENSE/1M</stp>
        <stp>FPR=2021Y</stp>
        <stp>FPT=A</stp>
        <stp>FA_ACT_EST_DATA=E, EST_SOURCE=CTI</stp>
        <stp>ACT_EST_MAPPING=PRECISE</stp>
        <stp>FS=MRC</stp>
        <stp>CURRENCY=USD</stp>
        <stp>XLFILL=b</stp>
        <tr r="AP119" s="2"/>
      </tp>
      <tp t="s">
        <v>#N/A Requesting Data...</v>
        <stp/>
        <stp>##V3_BQLV12</stp>
        <stp>[MODL_NOW_US1.xlsx]Single Period!R131C28</stp>
        <stp>NOW US Equity</stp>
        <stp>IS_AVG_NUM_SH_FOR_EPS/1M</stp>
        <stp>FPR=2021Y</stp>
        <stp>FPT=A</stp>
        <stp>FA_ACT_EST_DATA=E, EST_SOURCE=EVR</stp>
        <stp>ACT_EST_MAPPING=PRECISE</stp>
        <stp>FS=MRC</stp>
        <stp>CURRENCY=USD</stp>
        <stp>XLFILL=b</stp>
        <tr r="AB131" s="2"/>
      </tp>
      <tp t="s">
        <v>#N/A Requesting Data...</v>
        <stp/>
        <stp>##V3_BQLV12</stp>
        <stp>[MODL_NOW_US1.xlsx]Single Period!R54C31</stp>
        <stp>NOW US Equity</stp>
        <stp>IS_FOREIGN_CURRENCY_TURNOVER/1M</stp>
        <stp>FPR=2021Y</stp>
        <stp>FPT=A</stp>
        <stp>FA_ACT_EST_DATA=E, EST_SOURCE=GSR</stp>
        <stp>ACT_EST_MAPPING=PRECISE</stp>
        <stp>FS=MRC</stp>
        <stp>CURRENCY=USD</stp>
        <stp>XLFILL=b</stp>
        <tr r="AE54" s="2"/>
      </tp>
      <tp t="s">
        <v>#N/A Requesting Data...</v>
        <stp/>
        <stp>##V3_BQLV12</stp>
        <stp>[MODL_NOW_US1.xlsx]Single Period!R102C34</stp>
        <stp>NOW US Equity</stp>
        <stp>IS_COMP_PTP_EX_STK_BASED_COMP/1M</stp>
        <stp>FPR=2021Y</stp>
        <stp>FPT=A</stp>
        <stp>FA_ACT_EST_DATA=E, EST_SOURCE=PSG</stp>
        <stp>ACT_EST_MAPPING=PRECISE</stp>
        <stp>FS=MRC</stp>
        <stp>CURRENCY=USD</stp>
        <stp>XLFILL=b</stp>
        <tr r="AH102" s="2"/>
      </tp>
      <tp t="s">
        <v>#N/A Requesting Data...</v>
        <stp/>
        <stp>##V3_BQLV12</stp>
        <stp>[MODL_NOW_US1.xlsx]Single Period!R75C15</stp>
        <stp>SEG0000230992 Segment</stp>
        <stp>SALES_REV_TURN/1M</stp>
        <stp>FPR=2021Y</stp>
        <stp>FPT=A</stp>
        <stp>FA_ACT_EST_DATA=E, EST_SOURCE=OPY</stp>
        <stp>ACT_EST_MAPPING=PRECISE</stp>
        <stp>FS=MRC</stp>
        <stp>CURRENCY=USD</stp>
        <stp>XLFILL=b</stp>
        <tr r="O75" s="2"/>
      </tp>
      <tp t="s">
        <v>#N/A Requesting Data...</v>
        <stp/>
        <stp>##V3_BQLV12</stp>
        <stp>[MODL_NOW_US1.xlsx]Single Period!R15C15</stp>
        <stp>SEG0000230992 Segment</stp>
        <stp>SALES_REV_TURN/1M</stp>
        <stp>FPR=2021Y</stp>
        <stp>FPT=A</stp>
        <stp>FA_ACT_EST_DATA=E, EST_SOURCE=OPY</stp>
        <stp>ACT_EST_MAPPING=PRECISE</stp>
        <stp>FS=MRC</stp>
        <stp>CURRENCY=USD</stp>
        <stp>XLFILL=b</stp>
        <tr r="O15" s="2"/>
      </tp>
      <tp t="s">
        <v>#N/A Requesting Data...</v>
        <stp/>
        <stp>##V3_BQLV12</stp>
        <stp>[MODL_NOW_US1.xlsx]Single Period!R54C35</stp>
        <stp>NOW US Equity</stp>
        <stp>IS_FOREIGN_CURRENCY_TURNOVER/1M</stp>
        <stp>FPR=2021Y</stp>
        <stp>FPT=A</stp>
        <stp>FA_ACT_EST_DATA=E, EST_SOURCE=MSR</stp>
        <stp>ACT_EST_MAPPING=PRECISE</stp>
        <stp>FS=MRC</stp>
        <stp>CURRENCY=USD</stp>
        <stp>XLFILL=b</stp>
        <tr r="AI54" s="2"/>
      </tp>
      <tp t="s">
        <v>#N/A Requesting Data...</v>
        <stp/>
        <stp>##V3_BQLV12</stp>
        <stp>[MODL_NOW_US1.xlsx]Single Period!R231C10</stp>
        <stp>NOW US Equity</stp>
        <stp>CF_NET_CHNG_CASH/1M</stp>
        <stp>FPR=2021Y</stp>
        <stp>FPT=A</stp>
        <stp>FA_ACT_EST_DATA=E, EST_SOURCE=CMPY</stp>
        <stp>ACT_EST_MAPPING=PRECISE</stp>
        <stp>FS=MRC</stp>
        <stp>CURRENCY=USD</stp>
        <stp>XLFILL=b</stp>
        <tr r="J231" s="2"/>
      </tp>
      <tp t="s">
        <v>#N/A Requesting Data...</v>
        <stp/>
        <stp>##V3_BQLV12</stp>
        <stp>[MODL_NOW_US1.xlsx]Single Period!R226C10</stp>
        <stp>NOW US Equity</stp>
        <stp>CF_OTHER_FINANCING_ACT_EXCL_FX/1M</stp>
        <stp>FPR=2021Y</stp>
        <stp>FPT=A</stp>
        <stp>FA_ACT_EST_DATA=E, EST_SOURCE=CMPY</stp>
        <stp>ACT_EST_MAPPING=PRECISE</stp>
        <stp>FS=MRC</stp>
        <stp>CURRENCY=USD</stp>
        <stp>XLFILL=b</stp>
        <tr r="J226" s="2"/>
      </tp>
      <tp t="s">
        <v>#N/A Requesting Data...</v>
        <stp/>
        <stp>##V3_BQLV12</stp>
        <stp>[MODL_NOW_US1.xlsx]Single Period!R201C49</stp>
        <stp>NOW US Equity</stp>
        <stp>D_AND_A_TO_SALES</stp>
        <stp>FPR=2021Y</stp>
        <stp>FPT=A</stp>
        <stp>FA_ACT_EST_DATA=E, EST_SOURCE=SCB</stp>
        <stp>ACT_EST_MAPPING=PRECISE</stp>
        <stp>FS=MRC</stp>
        <stp>CURRENCY=USD</stp>
        <stp>XLFILL=b</stp>
        <tr r="AW201" s="2"/>
      </tp>
      <tp t="s">
        <v>#N/A Requesting Data...</v>
        <stp/>
        <stp>##V3_BQLV12</stp>
        <stp>[MODL_NOW_US1.xlsx]Single Period!R156C26</stp>
        <stp>NOW US Equity</stp>
        <stp>BS_CASH_NEAR_CASH_ITEM/1M</stp>
        <stp>FPR=2021Y</stp>
        <stp>FPT=A</stp>
        <stp>FA_ACT_EST_DATA=E, EST_SOURCE=UBS</stp>
        <stp>ACT_EST_MAPPING=PRECISE</stp>
        <stp>FS=MRC</stp>
        <stp>CURRENCY=USD</stp>
        <stp>XLFILL=b</stp>
        <tr r="Z156" s="2"/>
      </tp>
      <tp t="s">
        <v>#N/A Requesting Data...</v>
        <stp/>
        <stp>##V3_BQLV12</stp>
        <stp>[MODL_NOW_US1.xlsx]Single Period!R226C23</stp>
        <stp>NOW US Equity</stp>
        <stp>CF_OTHER_FINANCING_ACT_EXCL_FX/1M</stp>
        <stp>FPR=2021Y</stp>
        <stp>FPT=A</stp>
        <stp>FA_ACT_EST_DATA=E, EST_SOURCE=ZXS</stp>
        <stp>ACT_EST_MAPPING=PRECISE</stp>
        <stp>FS=MRC</stp>
        <stp>CURRENCY=USD</stp>
        <stp>XLFILL=b</stp>
        <tr r="W226" s="2"/>
      </tp>
      <tp t="s">
        <v>#N/A Requesting Data...</v>
        <stp/>
        <stp>##V3_BQLV12</stp>
        <stp>[MODL_NOW_US1.xlsx]Single Period!R64C15</stp>
        <stp>SEG0000230975 Segment</stp>
        <stp>CB_IS_GROSS_MARGIN</stp>
        <stp>FPR=2021Y</stp>
        <stp>FPT=A</stp>
        <stp>FA_ACT_EST_DATA=E, EST_SOURCE=OPY</stp>
        <stp>ACT_EST_MAPPING=PRECISE</stp>
        <stp>FS=MRC</stp>
        <stp>CURRENCY=USD</stp>
        <stp>XLFILL=b</stp>
        <tr r="O64" s="2"/>
      </tp>
      <tp t="s">
        <v>#N/A Requesting Data...</v>
        <stp/>
        <stp>##V3_BQLV12</stp>
        <stp>[MODL_NOW_US1.xlsx]Single Period!R40C21</stp>
        <stp>NOW US Equity</stp>
        <stp>BILLNG_AMOUNT_GROWTH_PCT</stp>
        <stp>FPR=2021Y</stp>
        <stp>FPT=A</stp>
        <stp>FA_ACT_EST_DATA=E, EST_SOURCE=JMP</stp>
        <stp>ACT_EST_MAPPING=PRECISE</stp>
        <stp>FS=MRC</stp>
        <stp>CURRENCY=USD</stp>
        <stp>XLFILL=b</stp>
        <tr r="U40" s="2"/>
      </tp>
      <tp t="s">
        <v>#N/A Requesting Data...</v>
        <stp/>
        <stp>##V3_BQLV12</stp>
        <stp>[MODL_NOW_US1.xlsx]Single Period!R232C15</stp>
        <stp>NOW US Equity</stp>
        <stp>CF_CASH_AND_CASH_EQUIV_BEG_BAL/1M</stp>
        <stp>FPR=2021Y</stp>
        <stp>FPT=A</stp>
        <stp>FA_ACT_EST_DATA=E, EST_SOURCE=OPY</stp>
        <stp>ACT_EST_MAPPING=PRECISE</stp>
        <stp>FS=MRC</stp>
        <stp>CURRENCY=USD</stp>
        <stp>XLFILL=b</stp>
        <tr r="O232" s="2"/>
      </tp>
      <tp t="s">
        <v>#N/A Requesting Data...</v>
        <stp/>
        <stp>##V3_BQLV12</stp>
        <stp>[MODL_NOW_US1.xlsx]Single Period!R22C26</stp>
        <stp>SEG0000230986 Segment</stp>
        <stp>IS_ADJ_GROSS_MARGIN_PCT_AR</stp>
        <stp>FPR=2021Y</stp>
        <stp>FPT=A</stp>
        <stp>FA_ACT_EST_DATA=E, EST_SOURCE=UBS</stp>
        <stp>ACT_EST_MAPPING=PRECISE</stp>
        <stp>FS=MRC</stp>
        <stp>CURRENCY=USD</stp>
        <stp>XLFILL=b</stp>
        <tr r="Z22" s="2"/>
      </tp>
      <tp t="s">
        <v>#N/A Requesting Data...</v>
        <stp/>
        <stp>##V3_BQLV12</stp>
        <stp>[MODL_NOW_US1.xlsx]Single Period!R70C26</stp>
        <stp>SEG0000230986 Segment</stp>
        <stp>IS_ADJ_GROSS_MARGIN_PCT_AR</stp>
        <stp>FPR=2021Y</stp>
        <stp>FPT=A</stp>
        <stp>FA_ACT_EST_DATA=E, EST_SOURCE=UBS</stp>
        <stp>ACT_EST_MAPPING=PRECISE</stp>
        <stp>FS=MRC</stp>
        <stp>CURRENCY=USD</stp>
        <stp>XLFILL=b</stp>
        <tr r="Z70" s="2"/>
      </tp>
      <tp t="s">
        <v>#N/A Requesting Data...</v>
        <stp/>
        <stp>##V3_BQLV12</stp>
        <stp>[MODL_NOW_US1.xlsx]Single Period!R126C21</stp>
        <stp>NOW US Equity</stp>
        <stp>IS_NON_OPERATING_INC_LOSS_GAAP/1M</stp>
        <stp>FPR=2021Y</stp>
        <stp>FPT=A</stp>
        <stp>FA_ACT_EST_DATA=E, EST_SOURCE=JMP</stp>
        <stp>ACT_EST_MAPPING=PRECISE</stp>
        <stp>FS=MRC</stp>
        <stp>CURRENCY=USD</stp>
        <stp>XLFILL=b</stp>
        <tr r="U126" s="2"/>
      </tp>
      <tp t="s">
        <v>#N/A Requesting Data...</v>
        <stp/>
        <stp>##V3_BQLV12</stp>
        <stp>[MODL_NOW_US1.xlsx]Single Period!R168C49</stp>
        <stp>NOW US Equity</stp>
        <stp>CB_BS_DEFERRED_COST_LT/1M</stp>
        <stp>FPR=2021Y</stp>
        <stp>FPT=A</stp>
        <stp>FA_ACT_EST_DATA=E, EST_SOURCE=SCB</stp>
        <stp>ACT_EST_MAPPING=PRECISE</stp>
        <stp>FS=MRC</stp>
        <stp>CURRENCY=USD</stp>
        <stp>XLFILL=b</stp>
        <tr r="AW168" s="2"/>
      </tp>
      <tp t="s">
        <v>#N/A Requesting Data...</v>
        <stp/>
        <stp>##V3_BQLV12</stp>
        <stp>[MODL_NOW_US1.xlsx]Single Period!R168C16</stp>
        <stp>NOW US Equity</stp>
        <stp>CB_BS_DEFERRED_COST_LT/1M</stp>
        <stp>FPR=2021Y</stp>
        <stp>FPT=A</stp>
        <stp>FA_ACT_EST_DATA=E, EST_SOURCE=BCA</stp>
        <stp>ACT_EST_MAPPING=PRECISE</stp>
        <stp>FS=MRC</stp>
        <stp>CURRENCY=USD</stp>
        <stp>XLFILL=b</stp>
        <tr r="P168" s="2"/>
      </tp>
      <tp t="s">
        <v>#N/A Requesting Data...</v>
        <stp/>
        <stp>##V3_BQLV12</stp>
        <stp>[MODL_NOW_US1.xlsx]Single Period!R156C27</stp>
        <stp>NOW US Equity</stp>
        <stp>BS_CASH_NEAR_CASH_ITEM/1M</stp>
        <stp>FPR=2021Y</stp>
        <stp>FPT=A</stp>
        <stp>FA_ACT_EST_DATA=E, EST_SOURCE=RBC</stp>
        <stp>ACT_EST_MAPPING=PRECISE</stp>
        <stp>FS=MRC</stp>
        <stp>CURRENCY=USD</stp>
        <stp>XLFILL=b</stp>
        <tr r="AA156" s="2"/>
      </tp>
      <tp t="s">
        <v>#N/A Requesting Data...</v>
        <stp/>
        <stp>##V3_BQLV12</stp>
        <stp>[MODL_NOW_US1.xlsx]Single Period!R156C32</stp>
        <stp>NOW US Equity</stp>
        <stp>BS_CASH_NEAR_CASH_ITEM/1M</stp>
        <stp>FPR=2021Y</stp>
        <stp>FPT=A</stp>
        <stp>FA_ACT_EST_DATA=E, EST_SOURCE=FBC</stp>
        <stp>ACT_EST_MAPPING=PRECISE</stp>
        <stp>FS=MRC</stp>
        <stp>CURRENCY=USD</stp>
        <stp>XLFILL=b</stp>
        <tr r="AF156" s="2"/>
      </tp>
      <tp t="s">
        <v>#N/A Requesting Data...</v>
        <stp/>
        <stp>##V3_BQLV12</stp>
        <stp>[MODL_NOW_US1.xlsx]Single Period!R232C11</stp>
        <stp>NOW US Equity</stp>
        <stp>CF_CASH_AND_CASH_EQUIV_BEG_BAL/1M</stp>
        <stp>FPR=2021Y</stp>
        <stp>FPT=A</stp>
        <stp>FA_ACT_EST_DATA=E, EST_SOURCE=JPM</stp>
        <stp>ACT_EST_MAPPING=PRECISE</stp>
        <stp>FS=MRC</stp>
        <stp>CURRENCY=USD</stp>
        <stp>XLFILL=b</stp>
        <tr r="K232" s="2"/>
      </tp>
      <tp t="s">
        <v>#N/A Requesting Data...</v>
        <stp/>
        <stp>##V3_BQLV12</stp>
        <stp>[MODL_NOW_US1.xlsx]Single Period!R22C25</stp>
        <stp>SEG0000230986 Segment</stp>
        <stp>IS_ADJ_GROSS_MARGIN_PCT_AR</stp>
        <stp>FPR=2021Y</stp>
        <stp>FPT=A</stp>
        <stp>FA_ACT_EST_DATA=E, EST_SOURCE=DBG</stp>
        <stp>ACT_EST_MAPPING=PRECISE</stp>
        <stp>FS=MRC</stp>
        <stp>CURRENCY=USD</stp>
        <stp>XLFILL=b</stp>
        <tr r="Y22" s="2"/>
      </tp>
      <tp t="s">
        <v>#N/A Requesting Data...</v>
        <stp/>
        <stp>##V3_BQLV12</stp>
        <stp>[MODL_NOW_US1.xlsx]Single Period!R70C25</stp>
        <stp>SEG0000230986 Segment</stp>
        <stp>IS_ADJ_GROSS_MARGIN_PCT_AR</stp>
        <stp>FPR=2021Y</stp>
        <stp>FPT=A</stp>
        <stp>FA_ACT_EST_DATA=E, EST_SOURCE=DBG</stp>
        <stp>ACT_EST_MAPPING=PRECISE</stp>
        <stp>FS=MRC</stp>
        <stp>CURRENCY=USD</stp>
        <stp>XLFILL=b</stp>
        <tr r="Y70" s="2"/>
      </tp>
      <tp t="s">
        <v>#N/A Requesting Data...</v>
        <stp/>
        <stp>##V3_BQLV12</stp>
        <stp>[MODL_NOW_US1.xlsx]Single Period!R156C25</stp>
        <stp>NOW US Equity</stp>
        <stp>BS_CASH_NEAR_CASH_ITEM/1M</stp>
        <stp>FPR=2021Y</stp>
        <stp>FPT=A</stp>
        <stp>FA_ACT_EST_DATA=E, EST_SOURCE=DBG</stp>
        <stp>ACT_EST_MAPPING=PRECISE</stp>
        <stp>FS=MRC</stp>
        <stp>CURRENCY=USD</stp>
        <stp>XLFILL=b</stp>
        <tr r="Y156" s="2"/>
      </tp>
      <tp t="s">
        <v>#N/A Requesting Data...</v>
        <stp/>
        <stp>##V3_BQLV12</stp>
        <stp>[MODL_NOW_US1.xlsx]Single Period!R22C27</stp>
        <stp>SEG0000230986 Segment</stp>
        <stp>IS_ADJ_GROSS_MARGIN_PCT_AR</stp>
        <stp>FPR=2021Y</stp>
        <stp>FPT=A</stp>
        <stp>FA_ACT_EST_DATA=E, EST_SOURCE=RBC</stp>
        <stp>ACT_EST_MAPPING=PRECISE</stp>
        <stp>FS=MRC</stp>
        <stp>CURRENCY=USD</stp>
        <stp>XLFILL=b</stp>
        <tr r="AA22" s="2"/>
      </tp>
      <tp t="s">
        <v>#N/A Requesting Data...</v>
        <stp/>
        <stp>##V3_BQLV12</stp>
        <stp>[MODL_NOW_US1.xlsx]Single Period!R70C27</stp>
        <stp>SEG0000230986 Segment</stp>
        <stp>IS_ADJ_GROSS_MARGIN_PCT_AR</stp>
        <stp>FPR=2021Y</stp>
        <stp>FPT=A</stp>
        <stp>FA_ACT_EST_DATA=E, EST_SOURCE=RBC</stp>
        <stp>ACT_EST_MAPPING=PRECISE</stp>
        <stp>FS=MRC</stp>
        <stp>CURRENCY=USD</stp>
        <stp>XLFILL=b</stp>
        <tr r="AA70" s="2"/>
      </tp>
      <tp t="s">
        <v>#N/A Requesting Data...</v>
        <stp/>
        <stp>##V3_BQLV12</stp>
        <stp>[MODL_NOW_US1.xlsx]Single Period!R70C32</stp>
        <stp>SEG0000230986 Segment</stp>
        <stp>IS_ADJ_GROSS_MARGIN_PCT_AR</stp>
        <stp>FPR=2021Y</stp>
        <stp>FPT=A</stp>
        <stp>FA_ACT_EST_DATA=E, EST_SOURCE=FBC</stp>
        <stp>ACT_EST_MAPPING=PRECISE</stp>
        <stp>FS=MRC</stp>
        <stp>CURRENCY=USD</stp>
        <stp>XLFILL=b</stp>
        <tr r="AF70" s="2"/>
      </tp>
      <tp t="s">
        <v>#N/A Requesting Data...</v>
        <stp/>
        <stp>##V3_BQLV12</stp>
        <stp>[MODL_NOW_US1.xlsx]Single Period!R62C33</stp>
        <stp>SEG0000230975 Segment</stp>
        <stp>IS_ADJ_GROSS_MARGIN_PCT_AR</stp>
        <stp>FPR=2021Y</stp>
        <stp>FPT=A</stp>
        <stp>FA_ACT_EST_DATA=E, EST_SOURCE=MAC</stp>
        <stp>ACT_EST_MAPPING=PRECISE</stp>
        <stp>FS=MRC</stp>
        <stp>CURRENCY=USD</stp>
        <stp>XLFILL=b</stp>
        <tr r="AG62" s="2"/>
      </tp>
      <tp t="s">
        <v>#N/A Requesting Data...</v>
        <stp/>
        <stp>##V3_BQLV12</stp>
        <stp>[MODL_NOW_US1.xlsx]Single Period!R22C32</stp>
        <stp>SEG0000230986 Segment</stp>
        <stp>IS_ADJ_GROSS_MARGIN_PCT_AR</stp>
        <stp>FPR=2021Y</stp>
        <stp>FPT=A</stp>
        <stp>FA_ACT_EST_DATA=E, EST_SOURCE=FBC</stp>
        <stp>ACT_EST_MAPPING=PRECISE</stp>
        <stp>FS=MRC</stp>
        <stp>CURRENCY=USD</stp>
        <stp>XLFILL=b</stp>
        <tr r="AF22" s="2"/>
      </tp>
      <tp t="s">
        <v>#N/A Requesting Data...</v>
        <stp/>
        <stp>##V3_BQLV12</stp>
        <stp>[MODL_NOW_US1.xlsx]Single Period!R18C33</stp>
        <stp>SEG0000230975 Segment</stp>
        <stp>IS_ADJ_GROSS_MARGIN_PCT_AR</stp>
        <stp>FPR=2021Y</stp>
        <stp>FPT=A</stp>
        <stp>FA_ACT_EST_DATA=E, EST_SOURCE=MAC</stp>
        <stp>ACT_EST_MAPPING=PRECISE</stp>
        <stp>FS=MRC</stp>
        <stp>CURRENCY=USD</stp>
        <stp>XLFILL=b</stp>
        <tr r="AG18" s="2"/>
      </tp>
      <tp t="s">
        <v>#N/A Requesting Data...</v>
        <stp/>
        <stp>##V3_BQLV12</stp>
        <stp>[MODL_NOW_US1.xlsx]Single Period!R64C11</stp>
        <stp>SEG0000230975 Segment</stp>
        <stp>CB_IS_GROSS_MARGIN</stp>
        <stp>FPR=2021Y</stp>
        <stp>FPT=A</stp>
        <stp>FA_ACT_EST_DATA=E, EST_SOURCE=JPM</stp>
        <stp>ACT_EST_MAPPING=PRECISE</stp>
        <stp>FS=MRC</stp>
        <stp>CURRENCY=USD</stp>
        <stp>XLFILL=b</stp>
        <tr r="K64" s="2"/>
      </tp>
      <tp t="s">
        <v>#N/A Requesting Data...</v>
        <stp/>
        <stp>##V3_BQLV12</stp>
        <stp>[MODL_NOW_US1.xlsx]Single Period!R126C14</stp>
        <stp>NOW US Equity</stp>
        <stp>IS_NON_OPERATING_INC_LOSS_GAAP/1M</stp>
        <stp>FPR=2021Y</stp>
        <stp>FPT=A</stp>
        <stp>FA_ACT_EST_DATA=E, EST_SOURCE=BMO</stp>
        <stp>ACT_EST_MAPPING=PRECISE</stp>
        <stp>FS=MRC</stp>
        <stp>CURRENCY=USD</stp>
        <stp>XLFILL=b</stp>
        <tr r="N126" s="2"/>
      </tp>
      <tp t="s">
        <v>#N/A Requesting Data...</v>
        <stp/>
        <stp>##V3_BQLV12</stp>
        <stp>[MODL_NOW_US1.xlsx]Single Period!R62C30</stp>
        <stp>SEG0000230975 Segment</stp>
        <stp>IS_ADJ_GROSS_MARGIN_PCT_AR</stp>
        <stp>FPR=2021Y</stp>
        <stp>FPT=A</stp>
        <stp>FA_ACT_EST_DATA=E, EST_SOURCE=BAM</stp>
        <stp>ACT_EST_MAPPING=PRECISE</stp>
        <stp>FS=MRC</stp>
        <stp>CURRENCY=USD</stp>
        <stp>XLFILL=b</stp>
        <tr r="AD62" s="2"/>
      </tp>
      <tp t="s">
        <v>#N/A Requesting Data...</v>
        <stp/>
        <stp>##V3_BQLV12</stp>
        <stp>[MODL_NOW_US1.xlsx]Single Period!R18C30</stp>
        <stp>SEG0000230975 Segment</stp>
        <stp>IS_ADJ_GROSS_MARGIN_PCT_AR</stp>
        <stp>FPR=2021Y</stp>
        <stp>FPT=A</stp>
        <stp>FA_ACT_EST_DATA=E, EST_SOURCE=BAM</stp>
        <stp>ACT_EST_MAPPING=PRECISE</stp>
        <stp>FS=MRC</stp>
        <stp>CURRENCY=USD</stp>
        <stp>XLFILL=b</stp>
        <tr r="AD18" s="2"/>
      </tp>
      <tp t="s">
        <v>#N/A Requesting Data...</v>
        <stp/>
        <stp>##V3_BQLV12</stp>
        <stp>[MODL_NOW_US1.xlsx]Single Period!R233C44</stp>
        <stp>NOW US Equity</stp>
        <stp>CF_CASH_AND_CASH_EQUIV_END_BAL/1M</stp>
        <stp>FPR=2021Y</stp>
        <stp>FPT=A</stp>
        <stp>FA_ACT_EST_DATA=E, EST_SOURCE=ARE</stp>
        <stp>ACT_EST_MAPPING=PRECISE</stp>
        <stp>FS=MRC</stp>
        <stp>CURRENCY=USD</stp>
        <stp>XLFILL=b</stp>
        <tr r="AR233" s="2"/>
      </tp>
      <tp t="s">
        <v>#N/A Requesting Data...</v>
        <stp/>
        <stp>##V3_BQLV12</stp>
        <stp>[MODL_NOW_US1.xlsx]Single Period!R70C12</stp>
        <stp>SEG0000230986 Segment</stp>
        <stp>IS_ADJ_GROSS_MARGIN_PCT_AR</stp>
        <stp>FPR=2021Y</stp>
        <stp>FPT=A</stp>
        <stp>FA_ACT_EST_DATA=E, EST_SOURCE=WBL</stp>
        <stp>ACT_EST_MAPPING=PRECISE</stp>
        <stp>FS=MRC</stp>
        <stp>CURRENCY=USD</stp>
        <stp>XLFILL=b</stp>
        <tr r="L70" s="2"/>
      </tp>
      <tp t="s">
        <v>#N/A Requesting Data...</v>
        <stp/>
        <stp>##V3_BQLV12</stp>
        <stp>[MODL_NOW_US1.xlsx]Single Period!R22C12</stp>
        <stp>SEG0000230986 Segment</stp>
        <stp>IS_ADJ_GROSS_MARGIN_PCT_AR</stp>
        <stp>FPR=2021Y</stp>
        <stp>FPT=A</stp>
        <stp>FA_ACT_EST_DATA=E, EST_SOURCE=WBL</stp>
        <stp>ACT_EST_MAPPING=PRECISE</stp>
        <stp>FS=MRC</stp>
        <stp>CURRENCY=USD</stp>
        <stp>XLFILL=b</stp>
        <tr r="L22" s="2"/>
      </tp>
      <tp t="s">
        <v>#N/A Requesting Data...</v>
        <stp/>
        <stp>##V3_BQLV12</stp>
        <stp>[MODL_NOW_US1.xlsx]Single Period!R62C20</stp>
        <stp>SEG0000230975 Segment</stp>
        <stp>IS_ADJ_GROSS_MARGIN_PCT_AR</stp>
        <stp>FPR=2021Y</stp>
        <stp>FPT=A</stp>
        <stp>FA_ACT_EST_DATA=E, EST_SOURCE=CAN</stp>
        <stp>ACT_EST_MAPPING=PRECISE</stp>
        <stp>FS=MRC</stp>
        <stp>CURRENCY=USD</stp>
        <stp>XLFILL=b</stp>
        <tr r="T62" s="2"/>
      </tp>
      <tp t="s">
        <v>#N/A Requesting Data...</v>
        <stp/>
        <stp>##V3_BQLV12</stp>
        <stp>[MODL_NOW_US1.xlsx]Single Period!R18C20</stp>
        <stp>SEG0000230975 Segment</stp>
        <stp>IS_ADJ_GROSS_MARGIN_PCT_AR</stp>
        <stp>FPR=2021Y</stp>
        <stp>FPT=A</stp>
        <stp>FA_ACT_EST_DATA=E, EST_SOURCE=CAN</stp>
        <stp>ACT_EST_MAPPING=PRECISE</stp>
        <stp>FS=MRC</stp>
        <stp>CURRENCY=USD</stp>
        <stp>XLFILL=b</stp>
        <tr r="T18" s="2"/>
      </tp>
      <tp t="s">
        <v>#N/A Requesting Data...</v>
        <stp/>
        <stp>##V3_BQLV12</stp>
        <stp>[MODL_NOW_US1.xlsx]Single Period!R233C41</stp>
        <stp>NOW US Equity</stp>
        <stp>CF_CASH_AND_CASH_EQUIV_END_BAL/1M</stp>
        <stp>FPR=2021Y</stp>
        <stp>FPT=A</stp>
        <stp>FA_ACT_EST_DATA=E, EST_SOURCE=ARG</stp>
        <stp>ACT_EST_MAPPING=PRECISE</stp>
        <stp>FS=MRC</stp>
        <stp>CURRENCY=USD</stp>
        <stp>XLFILL=b</stp>
        <tr r="AO233" s="2"/>
      </tp>
      <tp t="s">
        <v>#N/A Requesting Data...</v>
        <stp/>
        <stp>##V3_BQLV12</stp>
        <stp>[MODL_NOW_US1.xlsx]Single Period!R10C14</stp>
        <stp>NOW US Equity</stp>
        <stp>BILLNG_AMOUNT_GROWTH_PCT</stp>
        <stp>FPR=2021Y</stp>
        <stp>FPT=A</stp>
        <stp>FA_ACT_EST_DATA=E, EST_SOURCE=BMO</stp>
        <stp>ACT_EST_MAPPING=PRECISE</stp>
        <stp>FS=MRC</stp>
        <stp>CURRENCY=USD</stp>
        <stp>XLFILL=b</stp>
        <tr r="N10" s="2"/>
      </tp>
      <tp t="s">
        <v>#N/A Requesting Data...</v>
        <stp/>
        <stp>##V3_BQLV12</stp>
        <stp>[MODL_NOW_US1.xlsx]Single Period!R195C29</stp>
        <stp>NOW US Equity</stp>
        <stp>CB_BS_DEFERRED_COST_LT/1M</stp>
        <stp>FPR=2021Y</stp>
        <stp>FPT=A</stp>
        <stp>FA_ACT_EST_DATA=E, EST_SOURCE=BNS</stp>
        <stp>ACT_EST_MAPPING=PRECISE</stp>
        <stp>FS=MRC</stp>
        <stp>CURRENCY=USD</stp>
        <stp>XLFILL=b</stp>
        <tr r="AC195" s="2"/>
      </tp>
      <tp t="s">
        <v>#N/A Requesting Data...</v>
        <stp/>
        <stp>##V3_BQLV12</stp>
        <stp>[MODL_NOW_US1.xlsx]Single Period!R195C18</stp>
        <stp>NOW US Equity</stp>
        <stp>CB_BS_DEFERRED_COST_LT/1M</stp>
        <stp>FPR=2021Y</stp>
        <stp>FPT=A</stp>
        <stp>FA_ACT_EST_DATA=E, EST_SOURCE=SNR</stp>
        <stp>ACT_EST_MAPPING=PRECISE</stp>
        <stp>FS=MRC</stp>
        <stp>CURRENCY=USD</stp>
        <stp>XLFILL=b</stp>
        <tr r="R195" s="2"/>
      </tp>
      <tp t="s">
        <v>#N/A Requesting Data...</v>
        <stp/>
        <stp>##V3_BQLV12</stp>
        <stp>[MODL_NOW_US1.xlsx]Single Period!R156C12</stp>
        <stp>NOW US Equity</stp>
        <stp>BS_CASH_NEAR_CASH_ITEM/1M</stp>
        <stp>FPR=2021Y</stp>
        <stp>FPT=A</stp>
        <stp>FA_ACT_EST_DATA=E, EST_SOURCE=WBL</stp>
        <stp>ACT_EST_MAPPING=PRECISE</stp>
        <stp>FS=MRC</stp>
        <stp>CURRENCY=USD</stp>
        <stp>XLFILL=b</stp>
        <tr r="L156" s="2"/>
      </tp>
      <tp t="s">
        <v>#N/A Requesting Data...</v>
        <stp/>
        <stp>##V3_BQLV12</stp>
        <stp>[MODL_NOW_US1.xlsx]Single Period!R233C48</stp>
        <stp>NOW US Equity</stp>
        <stp>CF_CASH_AND_CASH_EQUIV_END_BAL/1M</stp>
        <stp>FPR=2021Y</stp>
        <stp>FPT=A</stp>
        <stp>FA_ACT_EST_DATA=E, EST_SOURCE=CRC</stp>
        <stp>ACT_EST_MAPPING=PRECISE</stp>
        <stp>FS=MRC</stp>
        <stp>CURRENCY=USD</stp>
        <stp>XLFILL=b</stp>
        <tr r="AV233" s="2"/>
      </tp>
      <tp t="s">
        <v>#N/A Requesting Data...</v>
        <stp/>
        <stp>##V3_BQLV12</stp>
        <stp>[MODL_NOW_US1.xlsx]Single Period!R92C12</stp>
        <stp>NOW US Equity</stp>
        <stp>IS_ADJ_GENL_AND_ADMIN_EXPN_AR/1M</stp>
        <stp>FPR=2021Y</stp>
        <stp>FPT=A</stp>
        <stp>FA_ACT_EST_DATA=E, EST_SOURCE=WBL</stp>
        <stp>ACT_EST_MAPPING=PRECISE</stp>
        <stp>FS=MRC</stp>
        <stp>CURRENCY=USD</stp>
        <stp>XLFILL=b</stp>
        <tr r="L92" s="2"/>
      </tp>
      <tp t="s">
        <v>#N/A Requesting Data...</v>
        <stp/>
        <stp>##V3_BQLV12</stp>
        <stp>[MODL_NOW_US1.xlsx]Single Period!R158C36</stp>
        <stp>NOW US Equity</stp>
        <stp>BS_ACCTS_REC_EXCL_NOTES_REC/1M</stp>
        <stp>FPR=2021Y</stp>
        <stp>FPT=A</stp>
        <stp>FA_ACT_EST_DATA=E, EST_SOURCE=JEF</stp>
        <stp>ACT_EST_MAPPING=PRECISE</stp>
        <stp>FS=MRC</stp>
        <stp>CURRENCY=USD</stp>
        <stp>XLFILL=b</stp>
        <tr r="AJ158" s="2"/>
      </tp>
      <tp t="s">
        <v>#N/A Requesting Data...</v>
        <stp/>
        <stp>##V3_BQLV12</stp>
        <stp>[MODL_NOW_US1.xlsx]Single Period!R142C21</stp>
        <stp>NOW US Equity</stp>
        <stp>IS_SBC_ATT_TO_S_AND_M_PRETX/1M</stp>
        <stp>FPR=2021Y</stp>
        <stp>FPT=A</stp>
        <stp>FA_ACT_EST_DATA=E, EST_SOURCE=JMP</stp>
        <stp>ACT_EST_MAPPING=PRECISE</stp>
        <stp>FS=MRC</stp>
        <stp>CURRENCY=USD</stp>
        <stp>XLFILL=b</stp>
        <tr r="U142" s="2"/>
      </tp>
      <tp t="s">
        <v>#N/A Requesting Data...</v>
        <stp/>
        <stp>##V3_BQLV12</stp>
        <stp>[MODL_NOW_US1.xlsx]Single Period!R137C15</stp>
        <stp>NOW US Equity</stp>
        <stp>CF_STOCK_BASED_COMPENSATION/1M</stp>
        <stp>FPR=2021Y</stp>
        <stp>FPT=A</stp>
        <stp>FA_ACT_EST_DATA=E, EST_SOURCE=OPY</stp>
        <stp>ACT_EST_MAPPING=PRECISE</stp>
        <stp>FS=MRC</stp>
        <stp>CURRENCY=USD</stp>
        <stp>XLFILL=b</stp>
        <tr r="O137" s="2"/>
      </tp>
      <tp t="s">
        <v>#N/A Requesting Data...</v>
        <stp/>
        <stp>##V3_BQLV12</stp>
        <stp>[MODL_NOW_US1.xlsx]Single Period!R167C39</stp>
        <stp>NOW US Equity</stp>
        <stp>BS_GOODWILL/1M</stp>
        <stp>FPR=2021Y</stp>
        <stp>FPT=A</stp>
        <stp>FA_ACT_EST_DATA=E, EST_SOURCE=DZB</stp>
        <stp>ACT_EST_MAPPING=PRECISE</stp>
        <stp>FS=MRC</stp>
        <stp>CURRENCY=USD</stp>
        <stp>XLFILL=b</stp>
        <tr r="AM167" s="2"/>
      </tp>
      <tp t="s">
        <v>#N/A Requesting Data...</v>
        <stp/>
        <stp>##V3_BQLV12</stp>
        <stp>[MODL_NOW_US1.xlsx]Single Period!R210C13</stp>
        <stp>NOW US Equity</stp>
        <stp>CF_CHANGE_IN_PREPAID_EXPNSS/1M</stp>
        <stp>FPR=2021Y</stp>
        <stp>FPT=A</stp>
        <stp>FA_ACT_EST_DATA=E, EST_SOURCE=KEY</stp>
        <stp>ACT_EST_MAPPING=PRECISE</stp>
        <stp>FS=MRC</stp>
        <stp>CURRENCY=USD</stp>
        <stp>XLFILL=b</stp>
        <tr r="M210" s="2"/>
      </tp>
      <tp t="s">
        <v>#N/A Requesting Data...</v>
        <stp/>
        <stp>##V3_BQLV12</stp>
        <stp>[MODL_NOW_US1.xlsx]Single Period!R105C13</stp>
        <stp>NOW US Equity</stp>
        <stp>ADJ_PROFIT_MARGIN</stp>
        <stp>FPR=2021Y</stp>
        <stp>FPT=A</stp>
        <stp>FA_ACT_EST_DATA=E, EST_SOURCE=KEY</stp>
        <stp>ACT_EST_MAPPING=PRECISE</stp>
        <stp>FS=MRC</stp>
        <stp>CURRENCY=USD</stp>
        <stp>XLFILL=b</stp>
        <tr r="M105" s="2"/>
      </tp>
      <tp t="s">
        <v>#N/A Requesting Data...</v>
        <stp/>
        <stp>##V3_BQLV12</stp>
        <stp>[MODL_NOW_US1.xlsx]Single Period!R184C15</stp>
        <stp>NOW US Equity</stp>
        <stp>BS_EQTY_BEFORE_MINORITY_INT/1M</stp>
        <stp>FPR=2021Y</stp>
        <stp>FPT=A</stp>
        <stp>FA_ACT_EST_DATA=E, EST_SOURCE=OPY</stp>
        <stp>ACT_EST_MAPPING=PRECISE</stp>
        <stp>FS=MRC</stp>
        <stp>CURRENCY=USD</stp>
        <stp>XLFILL=b</stp>
        <tr r="O184" s="2"/>
      </tp>
      <tp t="s">
        <v>#N/A Requesting Data...</v>
        <stp/>
        <stp>##V3_BQLV12</stp>
        <stp>[MODL_NOW_US1.xlsx]Single Period!R189C14</stp>
        <stp>NOW US Equity</stp>
        <stp>CUR_RATIO</stp>
        <stp>FPR=2021Y</stp>
        <stp>FPT=A</stp>
        <stp>FA_ACT_EST_DATA=E, EST_SOURCE=BMO</stp>
        <stp>ACT_EST_MAPPING=PRECISE</stp>
        <stp>FS=MRC</stp>
        <stp>CURRENCY=USD</stp>
        <stp>XLFILL=b</stp>
        <tr r="N189" s="2"/>
      </tp>
      <tp t="s">
        <v>#N/A Requesting Data...</v>
        <stp/>
        <stp>##V3_BQLV12</stp>
        <stp>[MODL_NOW_US1.xlsx]Single Period!R27C33</stp>
        <stp>NOW US Equity</stp>
        <stp>IS_REV_INCLUDING_INTERSEG_REV/1M</stp>
        <stp>FPR=2021Y</stp>
        <stp>FPT=A</stp>
        <stp>FA_ACT_EST_DATA=E, EST_SOURCE=MAC</stp>
        <stp>ACT_EST_MAPPING=PRECISE</stp>
        <stp>FS=MRC</stp>
        <stp>CURRENCY=USD</stp>
        <stp>XLFILL=b</stp>
        <tr r="AG27" s="2"/>
      </tp>
      <tp t="s">
        <v>#N/A Requesting Data...</v>
        <stp/>
        <stp>##V3_BQLV12</stp>
        <stp>[MODL_NOW_US1.xlsx]Single Period!R180C36</stp>
        <stp>NOW US Equity</stp>
        <stp>BS_LT_OPERATING_LEASE_LIABS/1M</stp>
        <stp>FPR=2021Y</stp>
        <stp>FPT=A</stp>
        <stp>FA_ACT_EST_DATA=E, EST_SOURCE=JEF</stp>
        <stp>ACT_EST_MAPPING=PRECISE</stp>
        <stp>FS=MRC</stp>
        <stp>CURRENCY=USD</stp>
        <stp>XLFILL=b</stp>
        <tr r="AJ180" s="2"/>
      </tp>
      <tp t="s">
        <v>#N/A Requesting Data...</v>
        <stp/>
        <stp>##V3_BQLV12</stp>
        <stp>[MODL_NOW_US1.xlsx]Single Period!R217C9</stp>
        <stp>NOW US Equity</stp>
        <stp>CONTRIBUTOR_STATS(CAP_EXPEND_TO_SALES, MEDIAN)</stp>
        <stp>FPR=2021Y</stp>
        <stp>FPT=A</stp>
        <stp>FA_ACT_EST_DATA=E</stp>
        <stp>ACT_EST_MAPPING=PRECISE</stp>
        <stp>FS=MRC</stp>
        <stp>CURRENCY=USD</stp>
        <stp>XLFILL=b</stp>
        <tr r="I217" s="2"/>
      </tp>
      <tp t="s">
        <v>#N/A Requesting Data...</v>
        <stp/>
        <stp>##V3_BQLV12</stp>
        <stp>[MODL_NOW_US1.xlsx]Single Period!R92C32</stp>
        <stp>NOW US Equity</stp>
        <stp>IS_ADJ_GENL_AND_ADMIN_EXPN_AR/1M</stp>
        <stp>FPR=2021Y</stp>
        <stp>FPT=A</stp>
        <stp>FA_ACT_EST_DATA=E, EST_SOURCE=FBC</stp>
        <stp>ACT_EST_MAPPING=PRECISE</stp>
        <stp>FS=MRC</stp>
        <stp>CURRENCY=USD</stp>
        <stp>XLFILL=b</stp>
        <tr r="AF92" s="2"/>
      </tp>
      <tp t="s">
        <v>#N/A Requesting Data...</v>
        <stp/>
        <stp>##V3_BQLV12</stp>
        <stp>[MODL_NOW_US1.xlsx]Single Period!R124C48</stp>
        <stp>NOW US Equity</stp>
        <stp>IS_EBIT_AS_REPORTED/1M</stp>
        <stp>FPR=2021Y</stp>
        <stp>FPT=A</stp>
        <stp>FA_ACT_EST_DATA=E, EST_SOURCE=CRC</stp>
        <stp>ACT_EST_MAPPING=PRECISE</stp>
        <stp>FS=MRC</stp>
        <stp>CURRENCY=USD</stp>
        <stp>XLFILL=b</stp>
        <tr r="AV124" s="2"/>
      </tp>
      <tp t="s">
        <v>#N/A Requesting Data...</v>
        <stp/>
        <stp>##V3_BQLV12</stp>
        <stp>[MODL_NOW_US1.xlsx]Single Period!R180C13</stp>
        <stp>NOW US Equity</stp>
        <stp>BS_LT_OPERATING_LEASE_LIABS/1M</stp>
        <stp>FPR=2021Y</stp>
        <stp>FPT=A</stp>
        <stp>FA_ACT_EST_DATA=E, EST_SOURCE=KEY</stp>
        <stp>ACT_EST_MAPPING=PRECISE</stp>
        <stp>FS=MRC</stp>
        <stp>CURRENCY=USD</stp>
        <stp>XLFILL=b</stp>
        <tr r="M180" s="2"/>
      </tp>
      <tp t="s">
        <v>#N/A Requesting Data...</v>
        <stp/>
        <stp>##V3_BQLV12</stp>
        <stp>[MODL_NOW_US1.xlsx]Single Period!R137C11</stp>
        <stp>NOW US Equity</stp>
        <stp>CF_STOCK_BASED_COMPENSATION/1M</stp>
        <stp>FPR=2021Y</stp>
        <stp>FPT=A</stp>
        <stp>FA_ACT_EST_DATA=E, EST_SOURCE=JPM</stp>
        <stp>ACT_EST_MAPPING=PRECISE</stp>
        <stp>FS=MRC</stp>
        <stp>CURRENCY=USD</stp>
        <stp>XLFILL=b</stp>
        <tr r="K137" s="2"/>
      </tp>
      <tp t="s">
        <v>#N/A Requesting Data...</v>
        <stp/>
        <stp>##V3_BQLV12</stp>
        <stp>[MODL_NOW_US1.xlsx]Single Period!R203C41</stp>
        <stp>NOW US Equity</stp>
        <stp>AMORTIZATN_OF_FINNCNG_COSTS/1M</stp>
        <stp>FPR=2021Y</stp>
        <stp>FPT=A</stp>
        <stp>FA_ACT_EST_DATA=E, EST_SOURCE=ARG</stp>
        <stp>ACT_EST_MAPPING=PRECISE</stp>
        <stp>FS=MRC</stp>
        <stp>CURRENCY=USD</stp>
        <stp>XLFILL=b</stp>
        <tr r="AO203" s="2"/>
      </tp>
      <tp t="s">
        <v>#N/A Requesting Data...</v>
        <stp/>
        <stp>##V3_BQLV12</stp>
        <stp>[MODL_NOW_US1.xlsx]Single Period!R167C46</stp>
        <stp>NOW US Equity</stp>
        <stp>BS_GOODWILL/1M</stp>
        <stp>FPR=2021Y</stp>
        <stp>FPT=A</stp>
        <stp>FA_ACT_EST_DATA=E, EST_SOURCE=MZS</stp>
        <stp>ACT_EST_MAPPING=PRECISE</stp>
        <stp>FS=MRC</stp>
        <stp>CURRENCY=USD</stp>
        <stp>XLFILL=b</stp>
        <tr r="AT167" s="2"/>
      </tp>
      <tp t="s">
        <v>#N/A Requesting Data...</v>
        <stp/>
        <stp>##V3_BQLV12</stp>
        <stp>[MODL_NOW_US1.xlsx]Single Period!R178C49</stp>
        <stp>NOW US Equity</stp>
        <stp>BS_ADJ_TOTAL_LT_LIABILITIES/1M</stp>
        <stp>FPR=2021Y</stp>
        <stp>FPT=A</stp>
        <stp>FA_ACT_EST_DATA=E, EST_SOURCE=SCB</stp>
        <stp>ACT_EST_MAPPING=PRECISE</stp>
        <stp>FS=MRC</stp>
        <stp>CURRENCY=USD</stp>
        <stp>XLFILL=b</stp>
        <tr r="AW178" s="2"/>
      </tp>
      <tp t="s">
        <v>#N/A Requesting Data...</v>
        <stp/>
        <stp>##V3_BQLV12</stp>
        <stp>[MODL_NOW_US1.xlsx]Single Period!R203C44</stp>
        <stp>NOW US Equity</stp>
        <stp>AMORTIZATN_OF_FINNCNG_COSTS/1M</stp>
        <stp>FPR=2021Y</stp>
        <stp>FPT=A</stp>
        <stp>FA_ACT_EST_DATA=E, EST_SOURCE=ARE</stp>
        <stp>ACT_EST_MAPPING=PRECISE</stp>
        <stp>FS=MRC</stp>
        <stp>CURRENCY=USD</stp>
        <stp>XLFILL=b</stp>
        <tr r="AR203" s="2"/>
      </tp>
      <tp t="s">
        <v>#N/A Requesting Data...</v>
        <stp/>
        <stp>##V3_BQLV12</stp>
        <stp>[MODL_NOW_US1.xlsx]Single Period!R98C5</stp>
        <stp>NOW US Equity</stp>
        <stp>CF_DEPR_AMORT/1M</stp>
        <stp>FPR=2021Y</stp>
        <stp>FPT=A</stp>
        <stp>FA_ACT_EST_DATA=E</stp>
        <stp>ACT_EST_MAPPING=PRECISE</stp>
        <stp>FS=MRC</stp>
        <stp>CURRENCY=USD</stp>
        <stp>XLFILL=b</stp>
        <tr r="E98" s="2"/>
      </tp>
      <tp t="s">
        <v>#N/A Requesting Data...</v>
        <stp/>
        <stp>##V3_BQLV12</stp>
        <stp>[MODL_NOW_US1.xlsx]Single Period!R124C41</stp>
        <stp>NOW US Equity</stp>
        <stp>IS_EBIT_AS_REPORTED/1M</stp>
        <stp>FPR=2021Y</stp>
        <stp>FPT=A</stp>
        <stp>FA_ACT_EST_DATA=E, EST_SOURCE=ARG</stp>
        <stp>ACT_EST_MAPPING=PRECISE</stp>
        <stp>FS=MRC</stp>
        <stp>CURRENCY=USD</stp>
        <stp>XLFILL=b</stp>
        <tr r="AO124" s="2"/>
      </tp>
      <tp t="s">
        <v>#N/A Requesting Data...</v>
        <stp/>
        <stp>##V3_BQLV12</stp>
        <stp>[MODL_NOW_US1.xlsx]Single Period!R189C21</stp>
        <stp>NOW US Equity</stp>
        <stp>CUR_RATIO</stp>
        <stp>FPR=2021Y</stp>
        <stp>FPT=A</stp>
        <stp>FA_ACT_EST_DATA=E, EST_SOURCE=JMP</stp>
        <stp>ACT_EST_MAPPING=PRECISE</stp>
        <stp>FS=MRC</stp>
        <stp>CURRENCY=USD</stp>
        <stp>XLFILL=b</stp>
        <tr r="U189" s="2"/>
      </tp>
      <tp t="s">
        <v>#N/A Requesting Data...</v>
        <stp/>
        <stp>##V3_BQLV12</stp>
        <stp>[MODL_NOW_US1.xlsx]Single Period!R30C12</stp>
        <stp>NOW US Equity</stp>
        <stp>CF_FREE_CASH_FLOW_AS_REPORTED/1M</stp>
        <stp>FPR=2021Y</stp>
        <stp>FPT=A</stp>
        <stp>FA_ACT_EST_DATA=E, EST_SOURCE=WBL</stp>
        <stp>ACT_EST_MAPPING=PRECISE</stp>
        <stp>FS=MRC</stp>
        <stp>CURRENCY=USD</stp>
        <stp>XLFILL=b</stp>
        <tr r="L30" s="2"/>
      </tp>
      <tp t="s">
        <v>#N/A Requesting Data...</v>
        <stp/>
        <stp>##V3_BQLV12</stp>
        <stp>[MODL_NOW_US1.xlsx]Single Period!R203C48</stp>
        <stp>NOW US Equity</stp>
        <stp>AMORTIZATN_OF_FINNCNG_COSTS/1M</stp>
        <stp>FPR=2021Y</stp>
        <stp>FPT=A</stp>
        <stp>FA_ACT_EST_DATA=E, EST_SOURCE=CRC</stp>
        <stp>ACT_EST_MAPPING=PRECISE</stp>
        <stp>FS=MRC</stp>
        <stp>CURRENCY=USD</stp>
        <stp>XLFILL=b</stp>
        <tr r="AV203" s="2"/>
      </tp>
      <tp t="s">
        <v>#N/A Requesting Data...</v>
        <stp/>
        <stp>##V3_BQLV12</stp>
        <stp>[MODL_NOW_US1.xlsx]Single Period!R178C16</stp>
        <stp>NOW US Equity</stp>
        <stp>BS_ADJ_TOTAL_LT_LIABILITIES/1M</stp>
        <stp>FPR=2021Y</stp>
        <stp>FPT=A</stp>
        <stp>FA_ACT_EST_DATA=E, EST_SOURCE=BCA</stp>
        <stp>ACT_EST_MAPPING=PRECISE</stp>
        <stp>FS=MRC</stp>
        <stp>CURRENCY=USD</stp>
        <stp>XLFILL=b</stp>
        <tr r="P178" s="2"/>
      </tp>
      <tp t="s">
        <v>#N/A Requesting Data...</v>
        <stp/>
        <stp>##V3_BQLV12</stp>
        <stp>[MODL_NOW_US1.xlsx]Single Period!R98C34</stp>
        <stp>NOW US Equity</stp>
        <stp>CF_DEPR_AMORT/1M</stp>
        <stp>FPR=2021Y</stp>
        <stp>FPT=A</stp>
        <stp>FA_ACT_EST_DATA=E, EST_SOURCE=PSG</stp>
        <stp>ACT_EST_MAPPING=PRECISE</stp>
        <stp>FS=MRC</stp>
        <stp>CURRENCY=USD</stp>
        <stp>XLFILL=b</stp>
        <tr r="AH98" s="2"/>
      </tp>
      <tp t="s">
        <v>#N/A Requesting Data...</v>
        <stp/>
        <stp>##V3_BQLV12</stp>
        <stp>[MODL_NOW_US1.xlsx]Single Period!R124C44</stp>
        <stp>NOW US Equity</stp>
        <stp>IS_EBIT_AS_REPORTED/1M</stp>
        <stp>FPR=2021Y</stp>
        <stp>FPT=A</stp>
        <stp>FA_ACT_EST_DATA=E, EST_SOURCE=ARE</stp>
        <stp>ACT_EST_MAPPING=PRECISE</stp>
        <stp>FS=MRC</stp>
        <stp>CURRENCY=USD</stp>
        <stp>XLFILL=b</stp>
        <tr r="AR124" s="2"/>
      </tp>
      <tp t="s">
        <v>#N/A Requesting Data...</v>
        <stp/>
        <stp>##V3_BQLV12</stp>
        <stp>[MODL_NOW_US1.xlsx]Single Period!R98C40</stp>
        <stp>NOW US Equity</stp>
        <stp>CF_DEPR_AMORT/1M</stp>
        <stp>FPR=2021Y</stp>
        <stp>FPT=A</stp>
        <stp>FA_ACT_EST_DATA=E, EST_SOURCE=DWI</stp>
        <stp>ACT_EST_MAPPING=PRECISE</stp>
        <stp>FS=MRC</stp>
        <stp>CURRENCY=USD</stp>
        <stp>XLFILL=b</stp>
        <tr r="AN98" s="2"/>
      </tp>
      <tp t="s">
        <v>#N/A Requesting Data...</v>
        <stp/>
        <stp>##V3_BQLV12</stp>
        <stp>[MODL_NOW_US1.xlsx]Single Period!R210C36</stp>
        <stp>NOW US Equity</stp>
        <stp>CF_CHANGE_IN_PREPAID_EXPNSS/1M</stp>
        <stp>FPR=2021Y</stp>
        <stp>FPT=A</stp>
        <stp>FA_ACT_EST_DATA=E, EST_SOURCE=JEF</stp>
        <stp>ACT_EST_MAPPING=PRECISE</stp>
        <stp>FS=MRC</stp>
        <stp>CURRENCY=USD</stp>
        <stp>XLFILL=b</stp>
        <tr r="AJ210" s="2"/>
      </tp>
      <tp t="s">
        <v>#N/A Requesting Data...</v>
        <stp/>
        <stp>##V3_BQLV12</stp>
        <stp>[MODL_NOW_US1.xlsx]Single Period!R105C36</stp>
        <stp>NOW US Equity</stp>
        <stp>ADJ_PROFIT_MARGIN</stp>
        <stp>FPR=2021Y</stp>
        <stp>FPT=A</stp>
        <stp>FA_ACT_EST_DATA=E, EST_SOURCE=JEF</stp>
        <stp>ACT_EST_MAPPING=PRECISE</stp>
        <stp>FS=MRC</stp>
        <stp>CURRENCY=USD</stp>
        <stp>XLFILL=b</stp>
        <tr r="AJ105" s="2"/>
      </tp>
      <tp t="s">
        <v>#N/A Requesting Data...</v>
        <stp/>
        <stp>##V3_BQLV12</stp>
        <stp>[MODL_NOW_US1.xlsx]Single Period!R30C32</stp>
        <stp>NOW US Equity</stp>
        <stp>CF_FREE_CASH_FLOW_AS_REPORTED/1M</stp>
        <stp>FPR=2021Y</stp>
        <stp>FPT=A</stp>
        <stp>FA_ACT_EST_DATA=E, EST_SOURCE=FBC</stp>
        <stp>ACT_EST_MAPPING=PRECISE</stp>
        <stp>FS=MRC</stp>
        <stp>CURRENCY=USD</stp>
        <stp>XLFILL=b</stp>
        <tr r="AF30" s="2"/>
      </tp>
      <tp t="s">
        <v>#N/A Requesting Data...</v>
        <stp/>
        <stp>##V3_BQLV12</stp>
        <stp>[MODL_NOW_US1.xlsx]Single Period!R80C36</stp>
        <stp>NOW US Equity</stp>
        <stp>IS_COMP_SALES/1M</stp>
        <stp>FPR=2021Y</stp>
        <stp>FPT=A</stp>
        <stp>FA_ACT_EST_DATA=E, EST_SOURCE=JEF</stp>
        <stp>ACT_EST_MAPPING=PRECISE</stp>
        <stp>FS=MRC</stp>
        <stp>CURRENCY=USD</stp>
        <stp>XLFILL=b</stp>
        <tr r="AJ80" s="2"/>
      </tp>
      <tp t="s">
        <v>#N/A Requesting Data...</v>
        <stp/>
        <stp>##V3_BQLV12</stp>
        <stp>[MODL_NOW_US1.xlsx]Single Period!R184C11</stp>
        <stp>NOW US Equity</stp>
        <stp>BS_EQTY_BEFORE_MINORITY_INT/1M</stp>
        <stp>FPR=2021Y</stp>
        <stp>FPT=A</stp>
        <stp>FA_ACT_EST_DATA=E, EST_SOURCE=JPM</stp>
        <stp>ACT_EST_MAPPING=PRECISE</stp>
        <stp>FS=MRC</stp>
        <stp>CURRENCY=USD</stp>
        <stp>XLFILL=b</stp>
        <tr r="K184" s="2"/>
      </tp>
      <tp t="s">
        <v>#N/A Requesting Data...</v>
        <stp/>
        <stp>##V3_BQLV12</stp>
        <stp>[MODL_NOW_US1.xlsx]Single Period!R142C14</stp>
        <stp>NOW US Equity</stp>
        <stp>IS_SBC_ATT_TO_S_AND_M_PRETX/1M</stp>
        <stp>FPR=2021Y</stp>
        <stp>FPT=A</stp>
        <stp>FA_ACT_EST_DATA=E, EST_SOURCE=BMO</stp>
        <stp>ACT_EST_MAPPING=PRECISE</stp>
        <stp>FS=MRC</stp>
        <stp>CURRENCY=USD</stp>
        <stp>XLFILL=b</stp>
        <tr r="N142" s="2"/>
      </tp>
      <tp t="s">
        <v>#N/A Requesting Data...</v>
        <stp/>
        <stp>##V3_BQLV12</stp>
        <stp>[MODL_NOW_US1.xlsx]Single Period!R158C13</stp>
        <stp>NOW US Equity</stp>
        <stp>BS_ACCTS_REC_EXCL_NOTES_REC/1M</stp>
        <stp>FPR=2021Y</stp>
        <stp>FPT=A</stp>
        <stp>FA_ACT_EST_DATA=E, EST_SOURCE=KEY</stp>
        <stp>ACT_EST_MAPPING=PRECISE</stp>
        <stp>FS=MRC</stp>
        <stp>CURRENCY=USD</stp>
        <stp>XLFILL=b</stp>
        <tr r="M158" s="2"/>
      </tp>
      <tp t="s">
        <v>#N/A Requesting Data...</v>
        <stp/>
        <stp>##V3_BQLV12</stp>
        <stp>[MODL_NOW_US1.xlsx]Single Period!R58C48</stp>
        <stp>SEG0000230975 Segment</stp>
        <stp>SALES_REV_TURN/1M</stp>
        <stp>FPR=2021Y</stp>
        <stp>FPT=A</stp>
        <stp>FA_ACT_EST_DATA=E, EST_SOURCE=CRC</stp>
        <stp>ACT_EST_MAPPING=PRECISE</stp>
        <stp>FS=MRC</stp>
        <stp>CURRENCY=USD</stp>
        <stp>XLFILL=b</stp>
        <tr r="AV58" s="2"/>
      </tp>
      <tp t="s">
        <v>#N/A Requesting Data...</v>
        <stp/>
        <stp>##V3_BQLV12</stp>
        <stp>[MODL_NOW_US1.xlsx]Single Period!R235C47</stp>
        <stp>NOW US Equity</stp>
        <stp>CF_FREE_CASH_FLOW_AS_REPORTED/1M</stp>
        <stp>FPR=2021Y</stp>
        <stp>FPT=A</stp>
        <stp>FA_ACT_EST_DATA=E, EST_SOURCE=SUM</stp>
        <stp>ACT_EST_MAPPING=PRECISE</stp>
        <stp>FS=MRC</stp>
        <stp>CURRENCY=USD</stp>
        <stp>XLFILL=b</stp>
        <tr r="AU235" s="2"/>
      </tp>
      <tp t="s">
        <v>#N/A Requesting Data...</v>
        <stp/>
        <stp>##V3_BQLV12</stp>
        <stp>[MODL_NOW_US1.xlsx]Single Period!R54C47</stp>
        <stp>NOW US Equity</stp>
        <stp>IS_FOREIGN_CURRENCY_TURNOVER/1M</stp>
        <stp>FPR=2021Y</stp>
        <stp>FPT=A</stp>
        <stp>FA_ACT_EST_DATA=E, EST_SOURCE=SUM</stp>
        <stp>ACT_EST_MAPPING=PRECISE</stp>
        <stp>FS=MRC</stp>
        <stp>CURRENCY=USD</stp>
        <stp>XLFILL=b</stp>
        <tr r="AU54" s="2"/>
      </tp>
      <tp t="s">
        <v>#N/A Requesting Data...</v>
        <stp/>
        <stp>##V3_BQLV12</stp>
        <stp>[MODL_NOW_US1.xlsx]Single Period!R58C41</stp>
        <stp>SEG0000230975 Segment</stp>
        <stp>SALES_REV_TURN/1M</stp>
        <stp>FPR=2021Y</stp>
        <stp>FPT=A</stp>
        <stp>FA_ACT_EST_DATA=E, EST_SOURCE=ARG</stp>
        <stp>ACT_EST_MAPPING=PRECISE</stp>
        <stp>FS=MRC</stp>
        <stp>CURRENCY=USD</stp>
        <stp>XLFILL=b</stp>
        <tr r="AO58" s="2"/>
      </tp>
      <tp t="s">
        <v>#N/A Requesting Data...</v>
        <stp/>
        <stp>##V3_BQLV12</stp>
        <stp>[MODL_NOW_US1.xlsx]Single Period!R54C11</stp>
        <stp>NOW US Equity</stp>
        <stp>IS_FOREIGN_CURRENCY_TURNOVER/1M</stp>
        <stp>FPR=2021Y</stp>
        <stp>FPT=A</stp>
        <stp>FA_ACT_EST_DATA=E, EST_SOURCE=JPM</stp>
        <stp>ACT_EST_MAPPING=PRECISE</stp>
        <stp>FS=MRC</stp>
        <stp>CURRENCY=USD</stp>
        <stp>XLFILL=b</stp>
        <tr r="K54" s="2"/>
      </tp>
      <tp t="s">
        <v>#N/A Requesting Data...</v>
        <stp/>
        <stp>##V3_BQLV12</stp>
        <stp>[MODL_NOW_US1.xlsx]Single Period!R58C44</stp>
        <stp>SEG0000230975 Segment</stp>
        <stp>SALES_REV_TURN/1M</stp>
        <stp>FPR=2021Y</stp>
        <stp>FPT=A</stp>
        <stp>FA_ACT_EST_DATA=E, EST_SOURCE=ARE</stp>
        <stp>ACT_EST_MAPPING=PRECISE</stp>
        <stp>FS=MRC</stp>
        <stp>CURRENCY=USD</stp>
        <stp>XLFILL=b</stp>
        <tr r="AR58" s="2"/>
      </tp>
      <tp t="s">
        <v>#N/A Requesting Data...</v>
        <stp/>
        <stp>##V3_BQLV12</stp>
        <stp>[MODL_NOW_US1.xlsx]Single Period!R66C34</stp>
        <stp>SEG0000230986 Segment</stp>
        <stp>SALES_REV_TURN/1M</stp>
        <stp>FPR=2021Y</stp>
        <stp>FPT=A</stp>
        <stp>FA_ACT_EST_DATA=E, EST_SOURCE=PSG</stp>
        <stp>ACT_EST_MAPPING=PRECISE</stp>
        <stp>FS=MRC</stp>
        <stp>CURRENCY=USD</stp>
        <stp>XLFILL=b</stp>
        <tr r="AH66" s="2"/>
      </tp>
      <tp t="s">
        <v>#N/A Requesting Data...</v>
        <stp/>
        <stp>##V3_BQLV12</stp>
        <stp>[MODL_NOW_US1.xlsx]Single Period!R102C35</stp>
        <stp>NOW US Equity</stp>
        <stp>IS_COMP_PTP_EX_STK_BASED_COMP/1M</stp>
        <stp>FPR=2021Y</stp>
        <stp>FPT=A</stp>
        <stp>FA_ACT_EST_DATA=E, EST_SOURCE=MSR</stp>
        <stp>ACT_EST_MAPPING=PRECISE</stp>
        <stp>FS=MRC</stp>
        <stp>CURRENCY=USD</stp>
        <stp>XLFILL=b</stp>
        <tr r="AI102" s="2"/>
      </tp>
      <tp t="s">
        <v>#N/A Requesting Data...</v>
        <stp/>
        <stp>##V3_BQLV12</stp>
        <stp>[MODL_NOW_US1.xlsx]Single Period!R99C46</stp>
        <stp>NOW US Equity</stp>
        <stp>IS_COMPARABLE_EBITDA/1M</stp>
        <stp>FPR=2021Y</stp>
        <stp>FPT=A</stp>
        <stp>FA_ACT_EST_DATA=E, EST_SOURCE=MZS</stp>
        <stp>ACT_EST_MAPPING=PRECISE</stp>
        <stp>FS=MRC</stp>
        <stp>CURRENCY=USD</stp>
        <stp>XLFILL=b</stp>
        <tr r="AT99" s="2"/>
      </tp>
      <tp t="s">
        <v>#N/A Requesting Data...</v>
        <stp/>
        <stp>##V3_BQLV12</stp>
        <stp>[MODL_NOW_US1.xlsx]Single Period!R143C49</stp>
        <stp>NOW US Equity</stp>
        <stp>IS_SBC_ATTRIBUTABLE_TO_R_AND_D_PRETX/1M</stp>
        <stp>FPR=2021Y</stp>
        <stp>FPT=A</stp>
        <stp>FA_ACT_EST_DATA=E, EST_SOURCE=SCB</stp>
        <stp>ACT_EST_MAPPING=PRECISE</stp>
        <stp>FS=MRC</stp>
        <stp>CURRENCY=USD</stp>
        <stp>XLFILL=b</stp>
        <tr r="AW143" s="2"/>
      </tp>
      <tp t="s">
        <v>#N/A Requesting Data...</v>
        <stp/>
        <stp>##V3_BQLV12</stp>
        <stp>[MODL_NOW_US1.xlsx]Single Period!R131C38</stp>
        <stp>NOW US Equity</stp>
        <stp>IS_AVG_NUM_SH_FOR_EPS/1M</stp>
        <stp>FPR=2021Y</stp>
        <stp>FPT=A</stp>
        <stp>FA_ACT_EST_DATA=E, EST_SOURCE=RWB</stp>
        <stp>ACT_EST_MAPPING=PRECISE</stp>
        <stp>FS=MRC</stp>
        <stp>CURRENCY=USD</stp>
        <stp>XLFILL=b</stp>
        <tr r="AL131" s="2"/>
      </tp>
      <tp t="s">
        <v>#N/A Requesting Data...</v>
        <stp/>
        <stp>##V3_BQLV12</stp>
        <stp>[MODL_NOW_US1.xlsx]Single Period!R83C47</stp>
        <stp>NOW US Equity</stp>
        <stp>IS_ADJUSTED_COGS_AS_REPORTED/1M</stp>
        <stp>FPR=2021Y</stp>
        <stp>FPT=A</stp>
        <stp>FA_ACT_EST_DATA=E, EST_SOURCE=SUM</stp>
        <stp>ACT_EST_MAPPING=PRECISE</stp>
        <stp>FS=MRC</stp>
        <stp>CURRENCY=USD</stp>
        <stp>XLFILL=b</stp>
        <tr r="AU83" s="2"/>
      </tp>
      <tp t="s">
        <v>#N/A Requesting Data...</v>
        <stp/>
        <stp>##V3_BQLV12</stp>
        <stp>[MODL_NOW_US1.xlsx]Single Period!R83C11</stp>
        <stp>NOW US Equity</stp>
        <stp>IS_ADJUSTED_COGS_AS_REPORTED/1M</stp>
        <stp>FPR=2021Y</stp>
        <stp>FPT=A</stp>
        <stp>FA_ACT_EST_DATA=E, EST_SOURCE=JPM</stp>
        <stp>ACT_EST_MAPPING=PRECISE</stp>
        <stp>FS=MRC</stp>
        <stp>CURRENCY=USD</stp>
        <stp>XLFILL=b</stp>
        <tr r="K83" s="2"/>
      </tp>
      <tp t="s">
        <v>#N/A Requesting Data...</v>
        <stp/>
        <stp>##V3_BQLV12</stp>
        <stp>[MODL_NOW_US1.xlsx]Single Period!R20C47</stp>
        <stp>SEG0000230986 Segment</stp>
        <stp>SALES_REV_TURN/1M</stp>
        <stp>FPR=2021Y</stp>
        <stp>FPT=A</stp>
        <stp>FA_ACT_EST_DATA=E, EST_SOURCE=SUM</stp>
        <stp>ACT_EST_MAPPING=PRECISE</stp>
        <stp>FS=MRC</stp>
        <stp>CURRENCY=USD</stp>
        <stp>XLFILL=b</stp>
        <tr r="AU20" s="2"/>
      </tp>
      <tp t="s">
        <v>#N/A Requesting Data...</v>
        <stp/>
        <stp>##V3_BQLV12</stp>
        <stp>[MODL_NOW_US1.xlsx]Single Period!R61C17</stp>
        <stp>SEG0000230975 Segment</stp>
        <stp>IS_ADJ_GROSS_PROFIT_AS_REPORTED/1M</stp>
        <stp>FPR=2021Y</stp>
        <stp>FPT=A</stp>
        <stp>FA_ACT_EST_DATA=E, EST_SOURCE=RHR</stp>
        <stp>ACT_EST_MAPPING=PRECISE</stp>
        <stp>FS=MRC</stp>
        <stp>CURRENCY=USD</stp>
        <stp>XLFILL=b</stp>
        <tr r="Q61" s="2"/>
      </tp>
      <tp t="s">
        <v>#N/A Requesting Data...</v>
        <stp/>
        <stp>##V3_BQLV12</stp>
        <stp>[MODL_NOW_US1.xlsx]Single Period!R102C42</stp>
        <stp>NOW US Equity</stp>
        <stp>IS_COMP_PTP_EX_STK_BASED_COMP/1M</stp>
        <stp>FPR=2021Y</stp>
        <stp>FPT=A</stp>
        <stp>FA_ACT_EST_DATA=E, EST_SOURCE=CTI</stp>
        <stp>ACT_EST_MAPPING=PRECISE</stp>
        <stp>FS=MRC</stp>
        <stp>CURRENCY=USD</stp>
        <stp>XLFILL=b</stp>
        <tr r="AP102" s="2"/>
      </tp>
      <tp t="s">
        <v>#N/A Requesting Data...</v>
        <stp/>
        <stp>##V3_BQLV12</stp>
        <stp>[MODL_NOW_US1.xlsx]Single Period!R66C35</stp>
        <stp>SEG0000230986 Segment</stp>
        <stp>SALES_REV_TURN/1M</stp>
        <stp>FPR=2021Y</stp>
        <stp>FPT=A</stp>
        <stp>FA_ACT_EST_DATA=E, EST_SOURCE=MSR</stp>
        <stp>ACT_EST_MAPPING=PRECISE</stp>
        <stp>FS=MRC</stp>
        <stp>CURRENCY=USD</stp>
        <stp>XLFILL=b</stp>
        <tr r="AI66" s="2"/>
      </tp>
      <tp t="s">
        <v>#N/A Requesting Data...</v>
        <stp/>
        <stp>##V3_BQLV12</stp>
        <stp>[MODL_NOW_US1.xlsx]Single Period!R66C31</stp>
        <stp>SEG0000230986 Segment</stp>
        <stp>SALES_REV_TURN/1M</stp>
        <stp>FPR=2021Y</stp>
        <stp>FPT=A</stp>
        <stp>FA_ACT_EST_DATA=E, EST_SOURCE=GSR</stp>
        <stp>ACT_EST_MAPPING=PRECISE</stp>
        <stp>FS=MRC</stp>
        <stp>CURRENCY=USD</stp>
        <stp>XLFILL=b</stp>
        <tr r="AE66" s="2"/>
      </tp>
      <tp t="s">
        <v>#N/A Requesting Data...</v>
        <stp/>
        <stp>##V3_BQLV12</stp>
        <stp>[MODL_NOW_US1.xlsx]Single Period!R54C15</stp>
        <stp>NOW US Equity</stp>
        <stp>IS_FOREIGN_CURRENCY_TURNOVER/1M</stp>
        <stp>FPR=2021Y</stp>
        <stp>FPT=A</stp>
        <stp>FA_ACT_EST_DATA=E, EST_SOURCE=OPY</stp>
        <stp>ACT_EST_MAPPING=PRECISE</stp>
        <stp>FS=MRC</stp>
        <stp>CURRENCY=USD</stp>
        <stp>XLFILL=b</stp>
        <tr r="O54" s="2"/>
      </tp>
      <tp t="s">
        <v>#N/A Requesting Data...</v>
        <stp/>
        <stp>##V3_BQLV12</stp>
        <stp>[MODL_NOW_US1.xlsx]Single Period!R66C19</stp>
        <stp>SEG0000230986 Segment</stp>
        <stp>SALES_REV_TURN/1M</stp>
        <stp>FPR=2021Y</stp>
        <stp>FPT=A</stp>
        <stp>FA_ACT_EST_DATA=E, EST_SOURCE=MSV</stp>
        <stp>ACT_EST_MAPPING=PRECISE</stp>
        <stp>FS=MRC</stp>
        <stp>CURRENCY=USD</stp>
        <stp>XLFILL=b</stp>
        <tr r="S66" s="2"/>
      </tp>
      <tp t="s">
        <v>#N/A Requesting Data...</v>
        <stp/>
        <stp>##V3_BQLV12</stp>
        <stp>[MODL_NOW_US1.xlsx]Single Period!R150C24</stp>
        <stp>NOW US Equity</stp>
        <stp>IS_INC_TAX_EFFECT_NONGAAP_REC/1M</stp>
        <stp>FPR=2021Y</stp>
        <stp>FPT=A</stp>
        <stp>FA_ACT_EST_DATA=E, EST_SOURCE=CWN</stp>
        <stp>ACT_EST_MAPPING=PRECISE</stp>
        <stp>FS=MRC</stp>
        <stp>CURRENCY=USD</stp>
        <stp>XLFILL=b</stp>
        <tr r="X150" s="2"/>
      </tp>
      <tp t="s">
        <v>#N/A Requesting Data...</v>
        <stp/>
        <stp>##V3_BQLV12</stp>
        <stp>[MODL_NOW_US1.xlsx]Single Period!R119C34</stp>
        <stp>NOW US Equity</stp>
        <stp>CB_IS_S_AND_M_EXPENSE/1M</stp>
        <stp>FPR=2021Y</stp>
        <stp>FPT=A</stp>
        <stp>FA_ACT_EST_DATA=E, EST_SOURCE=PSG</stp>
        <stp>ACT_EST_MAPPING=PRECISE</stp>
        <stp>FS=MRC</stp>
        <stp>CURRENCY=USD</stp>
        <stp>XLFILL=b</stp>
        <tr r="AH119" s="2"/>
      </tp>
      <tp t="s">
        <v>#N/A Requesting Data...</v>
        <stp/>
        <stp>##V3_BQLV12</stp>
        <stp>[MODL_NOW_US1.xlsx]Single Period!R119C40</stp>
        <stp>NOW US Equity</stp>
        <stp>CB_IS_S_AND_M_EXPENSE/1M</stp>
        <stp>FPR=2021Y</stp>
        <stp>FPT=A</stp>
        <stp>FA_ACT_EST_DATA=E, EST_SOURCE=DWI</stp>
        <stp>ACT_EST_MAPPING=PRECISE</stp>
        <stp>FS=MRC</stp>
        <stp>CURRENCY=USD</stp>
        <stp>XLFILL=b</stp>
        <tr r="AN119" s="2"/>
      </tp>
      <tp t="s">
        <v>#N/A Requesting Data...</v>
        <stp/>
        <stp>##V3_BQLV12</stp>
        <stp>[MODL_NOW_US1.xlsx]Single Period!R150C37</stp>
        <stp>NOW US Equity</stp>
        <stp>IS_INC_TAX_EFFECT_NONGAAP_REC/1M</stp>
        <stp>FPR=2021Y</stp>
        <stp>FPT=A</stp>
        <stp>FA_ACT_EST_DATA=E, EST_SOURCE=TTC</stp>
        <stp>ACT_EST_MAPPING=PRECISE</stp>
        <stp>FS=MRC</stp>
        <stp>CURRENCY=USD</stp>
        <stp>XLFILL=b</stp>
        <tr r="AK150" s="2"/>
      </tp>
      <tp t="s">
        <v>#N/A Requesting Data...</v>
        <stp/>
        <stp>##V3_BQLV12</stp>
        <stp>[MODL_NOW_US1.xlsx]Single Period!R150C39</stp>
        <stp>NOW US Equity</stp>
        <stp>IS_INC_TAX_EFFECT_NONGAAP_REC/1M</stp>
        <stp>FPR=2021Y</stp>
        <stp>FPT=A</stp>
        <stp>FA_ACT_EST_DATA=E, EST_SOURCE=DZB</stp>
        <stp>ACT_EST_MAPPING=PRECISE</stp>
        <stp>FS=MRC</stp>
        <stp>CURRENCY=USD</stp>
        <stp>XLFILL=b</stp>
        <tr r="AM150" s="2"/>
      </tp>
      <tp t="s">
        <v>#N/A Requesting Data...</v>
        <stp/>
        <stp>##V3_BQLV12</stp>
        <stp>[MODL_NOW_US1.xlsx]Single Period!R200C21</stp>
        <stp>NOW US Equity</stp>
        <stp>CF_DEPR_AMORT/1M</stp>
        <stp>FPR=2021Y</stp>
        <stp>FPT=A</stp>
        <stp>FA_ACT_EST_DATA=E, EST_SOURCE=JMP</stp>
        <stp>ACT_EST_MAPPING=PRECISE</stp>
        <stp>FS=MRC</stp>
        <stp>CURRENCY=USD</stp>
        <stp>XLFILL=b</stp>
        <tr r="U200" s="2"/>
      </tp>
      <tp t="s">
        <v>#N/A Requesting Data...</v>
        <stp/>
        <stp>##V3_BQLV12</stp>
        <stp>[MODL_NOW_US1.xlsx]Single Period!R235C31</stp>
        <stp>NOW US Equity</stp>
        <stp>CF_FREE_CASH_FLOW_AS_REPORTED/1M</stp>
        <stp>FPR=2021Y</stp>
        <stp>FPT=A</stp>
        <stp>FA_ACT_EST_DATA=E, EST_SOURCE=GSR</stp>
        <stp>ACT_EST_MAPPING=PRECISE</stp>
        <stp>FS=MRC</stp>
        <stp>CURRENCY=USD</stp>
        <stp>XLFILL=b</stp>
        <tr r="AE235" s="2"/>
      </tp>
      <tp t="s">
        <v>#N/A Requesting Data...</v>
        <stp/>
        <stp>##V3_BQLV12</stp>
        <stp>[MODL_NOW_US1.xlsx]Single Period!R83C15</stp>
        <stp>NOW US Equity</stp>
        <stp>IS_ADJUSTED_COGS_AS_REPORTED/1M</stp>
        <stp>FPR=2021Y</stp>
        <stp>FPT=A</stp>
        <stp>FA_ACT_EST_DATA=E, EST_SOURCE=OPY</stp>
        <stp>ACT_EST_MAPPING=PRECISE</stp>
        <stp>FS=MRC</stp>
        <stp>CURRENCY=USD</stp>
        <stp>XLFILL=b</stp>
        <tr r="O83" s="2"/>
      </tp>
      <tp t="s">
        <v>#N/A Requesting Data...</v>
        <stp/>
        <stp>##V3_BQLV12</stp>
        <stp>[MODL_NOW_US1.xlsx]Single Period!R150C41</stp>
        <stp>NOW US Equity</stp>
        <stp>IS_INC_TAX_EFFECT_NONGAAP_REC/1M</stp>
        <stp>FPR=2021Y</stp>
        <stp>FPT=A</stp>
        <stp>FA_ACT_EST_DATA=E, EST_SOURCE=ARG</stp>
        <stp>ACT_EST_MAPPING=PRECISE</stp>
        <stp>FS=MRC</stp>
        <stp>CURRENCY=USD</stp>
        <stp>XLFILL=b</stp>
        <tr r="AO150" s="2"/>
      </tp>
      <tp t="s">
        <v>#N/A Requesting Data...</v>
        <stp/>
        <stp>##V3_BQLV12</stp>
        <stp>[MODL_NOW_US1.xlsx]Single Period!R102C44</stp>
        <stp>NOW US Equity</stp>
        <stp>IS_COMP_PTP_EX_STK_BASED_COMP/1M</stp>
        <stp>FPR=2021Y</stp>
        <stp>FPT=A</stp>
        <stp>FA_ACT_EST_DATA=E, EST_SOURCE=ARE</stp>
        <stp>ACT_EST_MAPPING=PRECISE</stp>
        <stp>FS=MRC</stp>
        <stp>CURRENCY=USD</stp>
        <stp>XLFILL=b</stp>
        <tr r="AR102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40"/>
  <sheetViews>
    <sheetView tabSelected="1" workbookViewId="0">
      <selection activeCell="G16" sqref="G16"/>
    </sheetView>
  </sheetViews>
  <sheetFormatPr defaultRowHeight="14.4" x14ac:dyDescent="0.55000000000000004"/>
  <cols>
    <col min="1" max="1" width="34.26171875" customWidth="1"/>
    <col min="2" max="4" width="0" hidden="1" customWidth="1"/>
    <col min="5" max="49" width="19" customWidth="1"/>
  </cols>
  <sheetData>
    <row r="1" spans="1:49" ht="20.100000000000001" x14ac:dyDescent="0.55000000000000004">
      <c r="A1" s="7" t="s">
        <v>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</row>
    <row r="2" spans="1:49" x14ac:dyDescent="0.55000000000000004">
      <c r="A2" s="9" t="s">
        <v>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</row>
    <row r="3" spans="1:49" x14ac:dyDescent="0.55000000000000004">
      <c r="A3" s="1" t="s">
        <v>5</v>
      </c>
      <c r="B3" s="1"/>
      <c r="C3" s="1"/>
      <c r="D3" s="1"/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tr">
        <f>_xll.BQL("NOW US Equity", "LAST(IS_COMP_SALES(FA_ACT_EST_DATA=E, EST_SOURCE=JPM).firm_name)", "FPR=2021Y", "FPT=A", "ACT_EST_MAPPING=PRECISE", "FS=MRC", "CURRENCY=USD", "XLFILL=b")</f>
        <v>#N/A Requesting Data...</v>
      </c>
      <c r="L3" s="1" t="str">
        <f>_xll.BQL("NOW US Equity", "LAST(IS_COMP_SALES(FA_ACT_EST_DATA=E, EST_SOURCE=WBL).firm_name)", "FPR=2021Y", "FPT=A", "ACT_EST_MAPPING=PRECISE", "FS=MRC", "CURRENCY=USD", "XLFILL=b")</f>
        <v>#N/A Requesting Data...</v>
      </c>
      <c r="M3" s="1" t="str">
        <f>_xll.BQL("NOW US Equity", "LAST(IS_COMP_SALES(FA_ACT_EST_DATA=E, EST_SOURCE=KEY).firm_name)", "FPR=2021Y", "FPT=A", "ACT_EST_MAPPING=PRECISE", "FS=MRC", "CURRENCY=USD", "XLFILL=b")</f>
        <v>#N/A Requesting Data...</v>
      </c>
      <c r="N3" s="1" t="str">
        <f>_xll.BQL("NOW US Equity", "LAST(IS_COMP_SALES(FA_ACT_EST_DATA=E, EST_SOURCE=BMO).firm_name)", "FPR=2021Y", "FPT=A", "ACT_EST_MAPPING=PRECISE", "FS=MRC", "CURRENCY=USD", "XLFILL=b")</f>
        <v>#N/A Requesting Data...</v>
      </c>
      <c r="O3" s="1" t="str">
        <f>_xll.BQL("NOW US Equity", "LAST(IS_COMP_SALES(FA_ACT_EST_DATA=E, EST_SOURCE=OPY).firm_name)", "FPR=2021Y", "FPT=A", "ACT_EST_MAPPING=PRECISE", "FS=MRC", "CURRENCY=USD", "XLFILL=b")</f>
        <v>#N/A Requesting Data...</v>
      </c>
      <c r="P3" s="1" t="str">
        <f>_xll.BQL("NOW US Equity", "LAST(IS_COMP_SALES(FA_ACT_EST_DATA=E, EST_SOURCE=BCA).firm_name)", "FPR=2021Y", "FPT=A", "ACT_EST_MAPPING=PRECISE", "FS=MRC", "CURRENCY=USD", "XLFILL=b")</f>
        <v>#N/A Requesting Data...</v>
      </c>
      <c r="Q3" s="1" t="str">
        <f>_xll.BQL("NOW US Equity", "LAST(IS_COMP_SALES(FA_ACT_EST_DATA=E, EST_SOURCE=RHR).firm_name)", "FPR=2021Y", "FPT=A", "ACT_EST_MAPPING=PRECISE", "FS=MRC", "CURRENCY=USD", "XLFILL=b")</f>
        <v>#N/A Requesting Data...</v>
      </c>
      <c r="R3" s="1" t="str">
        <f>_xll.BQL("NOW US Equity", "LAST(IS_COMP_SALES(FA_ACT_EST_DATA=E, EST_SOURCE=SNR).firm_name)", "FPR=2021Y", "FPT=A", "ACT_EST_MAPPING=PRECISE", "FS=MRC", "CURRENCY=USD", "XLFILL=b")</f>
        <v>#N/A Requesting Data...</v>
      </c>
      <c r="S3" s="1" t="str">
        <f>_xll.BQL("NOW US Equity", "LAST(IS_COMP_SALES(FA_ACT_EST_DATA=E, EST_SOURCE=MSV).firm_name)", "FPR=2021Y", "FPT=A", "ACT_EST_MAPPING=PRECISE", "FS=MRC", "CURRENCY=USD", "XLFILL=b")</f>
        <v>#N/A Requesting Data...</v>
      </c>
      <c r="T3" s="1" t="str">
        <f>_xll.BQL("NOW US Equity", "LAST(IS_COMP_SALES(FA_ACT_EST_DATA=E, EST_SOURCE=CAN).firm_name)", "FPR=2021Y", "FPT=A", "ACT_EST_MAPPING=PRECISE", "FS=MRC", "CURRENCY=USD", "XLFILL=b")</f>
        <v>#N/A Requesting Data...</v>
      </c>
      <c r="U3" s="1" t="str">
        <f>_xll.BQL("NOW US Equity", "LAST(IS_COMP_SALES(FA_ACT_EST_DATA=E, EST_SOURCE=JMP).firm_name)", "FPR=2021Y", "FPT=A", "ACT_EST_MAPPING=PRECISE", "FS=MRC", "CURRENCY=USD", "XLFILL=b")</f>
        <v>#N/A Requesting Data...</v>
      </c>
      <c r="V3" s="1" t="str">
        <f>_xll.BQL("NOW US Equity", "LAST(IS_COMP_SALES(FA_ACT_EST_DATA=E, EST_SOURCE=NDH).firm_name)", "FPR=2021Y", "FPT=A", "ACT_EST_MAPPING=PRECISE", "FS=MRC", "CURRENCY=USD", "XLFILL=b")</f>
        <v>#N/A Requesting Data...</v>
      </c>
      <c r="W3" s="1" t="str">
        <f>_xll.BQL("NOW US Equity", "LAST(IS_COMP_SALES(FA_ACT_EST_DATA=E, EST_SOURCE=ZXS).firm_name)", "FPR=2021Y", "FPT=A", "ACT_EST_MAPPING=PRECISE", "FS=MRC", "CURRENCY=USD", "XLFILL=b")</f>
        <v>#N/A Requesting Data...</v>
      </c>
      <c r="X3" s="1" t="str">
        <f>_xll.BQL("NOW US Equity", "LAST(IS_COMP_SALES(FA_ACT_EST_DATA=E, EST_SOURCE=CWN).firm_name)", "FPR=2021Y", "FPT=A", "ACT_EST_MAPPING=PRECISE", "FS=MRC", "CURRENCY=USD", "XLFILL=b")</f>
        <v>#N/A Requesting Data...</v>
      </c>
      <c r="Y3" s="1" t="str">
        <f>_xll.BQL("NOW US Equity", "LAST(IS_COMP_SALES(FA_ACT_EST_DATA=E, EST_SOURCE=DBG).firm_name)", "FPR=2021Y", "FPT=A", "ACT_EST_MAPPING=PRECISE", "FS=MRC", "CURRENCY=USD", "XLFILL=b")</f>
        <v>#N/A Requesting Data...</v>
      </c>
      <c r="Z3" s="1" t="str">
        <f>_xll.BQL("NOW US Equity", "LAST(IS_COMP_SALES(FA_ACT_EST_DATA=E, EST_SOURCE=UBS).firm_name)", "FPR=2021Y", "FPT=A", "ACT_EST_MAPPING=PRECISE", "FS=MRC", "CURRENCY=USD", "XLFILL=b")</f>
        <v>#N/A Requesting Data...</v>
      </c>
      <c r="AA3" s="1" t="str">
        <f>_xll.BQL("NOW US Equity", "LAST(IS_COMP_SALES(FA_ACT_EST_DATA=E, EST_SOURCE=RBC).firm_name)", "FPR=2021Y", "FPT=A", "ACT_EST_MAPPING=PRECISE", "FS=MRC", "CURRENCY=USD", "XLFILL=b")</f>
        <v>#N/A Requesting Data...</v>
      </c>
      <c r="AB3" s="1" t="str">
        <f>_xll.BQL("NOW US Equity", "LAST(IS_COMP_SALES(FA_ACT_EST_DATA=E, EST_SOURCE=EVR).firm_name)", "FPR=2021Y", "FPT=A", "ACT_EST_MAPPING=PRECISE", "FS=MRC", "CURRENCY=USD", "XLFILL=b")</f>
        <v>#N/A Requesting Data...</v>
      </c>
      <c r="AC3" s="1" t="str">
        <f>_xll.BQL("NOW US Equity", "LAST(IS_COMP_SALES(FA_ACT_EST_DATA=E, EST_SOURCE=BNS).firm_name)", "FPR=2021Y", "FPT=A", "ACT_EST_MAPPING=PRECISE", "FS=MRC", "CURRENCY=USD", "XLFILL=b")</f>
        <v>#N/A Requesting Data...</v>
      </c>
      <c r="AD3" s="1" t="str">
        <f>_xll.BQL("NOW US Equity", "LAST(IS_COMP_SALES(FA_ACT_EST_DATA=E, EST_SOURCE=BAM).firm_name)", "FPR=2021Y", "FPT=A", "ACT_EST_MAPPING=PRECISE", "FS=MRC", "CURRENCY=USD", "XLFILL=b")</f>
        <v>#N/A Requesting Data...</v>
      </c>
      <c r="AE3" s="1" t="str">
        <f>_xll.BQL("NOW US Equity", "LAST(IS_COMP_SALES(FA_ACT_EST_DATA=E, EST_SOURCE=GSR).firm_name)", "FPR=2021Y", "FPT=A", "ACT_EST_MAPPING=PRECISE", "FS=MRC", "CURRENCY=USD", "XLFILL=b")</f>
        <v>#N/A Requesting Data...</v>
      </c>
      <c r="AF3" s="1" t="str">
        <f>_xll.BQL("NOW US Equity", "LAST(IS_COMP_SALES(FA_ACT_EST_DATA=E, EST_SOURCE=FBC).firm_name)", "FPR=2021Y", "FPT=A", "ACT_EST_MAPPING=PRECISE", "FS=MRC", "CURRENCY=USD", "XLFILL=b")</f>
        <v>#N/A Requesting Data...</v>
      </c>
      <c r="AG3" s="1" t="str">
        <f>_xll.BQL("NOW US Equity", "LAST(IS_COMP_SALES(FA_ACT_EST_DATA=E, EST_SOURCE=MAC).firm_name)", "FPR=2021Y", "FPT=A", "ACT_EST_MAPPING=PRECISE", "FS=MRC", "CURRENCY=USD", "XLFILL=b")</f>
        <v>#N/A Requesting Data...</v>
      </c>
      <c r="AH3" s="1" t="str">
        <f>_xll.BQL("NOW US Equity", "LAST(IS_COMP_SALES(FA_ACT_EST_DATA=E, EST_SOURCE=PSG).firm_name)", "FPR=2021Y", "FPT=A", "ACT_EST_MAPPING=PRECISE", "FS=MRC", "CURRENCY=USD", "XLFILL=b")</f>
        <v>#N/A Requesting Data...</v>
      </c>
      <c r="AI3" s="1" t="str">
        <f>_xll.BQL("NOW US Equity", "LAST(IS_COMP_SALES(FA_ACT_EST_DATA=E, EST_SOURCE=MSR).firm_name)", "FPR=2021Y", "FPT=A", "ACT_EST_MAPPING=PRECISE", "FS=MRC", "CURRENCY=USD", "XLFILL=b")</f>
        <v>#N/A Requesting Data...</v>
      </c>
      <c r="AJ3" s="1" t="str">
        <f>_xll.BQL("NOW US Equity", "LAST(IS_COMP_SALES(FA_ACT_EST_DATA=E, EST_SOURCE=JEF).firm_name)", "FPR=2021Y", "FPT=A", "ACT_EST_MAPPING=PRECISE", "FS=MRC", "CURRENCY=USD", "XLFILL=b")</f>
        <v>#N/A Requesting Data...</v>
      </c>
      <c r="AK3" s="1" t="str">
        <f>_xll.BQL("NOW US Equity", "LAST(IS_COMP_SALES(FA_ACT_EST_DATA=E, EST_SOURCE=TTC).firm_name)", "FPR=2021Y", "FPT=A", "ACT_EST_MAPPING=PRECISE", "FS=MRC", "CURRENCY=USD", "XLFILL=b")</f>
        <v>#N/A Requesting Data...</v>
      </c>
      <c r="AL3" s="1" t="str">
        <f>_xll.BQL("NOW US Equity", "LAST(IS_COMP_SALES(FA_ACT_EST_DATA=E, EST_SOURCE=RWB).firm_name)", "FPR=2021Y", "FPT=A", "ACT_EST_MAPPING=PRECISE", "FS=MRC", "CURRENCY=USD", "XLFILL=b")</f>
        <v>#N/A Requesting Data...</v>
      </c>
      <c r="AM3" s="1" t="str">
        <f>_xll.BQL("NOW US Equity", "LAST(IS_COMP_SALES(FA_ACT_EST_DATA=E, EST_SOURCE=DZB).firm_name)", "FPR=2021Y", "FPT=A", "ACT_EST_MAPPING=PRECISE", "FS=MRC", "CURRENCY=USD", "XLFILL=b")</f>
        <v>#N/A Requesting Data...</v>
      </c>
      <c r="AN3" s="1" t="str">
        <f>_xll.BQL("NOW US Equity", "LAST(IS_COMP_SALES(FA_ACT_EST_DATA=E, EST_SOURCE=DWI).firm_name)", "FPR=2021Y", "FPT=A", "ACT_EST_MAPPING=PRECISE", "FS=MRC", "CURRENCY=USD", "XLFILL=b")</f>
        <v>#N/A Requesting Data...</v>
      </c>
      <c r="AO3" s="1" t="str">
        <f>_xll.BQL("NOW US Equity", "LAST(IS_COMP_SALES(FA_ACT_EST_DATA=E, EST_SOURCE=ARG).firm_name)", "FPR=2021Y", "FPT=A", "ACT_EST_MAPPING=PRECISE", "FS=MRC", "CURRENCY=USD", "XLFILL=b")</f>
        <v>#N/A Requesting Data...</v>
      </c>
      <c r="AP3" s="1" t="str">
        <f>_xll.BQL("NOW US Equity", "LAST(IS_COMP_SALES(FA_ACT_EST_DATA=E, EST_SOURCE=CTI).firm_name)", "FPR=2021Y", "FPT=A", "ACT_EST_MAPPING=PRECISE", "FS=MRC", "CURRENCY=USD", "XLFILL=b")</f>
        <v>#N/A Requesting Data...</v>
      </c>
      <c r="AQ3" s="1" t="str">
        <f>_xll.BQL("NOW US Equity", "LAST(IS_COMP_SALES(FA_ACT_EST_DATA=E, EST_SOURCE=WFT).firm_name)", "FPR=2021Y", "FPT=A", "ACT_EST_MAPPING=PRECISE", "FS=MRC", "CURRENCY=USD", "XLFILL=b")</f>
        <v>#N/A Requesting Data...</v>
      </c>
      <c r="AR3" s="1" t="str">
        <f>_xll.BQL("NOW US Equity", "LAST(IS_COMP_SALES(FA_ACT_EST_DATA=E, EST_SOURCE=ARE).firm_name)", "FPR=2021Y", "FPT=A", "ACT_EST_MAPPING=PRECISE", "FS=MRC", "CURRENCY=USD", "XLFILL=b")</f>
        <v>#N/A Requesting Data...</v>
      </c>
      <c r="AS3" s="1" t="str">
        <f>_xll.BQL("NOW US Equity", "LAST(IS_COMP_SALES(FA_ACT_EST_DATA=E, EST_SOURCE=PJE).firm_name)", "FPR=2021Y", "FPT=A", "ACT_EST_MAPPING=PRECISE", "FS=MRC", "CURRENCY=USD", "XLFILL=b")</f>
        <v>#N/A Requesting Data...</v>
      </c>
      <c r="AT3" s="1" t="str">
        <f>_xll.BQL("NOW US Equity", "LAST(IS_COMP_SALES(FA_ACT_EST_DATA=E, EST_SOURCE=MZS).firm_name)", "FPR=2021Y", "FPT=A", "ACT_EST_MAPPING=PRECISE", "FS=MRC", "CURRENCY=USD", "XLFILL=b")</f>
        <v>#N/A Requesting Data...</v>
      </c>
      <c r="AU3" s="1" t="str">
        <f>_xll.BQL("NOW US Equity", "LAST(IS_COMP_SALES(FA_ACT_EST_DATA=E, EST_SOURCE=SUM).firm_name)", "FPR=2021Y", "FPT=A", "ACT_EST_MAPPING=PRECISE", "FS=MRC", "CURRENCY=USD", "XLFILL=b")</f>
        <v>#N/A Requesting Data...</v>
      </c>
      <c r="AV3" s="1" t="str">
        <f>_xll.BQL("NOW US Equity", "LAST(IS_COMP_SALES(FA_ACT_EST_DATA=E, EST_SOURCE=CRC).firm_name)", "FPR=2021Y", "FPT=A", "ACT_EST_MAPPING=PRECISE", "FS=MRC", "CURRENCY=USD", "XLFILL=b")</f>
        <v>#N/A Requesting Data...</v>
      </c>
      <c r="AW3" s="1" t="str">
        <f>_xll.BQL("NOW US Equity", "LAST(IS_COMP_SALES(FA_ACT_EST_DATA=E, EST_SOURCE=SCB).firm_name)", "FPR=2021Y", "FPT=A", "ACT_EST_MAPPING=PRECISE", "FS=MRC", "CURRENCY=USD", "XLFILL=b")</f>
        <v>#N/A Requesting Data...</v>
      </c>
    </row>
    <row r="4" spans="1:49" x14ac:dyDescent="0.55000000000000004">
      <c r="A4" s="4" t="s">
        <v>12</v>
      </c>
      <c r="B4" s="4" t="s">
        <v>13</v>
      </c>
      <c r="C4" s="4" t="s">
        <v>14</v>
      </c>
      <c r="D4" s="4" t="s">
        <v>15</v>
      </c>
      <c r="E4" s="4"/>
      <c r="F4" s="4"/>
      <c r="G4" s="4"/>
      <c r="H4" s="4"/>
      <c r="I4" s="4"/>
      <c r="J4" s="4"/>
      <c r="K4" s="4" t="str">
        <f>_xll.BQL("NOW US Equity", "LAST(IS_COMP_SALES(FA_ACT_EST_DATA=E, EST_SOURCE=JPM).analyst_name)", "FPR=2021Y", "FPT=A", "ACT_EST_MAPPING=PRECISE", "FS=MRC", "CURRENCY=USD", "XLFILL=b")</f>
        <v>#N/A Requesting Data...</v>
      </c>
      <c r="L4" s="4" t="str">
        <f>_xll.BQL("NOW US Equity", "LAST(IS_COMP_SALES(FA_ACT_EST_DATA=E, EST_SOURCE=WBL).analyst_name)", "FPR=2021Y", "FPT=A", "ACT_EST_MAPPING=PRECISE", "FS=MRC", "CURRENCY=USD", "XLFILL=b")</f>
        <v>#N/A Requesting Data...</v>
      </c>
      <c r="M4" s="4" t="str">
        <f>_xll.BQL("NOW US Equity", "LAST(IS_COMP_SALES(FA_ACT_EST_DATA=E, EST_SOURCE=KEY).analyst_name)", "FPR=2021Y", "FPT=A", "ACT_EST_MAPPING=PRECISE", "FS=MRC", "CURRENCY=USD", "XLFILL=b")</f>
        <v>#N/A Requesting Data...</v>
      </c>
      <c r="N4" s="4" t="str">
        <f>_xll.BQL("NOW US Equity", "LAST(IS_COMP_SALES(FA_ACT_EST_DATA=E, EST_SOURCE=BMO).analyst_name)", "FPR=2021Y", "FPT=A", "ACT_EST_MAPPING=PRECISE", "FS=MRC", "CURRENCY=USD", "XLFILL=b")</f>
        <v>#N/A Requesting Data...</v>
      </c>
      <c r="O4" s="4" t="str">
        <f>_xll.BQL("NOW US Equity", "LAST(IS_COMP_SALES(FA_ACT_EST_DATA=E, EST_SOURCE=OPY).analyst_name)", "FPR=2021Y", "FPT=A", "ACT_EST_MAPPING=PRECISE", "FS=MRC", "CURRENCY=USD", "XLFILL=b")</f>
        <v>#N/A Requesting Data...</v>
      </c>
      <c r="P4" s="4" t="str">
        <f>_xll.BQL("NOW US Equity", "LAST(IS_COMP_SALES(FA_ACT_EST_DATA=E, EST_SOURCE=BCA).analyst_name)", "FPR=2021Y", "FPT=A", "ACT_EST_MAPPING=PRECISE", "FS=MRC", "CURRENCY=USD", "XLFILL=b")</f>
        <v>#N/A Requesting Data...</v>
      </c>
      <c r="Q4" s="4" t="str">
        <f>_xll.BQL("NOW US Equity", "LAST(IS_COMP_SALES(FA_ACT_EST_DATA=E, EST_SOURCE=RHR).analyst_name)", "FPR=2021Y", "FPT=A", "ACT_EST_MAPPING=PRECISE", "FS=MRC", "CURRENCY=USD", "XLFILL=b")</f>
        <v>#N/A Requesting Data...</v>
      </c>
      <c r="R4" s="4" t="str">
        <f>_xll.BQL("NOW US Equity", "LAST(IS_COMP_SALES(FA_ACT_EST_DATA=E, EST_SOURCE=SNR).analyst_name)", "FPR=2021Y", "FPT=A", "ACT_EST_MAPPING=PRECISE", "FS=MRC", "CURRENCY=USD", "XLFILL=b")</f>
        <v>#N/A Requesting Data...</v>
      </c>
      <c r="S4" s="4" t="str">
        <f>_xll.BQL("NOW US Equity", "LAST(IS_COMP_SALES(FA_ACT_EST_DATA=E, EST_SOURCE=MSV).analyst_name)", "FPR=2021Y", "FPT=A", "ACT_EST_MAPPING=PRECISE", "FS=MRC", "CURRENCY=USD", "XLFILL=b")</f>
        <v>#N/A Requesting Data...</v>
      </c>
      <c r="T4" s="4" t="str">
        <f>_xll.BQL("NOW US Equity", "LAST(IS_COMP_SALES(FA_ACT_EST_DATA=E, EST_SOURCE=CAN).analyst_name)", "FPR=2021Y", "FPT=A", "ACT_EST_MAPPING=PRECISE", "FS=MRC", "CURRENCY=USD", "XLFILL=b")</f>
        <v>#N/A Requesting Data...</v>
      </c>
      <c r="U4" s="4" t="str">
        <f>_xll.BQL("NOW US Equity", "LAST(IS_COMP_SALES(FA_ACT_EST_DATA=E, EST_SOURCE=JMP).analyst_name)", "FPR=2021Y", "FPT=A", "ACT_EST_MAPPING=PRECISE", "FS=MRC", "CURRENCY=USD", "XLFILL=b")</f>
        <v>#N/A Requesting Data...</v>
      </c>
      <c r="V4" s="4" t="str">
        <f>_xll.BQL("NOW US Equity", "LAST(IS_COMP_SALES(FA_ACT_EST_DATA=E, EST_SOURCE=NDH).analyst_name)", "FPR=2021Y", "FPT=A", "ACT_EST_MAPPING=PRECISE", "FS=MRC", "CURRENCY=USD", "XLFILL=b")</f>
        <v>#N/A Requesting Data...</v>
      </c>
      <c r="W4" s="4" t="str">
        <f>_xll.BQL("NOW US Equity", "LAST(IS_COMP_SALES(FA_ACT_EST_DATA=E, EST_SOURCE=ZXS).analyst_name)", "FPR=2021Y", "FPT=A", "ACT_EST_MAPPING=PRECISE", "FS=MRC", "CURRENCY=USD", "XLFILL=b")</f>
        <v>#N/A Requesting Data...</v>
      </c>
      <c r="X4" s="4" t="str">
        <f>_xll.BQL("NOW US Equity", "LAST(IS_COMP_SALES(FA_ACT_EST_DATA=E, EST_SOURCE=CWN).analyst_name)", "FPR=2021Y", "FPT=A", "ACT_EST_MAPPING=PRECISE", "FS=MRC", "CURRENCY=USD", "XLFILL=b")</f>
        <v>#N/A Requesting Data...</v>
      </c>
      <c r="Y4" s="4" t="str">
        <f>_xll.BQL("NOW US Equity", "LAST(IS_COMP_SALES(FA_ACT_EST_DATA=E, EST_SOURCE=DBG).analyst_name)", "FPR=2021Y", "FPT=A", "ACT_EST_MAPPING=PRECISE", "FS=MRC", "CURRENCY=USD", "XLFILL=b")</f>
        <v>#N/A Requesting Data...</v>
      </c>
      <c r="Z4" s="4" t="str">
        <f>_xll.BQL("NOW US Equity", "LAST(IS_COMP_SALES(FA_ACT_EST_DATA=E, EST_SOURCE=UBS).analyst_name)", "FPR=2021Y", "FPT=A", "ACT_EST_MAPPING=PRECISE", "FS=MRC", "CURRENCY=USD", "XLFILL=b")</f>
        <v>#N/A Requesting Data...</v>
      </c>
      <c r="AA4" s="4" t="str">
        <f>_xll.BQL("NOW US Equity", "LAST(IS_COMP_SALES(FA_ACT_EST_DATA=E, EST_SOURCE=RBC).analyst_name)", "FPR=2021Y", "FPT=A", "ACT_EST_MAPPING=PRECISE", "FS=MRC", "CURRENCY=USD", "XLFILL=b")</f>
        <v>#N/A Requesting Data...</v>
      </c>
      <c r="AB4" s="4" t="str">
        <f>_xll.BQL("NOW US Equity", "LAST(IS_COMP_SALES(FA_ACT_EST_DATA=E, EST_SOURCE=EVR).analyst_name)", "FPR=2021Y", "FPT=A", "ACT_EST_MAPPING=PRECISE", "FS=MRC", "CURRENCY=USD", "XLFILL=b")</f>
        <v>#N/A Requesting Data...</v>
      </c>
      <c r="AC4" s="4" t="str">
        <f>_xll.BQL("NOW US Equity", "LAST(IS_COMP_SALES(FA_ACT_EST_DATA=E, EST_SOURCE=BNS).analyst_name)", "FPR=2021Y", "FPT=A", "ACT_EST_MAPPING=PRECISE", "FS=MRC", "CURRENCY=USD", "XLFILL=b")</f>
        <v>#N/A Requesting Data...</v>
      </c>
      <c r="AD4" s="4" t="str">
        <f>_xll.BQL("NOW US Equity", "LAST(IS_COMP_SALES(FA_ACT_EST_DATA=E, EST_SOURCE=BAM).analyst_name)", "FPR=2021Y", "FPT=A", "ACT_EST_MAPPING=PRECISE", "FS=MRC", "CURRENCY=USD", "XLFILL=b")</f>
        <v>#N/A Requesting Data...</v>
      </c>
      <c r="AE4" s="4" t="str">
        <f>_xll.BQL("NOW US Equity", "LAST(IS_COMP_SALES(FA_ACT_EST_DATA=E, EST_SOURCE=GSR).analyst_name)", "FPR=2021Y", "FPT=A", "ACT_EST_MAPPING=PRECISE", "FS=MRC", "CURRENCY=USD", "XLFILL=b")</f>
        <v>#N/A Requesting Data...</v>
      </c>
      <c r="AF4" s="4" t="str">
        <f>_xll.BQL("NOW US Equity", "LAST(IS_COMP_SALES(FA_ACT_EST_DATA=E, EST_SOURCE=FBC).analyst_name)", "FPR=2021Y", "FPT=A", "ACT_EST_MAPPING=PRECISE", "FS=MRC", "CURRENCY=USD", "XLFILL=b")</f>
        <v>#N/A Requesting Data...</v>
      </c>
      <c r="AG4" s="4" t="str">
        <f>_xll.BQL("NOW US Equity", "LAST(IS_COMP_SALES(FA_ACT_EST_DATA=E, EST_SOURCE=MAC).analyst_name)", "FPR=2021Y", "FPT=A", "ACT_EST_MAPPING=PRECISE", "FS=MRC", "CURRENCY=USD", "XLFILL=b")</f>
        <v>#N/A Requesting Data...</v>
      </c>
      <c r="AH4" s="4" t="str">
        <f>_xll.BQL("NOW US Equity", "LAST(IS_COMP_SALES(FA_ACT_EST_DATA=E, EST_SOURCE=PSG).analyst_name)", "FPR=2021Y", "FPT=A", "ACT_EST_MAPPING=PRECISE", "FS=MRC", "CURRENCY=USD", "XLFILL=b")</f>
        <v>#N/A Requesting Data...</v>
      </c>
      <c r="AI4" s="4" t="str">
        <f>_xll.BQL("NOW US Equity", "LAST(IS_COMP_SALES(FA_ACT_EST_DATA=E, EST_SOURCE=MSR).analyst_name)", "FPR=2021Y", "FPT=A", "ACT_EST_MAPPING=PRECISE", "FS=MRC", "CURRENCY=USD", "XLFILL=b")</f>
        <v>#N/A Requesting Data...</v>
      </c>
      <c r="AJ4" s="4" t="str">
        <f>_xll.BQL("NOW US Equity", "LAST(IS_COMP_SALES(FA_ACT_EST_DATA=E, EST_SOURCE=JEF).analyst_name)", "FPR=2021Y", "FPT=A", "ACT_EST_MAPPING=PRECISE", "FS=MRC", "CURRENCY=USD", "XLFILL=b")</f>
        <v>#N/A Requesting Data...</v>
      </c>
      <c r="AK4" s="4" t="str">
        <f>_xll.BQL("NOW US Equity", "LAST(IS_COMP_SALES(FA_ACT_EST_DATA=E, EST_SOURCE=TTC).analyst_name)", "FPR=2021Y", "FPT=A", "ACT_EST_MAPPING=PRECISE", "FS=MRC", "CURRENCY=USD", "XLFILL=b")</f>
        <v>#N/A Requesting Data...</v>
      </c>
      <c r="AL4" s="4" t="str">
        <f>_xll.BQL("NOW US Equity", "LAST(IS_COMP_SALES(FA_ACT_EST_DATA=E, EST_SOURCE=RWB).analyst_name)", "FPR=2021Y", "FPT=A", "ACT_EST_MAPPING=PRECISE", "FS=MRC", "CURRENCY=USD", "XLFILL=b")</f>
        <v>#N/A Requesting Data...</v>
      </c>
      <c r="AM4" s="4" t="str">
        <f>_xll.BQL("NOW US Equity", "LAST(IS_COMP_SALES(FA_ACT_EST_DATA=E, EST_SOURCE=DZB).analyst_name)", "FPR=2021Y", "FPT=A", "ACT_EST_MAPPING=PRECISE", "FS=MRC", "CURRENCY=USD", "XLFILL=b")</f>
        <v>#N/A Requesting Data...</v>
      </c>
      <c r="AN4" s="4" t="str">
        <f>_xll.BQL("NOW US Equity", "LAST(IS_COMP_SALES(FA_ACT_EST_DATA=E, EST_SOURCE=DWI).analyst_name)", "FPR=2021Y", "FPT=A", "ACT_EST_MAPPING=PRECISE", "FS=MRC", "CURRENCY=USD", "XLFILL=b")</f>
        <v>#N/A Requesting Data...</v>
      </c>
      <c r="AO4" s="4" t="str">
        <f>_xll.BQL("NOW US Equity", "LAST(IS_COMP_SALES(FA_ACT_EST_DATA=E, EST_SOURCE=ARG).analyst_name)", "FPR=2021Y", "FPT=A", "ACT_EST_MAPPING=PRECISE", "FS=MRC", "CURRENCY=USD", "XLFILL=b")</f>
        <v>#N/A Requesting Data...</v>
      </c>
      <c r="AP4" s="4" t="str">
        <f>_xll.BQL("NOW US Equity", "LAST(IS_COMP_SALES(FA_ACT_EST_DATA=E, EST_SOURCE=CTI).analyst_name)", "FPR=2021Y", "FPT=A", "ACT_EST_MAPPING=PRECISE", "FS=MRC", "CURRENCY=USD", "XLFILL=b")</f>
        <v>#N/A Requesting Data...</v>
      </c>
      <c r="AQ4" s="4" t="str">
        <f>_xll.BQL("NOW US Equity", "LAST(IS_COMP_SALES(FA_ACT_EST_DATA=E, EST_SOURCE=WFT).analyst_name)", "FPR=2021Y", "FPT=A", "ACT_EST_MAPPING=PRECISE", "FS=MRC", "CURRENCY=USD", "XLFILL=b")</f>
        <v>#N/A Requesting Data...</v>
      </c>
      <c r="AR4" s="4" t="str">
        <f>_xll.BQL("NOW US Equity", "LAST(IS_COMP_SALES(FA_ACT_EST_DATA=E, EST_SOURCE=ARE).analyst_name)", "FPR=2021Y", "FPT=A", "ACT_EST_MAPPING=PRECISE", "FS=MRC", "CURRENCY=USD", "XLFILL=b")</f>
        <v>#N/A Requesting Data...</v>
      </c>
      <c r="AS4" s="4" t="str">
        <f>_xll.BQL("NOW US Equity", "LAST(IS_COMP_SALES(FA_ACT_EST_DATA=E, EST_SOURCE=PJE).analyst_name)", "FPR=2021Y", "FPT=A", "ACT_EST_MAPPING=PRECISE", "FS=MRC", "CURRENCY=USD", "XLFILL=b")</f>
        <v>#N/A Requesting Data...</v>
      </c>
      <c r="AT4" s="4" t="str">
        <f>_xll.BQL("NOW US Equity", "LAST(IS_COMP_SALES(FA_ACT_EST_DATA=E, EST_SOURCE=MZS).analyst_name)", "FPR=2021Y", "FPT=A", "ACT_EST_MAPPING=PRECISE", "FS=MRC", "CURRENCY=USD", "XLFILL=b")</f>
        <v>#N/A Requesting Data...</v>
      </c>
      <c r="AU4" s="4" t="str">
        <f>_xll.BQL("NOW US Equity", "LAST(IS_COMP_SALES(FA_ACT_EST_DATA=E, EST_SOURCE=SUM).analyst_name)", "FPR=2021Y", "FPT=A", "ACT_EST_MAPPING=PRECISE", "FS=MRC", "CURRENCY=USD", "XLFILL=b")</f>
        <v>#N/A Requesting Data...</v>
      </c>
      <c r="AV4" s="4" t="str">
        <f>_xll.BQL("NOW US Equity", "LAST(IS_COMP_SALES(FA_ACT_EST_DATA=E, EST_SOURCE=CRC).analyst_name)", "FPR=2021Y", "FPT=A", "ACT_EST_MAPPING=PRECISE", "FS=MRC", "CURRENCY=USD", "XLFILL=b")</f>
        <v>#N/A Requesting Data...</v>
      </c>
      <c r="AW4" s="4" t="str">
        <f>_xll.BQL("NOW US Equity", "LAST(IS_COMP_SALES(FA_ACT_EST_DATA=E, EST_SOURCE=SCB).analyst_name)", "FPR=2021Y", "FPT=A", "ACT_EST_MAPPING=PRECISE", "FS=MRC", "CURRENCY=USD", "XLFILL=b")</f>
        <v>#N/A Requesting Data...</v>
      </c>
    </row>
    <row r="5" spans="1:49" x14ac:dyDescent="0.55000000000000004">
      <c r="A5" s="5" t="s">
        <v>16</v>
      </c>
      <c r="B5" s="2"/>
      <c r="C5" s="2" t="s">
        <v>17</v>
      </c>
      <c r="D5" s="2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</row>
    <row r="6" spans="1:49" x14ac:dyDescent="0.55000000000000004">
      <c r="A6" s="5" t="s">
        <v>18</v>
      </c>
      <c r="B6" s="2" t="s">
        <v>19</v>
      </c>
      <c r="C6" s="2" t="s">
        <v>20</v>
      </c>
      <c r="D6" s="2"/>
      <c r="E6" s="6" t="str">
        <f>_xll.BQL("NOW US Equity", "IS_COMP_EPS_EXCL_STOCK_COMP", "FPR=2021Y", "FPT=A", "FA_ACT_EST_DATA=E", "ACT_EST_MAPPING=PRECISE", "FS=MRC", "CURRENCY=USD", "XLFILL=b")</f>
        <v>#N/A Requesting Data...</v>
      </c>
      <c r="F6" s="6" t="str">
        <f>_xll.BQL("NOW US Equity", "CONTRIBUTOR_STATS(IS_COMP_EPS_EXCL_STOCK_COMP, MIN)", "FPR=2021Y", "FPT=A", "FA_ACT_EST_DATA=E", "ACT_EST_MAPPING=PRECISE", "FS=MRC", "CURRENCY=USD", "XLFILL=b")</f>
        <v>#N/A Requesting Data...</v>
      </c>
      <c r="G6" s="6" t="str">
        <f>_xll.BQL("NOW US Equity", "CONTRIBUTOR_STATS(IS_COMP_EPS_EXCL_STOCK_COMP, MAX)", "FPR=2021Y", "FPT=A", "FA_ACT_EST_DATA=E", "ACT_EST_MAPPING=PRECISE", "FS=MRC", "CURRENCY=USD", "XLFILL=b")</f>
        <v>#N/A Requesting Data...</v>
      </c>
      <c r="H6" s="6" t="str">
        <f>_xll.BQL("NOW US Equity", "CONTRIBUTOR_STATS(IS_COMP_EPS_EXCL_STOCK_COMP, STD)", "FPR=2021Y", "FPT=A", "FA_ACT_EST_DATA=E", "ACT_EST_MAPPING=PRECISE", "FS=MRC", "CURRENCY=USD", "XLFILL=b")</f>
        <v>#N/A Requesting Data...</v>
      </c>
      <c r="I6" s="6" t="str">
        <f>_xll.BQL("NOW US Equity", "CONTRIBUTOR_STATS(IS_COMP_EPS_EXCL_STOCK_COMP, MEDIAN)", "FPR=2021Y", "FPT=A", "FA_ACT_EST_DATA=E", "ACT_EST_MAPPING=PRECISE", "FS=MRC", "CURRENCY=USD", "XLFILL=b")</f>
        <v>#N/A Requesting Data...</v>
      </c>
      <c r="J6" s="6" t="str">
        <f>_xll.BQL("NOW US Equity", "IS_COMP_EPS_EXCL_STOCK_COMP", "FPR=2021Y", "FPT=A", "FA_ACT_EST_DATA=E, EST_SOURCE=CMPY", "ACT_EST_MAPPING=PRECISE", "FS=MRC", "CURRENCY=USD", "XLFILL=b")</f>
        <v>#N/A Requesting Data...</v>
      </c>
      <c r="K6" s="6" t="str">
        <f>_xll.BQL("NOW US Equity", "IS_COMP_EPS_EXCL_STOCK_COMP", "FPR=2021Y", "FPT=A", "FA_ACT_EST_DATA=E, EST_SOURCE=JPM", "ACT_EST_MAPPING=PRECISE", "FS=MRC", "CURRENCY=USD", "XLFILL=b")</f>
        <v>#N/A Requesting Data...</v>
      </c>
      <c r="L6" s="6">
        <f>_xll.BQL("NOW US Equity", "IS_COMP_EPS_EXCL_STOCK_COMP", "FPR=2021Y", "FPT=A", "FA_ACT_EST_DATA=E, EST_SOURCE=WBL", "ACT_EST_MAPPING=PRECISE", "FS=MRC", "CURRENCY=USD", "XLFILL=b")</f>
        <v>5.87</v>
      </c>
      <c r="M6" s="6" t="str">
        <f>_xll.BQL("NOW US Equity", "IS_COMP_EPS_EXCL_STOCK_COMP", "FPR=2021Y", "FPT=A", "FA_ACT_EST_DATA=E, EST_SOURCE=KEY", "ACT_EST_MAPPING=PRECISE", "FS=MRC", "CURRENCY=USD", "XLFILL=b")</f>
        <v>#N/A Requesting Data...</v>
      </c>
      <c r="N6" s="6" t="str">
        <f>_xll.BQL("NOW US Equity", "IS_COMP_EPS_EXCL_STOCK_COMP", "FPR=2021Y", "FPT=A", "FA_ACT_EST_DATA=E, EST_SOURCE=BMO", "ACT_EST_MAPPING=PRECISE", "FS=MRC", "CURRENCY=USD", "XLFILL=b")</f>
        <v>#N/A Requesting Data...</v>
      </c>
      <c r="O6" s="6" t="str">
        <f>_xll.BQL("NOW US Equity", "IS_COMP_EPS_EXCL_STOCK_COMP", "FPR=2021Y", "FPT=A", "FA_ACT_EST_DATA=E, EST_SOURCE=OPY", "ACT_EST_MAPPING=PRECISE", "FS=MRC", "CURRENCY=USD", "XLFILL=b")</f>
        <v>#N/A Requesting Data...</v>
      </c>
      <c r="P6" s="6">
        <f>_xll.BQL("NOW US Equity", "IS_COMP_EPS_EXCL_STOCK_COMP", "FPR=2021Y", "FPT=A", "FA_ACT_EST_DATA=E, EST_SOURCE=BCA", "ACT_EST_MAPPING=PRECISE", "FS=MRC", "CURRENCY=USD", "XLFILL=b")</f>
        <v>5.87</v>
      </c>
      <c r="Q6" s="6" t="str">
        <f>_xll.BQL("NOW US Equity", "IS_COMP_EPS_EXCL_STOCK_COMP", "FPR=2021Y", "FPT=A", "FA_ACT_EST_DATA=E, EST_SOURCE=RHR", "ACT_EST_MAPPING=PRECISE", "FS=MRC", "CURRENCY=USD", "XLFILL=b")</f>
        <v>#N/A Requesting Data...</v>
      </c>
      <c r="R6" s="6" t="str">
        <f>_xll.BQL("NOW US Equity", "IS_COMP_EPS_EXCL_STOCK_COMP", "FPR=2021Y", "FPT=A", "FA_ACT_EST_DATA=E, EST_SOURCE=SNR", "ACT_EST_MAPPING=PRECISE", "FS=MRC", "CURRENCY=USD", "XLFILL=b")</f>
        <v>#N/A Requesting Data...</v>
      </c>
      <c r="S6" s="6" t="str">
        <f>_xll.BQL("NOW US Equity", "IS_COMP_EPS_EXCL_STOCK_COMP", "FPR=2021Y", "FPT=A", "FA_ACT_EST_DATA=E, EST_SOURCE=MSV", "ACT_EST_MAPPING=PRECISE", "FS=MRC", "CURRENCY=USD", "XLFILL=b")</f>
        <v>#N/A Requesting Data...</v>
      </c>
      <c r="T6" s="6">
        <f>_xll.BQL("NOW US Equity", "IS_COMP_EPS_EXCL_STOCK_COMP", "FPR=2021Y", "FPT=A", "FA_ACT_EST_DATA=E, EST_SOURCE=CAN", "ACT_EST_MAPPING=PRECISE", "FS=MRC", "CURRENCY=USD", "XLFILL=b")</f>
        <v>5.91</v>
      </c>
      <c r="U6" s="6" t="str">
        <f>_xll.BQL("NOW US Equity", "IS_COMP_EPS_EXCL_STOCK_COMP", "FPR=2021Y", "FPT=A", "FA_ACT_EST_DATA=E, EST_SOURCE=JMP", "ACT_EST_MAPPING=PRECISE", "FS=MRC", "CURRENCY=USD", "XLFILL=b")</f>
        <v>#N/A Requesting Data...</v>
      </c>
      <c r="V6" s="6">
        <f>_xll.BQL("NOW US Equity", "IS_COMP_EPS_EXCL_STOCK_COMP", "FPR=2021Y", "FPT=A", "FA_ACT_EST_DATA=E, EST_SOURCE=NDH", "ACT_EST_MAPPING=PRECISE", "FS=MRC", "CURRENCY=USD", "XLFILL=b")</f>
        <v>5.94</v>
      </c>
      <c r="W6" s="6" t="str">
        <f>_xll.BQL("NOW US Equity", "IS_COMP_EPS_EXCL_STOCK_COMP", "FPR=2021Y", "FPT=A", "FA_ACT_EST_DATA=E, EST_SOURCE=ZXS", "ACT_EST_MAPPING=PRECISE", "FS=MRC", "CURRENCY=USD", "XLFILL=b")</f>
        <v>#N/A Requesting Data...</v>
      </c>
      <c r="X6" s="6" t="str">
        <f>_xll.BQL("NOW US Equity", "IS_COMP_EPS_EXCL_STOCK_COMP", "FPR=2021Y", "FPT=A", "FA_ACT_EST_DATA=E, EST_SOURCE=CWN", "ACT_EST_MAPPING=PRECISE", "FS=MRC", "CURRENCY=USD", "XLFILL=b")</f>
        <v>#N/A Requesting Data...</v>
      </c>
      <c r="Y6" s="6">
        <f>_xll.BQL("NOW US Equity", "IS_COMP_EPS_EXCL_STOCK_COMP", "FPR=2021Y", "FPT=A", "FA_ACT_EST_DATA=E, EST_SOURCE=DBG", "ACT_EST_MAPPING=PRECISE", "FS=MRC", "CURRENCY=USD", "XLFILL=b")</f>
        <v>5.89</v>
      </c>
      <c r="Z6" s="6">
        <f>_xll.BQL("NOW US Equity", "IS_COMP_EPS_EXCL_STOCK_COMP", "FPR=2021Y", "FPT=A", "FA_ACT_EST_DATA=E, EST_SOURCE=UBS", "ACT_EST_MAPPING=PRECISE", "FS=MRC", "CURRENCY=USD", "XLFILL=b")</f>
        <v>6.06</v>
      </c>
      <c r="AA6" s="6">
        <f>_xll.BQL("NOW US Equity", "IS_COMP_EPS_EXCL_STOCK_COMP", "FPR=2021Y", "FPT=A", "FA_ACT_EST_DATA=E, EST_SOURCE=RBC", "ACT_EST_MAPPING=PRECISE", "FS=MRC", "CURRENCY=USD", "XLFILL=b")</f>
        <v>5.92</v>
      </c>
      <c r="AB6" s="6" t="str">
        <f>_xll.BQL("NOW US Equity", "IS_COMP_EPS_EXCL_STOCK_COMP", "FPR=2021Y", "FPT=A", "FA_ACT_EST_DATA=E, EST_SOURCE=EVR", "ACT_EST_MAPPING=PRECISE", "FS=MRC", "CURRENCY=USD", "XLFILL=b")</f>
        <v>#N/A Requesting Data...</v>
      </c>
      <c r="AC6" s="6" t="str">
        <f>_xll.BQL("NOW US Equity", "IS_COMP_EPS_EXCL_STOCK_COMP", "FPR=2021Y", "FPT=A", "FA_ACT_EST_DATA=E, EST_SOURCE=BNS", "ACT_EST_MAPPING=PRECISE", "FS=MRC", "CURRENCY=USD", "XLFILL=b")</f>
        <v>#N/A Requesting Data...</v>
      </c>
      <c r="AD6" s="6">
        <f>_xll.BQL("NOW US Equity", "IS_COMP_EPS_EXCL_STOCK_COMP", "FPR=2021Y", "FPT=A", "FA_ACT_EST_DATA=E, EST_SOURCE=BAM", "ACT_EST_MAPPING=PRECISE", "FS=MRC", "CURRENCY=USD", "XLFILL=b")</f>
        <v>5.87</v>
      </c>
      <c r="AE6" s="6" t="str">
        <f>_xll.BQL("NOW US Equity", "IS_COMP_EPS_EXCL_STOCK_COMP", "FPR=2021Y", "FPT=A", "FA_ACT_EST_DATA=E, EST_SOURCE=GSR", "ACT_EST_MAPPING=PRECISE", "FS=MRC", "CURRENCY=USD", "XLFILL=b")</f>
        <v>#N/A Requesting Data...</v>
      </c>
      <c r="AF6" s="6">
        <f>_xll.BQL("NOW US Equity", "IS_COMP_EPS_EXCL_STOCK_COMP", "FPR=2021Y", "FPT=A", "FA_ACT_EST_DATA=E, EST_SOURCE=FBC", "ACT_EST_MAPPING=PRECISE", "FS=MRC", "CURRENCY=USD", "XLFILL=b")</f>
        <v>5.91</v>
      </c>
      <c r="AG6" s="6">
        <f>_xll.BQL("NOW US Equity", "IS_COMP_EPS_EXCL_STOCK_COMP", "FPR=2021Y", "FPT=A", "FA_ACT_EST_DATA=E, EST_SOURCE=MAC", "ACT_EST_MAPPING=PRECISE", "FS=MRC", "CURRENCY=USD", "XLFILL=b")</f>
        <v>5.9</v>
      </c>
      <c r="AH6" s="6" t="str">
        <f>_xll.BQL("NOW US Equity", "IS_COMP_EPS_EXCL_STOCK_COMP", "FPR=2021Y", "FPT=A", "FA_ACT_EST_DATA=E, EST_SOURCE=PSG", "ACT_EST_MAPPING=PRECISE", "FS=MRC", "CURRENCY=USD", "XLFILL=b")</f>
        <v>#N/A Requesting Data...</v>
      </c>
      <c r="AI6" s="6" t="str">
        <f>_xll.BQL("NOW US Equity", "IS_COMP_EPS_EXCL_STOCK_COMP", "FPR=2021Y", "FPT=A", "FA_ACT_EST_DATA=E, EST_SOURCE=MSR", "ACT_EST_MAPPING=PRECISE", "FS=MRC", "CURRENCY=USD", "XLFILL=b")</f>
        <v>#N/A Requesting Data...</v>
      </c>
      <c r="AJ6" s="6">
        <f>_xll.BQL("NOW US Equity", "IS_COMP_EPS_EXCL_STOCK_COMP", "FPR=2021Y", "FPT=A", "FA_ACT_EST_DATA=E, EST_SOURCE=JEF", "ACT_EST_MAPPING=PRECISE", "FS=MRC", "CURRENCY=USD", "XLFILL=b")</f>
        <v>5.88</v>
      </c>
      <c r="AK6" s="6" t="str">
        <f>_xll.BQL("NOW US Equity", "IS_COMP_EPS_EXCL_STOCK_COMP", "FPR=2021Y", "FPT=A", "FA_ACT_EST_DATA=E, EST_SOURCE=TTC", "ACT_EST_MAPPING=PRECISE", "FS=MRC", "CURRENCY=USD", "XLFILL=b")</f>
        <v>#N/A Requesting Data...</v>
      </c>
      <c r="AL6" s="6" t="str">
        <f>_xll.BQL("NOW US Equity", "IS_COMP_EPS_EXCL_STOCK_COMP", "FPR=2021Y", "FPT=A", "FA_ACT_EST_DATA=E, EST_SOURCE=RWB", "ACT_EST_MAPPING=PRECISE", "FS=MRC", "CURRENCY=USD", "XLFILL=b")</f>
        <v>#N/A Requesting Data...</v>
      </c>
      <c r="AM6" s="6" t="str">
        <f>_xll.BQL("NOW US Equity", "IS_COMP_EPS_EXCL_STOCK_COMP", "FPR=2021Y", "FPT=A", "FA_ACT_EST_DATA=E, EST_SOURCE=DZB", "ACT_EST_MAPPING=PRECISE", "FS=MRC", "CURRENCY=USD", "XLFILL=b")</f>
        <v>#N/A Requesting Data...</v>
      </c>
      <c r="AN6" s="6" t="str">
        <f>_xll.BQL("NOW US Equity", "IS_COMP_EPS_EXCL_STOCK_COMP", "FPR=2021Y", "FPT=A", "FA_ACT_EST_DATA=E, EST_SOURCE=DWI", "ACT_EST_MAPPING=PRECISE", "FS=MRC", "CURRENCY=USD", "XLFILL=b")</f>
        <v>#N/A Requesting Data...</v>
      </c>
      <c r="AO6" s="6" t="str">
        <f>_xll.BQL("NOW US Equity", "IS_COMP_EPS_EXCL_STOCK_COMP", "FPR=2021Y", "FPT=A", "FA_ACT_EST_DATA=E, EST_SOURCE=ARG", "ACT_EST_MAPPING=PRECISE", "FS=MRC", "CURRENCY=USD", "XLFILL=b")</f>
        <v>#N/A Requesting Data...</v>
      </c>
      <c r="AP6" s="6" t="str">
        <f>_xll.BQL("NOW US Equity", "IS_COMP_EPS_EXCL_STOCK_COMP", "FPR=2021Y", "FPT=A", "FA_ACT_EST_DATA=E, EST_SOURCE=CTI", "ACT_EST_MAPPING=PRECISE", "FS=MRC", "CURRENCY=USD", "XLFILL=b")</f>
        <v>#N/A Requesting Data...</v>
      </c>
      <c r="AQ6" s="6" t="str">
        <f>_xll.BQL("NOW US Equity", "IS_COMP_EPS_EXCL_STOCK_COMP", "FPR=2021Y", "FPT=A", "FA_ACT_EST_DATA=E, EST_SOURCE=WFT", "ACT_EST_MAPPING=PRECISE", "FS=MRC", "CURRENCY=USD", "XLFILL=b")</f>
        <v/>
      </c>
      <c r="AR6" s="6" t="str">
        <f>_xll.BQL("NOW US Equity", "IS_COMP_EPS_EXCL_STOCK_COMP", "FPR=2021Y", "FPT=A", "FA_ACT_EST_DATA=E, EST_SOURCE=ARE", "ACT_EST_MAPPING=PRECISE", "FS=MRC", "CURRENCY=USD", "XLFILL=b")</f>
        <v>#N/A Requesting Data...</v>
      </c>
      <c r="AS6" s="6" t="str">
        <f>_xll.BQL("NOW US Equity", "IS_COMP_EPS_EXCL_STOCK_COMP", "FPR=2021Y", "FPT=A", "FA_ACT_EST_DATA=E, EST_SOURCE=PJE", "ACT_EST_MAPPING=PRECISE", "FS=MRC", "CURRENCY=USD", "XLFILL=b")</f>
        <v>#N/A Requesting Data...</v>
      </c>
      <c r="AT6" s="6" t="str">
        <f>_xll.BQL("NOW US Equity", "IS_COMP_EPS_EXCL_STOCK_COMP", "FPR=2021Y", "FPT=A", "FA_ACT_EST_DATA=E, EST_SOURCE=MZS", "ACT_EST_MAPPING=PRECISE", "FS=MRC", "CURRENCY=USD", "XLFILL=b")</f>
        <v>#N/A Requesting Data...</v>
      </c>
      <c r="AU6" s="6" t="str">
        <f>_xll.BQL("NOW US Equity", "IS_COMP_EPS_EXCL_STOCK_COMP", "FPR=2021Y", "FPT=A", "FA_ACT_EST_DATA=E, EST_SOURCE=SUM", "ACT_EST_MAPPING=PRECISE", "FS=MRC", "CURRENCY=USD", "XLFILL=b")</f>
        <v>#N/A Requesting Data...</v>
      </c>
      <c r="AV6" s="6" t="str">
        <f>_xll.BQL("NOW US Equity", "IS_COMP_EPS_EXCL_STOCK_COMP", "FPR=2021Y", "FPT=A", "FA_ACT_EST_DATA=E, EST_SOURCE=CRC", "ACT_EST_MAPPING=PRECISE", "FS=MRC", "CURRENCY=USD", "XLFILL=b")</f>
        <v>#N/A Requesting Data...</v>
      </c>
      <c r="AW6" s="6" t="str">
        <f>_xll.BQL("NOW US Equity", "IS_COMP_EPS_EXCL_STOCK_COMP", "FPR=2021Y", "FPT=A", "FA_ACT_EST_DATA=E, EST_SOURCE=SCB", "ACT_EST_MAPPING=PRECISE", "FS=MRC", "CURRENCY=USD", "XLFILL=b")</f>
        <v/>
      </c>
    </row>
    <row r="7" spans="1:49" x14ac:dyDescent="0.55000000000000004">
      <c r="A7" s="5" t="s">
        <v>21</v>
      </c>
      <c r="B7" s="2" t="s">
        <v>22</v>
      </c>
      <c r="C7" s="2" t="s">
        <v>0</v>
      </c>
      <c r="D7" s="2"/>
      <c r="E7" s="6" t="str">
        <f>_xll.BQL("NOW US Equity", "IS_COMP_SALES/1M", "FPR=2021Y", "FPT=A", "FA_ACT_EST_DATA=E", "ACT_EST_MAPPING=PRECISE", "FS=MRC", "CURRENCY=USD", "XLFILL=b")</f>
        <v>#N/A Requesting Data...</v>
      </c>
      <c r="F7" s="6" t="str">
        <f>_xll.BQL("NOW US Equity", "CONTRIBUTOR_STATS(IS_COMP_SALES, MIN)/1M", "FPR=2021Y", "FPT=A", "FA_ACT_EST_DATA=E", "ACT_EST_MAPPING=PRECISE", "FS=MRC", "CURRENCY=USD", "XLFILL=b")</f>
        <v>#N/A Requesting Data...</v>
      </c>
      <c r="G7" s="6" t="str">
        <f>_xll.BQL("NOW US Equity", "CONTRIBUTOR_STATS(IS_COMP_SALES, MAX)/1M", "FPR=2021Y", "FPT=A", "FA_ACT_EST_DATA=E", "ACT_EST_MAPPING=PRECISE", "FS=MRC", "CURRENCY=USD", "XLFILL=b")</f>
        <v>#N/A Requesting Data...</v>
      </c>
      <c r="H7" s="6" t="str">
        <f>_xll.BQL("NOW US Equity", "CONTRIBUTOR_STATS(IS_COMP_SALES, STD)/1M", "FPR=2021Y", "FPT=A", "FA_ACT_EST_DATA=E", "ACT_EST_MAPPING=PRECISE", "FS=MRC", "CURRENCY=USD", "XLFILL=b")</f>
        <v>#N/A Requesting Data...</v>
      </c>
      <c r="I7" s="6" t="str">
        <f>_xll.BQL("NOW US Equity", "CONTRIBUTOR_STATS(IS_COMP_SALES, MEDIAN)/1M", "FPR=2021Y", "FPT=A", "FA_ACT_EST_DATA=E", "ACT_EST_MAPPING=PRECISE", "FS=MRC", "CURRENCY=USD", "XLFILL=b")</f>
        <v>#N/A Requesting Data...</v>
      </c>
      <c r="J7" s="6" t="str">
        <f>_xll.BQL("NOW US Equity", "IS_COMP_SALES/1M", "FPR=2021Y", "FPT=A", "FA_ACT_EST_DATA=E, EST_SOURCE=CMPY", "ACT_EST_MAPPING=PRECISE", "FS=MRC", "CURRENCY=USD", "XLFILL=b")</f>
        <v>#N/A Requesting Data...</v>
      </c>
      <c r="K7" s="6" t="str">
        <f>_xll.BQL("NOW US Equity", "IS_COMP_SALES/1M", "FPR=2021Y", "FPT=A", "FA_ACT_EST_DATA=E, EST_SOURCE=JPM", "ACT_EST_MAPPING=PRECISE", "FS=MRC", "CURRENCY=USD", "XLFILL=b")</f>
        <v>#N/A Requesting Data...</v>
      </c>
      <c r="L7" s="6" t="str">
        <f>_xll.BQL("NOW US Equity", "IS_COMP_SALES/1M", "FPR=2021Y", "FPT=A", "FA_ACT_EST_DATA=E, EST_SOURCE=WBL", "ACT_EST_MAPPING=PRECISE", "FS=MRC", "CURRENCY=USD", "XLFILL=b")</f>
        <v>#N/A Requesting Data...</v>
      </c>
      <c r="M7" s="6" t="str">
        <f>_xll.BQL("NOW US Equity", "IS_COMP_SALES/1M", "FPR=2021Y", "FPT=A", "FA_ACT_EST_DATA=E, EST_SOURCE=KEY", "ACT_EST_MAPPING=PRECISE", "FS=MRC", "CURRENCY=USD", "XLFILL=b")</f>
        <v>#N/A Requesting Data...</v>
      </c>
      <c r="N7" s="6" t="str">
        <f>_xll.BQL("NOW US Equity", "IS_COMP_SALES/1M", "FPR=2021Y", "FPT=A", "FA_ACT_EST_DATA=E, EST_SOURCE=BMO", "ACT_EST_MAPPING=PRECISE", "FS=MRC", "CURRENCY=USD", "XLFILL=b")</f>
        <v>#N/A Requesting Data...</v>
      </c>
      <c r="O7" s="6" t="str">
        <f>_xll.BQL("NOW US Equity", "IS_COMP_SALES/1M", "FPR=2021Y", "FPT=A", "FA_ACT_EST_DATA=E, EST_SOURCE=OPY", "ACT_EST_MAPPING=PRECISE", "FS=MRC", "CURRENCY=USD", "XLFILL=b")</f>
        <v>#N/A Requesting Data...</v>
      </c>
      <c r="P7" s="6" t="str">
        <f>_xll.BQL("NOW US Equity", "IS_COMP_SALES/1M", "FPR=2021Y", "FPT=A", "FA_ACT_EST_DATA=E, EST_SOURCE=BCA", "ACT_EST_MAPPING=PRECISE", "FS=MRC", "CURRENCY=USD", "XLFILL=b")</f>
        <v>#N/A Requesting Data...</v>
      </c>
      <c r="Q7" s="6" t="str">
        <f>_xll.BQL("NOW US Equity", "IS_COMP_SALES/1M", "FPR=2021Y", "FPT=A", "FA_ACT_EST_DATA=E, EST_SOURCE=RHR", "ACT_EST_MAPPING=PRECISE", "FS=MRC", "CURRENCY=USD", "XLFILL=b")</f>
        <v>#N/A Requesting Data...</v>
      </c>
      <c r="R7" s="6" t="str">
        <f>_xll.BQL("NOW US Equity", "IS_COMP_SALES/1M", "FPR=2021Y", "FPT=A", "FA_ACT_EST_DATA=E, EST_SOURCE=SNR", "ACT_EST_MAPPING=PRECISE", "FS=MRC", "CURRENCY=USD", "XLFILL=b")</f>
        <v>#N/A Requesting Data...</v>
      </c>
      <c r="S7" s="6" t="str">
        <f>_xll.BQL("NOW US Equity", "IS_COMP_SALES/1M", "FPR=2021Y", "FPT=A", "FA_ACT_EST_DATA=E, EST_SOURCE=MSV", "ACT_EST_MAPPING=PRECISE", "FS=MRC", "CURRENCY=USD", "XLFILL=b")</f>
        <v>#N/A Requesting Data...</v>
      </c>
      <c r="T7" s="6" t="str">
        <f>_xll.BQL("NOW US Equity", "IS_COMP_SALES/1M", "FPR=2021Y", "FPT=A", "FA_ACT_EST_DATA=E, EST_SOURCE=CAN", "ACT_EST_MAPPING=PRECISE", "FS=MRC", "CURRENCY=USD", "XLFILL=b")</f>
        <v>#N/A Requesting Data...</v>
      </c>
      <c r="U7" s="6" t="str">
        <f>_xll.BQL("NOW US Equity", "IS_COMP_SALES/1M", "FPR=2021Y", "FPT=A", "FA_ACT_EST_DATA=E, EST_SOURCE=JMP", "ACT_EST_MAPPING=PRECISE", "FS=MRC", "CURRENCY=USD", "XLFILL=b")</f>
        <v>#N/A Requesting Data...</v>
      </c>
      <c r="V7" s="6" t="str">
        <f>_xll.BQL("NOW US Equity", "IS_COMP_SALES/1M", "FPR=2021Y", "FPT=A", "FA_ACT_EST_DATA=E, EST_SOURCE=NDH", "ACT_EST_MAPPING=PRECISE", "FS=MRC", "CURRENCY=USD", "XLFILL=b")</f>
        <v>#N/A Requesting Data...</v>
      </c>
      <c r="W7" s="6" t="str">
        <f>_xll.BQL("NOW US Equity", "IS_COMP_SALES/1M", "FPR=2021Y", "FPT=A", "FA_ACT_EST_DATA=E, EST_SOURCE=ZXS", "ACT_EST_MAPPING=PRECISE", "FS=MRC", "CURRENCY=USD", "XLFILL=b")</f>
        <v>#N/A Requesting Data...</v>
      </c>
      <c r="X7" s="6" t="str">
        <f>_xll.BQL("NOW US Equity", "IS_COMP_SALES/1M", "FPR=2021Y", "FPT=A", "FA_ACT_EST_DATA=E, EST_SOURCE=CWN", "ACT_EST_MAPPING=PRECISE", "FS=MRC", "CURRENCY=USD", "XLFILL=b")</f>
        <v>#N/A Requesting Data...</v>
      </c>
      <c r="Y7" s="6" t="str">
        <f>_xll.BQL("NOW US Equity", "IS_COMP_SALES/1M", "FPR=2021Y", "FPT=A", "FA_ACT_EST_DATA=E, EST_SOURCE=DBG", "ACT_EST_MAPPING=PRECISE", "FS=MRC", "CURRENCY=USD", "XLFILL=b")</f>
        <v>#N/A Requesting Data...</v>
      </c>
      <c r="Z7" s="6" t="str">
        <f>_xll.BQL("NOW US Equity", "IS_COMP_SALES/1M", "FPR=2021Y", "FPT=A", "FA_ACT_EST_DATA=E, EST_SOURCE=UBS", "ACT_EST_MAPPING=PRECISE", "FS=MRC", "CURRENCY=USD", "XLFILL=b")</f>
        <v>#N/A Requesting Data...</v>
      </c>
      <c r="AA7" s="6" t="str">
        <f>_xll.BQL("NOW US Equity", "IS_COMP_SALES/1M", "FPR=2021Y", "FPT=A", "FA_ACT_EST_DATA=E, EST_SOURCE=RBC", "ACT_EST_MAPPING=PRECISE", "FS=MRC", "CURRENCY=USD", "XLFILL=b")</f>
        <v>#N/A Requesting Data...</v>
      </c>
      <c r="AB7" s="6" t="str">
        <f>_xll.BQL("NOW US Equity", "IS_COMP_SALES/1M", "FPR=2021Y", "FPT=A", "FA_ACT_EST_DATA=E, EST_SOURCE=EVR", "ACT_EST_MAPPING=PRECISE", "FS=MRC", "CURRENCY=USD", "XLFILL=b")</f>
        <v>#N/A Requesting Data...</v>
      </c>
      <c r="AC7" s="6" t="str">
        <f>_xll.BQL("NOW US Equity", "IS_COMP_SALES/1M", "FPR=2021Y", "FPT=A", "FA_ACT_EST_DATA=E, EST_SOURCE=BNS", "ACT_EST_MAPPING=PRECISE", "FS=MRC", "CURRENCY=USD", "XLFILL=b")</f>
        <v>#N/A Requesting Data...</v>
      </c>
      <c r="AD7" s="6" t="str">
        <f>_xll.BQL("NOW US Equity", "IS_COMP_SALES/1M", "FPR=2021Y", "FPT=A", "FA_ACT_EST_DATA=E, EST_SOURCE=BAM", "ACT_EST_MAPPING=PRECISE", "FS=MRC", "CURRENCY=USD", "XLFILL=b")</f>
        <v>#N/A Requesting Data...</v>
      </c>
      <c r="AE7" s="6" t="str">
        <f>_xll.BQL("NOW US Equity", "IS_COMP_SALES/1M", "FPR=2021Y", "FPT=A", "FA_ACT_EST_DATA=E, EST_SOURCE=GSR", "ACT_EST_MAPPING=PRECISE", "FS=MRC", "CURRENCY=USD", "XLFILL=b")</f>
        <v>#N/A Requesting Data...</v>
      </c>
      <c r="AF7" s="6" t="str">
        <f>_xll.BQL("NOW US Equity", "IS_COMP_SALES/1M", "FPR=2021Y", "FPT=A", "FA_ACT_EST_DATA=E, EST_SOURCE=FBC", "ACT_EST_MAPPING=PRECISE", "FS=MRC", "CURRENCY=USD", "XLFILL=b")</f>
        <v>#N/A Requesting Data...</v>
      </c>
      <c r="AG7" s="6" t="str">
        <f>_xll.BQL("NOW US Equity", "IS_COMP_SALES/1M", "FPR=2021Y", "FPT=A", "FA_ACT_EST_DATA=E, EST_SOURCE=MAC", "ACT_EST_MAPPING=PRECISE", "FS=MRC", "CURRENCY=USD", "XLFILL=b")</f>
        <v>#N/A Requesting Data...</v>
      </c>
      <c r="AH7" s="6" t="str">
        <f>_xll.BQL("NOW US Equity", "IS_COMP_SALES/1M", "FPR=2021Y", "FPT=A", "FA_ACT_EST_DATA=E, EST_SOURCE=PSG", "ACT_EST_MAPPING=PRECISE", "FS=MRC", "CURRENCY=USD", "XLFILL=b")</f>
        <v>#N/A Requesting Data...</v>
      </c>
      <c r="AI7" s="6" t="str">
        <f>_xll.BQL("NOW US Equity", "IS_COMP_SALES/1M", "FPR=2021Y", "FPT=A", "FA_ACT_EST_DATA=E, EST_SOURCE=MSR", "ACT_EST_MAPPING=PRECISE", "FS=MRC", "CURRENCY=USD", "XLFILL=b")</f>
        <v>#N/A Requesting Data...</v>
      </c>
      <c r="AJ7" s="6" t="str">
        <f>_xll.BQL("NOW US Equity", "IS_COMP_SALES/1M", "FPR=2021Y", "FPT=A", "FA_ACT_EST_DATA=E, EST_SOURCE=JEF", "ACT_EST_MAPPING=PRECISE", "FS=MRC", "CURRENCY=USD", "XLFILL=b")</f>
        <v>#N/A Requesting Data...</v>
      </c>
      <c r="AK7" s="6" t="str">
        <f>_xll.BQL("NOW US Equity", "IS_COMP_SALES/1M", "FPR=2021Y", "FPT=A", "FA_ACT_EST_DATA=E, EST_SOURCE=TTC", "ACT_EST_MAPPING=PRECISE", "FS=MRC", "CURRENCY=USD", "XLFILL=b")</f>
        <v>#N/A Requesting Data...</v>
      </c>
      <c r="AL7" s="6" t="str">
        <f>_xll.BQL("NOW US Equity", "IS_COMP_SALES/1M", "FPR=2021Y", "FPT=A", "FA_ACT_EST_DATA=E, EST_SOURCE=RWB", "ACT_EST_MAPPING=PRECISE", "FS=MRC", "CURRENCY=USD", "XLFILL=b")</f>
        <v>#N/A Requesting Data...</v>
      </c>
      <c r="AM7" s="6" t="str">
        <f>_xll.BQL("NOW US Equity", "IS_COMP_SALES/1M", "FPR=2021Y", "FPT=A", "FA_ACT_EST_DATA=E, EST_SOURCE=DZB", "ACT_EST_MAPPING=PRECISE", "FS=MRC", "CURRENCY=USD", "XLFILL=b")</f>
        <v>#N/A Requesting Data...</v>
      </c>
      <c r="AN7" s="6" t="str">
        <f>_xll.BQL("NOW US Equity", "IS_COMP_SALES/1M", "FPR=2021Y", "FPT=A", "FA_ACT_EST_DATA=E, EST_SOURCE=DWI", "ACT_EST_MAPPING=PRECISE", "FS=MRC", "CURRENCY=USD", "XLFILL=b")</f>
        <v>#N/A Requesting Data...</v>
      </c>
      <c r="AO7" s="6" t="str">
        <f>_xll.BQL("NOW US Equity", "IS_COMP_SALES/1M", "FPR=2021Y", "FPT=A", "FA_ACT_EST_DATA=E, EST_SOURCE=ARG", "ACT_EST_MAPPING=PRECISE", "FS=MRC", "CURRENCY=USD", "XLFILL=b")</f>
        <v>#N/A Requesting Data...</v>
      </c>
      <c r="AP7" s="6" t="str">
        <f>_xll.BQL("NOW US Equity", "IS_COMP_SALES/1M", "FPR=2021Y", "FPT=A", "FA_ACT_EST_DATA=E, EST_SOURCE=CTI", "ACT_EST_MAPPING=PRECISE", "FS=MRC", "CURRENCY=USD", "XLFILL=b")</f>
        <v>#N/A Requesting Data...</v>
      </c>
      <c r="AQ7" s="6" t="str">
        <f>_xll.BQL("NOW US Equity", "IS_COMP_SALES/1M", "FPR=2021Y", "FPT=A", "FA_ACT_EST_DATA=E, EST_SOURCE=WFT", "ACT_EST_MAPPING=PRECISE", "FS=MRC", "CURRENCY=USD", "XLFILL=b")</f>
        <v>#N/A Requesting Data...</v>
      </c>
      <c r="AR7" s="6" t="str">
        <f>_xll.BQL("NOW US Equity", "IS_COMP_SALES/1M", "FPR=2021Y", "FPT=A", "FA_ACT_EST_DATA=E, EST_SOURCE=ARE", "ACT_EST_MAPPING=PRECISE", "FS=MRC", "CURRENCY=USD", "XLFILL=b")</f>
        <v>#N/A Requesting Data...</v>
      </c>
      <c r="AS7" s="6" t="str">
        <f>_xll.BQL("NOW US Equity", "IS_COMP_SALES/1M", "FPR=2021Y", "FPT=A", "FA_ACT_EST_DATA=E, EST_SOURCE=PJE", "ACT_EST_MAPPING=PRECISE", "FS=MRC", "CURRENCY=USD", "XLFILL=b")</f>
        <v>#N/A Requesting Data...</v>
      </c>
      <c r="AT7" s="6" t="str">
        <f>_xll.BQL("NOW US Equity", "IS_COMP_SALES/1M", "FPR=2021Y", "FPT=A", "FA_ACT_EST_DATA=E, EST_SOURCE=MZS", "ACT_EST_MAPPING=PRECISE", "FS=MRC", "CURRENCY=USD", "XLFILL=b")</f>
        <v>#N/A Requesting Data...</v>
      </c>
      <c r="AU7" s="6" t="str">
        <f>_xll.BQL("NOW US Equity", "IS_COMP_SALES/1M", "FPR=2021Y", "FPT=A", "FA_ACT_EST_DATA=E, EST_SOURCE=SUM", "ACT_EST_MAPPING=PRECISE", "FS=MRC", "CURRENCY=USD", "XLFILL=b")</f>
        <v>#N/A Requesting Data...</v>
      </c>
      <c r="AV7" s="6" t="str">
        <f>_xll.BQL("NOW US Equity", "IS_COMP_SALES/1M", "FPR=2021Y", "FPT=A", "FA_ACT_EST_DATA=E, EST_SOURCE=CRC", "ACT_EST_MAPPING=PRECISE", "FS=MRC", "CURRENCY=USD", "XLFILL=b")</f>
        <v>#N/A Requesting Data...</v>
      </c>
      <c r="AW7" s="6" t="str">
        <f>_xll.BQL("NOW US Equity", "IS_COMP_SALES/1M", "FPR=2021Y", "FPT=A", "FA_ACT_EST_DATA=E, EST_SOURCE=SCB", "ACT_EST_MAPPING=PRECISE", "FS=MRC", "CURRENCY=USD", "XLFILL=b")</f>
        <v>#N/A Requesting Data...</v>
      </c>
    </row>
    <row r="8" spans="1:49" x14ac:dyDescent="0.55000000000000004">
      <c r="A8" s="5" t="s">
        <v>23</v>
      </c>
      <c r="B8" s="2"/>
      <c r="C8" s="2"/>
      <c r="D8" s="2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</row>
    <row r="9" spans="1:49" x14ac:dyDescent="0.55000000000000004">
      <c r="A9" s="5" t="s">
        <v>24</v>
      </c>
      <c r="B9" s="2" t="s">
        <v>25</v>
      </c>
      <c r="C9" s="2" t="s">
        <v>26</v>
      </c>
      <c r="D9" s="2"/>
      <c r="E9" s="6" t="str">
        <f>_xll.BQL("NOW US Equity", "IS_BILLINGS/1M", "FPR=2021Y", "FPT=A", "FA_ACT_EST_DATA=E", "ACT_EST_MAPPING=PRECISE", "FS=MRC", "CURRENCY=USD", "XLFILL=b")</f>
        <v>#N/A Requesting Data...</v>
      </c>
      <c r="F9" s="6" t="str">
        <f>_xll.BQL("NOW US Equity", "CONTRIBUTOR_STATS(IS_BILLINGS, MIN)/1M", "FPR=2021Y", "FPT=A", "FA_ACT_EST_DATA=E", "ACT_EST_MAPPING=PRECISE", "FS=MRC", "CURRENCY=USD", "XLFILL=b")</f>
        <v>#N/A Requesting Data...</v>
      </c>
      <c r="G9" s="6" t="str">
        <f>_xll.BQL("NOW US Equity", "CONTRIBUTOR_STATS(IS_BILLINGS, MAX)/1M", "FPR=2021Y", "FPT=A", "FA_ACT_EST_DATA=E", "ACT_EST_MAPPING=PRECISE", "FS=MRC", "CURRENCY=USD", "XLFILL=b")</f>
        <v>#N/A Requesting Data...</v>
      </c>
      <c r="H9" s="6" t="str">
        <f>_xll.BQL("NOW US Equity", "CONTRIBUTOR_STATS(IS_BILLINGS, STD)/1M", "FPR=2021Y", "FPT=A", "FA_ACT_EST_DATA=E", "ACT_EST_MAPPING=PRECISE", "FS=MRC", "CURRENCY=USD", "XLFILL=b")</f>
        <v>#N/A Requesting Data...</v>
      </c>
      <c r="I9" s="6" t="str">
        <f>_xll.BQL("NOW US Equity", "CONTRIBUTOR_STATS(IS_BILLINGS, MEDIAN)/1M", "FPR=2021Y", "FPT=A", "FA_ACT_EST_DATA=E", "ACT_EST_MAPPING=PRECISE", "FS=MRC", "CURRENCY=USD", "XLFILL=b")</f>
        <v>#N/A Requesting Data...</v>
      </c>
      <c r="J9" s="6" t="str">
        <f>_xll.BQL("NOW US Equity", "IS_BILLINGS/1M", "FPR=2021Y", "FPT=A", "FA_ACT_EST_DATA=E, EST_SOURCE=CMPY", "ACT_EST_MAPPING=PRECISE", "FS=MRC", "CURRENCY=USD", "XLFILL=b")</f>
        <v>#N/A Requesting Data...</v>
      </c>
      <c r="K9" s="6" t="str">
        <f>_xll.BQL("NOW US Equity", "IS_BILLINGS/1M", "FPR=2021Y", "FPT=A", "FA_ACT_EST_DATA=E, EST_SOURCE=JPM", "ACT_EST_MAPPING=PRECISE", "FS=MRC", "CURRENCY=USD", "XLFILL=b")</f>
        <v>#N/A Requesting Data...</v>
      </c>
      <c r="L9" s="6" t="str">
        <f>_xll.BQL("NOW US Equity", "IS_BILLINGS/1M", "FPR=2021Y", "FPT=A", "FA_ACT_EST_DATA=E, EST_SOURCE=WBL", "ACT_EST_MAPPING=PRECISE", "FS=MRC", "CURRENCY=USD", "XLFILL=b")</f>
        <v>#N/A Requesting Data...</v>
      </c>
      <c r="M9" s="6" t="str">
        <f>_xll.BQL("NOW US Equity", "IS_BILLINGS/1M", "FPR=2021Y", "FPT=A", "FA_ACT_EST_DATA=E, EST_SOURCE=KEY", "ACT_EST_MAPPING=PRECISE", "FS=MRC", "CURRENCY=USD", "XLFILL=b")</f>
        <v>#N/A Requesting Data...</v>
      </c>
      <c r="N9" s="6" t="str">
        <f>_xll.BQL("NOW US Equity", "IS_BILLINGS/1M", "FPR=2021Y", "FPT=A", "FA_ACT_EST_DATA=E, EST_SOURCE=BMO", "ACT_EST_MAPPING=PRECISE", "FS=MRC", "CURRENCY=USD", "XLFILL=b")</f>
        <v>#N/A Requesting Data...</v>
      </c>
      <c r="O9" s="6" t="str">
        <f>_xll.BQL("NOW US Equity", "IS_BILLINGS/1M", "FPR=2021Y", "FPT=A", "FA_ACT_EST_DATA=E, EST_SOURCE=OPY", "ACT_EST_MAPPING=PRECISE", "FS=MRC", "CURRENCY=USD", "XLFILL=b")</f>
        <v>#N/A Requesting Data...</v>
      </c>
      <c r="P9" s="6" t="str">
        <f>_xll.BQL("NOW US Equity", "IS_BILLINGS/1M", "FPR=2021Y", "FPT=A", "FA_ACT_EST_DATA=E, EST_SOURCE=BCA", "ACT_EST_MAPPING=PRECISE", "FS=MRC", "CURRENCY=USD", "XLFILL=b")</f>
        <v>#N/A Requesting Data...</v>
      </c>
      <c r="Q9" s="6" t="str">
        <f>_xll.BQL("NOW US Equity", "IS_BILLINGS/1M", "FPR=2021Y", "FPT=A", "FA_ACT_EST_DATA=E, EST_SOURCE=RHR", "ACT_EST_MAPPING=PRECISE", "FS=MRC", "CURRENCY=USD", "XLFILL=b")</f>
        <v>#N/A Requesting Data...</v>
      </c>
      <c r="R9" s="6" t="str">
        <f>_xll.BQL("NOW US Equity", "IS_BILLINGS/1M", "FPR=2021Y", "FPT=A", "FA_ACT_EST_DATA=E, EST_SOURCE=SNR", "ACT_EST_MAPPING=PRECISE", "FS=MRC", "CURRENCY=USD", "XLFILL=b")</f>
        <v>#N/A Requesting Data...</v>
      </c>
      <c r="S9" s="6" t="str">
        <f>_xll.BQL("NOW US Equity", "IS_BILLINGS/1M", "FPR=2021Y", "FPT=A", "FA_ACT_EST_DATA=E, EST_SOURCE=MSV", "ACT_EST_MAPPING=PRECISE", "FS=MRC", "CURRENCY=USD", "XLFILL=b")</f>
        <v>#N/A Requesting Data...</v>
      </c>
      <c r="T9" s="6" t="str">
        <f>_xll.BQL("NOW US Equity", "IS_BILLINGS/1M", "FPR=2021Y", "FPT=A", "FA_ACT_EST_DATA=E, EST_SOURCE=CAN", "ACT_EST_MAPPING=PRECISE", "FS=MRC", "CURRENCY=USD", "XLFILL=b")</f>
        <v>#N/A Requesting Data...</v>
      </c>
      <c r="U9" s="6" t="str">
        <f>_xll.BQL("NOW US Equity", "IS_BILLINGS/1M", "FPR=2021Y", "FPT=A", "FA_ACT_EST_DATA=E, EST_SOURCE=JMP", "ACT_EST_MAPPING=PRECISE", "FS=MRC", "CURRENCY=USD", "XLFILL=b")</f>
        <v>#N/A Requesting Data...</v>
      </c>
      <c r="V9" s="6" t="str">
        <f>_xll.BQL("NOW US Equity", "IS_BILLINGS/1M", "FPR=2021Y", "FPT=A", "FA_ACT_EST_DATA=E, EST_SOURCE=NDH", "ACT_EST_MAPPING=PRECISE", "FS=MRC", "CURRENCY=USD", "XLFILL=b")</f>
        <v>#N/A Requesting Data...</v>
      </c>
      <c r="W9" s="6" t="str">
        <f>_xll.BQL("NOW US Equity", "IS_BILLINGS/1M", "FPR=2021Y", "FPT=A", "FA_ACT_EST_DATA=E, EST_SOURCE=ZXS", "ACT_EST_MAPPING=PRECISE", "FS=MRC", "CURRENCY=USD", "XLFILL=b")</f>
        <v>#N/A Requesting Data...</v>
      </c>
      <c r="X9" s="6" t="str">
        <f>_xll.BQL("NOW US Equity", "IS_BILLINGS/1M", "FPR=2021Y", "FPT=A", "FA_ACT_EST_DATA=E, EST_SOURCE=CWN", "ACT_EST_MAPPING=PRECISE", "FS=MRC", "CURRENCY=USD", "XLFILL=b")</f>
        <v>#N/A Requesting Data...</v>
      </c>
      <c r="Y9" s="6" t="str">
        <f>_xll.BQL("NOW US Equity", "IS_BILLINGS/1M", "FPR=2021Y", "FPT=A", "FA_ACT_EST_DATA=E, EST_SOURCE=DBG", "ACT_EST_MAPPING=PRECISE", "FS=MRC", "CURRENCY=USD", "XLFILL=b")</f>
        <v>#N/A Requesting Data...</v>
      </c>
      <c r="Z9" s="6" t="str">
        <f>_xll.BQL("NOW US Equity", "IS_BILLINGS/1M", "FPR=2021Y", "FPT=A", "FA_ACT_EST_DATA=E, EST_SOURCE=UBS", "ACT_EST_MAPPING=PRECISE", "FS=MRC", "CURRENCY=USD", "XLFILL=b")</f>
        <v>#N/A Requesting Data...</v>
      </c>
      <c r="AA9" s="6" t="str">
        <f>_xll.BQL("NOW US Equity", "IS_BILLINGS/1M", "FPR=2021Y", "FPT=A", "FA_ACT_EST_DATA=E, EST_SOURCE=RBC", "ACT_EST_MAPPING=PRECISE", "FS=MRC", "CURRENCY=USD", "XLFILL=b")</f>
        <v>#N/A Requesting Data...</v>
      </c>
      <c r="AB9" s="6" t="str">
        <f>_xll.BQL("NOW US Equity", "IS_BILLINGS/1M", "FPR=2021Y", "FPT=A", "FA_ACT_EST_DATA=E, EST_SOURCE=EVR", "ACT_EST_MAPPING=PRECISE", "FS=MRC", "CURRENCY=USD", "XLFILL=b")</f>
        <v>#N/A Requesting Data...</v>
      </c>
      <c r="AC9" s="6" t="str">
        <f>_xll.BQL("NOW US Equity", "IS_BILLINGS/1M", "FPR=2021Y", "FPT=A", "FA_ACT_EST_DATA=E, EST_SOURCE=BNS", "ACT_EST_MAPPING=PRECISE", "FS=MRC", "CURRENCY=USD", "XLFILL=b")</f>
        <v>#N/A Requesting Data...</v>
      </c>
      <c r="AD9" s="6" t="str">
        <f>_xll.BQL("NOW US Equity", "IS_BILLINGS/1M", "FPR=2021Y", "FPT=A", "FA_ACT_EST_DATA=E, EST_SOURCE=BAM", "ACT_EST_MAPPING=PRECISE", "FS=MRC", "CURRENCY=USD", "XLFILL=b")</f>
        <v>#N/A Requesting Data...</v>
      </c>
      <c r="AE9" s="6" t="str">
        <f>_xll.BQL("NOW US Equity", "IS_BILLINGS/1M", "FPR=2021Y", "FPT=A", "FA_ACT_EST_DATA=E, EST_SOURCE=GSR", "ACT_EST_MAPPING=PRECISE", "FS=MRC", "CURRENCY=USD", "XLFILL=b")</f>
        <v>#N/A Requesting Data...</v>
      </c>
      <c r="AF9" s="6" t="str">
        <f>_xll.BQL("NOW US Equity", "IS_BILLINGS/1M", "FPR=2021Y", "FPT=A", "FA_ACT_EST_DATA=E, EST_SOURCE=FBC", "ACT_EST_MAPPING=PRECISE", "FS=MRC", "CURRENCY=USD", "XLFILL=b")</f>
        <v>#N/A Requesting Data...</v>
      </c>
      <c r="AG9" s="6" t="str">
        <f>_xll.BQL("NOW US Equity", "IS_BILLINGS/1M", "FPR=2021Y", "FPT=A", "FA_ACT_EST_DATA=E, EST_SOURCE=MAC", "ACT_EST_MAPPING=PRECISE", "FS=MRC", "CURRENCY=USD", "XLFILL=b")</f>
        <v>#N/A Requesting Data...</v>
      </c>
      <c r="AH9" s="6" t="str">
        <f>_xll.BQL("NOW US Equity", "IS_BILLINGS/1M", "FPR=2021Y", "FPT=A", "FA_ACT_EST_DATA=E, EST_SOURCE=PSG", "ACT_EST_MAPPING=PRECISE", "FS=MRC", "CURRENCY=USD", "XLFILL=b")</f>
        <v>#N/A Requesting Data...</v>
      </c>
      <c r="AI9" s="6" t="str">
        <f>_xll.BQL("NOW US Equity", "IS_BILLINGS/1M", "FPR=2021Y", "FPT=A", "FA_ACT_EST_DATA=E, EST_SOURCE=MSR", "ACT_EST_MAPPING=PRECISE", "FS=MRC", "CURRENCY=USD", "XLFILL=b")</f>
        <v>#N/A Requesting Data...</v>
      </c>
      <c r="AJ9" s="6" t="str">
        <f>_xll.BQL("NOW US Equity", "IS_BILLINGS/1M", "FPR=2021Y", "FPT=A", "FA_ACT_EST_DATA=E, EST_SOURCE=JEF", "ACT_EST_MAPPING=PRECISE", "FS=MRC", "CURRENCY=USD", "XLFILL=b")</f>
        <v>#N/A Requesting Data...</v>
      </c>
      <c r="AK9" s="6" t="str">
        <f>_xll.BQL("NOW US Equity", "IS_BILLINGS/1M", "FPR=2021Y", "FPT=A", "FA_ACT_EST_DATA=E, EST_SOURCE=TTC", "ACT_EST_MAPPING=PRECISE", "FS=MRC", "CURRENCY=USD", "XLFILL=b")</f>
        <v>#N/A Requesting Data...</v>
      </c>
      <c r="AL9" s="6" t="str">
        <f>_xll.BQL("NOW US Equity", "IS_BILLINGS/1M", "FPR=2021Y", "FPT=A", "FA_ACT_EST_DATA=E, EST_SOURCE=RWB", "ACT_EST_MAPPING=PRECISE", "FS=MRC", "CURRENCY=USD", "XLFILL=b")</f>
        <v>#N/A Requesting Data...</v>
      </c>
      <c r="AM9" s="6" t="str">
        <f>_xll.BQL("NOW US Equity", "IS_BILLINGS/1M", "FPR=2021Y", "FPT=A", "FA_ACT_EST_DATA=E, EST_SOURCE=DZB", "ACT_EST_MAPPING=PRECISE", "FS=MRC", "CURRENCY=USD", "XLFILL=b")</f>
        <v>#N/A Requesting Data...</v>
      </c>
      <c r="AN9" s="6" t="str">
        <f>_xll.BQL("NOW US Equity", "IS_BILLINGS/1M", "FPR=2021Y", "FPT=A", "FA_ACT_EST_DATA=E, EST_SOURCE=DWI", "ACT_EST_MAPPING=PRECISE", "FS=MRC", "CURRENCY=USD", "XLFILL=b")</f>
        <v>#N/A Requesting Data...</v>
      </c>
      <c r="AO9" s="6" t="str">
        <f>_xll.BQL("NOW US Equity", "IS_BILLINGS/1M", "FPR=2021Y", "FPT=A", "FA_ACT_EST_DATA=E, EST_SOURCE=ARG", "ACT_EST_MAPPING=PRECISE", "FS=MRC", "CURRENCY=USD", "XLFILL=b")</f>
        <v>#N/A Requesting Data...</v>
      </c>
      <c r="AP9" s="6" t="str">
        <f>_xll.BQL("NOW US Equity", "IS_BILLINGS/1M", "FPR=2021Y", "FPT=A", "FA_ACT_EST_DATA=E, EST_SOURCE=CTI", "ACT_EST_MAPPING=PRECISE", "FS=MRC", "CURRENCY=USD", "XLFILL=b")</f>
        <v>#N/A Requesting Data...</v>
      </c>
      <c r="AQ9" s="6" t="str">
        <f>_xll.BQL("NOW US Equity", "IS_BILLINGS/1M", "FPR=2021Y", "FPT=A", "FA_ACT_EST_DATA=E, EST_SOURCE=WFT", "ACT_EST_MAPPING=PRECISE", "FS=MRC", "CURRENCY=USD", "XLFILL=b")</f>
        <v>#N/A Requesting Data...</v>
      </c>
      <c r="AR9" s="6" t="str">
        <f>_xll.BQL("NOW US Equity", "IS_BILLINGS/1M", "FPR=2021Y", "FPT=A", "FA_ACT_EST_DATA=E, EST_SOURCE=ARE", "ACT_EST_MAPPING=PRECISE", "FS=MRC", "CURRENCY=USD", "XLFILL=b")</f>
        <v>#N/A Requesting Data...</v>
      </c>
      <c r="AS9" s="6" t="str">
        <f>_xll.BQL("NOW US Equity", "IS_BILLINGS/1M", "FPR=2021Y", "FPT=A", "FA_ACT_EST_DATA=E, EST_SOURCE=PJE", "ACT_EST_MAPPING=PRECISE", "FS=MRC", "CURRENCY=USD", "XLFILL=b")</f>
        <v>#N/A Requesting Data...</v>
      </c>
      <c r="AT9" s="6" t="str">
        <f>_xll.BQL("NOW US Equity", "IS_BILLINGS/1M", "FPR=2021Y", "FPT=A", "FA_ACT_EST_DATA=E, EST_SOURCE=MZS", "ACT_EST_MAPPING=PRECISE", "FS=MRC", "CURRENCY=USD", "XLFILL=b")</f>
        <v>#N/A Requesting Data...</v>
      </c>
      <c r="AU9" s="6" t="str">
        <f>_xll.BQL("NOW US Equity", "IS_BILLINGS/1M", "FPR=2021Y", "FPT=A", "FA_ACT_EST_DATA=E, EST_SOURCE=SUM", "ACT_EST_MAPPING=PRECISE", "FS=MRC", "CURRENCY=USD", "XLFILL=b")</f>
        <v>#N/A Requesting Data...</v>
      </c>
      <c r="AV9" s="6" t="str">
        <f>_xll.BQL("NOW US Equity", "IS_BILLINGS/1M", "FPR=2021Y", "FPT=A", "FA_ACT_EST_DATA=E, EST_SOURCE=CRC", "ACT_EST_MAPPING=PRECISE", "FS=MRC", "CURRENCY=USD", "XLFILL=b")</f>
        <v>#N/A Requesting Data...</v>
      </c>
      <c r="AW9" s="6" t="str">
        <f>_xll.BQL("NOW US Equity", "IS_BILLINGS/1M", "FPR=2021Y", "FPT=A", "FA_ACT_EST_DATA=E, EST_SOURCE=SCB", "ACT_EST_MAPPING=PRECISE", "FS=MRC", "CURRENCY=USD", "XLFILL=b")</f>
        <v>#N/A Requesting Data...</v>
      </c>
    </row>
    <row r="10" spans="1:49" x14ac:dyDescent="0.55000000000000004">
      <c r="A10" s="5" t="s">
        <v>27</v>
      </c>
      <c r="B10" s="2" t="s">
        <v>28</v>
      </c>
      <c r="C10" s="2" t="s">
        <v>29</v>
      </c>
      <c r="D10" s="2"/>
      <c r="E10" s="6" t="str">
        <f>_xll.BQL("NOW US Equity", "BILLNG_AMOUNT_GROWTH_PCT", "FPR=2021Y", "FPT=A", "FA_ACT_EST_DATA=E", "ACT_EST_MAPPING=PRECISE", "FS=MRC", "CURRENCY=USD", "XLFILL=b")</f>
        <v>#N/A Requesting Data...</v>
      </c>
      <c r="F10" s="6" t="str">
        <f>_xll.BQL("NOW US Equity", "CONTRIBUTOR_STATS(BILLNG_AMOUNT_GROWTH_PCT, MIN)", "FPR=2021Y", "FPT=A", "FA_ACT_EST_DATA=E", "ACT_EST_MAPPING=PRECISE", "FS=MRC", "CURRENCY=USD", "XLFILL=b")</f>
        <v>#N/A Requesting Data...</v>
      </c>
      <c r="G10" s="6" t="str">
        <f>_xll.BQL("NOW US Equity", "CONTRIBUTOR_STATS(BILLNG_AMOUNT_GROWTH_PCT, MAX)", "FPR=2021Y", "FPT=A", "FA_ACT_EST_DATA=E", "ACT_EST_MAPPING=PRECISE", "FS=MRC", "CURRENCY=USD", "XLFILL=b")</f>
        <v>#N/A Requesting Data...</v>
      </c>
      <c r="H10" s="6" t="str">
        <f>_xll.BQL("NOW US Equity", "CONTRIBUTOR_STATS(BILLNG_AMOUNT_GROWTH_PCT, STD)", "FPR=2021Y", "FPT=A", "FA_ACT_EST_DATA=E", "ACT_EST_MAPPING=PRECISE", "FS=MRC", "CURRENCY=USD", "XLFILL=b")</f>
        <v>#N/A Requesting Data...</v>
      </c>
      <c r="I10" s="6">
        <f>_xll.BQL("NOW US Equity", "CONTRIBUTOR_STATS(BILLNG_AMOUNT_GROWTH_PCT, MEDIAN)", "FPR=2021Y", "FPT=A", "FA_ACT_EST_DATA=E", "ACT_EST_MAPPING=PRECISE", "FS=MRC", "CURRENCY=USD", "XLFILL=b")</f>
        <v>28.30670605593226</v>
      </c>
      <c r="J10" s="6" t="str">
        <f>_xll.BQL("NOW US Equity", "BILLNG_AMOUNT_GROWTH_PCT", "FPR=2021Y", "FPT=A", "FA_ACT_EST_DATA=E, EST_SOURCE=CMPY", "ACT_EST_MAPPING=PRECISE", "FS=MRC", "CURRENCY=USD", "XLFILL=b")</f>
        <v>#N/A Requesting Data...</v>
      </c>
      <c r="K10" s="6" t="str">
        <f>_xll.BQL("NOW US Equity", "BILLNG_AMOUNT_GROWTH_PCT", "FPR=2021Y", "FPT=A", "FA_ACT_EST_DATA=E, EST_SOURCE=JPM", "ACT_EST_MAPPING=PRECISE", "FS=MRC", "CURRENCY=USD", "XLFILL=b")</f>
        <v>#N/A Requesting Data...</v>
      </c>
      <c r="L10" s="6" t="str">
        <f>_xll.BQL("NOW US Equity", "BILLNG_AMOUNT_GROWTH_PCT", "FPR=2021Y", "FPT=A", "FA_ACT_EST_DATA=E, EST_SOURCE=WBL", "ACT_EST_MAPPING=PRECISE", "FS=MRC", "CURRENCY=USD", "XLFILL=b")</f>
        <v>#N/A Requesting Data...</v>
      </c>
      <c r="M10" s="6" t="str">
        <f>_xll.BQL("NOW US Equity", "BILLNG_AMOUNT_GROWTH_PCT", "FPR=2021Y", "FPT=A", "FA_ACT_EST_DATA=E, EST_SOURCE=KEY", "ACT_EST_MAPPING=PRECISE", "FS=MRC", "CURRENCY=USD", "XLFILL=b")</f>
        <v>#N/A Requesting Data...</v>
      </c>
      <c r="N10" s="6" t="str">
        <f>_xll.BQL("NOW US Equity", "BILLNG_AMOUNT_GROWTH_PCT", "FPR=2021Y", "FPT=A", "FA_ACT_EST_DATA=E, EST_SOURCE=BMO", "ACT_EST_MAPPING=PRECISE", "FS=MRC", "CURRENCY=USD", "XLFILL=b")</f>
        <v>#N/A Requesting Data...</v>
      </c>
      <c r="O10" s="6" t="str">
        <f>_xll.BQL("NOW US Equity", "BILLNG_AMOUNT_GROWTH_PCT", "FPR=2021Y", "FPT=A", "FA_ACT_EST_DATA=E, EST_SOURCE=OPY", "ACT_EST_MAPPING=PRECISE", "FS=MRC", "CURRENCY=USD", "XLFILL=b")</f>
        <v>#N/A Requesting Data...</v>
      </c>
      <c r="P10" s="6" t="str">
        <f>_xll.BQL("NOW US Equity", "BILLNG_AMOUNT_GROWTH_PCT", "FPR=2021Y", "FPT=A", "FA_ACT_EST_DATA=E, EST_SOURCE=BCA", "ACT_EST_MAPPING=PRECISE", "FS=MRC", "CURRENCY=USD", "XLFILL=b")</f>
        <v>#N/A Requesting Data...</v>
      </c>
      <c r="Q10" s="6" t="str">
        <f>_xll.BQL("NOW US Equity", "BILLNG_AMOUNT_GROWTH_PCT", "FPR=2021Y", "FPT=A", "FA_ACT_EST_DATA=E, EST_SOURCE=RHR", "ACT_EST_MAPPING=PRECISE", "FS=MRC", "CURRENCY=USD", "XLFILL=b")</f>
        <v>#N/A Requesting Data...</v>
      </c>
      <c r="R10" s="6" t="str">
        <f>_xll.BQL("NOW US Equity", "BILLNG_AMOUNT_GROWTH_PCT", "FPR=2021Y", "FPT=A", "FA_ACT_EST_DATA=E, EST_SOURCE=SNR", "ACT_EST_MAPPING=PRECISE", "FS=MRC", "CURRENCY=USD", "XLFILL=b")</f>
        <v>#N/A Requesting Data...</v>
      </c>
      <c r="S10" s="6" t="str">
        <f>_xll.BQL("NOW US Equity", "BILLNG_AMOUNT_GROWTH_PCT", "FPR=2021Y", "FPT=A", "FA_ACT_EST_DATA=E, EST_SOURCE=MSV", "ACT_EST_MAPPING=PRECISE", "FS=MRC", "CURRENCY=USD", "XLFILL=b")</f>
        <v>#N/A Requesting Data...</v>
      </c>
      <c r="T10" s="6" t="str">
        <f>_xll.BQL("NOW US Equity", "BILLNG_AMOUNT_GROWTH_PCT", "FPR=2021Y", "FPT=A", "FA_ACT_EST_DATA=E, EST_SOURCE=CAN", "ACT_EST_MAPPING=PRECISE", "FS=MRC", "CURRENCY=USD", "XLFILL=b")</f>
        <v>#N/A Requesting Data...</v>
      </c>
      <c r="U10" s="6" t="str">
        <f>_xll.BQL("NOW US Equity", "BILLNG_AMOUNT_GROWTH_PCT", "FPR=2021Y", "FPT=A", "FA_ACT_EST_DATA=E, EST_SOURCE=JMP", "ACT_EST_MAPPING=PRECISE", "FS=MRC", "CURRENCY=USD", "XLFILL=b")</f>
        <v>#N/A Requesting Data...</v>
      </c>
      <c r="V10" s="6" t="str">
        <f>_xll.BQL("NOW US Equity", "BILLNG_AMOUNT_GROWTH_PCT", "FPR=2021Y", "FPT=A", "FA_ACT_EST_DATA=E, EST_SOURCE=NDH", "ACT_EST_MAPPING=PRECISE", "FS=MRC", "CURRENCY=USD", "XLFILL=b")</f>
        <v>#N/A Requesting Data...</v>
      </c>
      <c r="W10" s="6" t="str">
        <f>_xll.BQL("NOW US Equity", "BILLNG_AMOUNT_GROWTH_PCT", "FPR=2021Y", "FPT=A", "FA_ACT_EST_DATA=E, EST_SOURCE=ZXS", "ACT_EST_MAPPING=PRECISE", "FS=MRC", "CURRENCY=USD", "XLFILL=b")</f>
        <v>#N/A Requesting Data...</v>
      </c>
      <c r="X10" s="6" t="str">
        <f>_xll.BQL("NOW US Equity", "BILLNG_AMOUNT_GROWTH_PCT", "FPR=2021Y", "FPT=A", "FA_ACT_EST_DATA=E, EST_SOURCE=CWN", "ACT_EST_MAPPING=PRECISE", "FS=MRC", "CURRENCY=USD", "XLFILL=b")</f>
        <v>#N/A Requesting Data...</v>
      </c>
      <c r="Y10" s="6" t="str">
        <f>_xll.BQL("NOW US Equity", "BILLNG_AMOUNT_GROWTH_PCT", "FPR=2021Y", "FPT=A", "FA_ACT_EST_DATA=E, EST_SOURCE=DBG", "ACT_EST_MAPPING=PRECISE", "FS=MRC", "CURRENCY=USD", "XLFILL=b")</f>
        <v>#N/A Requesting Data...</v>
      </c>
      <c r="Z10" s="6" t="str">
        <f>_xll.BQL("NOW US Equity", "BILLNG_AMOUNT_GROWTH_PCT", "FPR=2021Y", "FPT=A", "FA_ACT_EST_DATA=E, EST_SOURCE=UBS", "ACT_EST_MAPPING=PRECISE", "FS=MRC", "CURRENCY=USD", "XLFILL=b")</f>
        <v>#N/A Requesting Data...</v>
      </c>
      <c r="AA10" s="6" t="str">
        <f>_xll.BQL("NOW US Equity", "BILLNG_AMOUNT_GROWTH_PCT", "FPR=2021Y", "FPT=A", "FA_ACT_EST_DATA=E, EST_SOURCE=RBC", "ACT_EST_MAPPING=PRECISE", "FS=MRC", "CURRENCY=USD", "XLFILL=b")</f>
        <v>#N/A Requesting Data...</v>
      </c>
      <c r="AB10" s="6" t="str">
        <f>_xll.BQL("NOW US Equity", "BILLNG_AMOUNT_GROWTH_PCT", "FPR=2021Y", "FPT=A", "FA_ACT_EST_DATA=E, EST_SOURCE=EVR", "ACT_EST_MAPPING=PRECISE", "FS=MRC", "CURRENCY=USD", "XLFILL=b")</f>
        <v>#N/A Requesting Data...</v>
      </c>
      <c r="AC10" s="6" t="str">
        <f>_xll.BQL("NOW US Equity", "BILLNG_AMOUNT_GROWTH_PCT", "FPR=2021Y", "FPT=A", "FA_ACT_EST_DATA=E, EST_SOURCE=BNS", "ACT_EST_MAPPING=PRECISE", "FS=MRC", "CURRENCY=USD", "XLFILL=b")</f>
        <v>#N/A Requesting Data...</v>
      </c>
      <c r="AD10" s="6" t="str">
        <f>_xll.BQL("NOW US Equity", "BILLNG_AMOUNT_GROWTH_PCT", "FPR=2021Y", "FPT=A", "FA_ACT_EST_DATA=E, EST_SOURCE=BAM", "ACT_EST_MAPPING=PRECISE", "FS=MRC", "CURRENCY=USD", "XLFILL=b")</f>
        <v>#N/A Requesting Data...</v>
      </c>
      <c r="AE10" s="6" t="str">
        <f>_xll.BQL("NOW US Equity", "BILLNG_AMOUNT_GROWTH_PCT", "FPR=2021Y", "FPT=A", "FA_ACT_EST_DATA=E, EST_SOURCE=GSR", "ACT_EST_MAPPING=PRECISE", "FS=MRC", "CURRENCY=USD", "XLFILL=b")</f>
        <v>#N/A Requesting Data...</v>
      </c>
      <c r="AF10" s="6" t="str">
        <f>_xll.BQL("NOW US Equity", "BILLNG_AMOUNT_GROWTH_PCT", "FPR=2021Y", "FPT=A", "FA_ACT_EST_DATA=E, EST_SOURCE=FBC", "ACT_EST_MAPPING=PRECISE", "FS=MRC", "CURRENCY=USD", "XLFILL=b")</f>
        <v>#N/A Requesting Data...</v>
      </c>
      <c r="AG10" s="6" t="str">
        <f>_xll.BQL("NOW US Equity", "BILLNG_AMOUNT_GROWTH_PCT", "FPR=2021Y", "FPT=A", "FA_ACT_EST_DATA=E, EST_SOURCE=MAC", "ACT_EST_MAPPING=PRECISE", "FS=MRC", "CURRENCY=USD", "XLFILL=b")</f>
        <v>#N/A Requesting Data...</v>
      </c>
      <c r="AH10" s="6" t="str">
        <f>_xll.BQL("NOW US Equity", "BILLNG_AMOUNT_GROWTH_PCT", "FPR=2021Y", "FPT=A", "FA_ACT_EST_DATA=E, EST_SOURCE=PSG", "ACT_EST_MAPPING=PRECISE", "FS=MRC", "CURRENCY=USD", "XLFILL=b")</f>
        <v>#N/A Requesting Data...</v>
      </c>
      <c r="AI10" s="6" t="str">
        <f>_xll.BQL("NOW US Equity", "BILLNG_AMOUNT_GROWTH_PCT", "FPR=2021Y", "FPT=A", "FA_ACT_EST_DATA=E, EST_SOURCE=MSR", "ACT_EST_MAPPING=PRECISE", "FS=MRC", "CURRENCY=USD", "XLFILL=b")</f>
        <v>#N/A Requesting Data...</v>
      </c>
      <c r="AJ10" s="6" t="str">
        <f>_xll.BQL("NOW US Equity", "BILLNG_AMOUNT_GROWTH_PCT", "FPR=2021Y", "FPT=A", "FA_ACT_EST_DATA=E, EST_SOURCE=JEF", "ACT_EST_MAPPING=PRECISE", "FS=MRC", "CURRENCY=USD", "XLFILL=b")</f>
        <v>#N/A Requesting Data...</v>
      </c>
      <c r="AK10" s="6" t="str">
        <f>_xll.BQL("NOW US Equity", "BILLNG_AMOUNT_GROWTH_PCT", "FPR=2021Y", "FPT=A", "FA_ACT_EST_DATA=E, EST_SOURCE=TTC", "ACT_EST_MAPPING=PRECISE", "FS=MRC", "CURRENCY=USD", "XLFILL=b")</f>
        <v>#N/A Requesting Data...</v>
      </c>
      <c r="AL10" s="6" t="str">
        <f>_xll.BQL("NOW US Equity", "BILLNG_AMOUNT_GROWTH_PCT", "FPR=2021Y", "FPT=A", "FA_ACT_EST_DATA=E, EST_SOURCE=RWB", "ACT_EST_MAPPING=PRECISE", "FS=MRC", "CURRENCY=USD", "XLFILL=b")</f>
        <v>#N/A Requesting Data...</v>
      </c>
      <c r="AM10" s="6" t="str">
        <f>_xll.BQL("NOW US Equity", "BILLNG_AMOUNT_GROWTH_PCT", "FPR=2021Y", "FPT=A", "FA_ACT_EST_DATA=E, EST_SOURCE=DZB", "ACT_EST_MAPPING=PRECISE", "FS=MRC", "CURRENCY=USD", "XLFILL=b")</f>
        <v>#N/A Requesting Data...</v>
      </c>
      <c r="AN10" s="6" t="str">
        <f>_xll.BQL("NOW US Equity", "BILLNG_AMOUNT_GROWTH_PCT", "FPR=2021Y", "FPT=A", "FA_ACT_EST_DATA=E, EST_SOURCE=DWI", "ACT_EST_MAPPING=PRECISE", "FS=MRC", "CURRENCY=USD", "XLFILL=b")</f>
        <v>#N/A Requesting Data...</v>
      </c>
      <c r="AO10" s="6" t="str">
        <f>_xll.BQL("NOW US Equity", "BILLNG_AMOUNT_GROWTH_PCT", "FPR=2021Y", "FPT=A", "FA_ACT_EST_DATA=E, EST_SOURCE=ARG", "ACT_EST_MAPPING=PRECISE", "FS=MRC", "CURRENCY=USD", "XLFILL=b")</f>
        <v>#N/A Requesting Data...</v>
      </c>
      <c r="AP10" s="6" t="str">
        <f>_xll.BQL("NOW US Equity", "BILLNG_AMOUNT_GROWTH_PCT", "FPR=2021Y", "FPT=A", "FA_ACT_EST_DATA=E, EST_SOURCE=CTI", "ACT_EST_MAPPING=PRECISE", "FS=MRC", "CURRENCY=USD", "XLFILL=b")</f>
        <v>#N/A Requesting Data...</v>
      </c>
      <c r="AQ10" s="6" t="str">
        <f>_xll.BQL("NOW US Equity", "BILLNG_AMOUNT_GROWTH_PCT", "FPR=2021Y", "FPT=A", "FA_ACT_EST_DATA=E, EST_SOURCE=WFT", "ACT_EST_MAPPING=PRECISE", "FS=MRC", "CURRENCY=USD", "XLFILL=b")</f>
        <v>#N/A Requesting Data...</v>
      </c>
      <c r="AR10" s="6" t="str">
        <f>_xll.BQL("NOW US Equity", "BILLNG_AMOUNT_GROWTH_PCT", "FPR=2021Y", "FPT=A", "FA_ACT_EST_DATA=E, EST_SOURCE=ARE", "ACT_EST_MAPPING=PRECISE", "FS=MRC", "CURRENCY=USD", "XLFILL=b")</f>
        <v>#N/A Requesting Data...</v>
      </c>
      <c r="AS10" s="6" t="str">
        <f>_xll.BQL("NOW US Equity", "BILLNG_AMOUNT_GROWTH_PCT", "FPR=2021Y", "FPT=A", "FA_ACT_EST_DATA=E, EST_SOURCE=PJE", "ACT_EST_MAPPING=PRECISE", "FS=MRC", "CURRENCY=USD", "XLFILL=b")</f>
        <v>#N/A Requesting Data...</v>
      </c>
      <c r="AT10" s="6" t="str">
        <f>_xll.BQL("NOW US Equity", "BILLNG_AMOUNT_GROWTH_PCT", "FPR=2021Y", "FPT=A", "FA_ACT_EST_DATA=E, EST_SOURCE=MZS", "ACT_EST_MAPPING=PRECISE", "FS=MRC", "CURRENCY=USD", "XLFILL=b")</f>
        <v>#N/A Requesting Data...</v>
      </c>
      <c r="AU10" s="6" t="str">
        <f>_xll.BQL("NOW US Equity", "BILLNG_AMOUNT_GROWTH_PCT", "FPR=2021Y", "FPT=A", "FA_ACT_EST_DATA=E, EST_SOURCE=SUM", "ACT_EST_MAPPING=PRECISE", "FS=MRC", "CURRENCY=USD", "XLFILL=b")</f>
        <v>#N/A Requesting Data...</v>
      </c>
      <c r="AV10" s="6" t="str">
        <f>_xll.BQL("NOW US Equity", "BILLNG_AMOUNT_GROWTH_PCT", "FPR=2021Y", "FPT=A", "FA_ACT_EST_DATA=E, EST_SOURCE=CRC", "ACT_EST_MAPPING=PRECISE", "FS=MRC", "CURRENCY=USD", "XLFILL=b")</f>
        <v>#N/A Requesting Data...</v>
      </c>
      <c r="AW10" s="6" t="str">
        <f>_xll.BQL("NOW US Equity", "BILLNG_AMOUNT_GROWTH_PCT", "FPR=2021Y", "FPT=A", "FA_ACT_EST_DATA=E, EST_SOURCE=SCB", "ACT_EST_MAPPING=PRECISE", "FS=MRC", "CURRENCY=USD", "XLFILL=b")</f>
        <v>#N/A Requesting Data...</v>
      </c>
    </row>
    <row r="11" spans="1:49" x14ac:dyDescent="0.55000000000000004">
      <c r="A11" s="5" t="s">
        <v>30</v>
      </c>
      <c r="B11" s="2" t="s">
        <v>31</v>
      </c>
      <c r="C11" s="2" t="s">
        <v>32</v>
      </c>
      <c r="D11" s="2"/>
      <c r="E11" s="6" t="str">
        <f>_xll.BQL("NOW US Equity", "NUM_CSTMR_CNTRCT_OVER_1_MILLN", "FPR=2021Y", "FPT=A", "FA_ACT_EST_DATA=E", "ACT_EST_MAPPING=PRECISE", "FS=MRC", "CURRENCY=USD", "XLFILL=b")</f>
        <v>#N/A Requesting Data...</v>
      </c>
      <c r="F11" s="6" t="str">
        <f>_xll.BQL("NOW US Equity", "CONTRIBUTOR_STATS(NUM_CSTMR_CNTRCT_OVER_1_MILLN, MIN)", "FPR=2021Y", "FPT=A", "FA_ACT_EST_DATA=E", "ACT_EST_MAPPING=PRECISE", "FS=MRC", "CURRENCY=USD", "XLFILL=b")</f>
        <v>#N/A Requesting Data...</v>
      </c>
      <c r="G11" s="6" t="str">
        <f>_xll.BQL("NOW US Equity", "CONTRIBUTOR_STATS(NUM_CSTMR_CNTRCT_OVER_1_MILLN, MAX)", "FPR=2021Y", "FPT=A", "FA_ACT_EST_DATA=E", "ACT_EST_MAPPING=PRECISE", "FS=MRC", "CURRENCY=USD", "XLFILL=b")</f>
        <v>#N/A Requesting Data...</v>
      </c>
      <c r="H11" s="6" t="str">
        <f>_xll.BQL("NOW US Equity", "CONTRIBUTOR_STATS(NUM_CSTMR_CNTRCT_OVER_1_MILLN, STD)", "FPR=2021Y", "FPT=A", "FA_ACT_EST_DATA=E", "ACT_EST_MAPPING=PRECISE", "FS=MRC", "CURRENCY=USD", "XLFILL=b")</f>
        <v>#N/A Requesting Data...</v>
      </c>
      <c r="I11" s="6" t="str">
        <f>_xll.BQL("NOW US Equity", "CONTRIBUTOR_STATS(NUM_CSTMR_CNTRCT_OVER_1_MILLN, MEDIAN)", "FPR=2021Y", "FPT=A", "FA_ACT_EST_DATA=E", "ACT_EST_MAPPING=PRECISE", "FS=MRC", "CURRENCY=USD", "XLFILL=b")</f>
        <v>#N/A Requesting Data...</v>
      </c>
      <c r="J11" s="6" t="str">
        <f>_xll.BQL("NOW US Equity", "NUM_CSTMR_CNTRCT_OVER_1_MILLN", "FPR=2021Y", "FPT=A", "FA_ACT_EST_DATA=E, EST_SOURCE=CMPY", "ACT_EST_MAPPING=PRECISE", "FS=MRC", "CURRENCY=USD", "XLFILL=b")</f>
        <v>#N/A Requesting Data...</v>
      </c>
      <c r="K11" s="6" t="str">
        <f>_xll.BQL("NOW US Equity", "NUM_CSTMR_CNTRCT_OVER_1_MILLN", "FPR=2021Y", "FPT=A", "FA_ACT_EST_DATA=E, EST_SOURCE=JPM", "ACT_EST_MAPPING=PRECISE", "FS=MRC", "CURRENCY=USD", "XLFILL=b")</f>
        <v>#N/A Requesting Data...</v>
      </c>
      <c r="L11" s="6" t="str">
        <f>_xll.BQL("NOW US Equity", "NUM_CSTMR_CNTRCT_OVER_1_MILLN", "FPR=2021Y", "FPT=A", "FA_ACT_EST_DATA=E, EST_SOURCE=WBL", "ACT_EST_MAPPING=PRECISE", "FS=MRC", "CURRENCY=USD", "XLFILL=b")</f>
        <v>#N/A Requesting Data...</v>
      </c>
      <c r="M11" s="6" t="str">
        <f>_xll.BQL("NOW US Equity", "NUM_CSTMR_CNTRCT_OVER_1_MILLN", "FPR=2021Y", "FPT=A", "FA_ACT_EST_DATA=E, EST_SOURCE=KEY", "ACT_EST_MAPPING=PRECISE", "FS=MRC", "CURRENCY=USD", "XLFILL=b")</f>
        <v>#N/A Requesting Data...</v>
      </c>
      <c r="N11" s="6" t="str">
        <f>_xll.BQL("NOW US Equity", "NUM_CSTMR_CNTRCT_OVER_1_MILLN", "FPR=2021Y", "FPT=A", "FA_ACT_EST_DATA=E, EST_SOURCE=BMO", "ACT_EST_MAPPING=PRECISE", "FS=MRC", "CURRENCY=USD", "XLFILL=b")</f>
        <v/>
      </c>
      <c r="O11" s="6" t="str">
        <f>_xll.BQL("NOW US Equity", "NUM_CSTMR_CNTRCT_OVER_1_MILLN", "FPR=2021Y", "FPT=A", "FA_ACT_EST_DATA=E, EST_SOURCE=OPY", "ACT_EST_MAPPING=PRECISE", "FS=MRC", "CURRENCY=USD", "XLFILL=b")</f>
        <v>#N/A Requesting Data...</v>
      </c>
      <c r="P11" s="6" t="str">
        <f>_xll.BQL("NOW US Equity", "NUM_CSTMR_CNTRCT_OVER_1_MILLN", "FPR=2021Y", "FPT=A", "FA_ACT_EST_DATA=E, EST_SOURCE=BCA", "ACT_EST_MAPPING=PRECISE", "FS=MRC", "CURRENCY=USD", "XLFILL=b")</f>
        <v>#N/A Requesting Data...</v>
      </c>
      <c r="Q11" s="6" t="str">
        <f>_xll.BQL("NOW US Equity", "NUM_CSTMR_CNTRCT_OVER_1_MILLN", "FPR=2021Y", "FPT=A", "FA_ACT_EST_DATA=E, EST_SOURCE=RHR", "ACT_EST_MAPPING=PRECISE", "FS=MRC", "CURRENCY=USD", "XLFILL=b")</f>
        <v>#N/A Requesting Data...</v>
      </c>
      <c r="R11" s="6" t="str">
        <f>_xll.BQL("NOW US Equity", "NUM_CSTMR_CNTRCT_OVER_1_MILLN", "FPR=2021Y", "FPT=A", "FA_ACT_EST_DATA=E, EST_SOURCE=SNR", "ACT_EST_MAPPING=PRECISE", "FS=MRC", "CURRENCY=USD", "XLFILL=b")</f>
        <v/>
      </c>
      <c r="S11" s="6" t="str">
        <f>_xll.BQL("NOW US Equity", "NUM_CSTMR_CNTRCT_OVER_1_MILLN", "FPR=2021Y", "FPT=A", "FA_ACT_EST_DATA=E, EST_SOURCE=MSV", "ACT_EST_MAPPING=PRECISE", "FS=MRC", "CURRENCY=USD", "XLFILL=b")</f>
        <v>#N/A Requesting Data...</v>
      </c>
      <c r="T11" s="6" t="str">
        <f>_xll.BQL("NOW US Equity", "NUM_CSTMR_CNTRCT_OVER_1_MILLN", "FPR=2021Y", "FPT=A", "FA_ACT_EST_DATA=E, EST_SOURCE=CAN", "ACT_EST_MAPPING=PRECISE", "FS=MRC", "CURRENCY=USD", "XLFILL=b")</f>
        <v>#N/A Requesting Data...</v>
      </c>
      <c r="U11" s="6" t="str">
        <f>_xll.BQL("NOW US Equity", "NUM_CSTMR_CNTRCT_OVER_1_MILLN", "FPR=2021Y", "FPT=A", "FA_ACT_EST_DATA=E, EST_SOURCE=JMP", "ACT_EST_MAPPING=PRECISE", "FS=MRC", "CURRENCY=USD", "XLFILL=b")</f>
        <v/>
      </c>
      <c r="V11" s="6" t="str">
        <f>_xll.BQL("NOW US Equity", "NUM_CSTMR_CNTRCT_OVER_1_MILLN", "FPR=2021Y", "FPT=A", "FA_ACT_EST_DATA=E, EST_SOURCE=NDH", "ACT_EST_MAPPING=PRECISE", "FS=MRC", "CURRENCY=USD", "XLFILL=b")</f>
        <v>#N/A Requesting Data...</v>
      </c>
      <c r="W11" s="6" t="str">
        <f>_xll.BQL("NOW US Equity", "NUM_CSTMR_CNTRCT_OVER_1_MILLN", "FPR=2021Y", "FPT=A", "FA_ACT_EST_DATA=E, EST_SOURCE=ZXS", "ACT_EST_MAPPING=PRECISE", "FS=MRC", "CURRENCY=USD", "XLFILL=b")</f>
        <v>#N/A Requesting Data...</v>
      </c>
      <c r="X11" s="6" t="str">
        <f>_xll.BQL("NOW US Equity", "NUM_CSTMR_CNTRCT_OVER_1_MILLN", "FPR=2021Y", "FPT=A", "FA_ACT_EST_DATA=E, EST_SOURCE=CWN", "ACT_EST_MAPPING=PRECISE", "FS=MRC", "CURRENCY=USD", "XLFILL=b")</f>
        <v>#N/A Requesting Data...</v>
      </c>
      <c r="Y11" s="6" t="str">
        <f>_xll.BQL("NOW US Equity", "NUM_CSTMR_CNTRCT_OVER_1_MILLN", "FPR=2021Y", "FPT=A", "FA_ACT_EST_DATA=E, EST_SOURCE=DBG", "ACT_EST_MAPPING=PRECISE", "FS=MRC", "CURRENCY=USD", "XLFILL=b")</f>
        <v>#N/A Requesting Data...</v>
      </c>
      <c r="Z11" s="6" t="str">
        <f>_xll.BQL("NOW US Equity", "NUM_CSTMR_CNTRCT_OVER_1_MILLN", "FPR=2021Y", "FPT=A", "FA_ACT_EST_DATA=E, EST_SOURCE=UBS", "ACT_EST_MAPPING=PRECISE", "FS=MRC", "CURRENCY=USD", "XLFILL=b")</f>
        <v>#N/A Requesting Data...</v>
      </c>
      <c r="AA11" s="6" t="str">
        <f>_xll.BQL("NOW US Equity", "NUM_CSTMR_CNTRCT_OVER_1_MILLN", "FPR=2021Y", "FPT=A", "FA_ACT_EST_DATA=E, EST_SOURCE=RBC", "ACT_EST_MAPPING=PRECISE", "FS=MRC", "CURRENCY=USD", "XLFILL=b")</f>
        <v>#N/A Requesting Data...</v>
      </c>
      <c r="AB11" s="6" t="str">
        <f>_xll.BQL("NOW US Equity", "NUM_CSTMR_CNTRCT_OVER_1_MILLN", "FPR=2021Y", "FPT=A", "FA_ACT_EST_DATA=E, EST_SOURCE=EVR", "ACT_EST_MAPPING=PRECISE", "FS=MRC", "CURRENCY=USD", "XLFILL=b")</f>
        <v>#N/A Requesting Data...</v>
      </c>
      <c r="AC11" s="6" t="str">
        <f>_xll.BQL("NOW US Equity", "NUM_CSTMR_CNTRCT_OVER_1_MILLN", "FPR=2021Y", "FPT=A", "FA_ACT_EST_DATA=E, EST_SOURCE=BNS", "ACT_EST_MAPPING=PRECISE", "FS=MRC", "CURRENCY=USD", "XLFILL=b")</f>
        <v/>
      </c>
      <c r="AD11" s="6" t="str">
        <f>_xll.BQL("NOW US Equity", "NUM_CSTMR_CNTRCT_OVER_1_MILLN", "FPR=2021Y", "FPT=A", "FA_ACT_EST_DATA=E, EST_SOURCE=BAM", "ACT_EST_MAPPING=PRECISE", "FS=MRC", "CURRENCY=USD", "XLFILL=b")</f>
        <v>#N/A Requesting Data...</v>
      </c>
      <c r="AE11" s="6" t="str">
        <f>_xll.BQL("NOW US Equity", "NUM_CSTMR_CNTRCT_OVER_1_MILLN", "FPR=2021Y", "FPT=A", "FA_ACT_EST_DATA=E, EST_SOURCE=GSR", "ACT_EST_MAPPING=PRECISE", "FS=MRC", "CURRENCY=USD", "XLFILL=b")</f>
        <v>#N/A Requesting Data...</v>
      </c>
      <c r="AF11" s="6" t="str">
        <f>_xll.BQL("NOW US Equity", "NUM_CSTMR_CNTRCT_OVER_1_MILLN", "FPR=2021Y", "FPT=A", "FA_ACT_EST_DATA=E, EST_SOURCE=FBC", "ACT_EST_MAPPING=PRECISE", "FS=MRC", "CURRENCY=USD", "XLFILL=b")</f>
        <v>#N/A Requesting Data...</v>
      </c>
      <c r="AG11" s="6" t="str">
        <f>_xll.BQL("NOW US Equity", "NUM_CSTMR_CNTRCT_OVER_1_MILLN", "FPR=2021Y", "FPT=A", "FA_ACT_EST_DATA=E, EST_SOURCE=MAC", "ACT_EST_MAPPING=PRECISE", "FS=MRC", "CURRENCY=USD", "XLFILL=b")</f>
        <v>#N/A Requesting Data...</v>
      </c>
      <c r="AH11" s="6" t="str">
        <f>_xll.BQL("NOW US Equity", "NUM_CSTMR_CNTRCT_OVER_1_MILLN", "FPR=2021Y", "FPT=A", "FA_ACT_EST_DATA=E, EST_SOURCE=PSG", "ACT_EST_MAPPING=PRECISE", "FS=MRC", "CURRENCY=USD", "XLFILL=b")</f>
        <v>#N/A Requesting Data...</v>
      </c>
      <c r="AI11" s="6" t="str">
        <f>_xll.BQL("NOW US Equity", "NUM_CSTMR_CNTRCT_OVER_1_MILLN", "FPR=2021Y", "FPT=A", "FA_ACT_EST_DATA=E, EST_SOURCE=MSR", "ACT_EST_MAPPING=PRECISE", "FS=MRC", "CURRENCY=USD", "XLFILL=b")</f>
        <v>#N/A Requesting Data...</v>
      </c>
      <c r="AJ11" s="6" t="str">
        <f>_xll.BQL("NOW US Equity", "NUM_CSTMR_CNTRCT_OVER_1_MILLN", "FPR=2021Y", "FPT=A", "FA_ACT_EST_DATA=E, EST_SOURCE=JEF", "ACT_EST_MAPPING=PRECISE", "FS=MRC", "CURRENCY=USD", "XLFILL=b")</f>
        <v>#N/A Requesting Data...</v>
      </c>
      <c r="AK11" s="6" t="str">
        <f>_xll.BQL("NOW US Equity", "NUM_CSTMR_CNTRCT_OVER_1_MILLN", "FPR=2021Y", "FPT=A", "FA_ACT_EST_DATA=E, EST_SOURCE=TTC", "ACT_EST_MAPPING=PRECISE", "FS=MRC", "CURRENCY=USD", "XLFILL=b")</f>
        <v>#N/A Requesting Data...</v>
      </c>
      <c r="AL11" s="6" t="str">
        <f>_xll.BQL("NOW US Equity", "NUM_CSTMR_CNTRCT_OVER_1_MILLN", "FPR=2021Y", "FPT=A", "FA_ACT_EST_DATA=E, EST_SOURCE=RWB", "ACT_EST_MAPPING=PRECISE", "FS=MRC", "CURRENCY=USD", "XLFILL=b")</f>
        <v>#N/A Requesting Data...</v>
      </c>
      <c r="AM11" s="6" t="str">
        <f>_xll.BQL("NOW US Equity", "NUM_CSTMR_CNTRCT_OVER_1_MILLN", "FPR=2021Y", "FPT=A", "FA_ACT_EST_DATA=E, EST_SOURCE=DZB", "ACT_EST_MAPPING=PRECISE", "FS=MRC", "CURRENCY=USD", "XLFILL=b")</f>
        <v>#N/A Requesting Data...</v>
      </c>
      <c r="AN11" s="6" t="str">
        <f>_xll.BQL("NOW US Equity", "NUM_CSTMR_CNTRCT_OVER_1_MILLN", "FPR=2021Y", "FPT=A", "FA_ACT_EST_DATA=E, EST_SOURCE=DWI", "ACT_EST_MAPPING=PRECISE", "FS=MRC", "CURRENCY=USD", "XLFILL=b")</f>
        <v>#N/A Requesting Data...</v>
      </c>
      <c r="AO11" s="6" t="str">
        <f>_xll.BQL("NOW US Equity", "NUM_CSTMR_CNTRCT_OVER_1_MILLN", "FPR=2021Y", "FPT=A", "FA_ACT_EST_DATA=E, EST_SOURCE=ARG", "ACT_EST_MAPPING=PRECISE", "FS=MRC", "CURRENCY=USD", "XLFILL=b")</f>
        <v>#N/A Requesting Data...</v>
      </c>
      <c r="AP11" s="6" t="str">
        <f>_xll.BQL("NOW US Equity", "NUM_CSTMR_CNTRCT_OVER_1_MILLN", "FPR=2021Y", "FPT=A", "FA_ACT_EST_DATA=E, EST_SOURCE=CTI", "ACT_EST_MAPPING=PRECISE", "FS=MRC", "CURRENCY=USD", "XLFILL=b")</f>
        <v>#N/A Requesting Data...</v>
      </c>
      <c r="AQ11" s="6" t="str">
        <f>_xll.BQL("NOW US Equity", "NUM_CSTMR_CNTRCT_OVER_1_MILLN", "FPR=2021Y", "FPT=A", "FA_ACT_EST_DATA=E, EST_SOURCE=WFT", "ACT_EST_MAPPING=PRECISE", "FS=MRC", "CURRENCY=USD", "XLFILL=b")</f>
        <v>#N/A Requesting Data...</v>
      </c>
      <c r="AR11" s="6" t="str">
        <f>_xll.BQL("NOW US Equity", "NUM_CSTMR_CNTRCT_OVER_1_MILLN", "FPR=2021Y", "FPT=A", "FA_ACT_EST_DATA=E, EST_SOURCE=ARE", "ACT_EST_MAPPING=PRECISE", "FS=MRC", "CURRENCY=USD", "XLFILL=b")</f>
        <v>#N/A Requesting Data...</v>
      </c>
      <c r="AS11" s="6" t="str">
        <f>_xll.BQL("NOW US Equity", "NUM_CSTMR_CNTRCT_OVER_1_MILLN", "FPR=2021Y", "FPT=A", "FA_ACT_EST_DATA=E, EST_SOURCE=PJE", "ACT_EST_MAPPING=PRECISE", "FS=MRC", "CURRENCY=USD", "XLFILL=b")</f>
        <v/>
      </c>
      <c r="AT11" s="6" t="str">
        <f>_xll.BQL("NOW US Equity", "NUM_CSTMR_CNTRCT_OVER_1_MILLN", "FPR=2021Y", "FPT=A", "FA_ACT_EST_DATA=E, EST_SOURCE=MZS", "ACT_EST_MAPPING=PRECISE", "FS=MRC", "CURRENCY=USD", "XLFILL=b")</f>
        <v>#N/A Requesting Data...</v>
      </c>
      <c r="AU11" s="6" t="str">
        <f>_xll.BQL("NOW US Equity", "NUM_CSTMR_CNTRCT_OVER_1_MILLN", "FPR=2021Y", "FPT=A", "FA_ACT_EST_DATA=E, EST_SOURCE=SUM", "ACT_EST_MAPPING=PRECISE", "FS=MRC", "CURRENCY=USD", "XLFILL=b")</f>
        <v>#N/A Requesting Data...</v>
      </c>
      <c r="AV11" s="6" t="str">
        <f>_xll.BQL("NOW US Equity", "NUM_CSTMR_CNTRCT_OVER_1_MILLN", "FPR=2021Y", "FPT=A", "FA_ACT_EST_DATA=E, EST_SOURCE=CRC", "ACT_EST_MAPPING=PRECISE", "FS=MRC", "CURRENCY=USD", "XLFILL=b")</f>
        <v>#N/A Requesting Data...</v>
      </c>
      <c r="AW11" s="6" t="str">
        <f>_xll.BQL("NOW US Equity", "NUM_CSTMR_CNTRCT_OVER_1_MILLN", "FPR=2021Y", "FPT=A", "FA_ACT_EST_DATA=E, EST_SOURCE=SCB", "ACT_EST_MAPPING=PRECISE", "FS=MRC", "CURRENCY=USD", "XLFILL=b")</f>
        <v>#N/A Requesting Data...</v>
      </c>
    </row>
    <row r="12" spans="1:49" x14ac:dyDescent="0.55000000000000004">
      <c r="A12" s="5" t="s">
        <v>23</v>
      </c>
      <c r="B12" s="2"/>
      <c r="C12" s="2"/>
      <c r="D12" s="2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</row>
    <row r="13" spans="1:49" x14ac:dyDescent="0.55000000000000004">
      <c r="A13" s="5" t="s">
        <v>33</v>
      </c>
      <c r="B13" s="2"/>
      <c r="C13" s="2" t="s">
        <v>34</v>
      </c>
      <c r="D13" s="2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</row>
    <row r="14" spans="1:49" x14ac:dyDescent="0.55000000000000004">
      <c r="A14" s="5" t="s">
        <v>35</v>
      </c>
      <c r="B14" s="2" t="s">
        <v>36</v>
      </c>
      <c r="C14" s="2" t="s">
        <v>0</v>
      </c>
      <c r="D14" s="2" t="s">
        <v>37</v>
      </c>
      <c r="E14" s="6" t="str">
        <f>_xll.BQL("SEG0000230975 Segment", "SALES_REV_TURN/1M", "FPR=2021Y", "FPT=A", "FA_ACT_EST_DATA=E", "ACT_EST_MAPPING=PRECISE", "FS=MRC", "CURRENCY=USD", "XLFILL=b")</f>
        <v>#N/A Requesting Data...</v>
      </c>
      <c r="F14" s="6" t="str">
        <f>_xll.BQL("SEG0000230975 Segment", "CONTRIBUTOR_STATS(SALES_REV_TURN, MIN)/1M", "FPR=2021Y", "FPT=A", "FA_ACT_EST_DATA=E", "ACT_EST_MAPPING=PRECISE", "FS=MRC", "CURRENCY=USD", "XLFILL=b")</f>
        <v>#N/A Requesting Data...</v>
      </c>
      <c r="G14" s="6" t="str">
        <f>_xll.BQL("SEG0000230975 Segment", "CONTRIBUTOR_STATS(SALES_REV_TURN, MAX)/1M", "FPR=2021Y", "FPT=A", "FA_ACT_EST_DATA=E", "ACT_EST_MAPPING=PRECISE", "FS=MRC", "CURRENCY=USD", "XLFILL=b")</f>
        <v>#N/A Requesting Data...</v>
      </c>
      <c r="H14" s="6" t="str">
        <f>_xll.BQL("SEG0000230975 Segment", "CONTRIBUTOR_STATS(SALES_REV_TURN, STD)/1M", "FPR=2021Y", "FPT=A", "FA_ACT_EST_DATA=E", "ACT_EST_MAPPING=PRECISE", "FS=MRC", "CURRENCY=USD", "XLFILL=b")</f>
        <v>#N/A Requesting Data...</v>
      </c>
      <c r="I14" s="6" t="str">
        <f>_xll.BQL("SEG0000230975 Segment", "CONTRIBUTOR_STATS(SALES_REV_TURN, MEDIAN)/1M", "FPR=2021Y", "FPT=A", "FA_ACT_EST_DATA=E", "ACT_EST_MAPPING=PRECISE", "FS=MRC", "CURRENCY=USD", "XLFILL=b")</f>
        <v>#N/A Requesting Data...</v>
      </c>
      <c r="J14" s="6" t="str">
        <f>_xll.BQL("SEG0000230975 Segment", "SALES_REV_TURN/1M", "FPR=2021Y", "FPT=A", "FA_ACT_EST_DATA=E, EST_SOURCE=CMPY", "ACT_EST_MAPPING=PRECISE", "FS=MRC", "CURRENCY=USD", "XLFILL=b")</f>
        <v>#N/A Requesting Data...</v>
      </c>
      <c r="K14" s="6" t="str">
        <f>_xll.BQL("SEG0000230975 Segment", "SALES_REV_TURN/1M", "FPR=2021Y", "FPT=A", "FA_ACT_EST_DATA=E, EST_SOURCE=JPM", "ACT_EST_MAPPING=PRECISE", "FS=MRC", "CURRENCY=USD", "XLFILL=b")</f>
        <v>#N/A Requesting Data...</v>
      </c>
      <c r="L14" s="6" t="str">
        <f>_xll.BQL("SEG0000230975 Segment", "SALES_REV_TURN/1M", "FPR=2021Y", "FPT=A", "FA_ACT_EST_DATA=E, EST_SOURCE=WBL", "ACT_EST_MAPPING=PRECISE", "FS=MRC", "CURRENCY=USD", "XLFILL=b")</f>
        <v>#N/A Requesting Data...</v>
      </c>
      <c r="M14" s="6" t="str">
        <f>_xll.BQL("SEG0000230975 Segment", "SALES_REV_TURN/1M", "FPR=2021Y", "FPT=A", "FA_ACT_EST_DATA=E, EST_SOURCE=KEY", "ACT_EST_MAPPING=PRECISE", "FS=MRC", "CURRENCY=USD", "XLFILL=b")</f>
        <v>#N/A Requesting Data...</v>
      </c>
      <c r="N14" s="6" t="str">
        <f>_xll.BQL("SEG0000230975 Segment", "SALES_REV_TURN/1M", "FPR=2021Y", "FPT=A", "FA_ACT_EST_DATA=E, EST_SOURCE=BMO", "ACT_EST_MAPPING=PRECISE", "FS=MRC", "CURRENCY=USD", "XLFILL=b")</f>
        <v>#N/A Requesting Data...</v>
      </c>
      <c r="O14" s="6" t="str">
        <f>_xll.BQL("SEG0000230975 Segment", "SALES_REV_TURN/1M", "FPR=2021Y", "FPT=A", "FA_ACT_EST_DATA=E, EST_SOURCE=OPY", "ACT_EST_MAPPING=PRECISE", "FS=MRC", "CURRENCY=USD", "XLFILL=b")</f>
        <v>#N/A Requesting Data...</v>
      </c>
      <c r="P14" s="6" t="str">
        <f>_xll.BQL("SEG0000230975 Segment", "SALES_REV_TURN/1M", "FPR=2021Y", "FPT=A", "FA_ACT_EST_DATA=E, EST_SOURCE=BCA", "ACT_EST_MAPPING=PRECISE", "FS=MRC", "CURRENCY=USD", "XLFILL=b")</f>
        <v>#N/A Requesting Data...</v>
      </c>
      <c r="Q14" s="6" t="str">
        <f>_xll.BQL("SEG0000230975 Segment", "SALES_REV_TURN/1M", "FPR=2021Y", "FPT=A", "FA_ACT_EST_DATA=E, EST_SOURCE=RHR", "ACT_EST_MAPPING=PRECISE", "FS=MRC", "CURRENCY=USD", "XLFILL=b")</f>
        <v>#N/A Requesting Data...</v>
      </c>
      <c r="R14" s="6" t="str">
        <f>_xll.BQL("SEG0000230975 Segment", "SALES_REV_TURN/1M", "FPR=2021Y", "FPT=A", "FA_ACT_EST_DATA=E, EST_SOURCE=SNR", "ACT_EST_MAPPING=PRECISE", "FS=MRC", "CURRENCY=USD", "XLFILL=b")</f>
        <v>#N/A Requesting Data...</v>
      </c>
      <c r="S14" s="6" t="str">
        <f>_xll.BQL("SEG0000230975 Segment", "SALES_REV_TURN/1M", "FPR=2021Y", "FPT=A", "FA_ACT_EST_DATA=E, EST_SOURCE=MSV", "ACT_EST_MAPPING=PRECISE", "FS=MRC", "CURRENCY=USD", "XLFILL=b")</f>
        <v>#N/A Requesting Data...</v>
      </c>
      <c r="T14" s="6" t="str">
        <f>_xll.BQL("SEG0000230975 Segment", "SALES_REV_TURN/1M", "FPR=2021Y", "FPT=A", "FA_ACT_EST_DATA=E, EST_SOURCE=CAN", "ACT_EST_MAPPING=PRECISE", "FS=MRC", "CURRENCY=USD", "XLFILL=b")</f>
        <v>#N/A Requesting Data...</v>
      </c>
      <c r="U14" s="6" t="str">
        <f>_xll.BQL("SEG0000230975 Segment", "SALES_REV_TURN/1M", "FPR=2021Y", "FPT=A", "FA_ACT_EST_DATA=E, EST_SOURCE=JMP", "ACT_EST_MAPPING=PRECISE", "FS=MRC", "CURRENCY=USD", "XLFILL=b")</f>
        <v>#N/A Requesting Data...</v>
      </c>
      <c r="V14" s="6" t="str">
        <f>_xll.BQL("SEG0000230975 Segment", "SALES_REV_TURN/1M", "FPR=2021Y", "FPT=A", "FA_ACT_EST_DATA=E, EST_SOURCE=NDH", "ACT_EST_MAPPING=PRECISE", "FS=MRC", "CURRENCY=USD", "XLFILL=b")</f>
        <v>#N/A Requesting Data...</v>
      </c>
      <c r="W14" s="6" t="str">
        <f>_xll.BQL("SEG0000230975 Segment", "SALES_REV_TURN/1M", "FPR=2021Y", "FPT=A", "FA_ACT_EST_DATA=E, EST_SOURCE=ZXS", "ACT_EST_MAPPING=PRECISE", "FS=MRC", "CURRENCY=USD", "XLFILL=b")</f>
        <v>#N/A Requesting Data...</v>
      </c>
      <c r="X14" s="6" t="str">
        <f>_xll.BQL("SEG0000230975 Segment", "SALES_REV_TURN/1M", "FPR=2021Y", "FPT=A", "FA_ACT_EST_DATA=E, EST_SOURCE=CWN", "ACT_EST_MAPPING=PRECISE", "FS=MRC", "CURRENCY=USD", "XLFILL=b")</f>
        <v>#N/A Requesting Data...</v>
      </c>
      <c r="Y14" s="6" t="str">
        <f>_xll.BQL("SEG0000230975 Segment", "SALES_REV_TURN/1M", "FPR=2021Y", "FPT=A", "FA_ACT_EST_DATA=E, EST_SOURCE=DBG", "ACT_EST_MAPPING=PRECISE", "FS=MRC", "CURRENCY=USD", "XLFILL=b")</f>
        <v>#N/A Requesting Data...</v>
      </c>
      <c r="Z14" s="6" t="str">
        <f>_xll.BQL("SEG0000230975 Segment", "SALES_REV_TURN/1M", "FPR=2021Y", "FPT=A", "FA_ACT_EST_DATA=E, EST_SOURCE=UBS", "ACT_EST_MAPPING=PRECISE", "FS=MRC", "CURRENCY=USD", "XLFILL=b")</f>
        <v>#N/A Requesting Data...</v>
      </c>
      <c r="AA14" s="6" t="str">
        <f>_xll.BQL("SEG0000230975 Segment", "SALES_REV_TURN/1M", "FPR=2021Y", "FPT=A", "FA_ACT_EST_DATA=E, EST_SOURCE=RBC", "ACT_EST_MAPPING=PRECISE", "FS=MRC", "CURRENCY=USD", "XLFILL=b")</f>
        <v>#N/A Requesting Data...</v>
      </c>
      <c r="AB14" s="6" t="str">
        <f>_xll.BQL("SEG0000230975 Segment", "SALES_REV_TURN/1M", "FPR=2021Y", "FPT=A", "FA_ACT_EST_DATA=E, EST_SOURCE=EVR", "ACT_EST_MAPPING=PRECISE", "FS=MRC", "CURRENCY=USD", "XLFILL=b")</f>
        <v>#N/A Requesting Data...</v>
      </c>
      <c r="AC14" s="6" t="str">
        <f>_xll.BQL("SEG0000230975 Segment", "SALES_REV_TURN/1M", "FPR=2021Y", "FPT=A", "FA_ACT_EST_DATA=E, EST_SOURCE=BNS", "ACT_EST_MAPPING=PRECISE", "FS=MRC", "CURRENCY=USD", "XLFILL=b")</f>
        <v>#N/A Requesting Data...</v>
      </c>
      <c r="AD14" s="6" t="str">
        <f>_xll.BQL("SEG0000230975 Segment", "SALES_REV_TURN/1M", "FPR=2021Y", "FPT=A", "FA_ACT_EST_DATA=E, EST_SOURCE=BAM", "ACT_EST_MAPPING=PRECISE", "FS=MRC", "CURRENCY=USD", "XLFILL=b")</f>
        <v>#N/A Requesting Data...</v>
      </c>
      <c r="AE14" s="6" t="str">
        <f>_xll.BQL("SEG0000230975 Segment", "SALES_REV_TURN/1M", "FPR=2021Y", "FPT=A", "FA_ACT_EST_DATA=E, EST_SOURCE=GSR", "ACT_EST_MAPPING=PRECISE", "FS=MRC", "CURRENCY=USD", "XLFILL=b")</f>
        <v>#N/A Requesting Data...</v>
      </c>
      <c r="AF14" s="6" t="str">
        <f>_xll.BQL("SEG0000230975 Segment", "SALES_REV_TURN/1M", "FPR=2021Y", "FPT=A", "FA_ACT_EST_DATA=E, EST_SOURCE=FBC", "ACT_EST_MAPPING=PRECISE", "FS=MRC", "CURRENCY=USD", "XLFILL=b")</f>
        <v>#N/A Requesting Data...</v>
      </c>
      <c r="AG14" s="6" t="str">
        <f>_xll.BQL("SEG0000230975 Segment", "SALES_REV_TURN/1M", "FPR=2021Y", "FPT=A", "FA_ACT_EST_DATA=E, EST_SOURCE=MAC", "ACT_EST_MAPPING=PRECISE", "FS=MRC", "CURRENCY=USD", "XLFILL=b")</f>
        <v>#N/A Requesting Data...</v>
      </c>
      <c r="AH14" s="6" t="str">
        <f>_xll.BQL("SEG0000230975 Segment", "SALES_REV_TURN/1M", "FPR=2021Y", "FPT=A", "FA_ACT_EST_DATA=E, EST_SOURCE=PSG", "ACT_EST_MAPPING=PRECISE", "FS=MRC", "CURRENCY=USD", "XLFILL=b")</f>
        <v>#N/A Requesting Data...</v>
      </c>
      <c r="AI14" s="6" t="str">
        <f>_xll.BQL("SEG0000230975 Segment", "SALES_REV_TURN/1M", "FPR=2021Y", "FPT=A", "FA_ACT_EST_DATA=E, EST_SOURCE=MSR", "ACT_EST_MAPPING=PRECISE", "FS=MRC", "CURRENCY=USD", "XLFILL=b")</f>
        <v>#N/A Requesting Data...</v>
      </c>
      <c r="AJ14" s="6" t="str">
        <f>_xll.BQL("SEG0000230975 Segment", "SALES_REV_TURN/1M", "FPR=2021Y", "FPT=A", "FA_ACT_EST_DATA=E, EST_SOURCE=JEF", "ACT_EST_MAPPING=PRECISE", "FS=MRC", "CURRENCY=USD", "XLFILL=b")</f>
        <v>#N/A Requesting Data...</v>
      </c>
      <c r="AK14" s="6" t="str">
        <f>_xll.BQL("SEG0000230975 Segment", "SALES_REV_TURN/1M", "FPR=2021Y", "FPT=A", "FA_ACT_EST_DATA=E, EST_SOURCE=TTC", "ACT_EST_MAPPING=PRECISE", "FS=MRC", "CURRENCY=USD", "XLFILL=b")</f>
        <v>#N/A Requesting Data...</v>
      </c>
      <c r="AL14" s="6" t="str">
        <f>_xll.BQL("SEG0000230975 Segment", "SALES_REV_TURN/1M", "FPR=2021Y", "FPT=A", "FA_ACT_EST_DATA=E, EST_SOURCE=RWB", "ACT_EST_MAPPING=PRECISE", "FS=MRC", "CURRENCY=USD", "XLFILL=b")</f>
        <v>#N/A Requesting Data...</v>
      </c>
      <c r="AM14" s="6" t="str">
        <f>_xll.BQL("SEG0000230975 Segment", "SALES_REV_TURN/1M", "FPR=2021Y", "FPT=A", "FA_ACT_EST_DATA=E, EST_SOURCE=DZB", "ACT_EST_MAPPING=PRECISE", "FS=MRC", "CURRENCY=USD", "XLFILL=b")</f>
        <v>#N/A Requesting Data...</v>
      </c>
      <c r="AN14" s="6" t="str">
        <f>_xll.BQL("SEG0000230975 Segment", "SALES_REV_TURN/1M", "FPR=2021Y", "FPT=A", "FA_ACT_EST_DATA=E, EST_SOURCE=DWI", "ACT_EST_MAPPING=PRECISE", "FS=MRC", "CURRENCY=USD", "XLFILL=b")</f>
        <v>#N/A Requesting Data...</v>
      </c>
      <c r="AO14" s="6" t="str">
        <f>_xll.BQL("SEG0000230975 Segment", "SALES_REV_TURN/1M", "FPR=2021Y", "FPT=A", "FA_ACT_EST_DATA=E, EST_SOURCE=ARG", "ACT_EST_MAPPING=PRECISE", "FS=MRC", "CURRENCY=USD", "XLFILL=b")</f>
        <v>#N/A Requesting Data...</v>
      </c>
      <c r="AP14" s="6" t="str">
        <f>_xll.BQL("SEG0000230975 Segment", "SALES_REV_TURN/1M", "FPR=2021Y", "FPT=A", "FA_ACT_EST_DATA=E, EST_SOURCE=CTI", "ACT_EST_MAPPING=PRECISE", "FS=MRC", "CURRENCY=USD", "XLFILL=b")</f>
        <v>#N/A Requesting Data...</v>
      </c>
      <c r="AQ14" s="6" t="str">
        <f>_xll.BQL("SEG0000230975 Segment", "SALES_REV_TURN/1M", "FPR=2021Y", "FPT=A", "FA_ACT_EST_DATA=E, EST_SOURCE=WFT", "ACT_EST_MAPPING=PRECISE", "FS=MRC", "CURRENCY=USD", "XLFILL=b")</f>
        <v>#N/A Requesting Data...</v>
      </c>
      <c r="AR14" s="6" t="str">
        <f>_xll.BQL("SEG0000230975 Segment", "SALES_REV_TURN/1M", "FPR=2021Y", "FPT=A", "FA_ACT_EST_DATA=E, EST_SOURCE=ARE", "ACT_EST_MAPPING=PRECISE", "FS=MRC", "CURRENCY=USD", "XLFILL=b")</f>
        <v>#N/A Requesting Data...</v>
      </c>
      <c r="AS14" s="6" t="str">
        <f>_xll.BQL("SEG0000230975 Segment", "SALES_REV_TURN/1M", "FPR=2021Y", "FPT=A", "FA_ACT_EST_DATA=E, EST_SOURCE=PJE", "ACT_EST_MAPPING=PRECISE", "FS=MRC", "CURRENCY=USD", "XLFILL=b")</f>
        <v>#N/A Requesting Data...</v>
      </c>
      <c r="AT14" s="6" t="str">
        <f>_xll.BQL("SEG0000230975 Segment", "SALES_REV_TURN/1M", "FPR=2021Y", "FPT=A", "FA_ACT_EST_DATA=E, EST_SOURCE=MZS", "ACT_EST_MAPPING=PRECISE", "FS=MRC", "CURRENCY=USD", "XLFILL=b")</f>
        <v>#N/A Requesting Data...</v>
      </c>
      <c r="AU14" s="6" t="str">
        <f>_xll.BQL("SEG0000230975 Segment", "SALES_REV_TURN/1M", "FPR=2021Y", "FPT=A", "FA_ACT_EST_DATA=E, EST_SOURCE=SUM", "ACT_EST_MAPPING=PRECISE", "FS=MRC", "CURRENCY=USD", "XLFILL=b")</f>
        <v>#N/A Requesting Data...</v>
      </c>
      <c r="AV14" s="6" t="str">
        <f>_xll.BQL("SEG0000230975 Segment", "SALES_REV_TURN/1M", "FPR=2021Y", "FPT=A", "FA_ACT_EST_DATA=E, EST_SOURCE=CRC", "ACT_EST_MAPPING=PRECISE", "FS=MRC", "CURRENCY=USD", "XLFILL=b")</f>
        <v>#N/A Requesting Data...</v>
      </c>
      <c r="AW14" s="6" t="str">
        <f>_xll.BQL("SEG0000230975 Segment", "SALES_REV_TURN/1M", "FPR=2021Y", "FPT=A", "FA_ACT_EST_DATA=E, EST_SOURCE=SCB", "ACT_EST_MAPPING=PRECISE", "FS=MRC", "CURRENCY=USD", "XLFILL=b")</f>
        <v>#N/A Requesting Data...</v>
      </c>
    </row>
    <row r="15" spans="1:49" x14ac:dyDescent="0.55000000000000004">
      <c r="A15" s="5" t="s">
        <v>38</v>
      </c>
      <c r="B15" s="2" t="s">
        <v>36</v>
      </c>
      <c r="C15" s="2" t="s">
        <v>39</v>
      </c>
      <c r="D15" s="2" t="s">
        <v>40</v>
      </c>
      <c r="E15" s="6" t="str">
        <f>_xll.BQL("SEG0000230992 Segment", "SALES_REV_TURN/1M", "FPR=2021Y", "FPT=A", "FA_ACT_EST_DATA=E", "ACT_EST_MAPPING=PRECISE", "FS=MRC", "CURRENCY=USD", "XLFILL=b")</f>
        <v>#N/A Requesting Data...</v>
      </c>
      <c r="F15" s="6" t="str">
        <f>_xll.BQL("SEG0000230992 Segment", "CONTRIBUTOR_STATS(SALES_REV_TURN, MIN)/1M", "FPR=2021Y", "FPT=A", "FA_ACT_EST_DATA=E", "ACT_EST_MAPPING=PRECISE", "FS=MRC", "CURRENCY=USD", "XLFILL=b")</f>
        <v>#N/A Requesting Data...</v>
      </c>
      <c r="G15" s="6" t="str">
        <f>_xll.BQL("SEG0000230992 Segment", "CONTRIBUTOR_STATS(SALES_REV_TURN, MAX)/1M", "FPR=2021Y", "FPT=A", "FA_ACT_EST_DATA=E", "ACT_EST_MAPPING=PRECISE", "FS=MRC", "CURRENCY=USD", "XLFILL=b")</f>
        <v>#N/A Requesting Data...</v>
      </c>
      <c r="H15" s="6" t="str">
        <f>_xll.BQL("SEG0000230992 Segment", "CONTRIBUTOR_STATS(SALES_REV_TURN, STD)/1M", "FPR=2021Y", "FPT=A", "FA_ACT_EST_DATA=E", "ACT_EST_MAPPING=PRECISE", "FS=MRC", "CURRENCY=USD", "XLFILL=b")</f>
        <v>#N/A Requesting Data...</v>
      </c>
      <c r="I15" s="6" t="str">
        <f>_xll.BQL("SEG0000230992 Segment", "CONTRIBUTOR_STATS(SALES_REV_TURN, MEDIAN)/1M", "FPR=2021Y", "FPT=A", "FA_ACT_EST_DATA=E", "ACT_EST_MAPPING=PRECISE", "FS=MRC", "CURRENCY=USD", "XLFILL=b")</f>
        <v>#N/A Requesting Data...</v>
      </c>
      <c r="J15" s="6" t="str">
        <f>_xll.BQL("SEG0000230992 Segment", "SALES_REV_TURN/1M", "FPR=2021Y", "FPT=A", "FA_ACT_EST_DATA=E, EST_SOURCE=CMPY", "ACT_EST_MAPPING=PRECISE", "FS=MRC", "CURRENCY=USD", "XLFILL=b")</f>
        <v>#N/A Requesting Data...</v>
      </c>
      <c r="K15" s="6" t="str">
        <f>_xll.BQL("SEG0000230992 Segment", "SALES_REV_TURN/1M", "FPR=2021Y", "FPT=A", "FA_ACT_EST_DATA=E, EST_SOURCE=JPM", "ACT_EST_MAPPING=PRECISE", "FS=MRC", "CURRENCY=USD", "XLFILL=b")</f>
        <v>#N/A Requesting Data...</v>
      </c>
      <c r="L15" s="6" t="str">
        <f>_xll.BQL("SEG0000230992 Segment", "SALES_REV_TURN/1M", "FPR=2021Y", "FPT=A", "FA_ACT_EST_DATA=E, EST_SOURCE=WBL", "ACT_EST_MAPPING=PRECISE", "FS=MRC", "CURRENCY=USD", "XLFILL=b")</f>
        <v>#N/A Requesting Data...</v>
      </c>
      <c r="M15" s="6" t="str">
        <f>_xll.BQL("SEG0000230992 Segment", "SALES_REV_TURN/1M", "FPR=2021Y", "FPT=A", "FA_ACT_EST_DATA=E, EST_SOURCE=KEY", "ACT_EST_MAPPING=PRECISE", "FS=MRC", "CURRENCY=USD", "XLFILL=b")</f>
        <v>#N/A Requesting Data...</v>
      </c>
      <c r="N15" s="6" t="str">
        <f>_xll.BQL("SEG0000230992 Segment", "SALES_REV_TURN/1M", "FPR=2021Y", "FPT=A", "FA_ACT_EST_DATA=E, EST_SOURCE=BMO", "ACT_EST_MAPPING=PRECISE", "FS=MRC", "CURRENCY=USD", "XLFILL=b")</f>
        <v>#N/A Requesting Data...</v>
      </c>
      <c r="O15" s="6" t="str">
        <f>_xll.BQL("SEG0000230992 Segment", "SALES_REV_TURN/1M", "FPR=2021Y", "FPT=A", "FA_ACT_EST_DATA=E, EST_SOURCE=OPY", "ACT_EST_MAPPING=PRECISE", "FS=MRC", "CURRENCY=USD", "XLFILL=b")</f>
        <v>#N/A Requesting Data...</v>
      </c>
      <c r="P15" s="6" t="str">
        <f>_xll.BQL("SEG0000230992 Segment", "SALES_REV_TURN/1M", "FPR=2021Y", "FPT=A", "FA_ACT_EST_DATA=E, EST_SOURCE=BCA", "ACT_EST_MAPPING=PRECISE", "FS=MRC", "CURRENCY=USD", "XLFILL=b")</f>
        <v>#N/A Requesting Data...</v>
      </c>
      <c r="Q15" s="6" t="str">
        <f>_xll.BQL("SEG0000230992 Segment", "SALES_REV_TURN/1M", "FPR=2021Y", "FPT=A", "FA_ACT_EST_DATA=E, EST_SOURCE=RHR", "ACT_EST_MAPPING=PRECISE", "FS=MRC", "CURRENCY=USD", "XLFILL=b")</f>
        <v>#N/A Requesting Data...</v>
      </c>
      <c r="R15" s="6" t="str">
        <f>_xll.BQL("SEG0000230992 Segment", "SALES_REV_TURN/1M", "FPR=2021Y", "FPT=A", "FA_ACT_EST_DATA=E, EST_SOURCE=SNR", "ACT_EST_MAPPING=PRECISE", "FS=MRC", "CURRENCY=USD", "XLFILL=b")</f>
        <v>#N/A Requesting Data...</v>
      </c>
      <c r="S15" s="6" t="str">
        <f>_xll.BQL("SEG0000230992 Segment", "SALES_REV_TURN/1M", "FPR=2021Y", "FPT=A", "FA_ACT_EST_DATA=E, EST_SOURCE=MSV", "ACT_EST_MAPPING=PRECISE", "FS=MRC", "CURRENCY=USD", "XLFILL=b")</f>
        <v>#N/A Requesting Data...</v>
      </c>
      <c r="T15" s="6" t="str">
        <f>_xll.BQL("SEG0000230992 Segment", "SALES_REV_TURN/1M", "FPR=2021Y", "FPT=A", "FA_ACT_EST_DATA=E, EST_SOURCE=CAN", "ACT_EST_MAPPING=PRECISE", "FS=MRC", "CURRENCY=USD", "XLFILL=b")</f>
        <v>#N/A Requesting Data...</v>
      </c>
      <c r="U15" s="6" t="str">
        <f>_xll.BQL("SEG0000230992 Segment", "SALES_REV_TURN/1M", "FPR=2021Y", "FPT=A", "FA_ACT_EST_DATA=E, EST_SOURCE=JMP", "ACT_EST_MAPPING=PRECISE", "FS=MRC", "CURRENCY=USD", "XLFILL=b")</f>
        <v>#N/A Requesting Data...</v>
      </c>
      <c r="V15" s="6" t="str">
        <f>_xll.BQL("SEG0000230992 Segment", "SALES_REV_TURN/1M", "FPR=2021Y", "FPT=A", "FA_ACT_EST_DATA=E, EST_SOURCE=NDH", "ACT_EST_MAPPING=PRECISE", "FS=MRC", "CURRENCY=USD", "XLFILL=b")</f>
        <v>#N/A Requesting Data...</v>
      </c>
      <c r="W15" s="6" t="str">
        <f>_xll.BQL("SEG0000230992 Segment", "SALES_REV_TURN/1M", "FPR=2021Y", "FPT=A", "FA_ACT_EST_DATA=E, EST_SOURCE=ZXS", "ACT_EST_MAPPING=PRECISE", "FS=MRC", "CURRENCY=USD", "XLFILL=b")</f>
        <v>#N/A Requesting Data...</v>
      </c>
      <c r="X15" s="6" t="str">
        <f>_xll.BQL("SEG0000230992 Segment", "SALES_REV_TURN/1M", "FPR=2021Y", "FPT=A", "FA_ACT_EST_DATA=E, EST_SOURCE=CWN", "ACT_EST_MAPPING=PRECISE", "FS=MRC", "CURRENCY=USD", "XLFILL=b")</f>
        <v>#N/A Requesting Data...</v>
      </c>
      <c r="Y15" s="6" t="str">
        <f>_xll.BQL("SEG0000230992 Segment", "SALES_REV_TURN/1M", "FPR=2021Y", "FPT=A", "FA_ACT_EST_DATA=E, EST_SOURCE=DBG", "ACT_EST_MAPPING=PRECISE", "FS=MRC", "CURRENCY=USD", "XLFILL=b")</f>
        <v>#N/A Requesting Data...</v>
      </c>
      <c r="Z15" s="6" t="str">
        <f>_xll.BQL("SEG0000230992 Segment", "SALES_REV_TURN/1M", "FPR=2021Y", "FPT=A", "FA_ACT_EST_DATA=E, EST_SOURCE=UBS", "ACT_EST_MAPPING=PRECISE", "FS=MRC", "CURRENCY=USD", "XLFILL=b")</f>
        <v>#N/A Requesting Data...</v>
      </c>
      <c r="AA15" s="6" t="str">
        <f>_xll.BQL("SEG0000230992 Segment", "SALES_REV_TURN/1M", "FPR=2021Y", "FPT=A", "FA_ACT_EST_DATA=E, EST_SOURCE=RBC", "ACT_EST_MAPPING=PRECISE", "FS=MRC", "CURRENCY=USD", "XLFILL=b")</f>
        <v>#N/A Requesting Data...</v>
      </c>
      <c r="AB15" s="6" t="str">
        <f>_xll.BQL("SEG0000230992 Segment", "SALES_REV_TURN/1M", "FPR=2021Y", "FPT=A", "FA_ACT_EST_DATA=E, EST_SOURCE=EVR", "ACT_EST_MAPPING=PRECISE", "FS=MRC", "CURRENCY=USD", "XLFILL=b")</f>
        <v>#N/A Requesting Data...</v>
      </c>
      <c r="AC15" s="6" t="str">
        <f>_xll.BQL("SEG0000230992 Segment", "SALES_REV_TURN/1M", "FPR=2021Y", "FPT=A", "FA_ACT_EST_DATA=E, EST_SOURCE=BNS", "ACT_EST_MAPPING=PRECISE", "FS=MRC", "CURRENCY=USD", "XLFILL=b")</f>
        <v>#N/A Requesting Data...</v>
      </c>
      <c r="AD15" s="6" t="str">
        <f>_xll.BQL("SEG0000230992 Segment", "SALES_REV_TURN/1M", "FPR=2021Y", "FPT=A", "FA_ACT_EST_DATA=E, EST_SOURCE=BAM", "ACT_EST_MAPPING=PRECISE", "FS=MRC", "CURRENCY=USD", "XLFILL=b")</f>
        <v>#N/A Requesting Data...</v>
      </c>
      <c r="AE15" s="6" t="str">
        <f>_xll.BQL("SEG0000230992 Segment", "SALES_REV_TURN/1M", "FPR=2021Y", "FPT=A", "FA_ACT_EST_DATA=E, EST_SOURCE=GSR", "ACT_EST_MAPPING=PRECISE", "FS=MRC", "CURRENCY=USD", "XLFILL=b")</f>
        <v>#N/A Requesting Data...</v>
      </c>
      <c r="AF15" s="6" t="str">
        <f>_xll.BQL("SEG0000230992 Segment", "SALES_REV_TURN/1M", "FPR=2021Y", "FPT=A", "FA_ACT_EST_DATA=E, EST_SOURCE=FBC", "ACT_EST_MAPPING=PRECISE", "FS=MRC", "CURRENCY=USD", "XLFILL=b")</f>
        <v>#N/A Requesting Data...</v>
      </c>
      <c r="AG15" s="6" t="str">
        <f>_xll.BQL("SEG0000230992 Segment", "SALES_REV_TURN/1M", "FPR=2021Y", "FPT=A", "FA_ACT_EST_DATA=E, EST_SOURCE=MAC", "ACT_EST_MAPPING=PRECISE", "FS=MRC", "CURRENCY=USD", "XLFILL=b")</f>
        <v>#N/A Requesting Data...</v>
      </c>
      <c r="AH15" s="6" t="str">
        <f>_xll.BQL("SEG0000230992 Segment", "SALES_REV_TURN/1M", "FPR=2021Y", "FPT=A", "FA_ACT_EST_DATA=E, EST_SOURCE=PSG", "ACT_EST_MAPPING=PRECISE", "FS=MRC", "CURRENCY=USD", "XLFILL=b")</f>
        <v>#N/A Requesting Data...</v>
      </c>
      <c r="AI15" s="6" t="str">
        <f>_xll.BQL("SEG0000230992 Segment", "SALES_REV_TURN/1M", "FPR=2021Y", "FPT=A", "FA_ACT_EST_DATA=E, EST_SOURCE=MSR", "ACT_EST_MAPPING=PRECISE", "FS=MRC", "CURRENCY=USD", "XLFILL=b")</f>
        <v>#N/A Requesting Data...</v>
      </c>
      <c r="AJ15" s="6" t="str">
        <f>_xll.BQL("SEG0000230992 Segment", "SALES_REV_TURN/1M", "FPR=2021Y", "FPT=A", "FA_ACT_EST_DATA=E, EST_SOURCE=JEF", "ACT_EST_MAPPING=PRECISE", "FS=MRC", "CURRENCY=USD", "XLFILL=b")</f>
        <v>#N/A Requesting Data...</v>
      </c>
      <c r="AK15" s="6" t="str">
        <f>_xll.BQL("SEG0000230992 Segment", "SALES_REV_TURN/1M", "FPR=2021Y", "FPT=A", "FA_ACT_EST_DATA=E, EST_SOURCE=TTC", "ACT_EST_MAPPING=PRECISE", "FS=MRC", "CURRENCY=USD", "XLFILL=b")</f>
        <v>#N/A Requesting Data...</v>
      </c>
      <c r="AL15" s="6" t="str">
        <f>_xll.BQL("SEG0000230992 Segment", "SALES_REV_TURN/1M", "FPR=2021Y", "FPT=A", "FA_ACT_EST_DATA=E, EST_SOURCE=RWB", "ACT_EST_MAPPING=PRECISE", "FS=MRC", "CURRENCY=USD", "XLFILL=b")</f>
        <v>#N/A Requesting Data...</v>
      </c>
      <c r="AM15" s="6" t="str">
        <f>_xll.BQL("SEG0000230992 Segment", "SALES_REV_TURN/1M", "FPR=2021Y", "FPT=A", "FA_ACT_EST_DATA=E, EST_SOURCE=DZB", "ACT_EST_MAPPING=PRECISE", "FS=MRC", "CURRENCY=USD", "XLFILL=b")</f>
        <v>#N/A Requesting Data...</v>
      </c>
      <c r="AN15" s="6" t="str">
        <f>_xll.BQL("SEG0000230992 Segment", "SALES_REV_TURN/1M", "FPR=2021Y", "FPT=A", "FA_ACT_EST_DATA=E, EST_SOURCE=DWI", "ACT_EST_MAPPING=PRECISE", "FS=MRC", "CURRENCY=USD", "XLFILL=b")</f>
        <v>#N/A Requesting Data...</v>
      </c>
      <c r="AO15" s="6" t="str">
        <f>_xll.BQL("SEG0000230992 Segment", "SALES_REV_TURN/1M", "FPR=2021Y", "FPT=A", "FA_ACT_EST_DATA=E, EST_SOURCE=ARG", "ACT_EST_MAPPING=PRECISE", "FS=MRC", "CURRENCY=USD", "XLFILL=b")</f>
        <v>#N/A Requesting Data...</v>
      </c>
      <c r="AP15" s="6" t="str">
        <f>_xll.BQL("SEG0000230992 Segment", "SALES_REV_TURN/1M", "FPR=2021Y", "FPT=A", "FA_ACT_EST_DATA=E, EST_SOURCE=CTI", "ACT_EST_MAPPING=PRECISE", "FS=MRC", "CURRENCY=USD", "XLFILL=b")</f>
        <v>#N/A Requesting Data...</v>
      </c>
      <c r="AQ15" s="6" t="str">
        <f>_xll.BQL("SEG0000230992 Segment", "SALES_REV_TURN/1M", "FPR=2021Y", "FPT=A", "FA_ACT_EST_DATA=E, EST_SOURCE=WFT", "ACT_EST_MAPPING=PRECISE", "FS=MRC", "CURRENCY=USD", "XLFILL=b")</f>
        <v>#N/A Requesting Data...</v>
      </c>
      <c r="AR15" s="6" t="str">
        <f>_xll.BQL("SEG0000230992 Segment", "SALES_REV_TURN/1M", "FPR=2021Y", "FPT=A", "FA_ACT_EST_DATA=E, EST_SOURCE=ARE", "ACT_EST_MAPPING=PRECISE", "FS=MRC", "CURRENCY=USD", "XLFILL=b")</f>
        <v>#N/A Requesting Data...</v>
      </c>
      <c r="AS15" s="6" t="str">
        <f>_xll.BQL("SEG0000230992 Segment", "SALES_REV_TURN/1M", "FPR=2021Y", "FPT=A", "FA_ACT_EST_DATA=E, EST_SOURCE=PJE", "ACT_EST_MAPPING=PRECISE", "FS=MRC", "CURRENCY=USD", "XLFILL=b")</f>
        <v>#N/A Requesting Data...</v>
      </c>
      <c r="AT15" s="6" t="str">
        <f>_xll.BQL("SEG0000230992 Segment", "SALES_REV_TURN/1M", "FPR=2021Y", "FPT=A", "FA_ACT_EST_DATA=E, EST_SOURCE=MZS", "ACT_EST_MAPPING=PRECISE", "FS=MRC", "CURRENCY=USD", "XLFILL=b")</f>
        <v>#N/A Requesting Data...</v>
      </c>
      <c r="AU15" s="6" t="str">
        <f>_xll.BQL("SEG0000230992 Segment", "SALES_REV_TURN/1M", "FPR=2021Y", "FPT=A", "FA_ACT_EST_DATA=E, EST_SOURCE=SUM", "ACT_EST_MAPPING=PRECISE", "FS=MRC", "CURRENCY=USD", "XLFILL=b")</f>
        <v>#N/A Requesting Data...</v>
      </c>
      <c r="AV15" s="6" t="str">
        <f>_xll.BQL("SEG0000230992 Segment", "SALES_REV_TURN/1M", "FPR=2021Y", "FPT=A", "FA_ACT_EST_DATA=E, EST_SOURCE=CRC", "ACT_EST_MAPPING=PRECISE", "FS=MRC", "CURRENCY=USD", "XLFILL=b")</f>
        <v>#N/A Requesting Data...</v>
      </c>
      <c r="AW15" s="6" t="str">
        <f>_xll.BQL("SEG0000230992 Segment", "SALES_REV_TURN/1M", "FPR=2021Y", "FPT=A", "FA_ACT_EST_DATA=E, EST_SOURCE=SCB", "ACT_EST_MAPPING=PRECISE", "FS=MRC", "CURRENCY=USD", "XLFILL=b")</f>
        <v>#N/A Requesting Data...</v>
      </c>
    </row>
    <row r="16" spans="1:49" x14ac:dyDescent="0.55000000000000004">
      <c r="A16" s="5" t="s">
        <v>41</v>
      </c>
      <c r="B16" s="2" t="s">
        <v>36</v>
      </c>
      <c r="C16" s="2" t="s">
        <v>42</v>
      </c>
      <c r="D16" s="2" t="s">
        <v>43</v>
      </c>
      <c r="E16" s="6" t="str">
        <f>_xll.BQL("SEG0000230969 Segment", "SALES_REV_TURN/1M", "FPR=2021Y", "FPT=A", "FA_ACT_EST_DATA=E", "ACT_EST_MAPPING=PRECISE", "FS=MRC", "CURRENCY=USD", "XLFILL=b")</f>
        <v>#N/A Requesting Data...</v>
      </c>
      <c r="F16" s="6" t="str">
        <f>_xll.BQL("SEG0000230969 Segment", "CONTRIBUTOR_STATS(SALES_REV_TURN, MIN)/1M", "FPR=2021Y", "FPT=A", "FA_ACT_EST_DATA=E", "ACT_EST_MAPPING=PRECISE", "FS=MRC", "CURRENCY=USD", "XLFILL=b")</f>
        <v>#N/A Requesting Data...</v>
      </c>
      <c r="G16" s="6" t="str">
        <f>_xll.BQL("SEG0000230969 Segment", "CONTRIBUTOR_STATS(SALES_REV_TURN, MAX)/1M", "FPR=2021Y", "FPT=A", "FA_ACT_EST_DATA=E", "ACT_EST_MAPPING=PRECISE", "FS=MRC", "CURRENCY=USD", "XLFILL=b")</f>
        <v>#N/A Requesting Data...</v>
      </c>
      <c r="H16" s="6" t="str">
        <f>_xll.BQL("SEG0000230969 Segment", "CONTRIBUTOR_STATS(SALES_REV_TURN, STD)/1M", "FPR=2021Y", "FPT=A", "FA_ACT_EST_DATA=E", "ACT_EST_MAPPING=PRECISE", "FS=MRC", "CURRENCY=USD", "XLFILL=b")</f>
        <v>#N/A Requesting Data...</v>
      </c>
      <c r="I16" s="6" t="str">
        <f>_xll.BQL("SEG0000230969 Segment", "CONTRIBUTOR_STATS(SALES_REV_TURN, MEDIAN)/1M", "FPR=2021Y", "FPT=A", "FA_ACT_EST_DATA=E", "ACT_EST_MAPPING=PRECISE", "FS=MRC", "CURRENCY=USD", "XLFILL=b")</f>
        <v>#N/A Requesting Data...</v>
      </c>
      <c r="J16" s="6" t="str">
        <f>_xll.BQL("SEG0000230969 Segment", "SALES_REV_TURN/1M", "FPR=2021Y", "FPT=A", "FA_ACT_EST_DATA=E, EST_SOURCE=CMPY", "ACT_EST_MAPPING=PRECISE", "FS=MRC", "CURRENCY=USD", "XLFILL=b")</f>
        <v>#N/A Requesting Data...</v>
      </c>
      <c r="K16" s="6" t="str">
        <f>_xll.BQL("SEG0000230969 Segment", "SALES_REV_TURN/1M", "FPR=2021Y", "FPT=A", "FA_ACT_EST_DATA=E, EST_SOURCE=JPM", "ACT_EST_MAPPING=PRECISE", "FS=MRC", "CURRENCY=USD", "XLFILL=b")</f>
        <v>#N/A Requesting Data...</v>
      </c>
      <c r="L16" s="6" t="str">
        <f>_xll.BQL("SEG0000230969 Segment", "SALES_REV_TURN/1M", "FPR=2021Y", "FPT=A", "FA_ACT_EST_DATA=E, EST_SOURCE=WBL", "ACT_EST_MAPPING=PRECISE", "FS=MRC", "CURRENCY=USD", "XLFILL=b")</f>
        <v>#N/A Requesting Data...</v>
      </c>
      <c r="M16" s="6" t="str">
        <f>_xll.BQL("SEG0000230969 Segment", "SALES_REV_TURN/1M", "FPR=2021Y", "FPT=A", "FA_ACT_EST_DATA=E, EST_SOURCE=KEY", "ACT_EST_MAPPING=PRECISE", "FS=MRC", "CURRENCY=USD", "XLFILL=b")</f>
        <v>#N/A Requesting Data...</v>
      </c>
      <c r="N16" s="6" t="str">
        <f>_xll.BQL("SEG0000230969 Segment", "SALES_REV_TURN/1M", "FPR=2021Y", "FPT=A", "FA_ACT_EST_DATA=E, EST_SOURCE=BMO", "ACT_EST_MAPPING=PRECISE", "FS=MRC", "CURRENCY=USD", "XLFILL=b")</f>
        <v>#N/A Requesting Data...</v>
      </c>
      <c r="O16" s="6" t="str">
        <f>_xll.BQL("SEG0000230969 Segment", "SALES_REV_TURN/1M", "FPR=2021Y", "FPT=A", "FA_ACT_EST_DATA=E, EST_SOURCE=OPY", "ACT_EST_MAPPING=PRECISE", "FS=MRC", "CURRENCY=USD", "XLFILL=b")</f>
        <v>#N/A Requesting Data...</v>
      </c>
      <c r="P16" s="6" t="str">
        <f>_xll.BQL("SEG0000230969 Segment", "SALES_REV_TURN/1M", "FPR=2021Y", "FPT=A", "FA_ACT_EST_DATA=E, EST_SOURCE=BCA", "ACT_EST_MAPPING=PRECISE", "FS=MRC", "CURRENCY=USD", "XLFILL=b")</f>
        <v>#N/A Requesting Data...</v>
      </c>
      <c r="Q16" s="6" t="str">
        <f>_xll.BQL("SEG0000230969 Segment", "SALES_REV_TURN/1M", "FPR=2021Y", "FPT=A", "FA_ACT_EST_DATA=E, EST_SOURCE=RHR", "ACT_EST_MAPPING=PRECISE", "FS=MRC", "CURRENCY=USD", "XLFILL=b")</f>
        <v>#N/A Requesting Data...</v>
      </c>
      <c r="R16" s="6" t="str">
        <f>_xll.BQL("SEG0000230969 Segment", "SALES_REV_TURN/1M", "FPR=2021Y", "FPT=A", "FA_ACT_EST_DATA=E, EST_SOURCE=SNR", "ACT_EST_MAPPING=PRECISE", "FS=MRC", "CURRENCY=USD", "XLFILL=b")</f>
        <v>#N/A Requesting Data...</v>
      </c>
      <c r="S16" s="6" t="str">
        <f>_xll.BQL("SEG0000230969 Segment", "SALES_REV_TURN/1M", "FPR=2021Y", "FPT=A", "FA_ACT_EST_DATA=E, EST_SOURCE=MSV", "ACT_EST_MAPPING=PRECISE", "FS=MRC", "CURRENCY=USD", "XLFILL=b")</f>
        <v>#N/A Requesting Data...</v>
      </c>
      <c r="T16" s="6" t="str">
        <f>_xll.BQL("SEG0000230969 Segment", "SALES_REV_TURN/1M", "FPR=2021Y", "FPT=A", "FA_ACT_EST_DATA=E, EST_SOURCE=CAN", "ACT_EST_MAPPING=PRECISE", "FS=MRC", "CURRENCY=USD", "XLFILL=b")</f>
        <v>#N/A Requesting Data...</v>
      </c>
      <c r="U16" s="6" t="str">
        <f>_xll.BQL("SEG0000230969 Segment", "SALES_REV_TURN/1M", "FPR=2021Y", "FPT=A", "FA_ACT_EST_DATA=E, EST_SOURCE=JMP", "ACT_EST_MAPPING=PRECISE", "FS=MRC", "CURRENCY=USD", "XLFILL=b")</f>
        <v>#N/A Requesting Data...</v>
      </c>
      <c r="V16" s="6" t="str">
        <f>_xll.BQL("SEG0000230969 Segment", "SALES_REV_TURN/1M", "FPR=2021Y", "FPT=A", "FA_ACT_EST_DATA=E, EST_SOURCE=NDH", "ACT_EST_MAPPING=PRECISE", "FS=MRC", "CURRENCY=USD", "XLFILL=b")</f>
        <v>#N/A Requesting Data...</v>
      </c>
      <c r="W16" s="6" t="str">
        <f>_xll.BQL("SEG0000230969 Segment", "SALES_REV_TURN/1M", "FPR=2021Y", "FPT=A", "FA_ACT_EST_DATA=E, EST_SOURCE=ZXS", "ACT_EST_MAPPING=PRECISE", "FS=MRC", "CURRENCY=USD", "XLFILL=b")</f>
        <v>#N/A Requesting Data...</v>
      </c>
      <c r="X16" s="6" t="str">
        <f>_xll.BQL("SEG0000230969 Segment", "SALES_REV_TURN/1M", "FPR=2021Y", "FPT=A", "FA_ACT_EST_DATA=E, EST_SOURCE=CWN", "ACT_EST_MAPPING=PRECISE", "FS=MRC", "CURRENCY=USD", "XLFILL=b")</f>
        <v>#N/A Requesting Data...</v>
      </c>
      <c r="Y16" s="6" t="str">
        <f>_xll.BQL("SEG0000230969 Segment", "SALES_REV_TURN/1M", "FPR=2021Y", "FPT=A", "FA_ACT_EST_DATA=E, EST_SOURCE=DBG", "ACT_EST_MAPPING=PRECISE", "FS=MRC", "CURRENCY=USD", "XLFILL=b")</f>
        <v>#N/A Requesting Data...</v>
      </c>
      <c r="Z16" s="6" t="str">
        <f>_xll.BQL("SEG0000230969 Segment", "SALES_REV_TURN/1M", "FPR=2021Y", "FPT=A", "FA_ACT_EST_DATA=E, EST_SOURCE=UBS", "ACT_EST_MAPPING=PRECISE", "FS=MRC", "CURRENCY=USD", "XLFILL=b")</f>
        <v>#N/A Requesting Data...</v>
      </c>
      <c r="AA16" s="6" t="str">
        <f>_xll.BQL("SEG0000230969 Segment", "SALES_REV_TURN/1M", "FPR=2021Y", "FPT=A", "FA_ACT_EST_DATA=E, EST_SOURCE=RBC", "ACT_EST_MAPPING=PRECISE", "FS=MRC", "CURRENCY=USD", "XLFILL=b")</f>
        <v>#N/A Requesting Data...</v>
      </c>
      <c r="AB16" s="6" t="str">
        <f>_xll.BQL("SEG0000230969 Segment", "SALES_REV_TURN/1M", "FPR=2021Y", "FPT=A", "FA_ACT_EST_DATA=E, EST_SOURCE=EVR", "ACT_EST_MAPPING=PRECISE", "FS=MRC", "CURRENCY=USD", "XLFILL=b")</f>
        <v>#N/A Requesting Data...</v>
      </c>
      <c r="AC16" s="6" t="str">
        <f>_xll.BQL("SEG0000230969 Segment", "SALES_REV_TURN/1M", "FPR=2021Y", "FPT=A", "FA_ACT_EST_DATA=E, EST_SOURCE=BNS", "ACT_EST_MAPPING=PRECISE", "FS=MRC", "CURRENCY=USD", "XLFILL=b")</f>
        <v>#N/A Requesting Data...</v>
      </c>
      <c r="AD16" s="6" t="str">
        <f>_xll.BQL("SEG0000230969 Segment", "SALES_REV_TURN/1M", "FPR=2021Y", "FPT=A", "FA_ACT_EST_DATA=E, EST_SOURCE=BAM", "ACT_EST_MAPPING=PRECISE", "FS=MRC", "CURRENCY=USD", "XLFILL=b")</f>
        <v>#N/A Requesting Data...</v>
      </c>
      <c r="AE16" s="6" t="str">
        <f>_xll.BQL("SEG0000230969 Segment", "SALES_REV_TURN/1M", "FPR=2021Y", "FPT=A", "FA_ACT_EST_DATA=E, EST_SOURCE=GSR", "ACT_EST_MAPPING=PRECISE", "FS=MRC", "CURRENCY=USD", "XLFILL=b")</f>
        <v>#N/A Requesting Data...</v>
      </c>
      <c r="AF16" s="6" t="str">
        <f>_xll.BQL("SEG0000230969 Segment", "SALES_REV_TURN/1M", "FPR=2021Y", "FPT=A", "FA_ACT_EST_DATA=E, EST_SOURCE=FBC", "ACT_EST_MAPPING=PRECISE", "FS=MRC", "CURRENCY=USD", "XLFILL=b")</f>
        <v>#N/A Requesting Data...</v>
      </c>
      <c r="AG16" s="6" t="str">
        <f>_xll.BQL("SEG0000230969 Segment", "SALES_REV_TURN/1M", "FPR=2021Y", "FPT=A", "FA_ACT_EST_DATA=E, EST_SOURCE=MAC", "ACT_EST_MAPPING=PRECISE", "FS=MRC", "CURRENCY=USD", "XLFILL=b")</f>
        <v>#N/A Requesting Data...</v>
      </c>
      <c r="AH16" s="6" t="str">
        <f>_xll.BQL("SEG0000230969 Segment", "SALES_REV_TURN/1M", "FPR=2021Y", "FPT=A", "FA_ACT_EST_DATA=E, EST_SOURCE=PSG", "ACT_EST_MAPPING=PRECISE", "FS=MRC", "CURRENCY=USD", "XLFILL=b")</f>
        <v>#N/A Requesting Data...</v>
      </c>
      <c r="AI16" s="6" t="str">
        <f>_xll.BQL("SEG0000230969 Segment", "SALES_REV_TURN/1M", "FPR=2021Y", "FPT=A", "FA_ACT_EST_DATA=E, EST_SOURCE=MSR", "ACT_EST_MAPPING=PRECISE", "FS=MRC", "CURRENCY=USD", "XLFILL=b")</f>
        <v>#N/A Requesting Data...</v>
      </c>
      <c r="AJ16" s="6" t="str">
        <f>_xll.BQL("SEG0000230969 Segment", "SALES_REV_TURN/1M", "FPR=2021Y", "FPT=A", "FA_ACT_EST_DATA=E, EST_SOURCE=JEF", "ACT_EST_MAPPING=PRECISE", "FS=MRC", "CURRENCY=USD", "XLFILL=b")</f>
        <v>#N/A Requesting Data...</v>
      </c>
      <c r="AK16" s="6" t="str">
        <f>_xll.BQL("SEG0000230969 Segment", "SALES_REV_TURN/1M", "FPR=2021Y", "FPT=A", "FA_ACT_EST_DATA=E, EST_SOURCE=TTC", "ACT_EST_MAPPING=PRECISE", "FS=MRC", "CURRENCY=USD", "XLFILL=b")</f>
        <v>#N/A Requesting Data...</v>
      </c>
      <c r="AL16" s="6" t="str">
        <f>_xll.BQL("SEG0000230969 Segment", "SALES_REV_TURN/1M", "FPR=2021Y", "FPT=A", "FA_ACT_EST_DATA=E, EST_SOURCE=RWB", "ACT_EST_MAPPING=PRECISE", "FS=MRC", "CURRENCY=USD", "XLFILL=b")</f>
        <v>#N/A Requesting Data...</v>
      </c>
      <c r="AM16" s="6" t="str">
        <f>_xll.BQL("SEG0000230969 Segment", "SALES_REV_TURN/1M", "FPR=2021Y", "FPT=A", "FA_ACT_EST_DATA=E, EST_SOURCE=DZB", "ACT_EST_MAPPING=PRECISE", "FS=MRC", "CURRENCY=USD", "XLFILL=b")</f>
        <v>#N/A Requesting Data...</v>
      </c>
      <c r="AN16" s="6" t="str">
        <f>_xll.BQL("SEG0000230969 Segment", "SALES_REV_TURN/1M", "FPR=2021Y", "FPT=A", "FA_ACT_EST_DATA=E, EST_SOURCE=DWI", "ACT_EST_MAPPING=PRECISE", "FS=MRC", "CURRENCY=USD", "XLFILL=b")</f>
        <v>#N/A Requesting Data...</v>
      </c>
      <c r="AO16" s="6" t="str">
        <f>_xll.BQL("SEG0000230969 Segment", "SALES_REV_TURN/1M", "FPR=2021Y", "FPT=A", "FA_ACT_EST_DATA=E, EST_SOURCE=ARG", "ACT_EST_MAPPING=PRECISE", "FS=MRC", "CURRENCY=USD", "XLFILL=b")</f>
        <v>#N/A Requesting Data...</v>
      </c>
      <c r="AP16" s="6" t="str">
        <f>_xll.BQL("SEG0000230969 Segment", "SALES_REV_TURN/1M", "FPR=2021Y", "FPT=A", "FA_ACT_EST_DATA=E, EST_SOURCE=CTI", "ACT_EST_MAPPING=PRECISE", "FS=MRC", "CURRENCY=USD", "XLFILL=b")</f>
        <v>#N/A Requesting Data...</v>
      </c>
      <c r="AQ16" s="6" t="str">
        <f>_xll.BQL("SEG0000230969 Segment", "SALES_REV_TURN/1M", "FPR=2021Y", "FPT=A", "FA_ACT_EST_DATA=E, EST_SOURCE=WFT", "ACT_EST_MAPPING=PRECISE", "FS=MRC", "CURRENCY=USD", "XLFILL=b")</f>
        <v>#N/A Requesting Data...</v>
      </c>
      <c r="AR16" s="6" t="str">
        <f>_xll.BQL("SEG0000230969 Segment", "SALES_REV_TURN/1M", "FPR=2021Y", "FPT=A", "FA_ACT_EST_DATA=E, EST_SOURCE=ARE", "ACT_EST_MAPPING=PRECISE", "FS=MRC", "CURRENCY=USD", "XLFILL=b")</f>
        <v>#N/A Requesting Data...</v>
      </c>
      <c r="AS16" s="6" t="str">
        <f>_xll.BQL("SEG0000230969 Segment", "SALES_REV_TURN/1M", "FPR=2021Y", "FPT=A", "FA_ACT_EST_DATA=E, EST_SOURCE=PJE", "ACT_EST_MAPPING=PRECISE", "FS=MRC", "CURRENCY=USD", "XLFILL=b")</f>
        <v>#N/A Requesting Data...</v>
      </c>
      <c r="AT16" s="6" t="str">
        <f>_xll.BQL("SEG0000230969 Segment", "SALES_REV_TURN/1M", "FPR=2021Y", "FPT=A", "FA_ACT_EST_DATA=E, EST_SOURCE=MZS", "ACT_EST_MAPPING=PRECISE", "FS=MRC", "CURRENCY=USD", "XLFILL=b")</f>
        <v>#N/A Requesting Data...</v>
      </c>
      <c r="AU16" s="6" t="str">
        <f>_xll.BQL("SEG0000230969 Segment", "SALES_REV_TURN/1M", "FPR=2021Y", "FPT=A", "FA_ACT_EST_DATA=E, EST_SOURCE=SUM", "ACT_EST_MAPPING=PRECISE", "FS=MRC", "CURRENCY=USD", "XLFILL=b")</f>
        <v>#N/A Requesting Data...</v>
      </c>
      <c r="AV16" s="6" t="str">
        <f>_xll.BQL("SEG0000230969 Segment", "SALES_REV_TURN/1M", "FPR=2021Y", "FPT=A", "FA_ACT_EST_DATA=E, EST_SOURCE=CRC", "ACT_EST_MAPPING=PRECISE", "FS=MRC", "CURRENCY=USD", "XLFILL=b")</f>
        <v>#N/A Requesting Data...</v>
      </c>
      <c r="AW16" s="6" t="str">
        <f>_xll.BQL("SEG0000230969 Segment", "SALES_REV_TURN/1M", "FPR=2021Y", "FPT=A", "FA_ACT_EST_DATA=E, EST_SOURCE=SCB", "ACT_EST_MAPPING=PRECISE", "FS=MRC", "CURRENCY=USD", "XLFILL=b")</f>
        <v>#N/A Requesting Data...</v>
      </c>
    </row>
    <row r="17" spans="1:49" x14ac:dyDescent="0.55000000000000004">
      <c r="A17" s="5" t="s">
        <v>44</v>
      </c>
      <c r="B17" s="2" t="s">
        <v>25</v>
      </c>
      <c r="C17" s="2" t="s">
        <v>45</v>
      </c>
      <c r="D17" s="2" t="s">
        <v>37</v>
      </c>
      <c r="E17" s="6" t="str">
        <f>_xll.BQL("SEG0000230975 Segment", "IS_BILLINGS/1M", "FPR=2021Y", "FPT=A", "FA_ACT_EST_DATA=E", "ACT_EST_MAPPING=PRECISE", "FS=MRC", "CURRENCY=USD", "XLFILL=b")</f>
        <v>#N/A Requesting Data...</v>
      </c>
      <c r="F17" s="6" t="str">
        <f>_xll.BQL("SEG0000230975 Segment", "CONTRIBUTOR_STATS(IS_BILLINGS, MIN)/1M", "FPR=2021Y", "FPT=A", "FA_ACT_EST_DATA=E", "ACT_EST_MAPPING=PRECISE", "FS=MRC", "CURRENCY=USD", "XLFILL=b")</f>
        <v>#N/A Requesting Data...</v>
      </c>
      <c r="G17" s="6" t="str">
        <f>_xll.BQL("SEG0000230975 Segment", "CONTRIBUTOR_STATS(IS_BILLINGS, MAX)/1M", "FPR=2021Y", "FPT=A", "FA_ACT_EST_DATA=E", "ACT_EST_MAPPING=PRECISE", "FS=MRC", "CURRENCY=USD", "XLFILL=b")</f>
        <v>#N/A Requesting Data...</v>
      </c>
      <c r="H17" s="6" t="str">
        <f>_xll.BQL("SEG0000230975 Segment", "CONTRIBUTOR_STATS(IS_BILLINGS, STD)/1M", "FPR=2021Y", "FPT=A", "FA_ACT_EST_DATA=E", "ACT_EST_MAPPING=PRECISE", "FS=MRC", "CURRENCY=USD", "XLFILL=b")</f>
        <v>#N/A Requesting Data...</v>
      </c>
      <c r="I17" s="6" t="str">
        <f>_xll.BQL("SEG0000230975 Segment", "CONTRIBUTOR_STATS(IS_BILLINGS, MEDIAN)/1M", "FPR=2021Y", "FPT=A", "FA_ACT_EST_DATA=E", "ACT_EST_MAPPING=PRECISE", "FS=MRC", "CURRENCY=USD", "XLFILL=b")</f>
        <v>#N/A Requesting Data...</v>
      </c>
      <c r="J17" s="6" t="str">
        <f>_xll.BQL("SEG0000230975 Segment", "IS_BILLINGS/1M", "FPR=2021Y", "FPT=A", "FA_ACT_EST_DATA=E, EST_SOURCE=CMPY", "ACT_EST_MAPPING=PRECISE", "FS=MRC", "CURRENCY=USD", "XLFILL=b")</f>
        <v>#N/A Requesting Data...</v>
      </c>
      <c r="K17" s="6" t="str">
        <f>_xll.BQL("SEG0000230975 Segment", "IS_BILLINGS/1M", "FPR=2021Y", "FPT=A", "FA_ACT_EST_DATA=E, EST_SOURCE=JPM", "ACT_EST_MAPPING=PRECISE", "FS=MRC", "CURRENCY=USD", "XLFILL=b")</f>
        <v>#N/A Requesting Data...</v>
      </c>
      <c r="L17" s="6" t="str">
        <f>_xll.BQL("SEG0000230975 Segment", "IS_BILLINGS/1M", "FPR=2021Y", "FPT=A", "FA_ACT_EST_DATA=E, EST_SOURCE=WBL", "ACT_EST_MAPPING=PRECISE", "FS=MRC", "CURRENCY=USD", "XLFILL=b")</f>
        <v>#N/A Requesting Data...</v>
      </c>
      <c r="M17" s="6" t="str">
        <f>_xll.BQL("SEG0000230975 Segment", "IS_BILLINGS/1M", "FPR=2021Y", "FPT=A", "FA_ACT_EST_DATA=E, EST_SOURCE=KEY", "ACT_EST_MAPPING=PRECISE", "FS=MRC", "CURRENCY=USD", "XLFILL=b")</f>
        <v>#N/A Requesting Data...</v>
      </c>
      <c r="N17" s="6" t="str">
        <f>_xll.BQL("SEG0000230975 Segment", "IS_BILLINGS/1M", "FPR=2021Y", "FPT=A", "FA_ACT_EST_DATA=E, EST_SOURCE=BMO", "ACT_EST_MAPPING=PRECISE", "FS=MRC", "CURRENCY=USD", "XLFILL=b")</f>
        <v>#N/A Requesting Data...</v>
      </c>
      <c r="O17" s="6" t="str">
        <f>_xll.BQL("SEG0000230975 Segment", "IS_BILLINGS/1M", "FPR=2021Y", "FPT=A", "FA_ACT_EST_DATA=E, EST_SOURCE=OPY", "ACT_EST_MAPPING=PRECISE", "FS=MRC", "CURRENCY=USD", "XLFILL=b")</f>
        <v>#N/A Requesting Data...</v>
      </c>
      <c r="P17" s="6" t="str">
        <f>_xll.BQL("SEG0000230975 Segment", "IS_BILLINGS/1M", "FPR=2021Y", "FPT=A", "FA_ACT_EST_DATA=E, EST_SOURCE=BCA", "ACT_EST_MAPPING=PRECISE", "FS=MRC", "CURRENCY=USD", "XLFILL=b")</f>
        <v>#N/A Requesting Data...</v>
      </c>
      <c r="Q17" s="6" t="str">
        <f>_xll.BQL("SEG0000230975 Segment", "IS_BILLINGS/1M", "FPR=2021Y", "FPT=A", "FA_ACT_EST_DATA=E, EST_SOURCE=RHR", "ACT_EST_MAPPING=PRECISE", "FS=MRC", "CURRENCY=USD", "XLFILL=b")</f>
        <v>#N/A Requesting Data...</v>
      </c>
      <c r="R17" s="6" t="str">
        <f>_xll.BQL("SEG0000230975 Segment", "IS_BILLINGS/1M", "FPR=2021Y", "FPT=A", "FA_ACT_EST_DATA=E, EST_SOURCE=SNR", "ACT_EST_MAPPING=PRECISE", "FS=MRC", "CURRENCY=USD", "XLFILL=b")</f>
        <v>#N/A Requesting Data...</v>
      </c>
      <c r="S17" s="6" t="str">
        <f>_xll.BQL("SEG0000230975 Segment", "IS_BILLINGS/1M", "FPR=2021Y", "FPT=A", "FA_ACT_EST_DATA=E, EST_SOURCE=MSV", "ACT_EST_MAPPING=PRECISE", "FS=MRC", "CURRENCY=USD", "XLFILL=b")</f>
        <v>#N/A Requesting Data...</v>
      </c>
      <c r="T17" s="6" t="str">
        <f>_xll.BQL("SEG0000230975 Segment", "IS_BILLINGS/1M", "FPR=2021Y", "FPT=A", "FA_ACT_EST_DATA=E, EST_SOURCE=CAN", "ACT_EST_MAPPING=PRECISE", "FS=MRC", "CURRENCY=USD", "XLFILL=b")</f>
        <v>#N/A Requesting Data...</v>
      </c>
      <c r="U17" s="6" t="str">
        <f>_xll.BQL("SEG0000230975 Segment", "IS_BILLINGS/1M", "FPR=2021Y", "FPT=A", "FA_ACT_EST_DATA=E, EST_SOURCE=JMP", "ACT_EST_MAPPING=PRECISE", "FS=MRC", "CURRENCY=USD", "XLFILL=b")</f>
        <v>#N/A Requesting Data...</v>
      </c>
      <c r="V17" s="6" t="str">
        <f>_xll.BQL("SEG0000230975 Segment", "IS_BILLINGS/1M", "FPR=2021Y", "FPT=A", "FA_ACT_EST_DATA=E, EST_SOURCE=NDH", "ACT_EST_MAPPING=PRECISE", "FS=MRC", "CURRENCY=USD", "XLFILL=b")</f>
        <v>#N/A Requesting Data...</v>
      </c>
      <c r="W17" s="6" t="str">
        <f>_xll.BQL("SEG0000230975 Segment", "IS_BILLINGS/1M", "FPR=2021Y", "FPT=A", "FA_ACT_EST_DATA=E, EST_SOURCE=ZXS", "ACT_EST_MAPPING=PRECISE", "FS=MRC", "CURRENCY=USD", "XLFILL=b")</f>
        <v>#N/A Requesting Data...</v>
      </c>
      <c r="X17" s="6" t="str">
        <f>_xll.BQL("SEG0000230975 Segment", "IS_BILLINGS/1M", "FPR=2021Y", "FPT=A", "FA_ACT_EST_DATA=E, EST_SOURCE=CWN", "ACT_EST_MAPPING=PRECISE", "FS=MRC", "CURRENCY=USD", "XLFILL=b")</f>
        <v>#N/A Requesting Data...</v>
      </c>
      <c r="Y17" s="6" t="str">
        <f>_xll.BQL("SEG0000230975 Segment", "IS_BILLINGS/1M", "FPR=2021Y", "FPT=A", "FA_ACT_EST_DATA=E, EST_SOURCE=DBG", "ACT_EST_MAPPING=PRECISE", "FS=MRC", "CURRENCY=USD", "XLFILL=b")</f>
        <v>#N/A Requesting Data...</v>
      </c>
      <c r="Z17" s="6" t="str">
        <f>_xll.BQL("SEG0000230975 Segment", "IS_BILLINGS/1M", "FPR=2021Y", "FPT=A", "FA_ACT_EST_DATA=E, EST_SOURCE=UBS", "ACT_EST_MAPPING=PRECISE", "FS=MRC", "CURRENCY=USD", "XLFILL=b")</f>
        <v>#N/A Requesting Data...</v>
      </c>
      <c r="AA17" s="6" t="str">
        <f>_xll.BQL("SEG0000230975 Segment", "IS_BILLINGS/1M", "FPR=2021Y", "FPT=A", "FA_ACT_EST_DATA=E, EST_SOURCE=RBC", "ACT_EST_MAPPING=PRECISE", "FS=MRC", "CURRENCY=USD", "XLFILL=b")</f>
        <v>#N/A Requesting Data...</v>
      </c>
      <c r="AB17" s="6" t="str">
        <f>_xll.BQL("SEG0000230975 Segment", "IS_BILLINGS/1M", "FPR=2021Y", "FPT=A", "FA_ACT_EST_DATA=E, EST_SOURCE=EVR", "ACT_EST_MAPPING=PRECISE", "FS=MRC", "CURRENCY=USD", "XLFILL=b")</f>
        <v>#N/A Requesting Data...</v>
      </c>
      <c r="AC17" s="6" t="str">
        <f>_xll.BQL("SEG0000230975 Segment", "IS_BILLINGS/1M", "FPR=2021Y", "FPT=A", "FA_ACT_EST_DATA=E, EST_SOURCE=BNS", "ACT_EST_MAPPING=PRECISE", "FS=MRC", "CURRENCY=USD", "XLFILL=b")</f>
        <v>#N/A Requesting Data...</v>
      </c>
      <c r="AD17" s="6" t="str">
        <f>_xll.BQL("SEG0000230975 Segment", "IS_BILLINGS/1M", "FPR=2021Y", "FPT=A", "FA_ACT_EST_DATA=E, EST_SOURCE=BAM", "ACT_EST_MAPPING=PRECISE", "FS=MRC", "CURRENCY=USD", "XLFILL=b")</f>
        <v>#N/A Requesting Data...</v>
      </c>
      <c r="AE17" s="6" t="str">
        <f>_xll.BQL("SEG0000230975 Segment", "IS_BILLINGS/1M", "FPR=2021Y", "FPT=A", "FA_ACT_EST_DATA=E, EST_SOURCE=GSR", "ACT_EST_MAPPING=PRECISE", "FS=MRC", "CURRENCY=USD", "XLFILL=b")</f>
        <v>#N/A Requesting Data...</v>
      </c>
      <c r="AF17" s="6" t="str">
        <f>_xll.BQL("SEG0000230975 Segment", "IS_BILLINGS/1M", "FPR=2021Y", "FPT=A", "FA_ACT_EST_DATA=E, EST_SOURCE=FBC", "ACT_EST_MAPPING=PRECISE", "FS=MRC", "CURRENCY=USD", "XLFILL=b")</f>
        <v>#N/A Requesting Data...</v>
      </c>
      <c r="AG17" s="6" t="str">
        <f>_xll.BQL("SEG0000230975 Segment", "IS_BILLINGS/1M", "FPR=2021Y", "FPT=A", "FA_ACT_EST_DATA=E, EST_SOURCE=MAC", "ACT_EST_MAPPING=PRECISE", "FS=MRC", "CURRENCY=USD", "XLFILL=b")</f>
        <v>#N/A Requesting Data...</v>
      </c>
      <c r="AH17" s="6" t="str">
        <f>_xll.BQL("SEG0000230975 Segment", "IS_BILLINGS/1M", "FPR=2021Y", "FPT=A", "FA_ACT_EST_DATA=E, EST_SOURCE=PSG", "ACT_EST_MAPPING=PRECISE", "FS=MRC", "CURRENCY=USD", "XLFILL=b")</f>
        <v>#N/A Requesting Data...</v>
      </c>
      <c r="AI17" s="6" t="str">
        <f>_xll.BQL("SEG0000230975 Segment", "IS_BILLINGS/1M", "FPR=2021Y", "FPT=A", "FA_ACT_EST_DATA=E, EST_SOURCE=MSR", "ACT_EST_MAPPING=PRECISE", "FS=MRC", "CURRENCY=USD", "XLFILL=b")</f>
        <v>#N/A Requesting Data...</v>
      </c>
      <c r="AJ17" s="6" t="str">
        <f>_xll.BQL("SEG0000230975 Segment", "IS_BILLINGS/1M", "FPR=2021Y", "FPT=A", "FA_ACT_EST_DATA=E, EST_SOURCE=JEF", "ACT_EST_MAPPING=PRECISE", "FS=MRC", "CURRENCY=USD", "XLFILL=b")</f>
        <v>#N/A Requesting Data...</v>
      </c>
      <c r="AK17" s="6" t="str">
        <f>_xll.BQL("SEG0000230975 Segment", "IS_BILLINGS/1M", "FPR=2021Y", "FPT=A", "FA_ACT_EST_DATA=E, EST_SOURCE=TTC", "ACT_EST_MAPPING=PRECISE", "FS=MRC", "CURRENCY=USD", "XLFILL=b")</f>
        <v>#N/A Requesting Data...</v>
      </c>
      <c r="AL17" s="6" t="str">
        <f>_xll.BQL("SEG0000230975 Segment", "IS_BILLINGS/1M", "FPR=2021Y", "FPT=A", "FA_ACT_EST_DATA=E, EST_SOURCE=RWB", "ACT_EST_MAPPING=PRECISE", "FS=MRC", "CURRENCY=USD", "XLFILL=b")</f>
        <v>#N/A Requesting Data...</v>
      </c>
      <c r="AM17" s="6" t="str">
        <f>_xll.BQL("SEG0000230975 Segment", "IS_BILLINGS/1M", "FPR=2021Y", "FPT=A", "FA_ACT_EST_DATA=E, EST_SOURCE=DZB", "ACT_EST_MAPPING=PRECISE", "FS=MRC", "CURRENCY=USD", "XLFILL=b")</f>
        <v>#N/A Requesting Data...</v>
      </c>
      <c r="AN17" s="6" t="str">
        <f>_xll.BQL("SEG0000230975 Segment", "IS_BILLINGS/1M", "FPR=2021Y", "FPT=A", "FA_ACT_EST_DATA=E, EST_SOURCE=DWI", "ACT_EST_MAPPING=PRECISE", "FS=MRC", "CURRENCY=USD", "XLFILL=b")</f>
        <v>#N/A Requesting Data...</v>
      </c>
      <c r="AO17" s="6" t="str">
        <f>_xll.BQL("SEG0000230975 Segment", "IS_BILLINGS/1M", "FPR=2021Y", "FPT=A", "FA_ACT_EST_DATA=E, EST_SOURCE=ARG", "ACT_EST_MAPPING=PRECISE", "FS=MRC", "CURRENCY=USD", "XLFILL=b")</f>
        <v>#N/A Requesting Data...</v>
      </c>
      <c r="AP17" s="6" t="str">
        <f>_xll.BQL("SEG0000230975 Segment", "IS_BILLINGS/1M", "FPR=2021Y", "FPT=A", "FA_ACT_EST_DATA=E, EST_SOURCE=CTI", "ACT_EST_MAPPING=PRECISE", "FS=MRC", "CURRENCY=USD", "XLFILL=b")</f>
        <v>#N/A Requesting Data...</v>
      </c>
      <c r="AQ17" s="6" t="str">
        <f>_xll.BQL("SEG0000230975 Segment", "IS_BILLINGS/1M", "FPR=2021Y", "FPT=A", "FA_ACT_EST_DATA=E, EST_SOURCE=WFT", "ACT_EST_MAPPING=PRECISE", "FS=MRC", "CURRENCY=USD", "XLFILL=b")</f>
        <v>#N/A Requesting Data...</v>
      </c>
      <c r="AR17" s="6" t="str">
        <f>_xll.BQL("SEG0000230975 Segment", "IS_BILLINGS/1M", "FPR=2021Y", "FPT=A", "FA_ACT_EST_DATA=E, EST_SOURCE=ARE", "ACT_EST_MAPPING=PRECISE", "FS=MRC", "CURRENCY=USD", "XLFILL=b")</f>
        <v>#N/A Requesting Data...</v>
      </c>
      <c r="AS17" s="6" t="str">
        <f>_xll.BQL("SEG0000230975 Segment", "IS_BILLINGS/1M", "FPR=2021Y", "FPT=A", "FA_ACT_EST_DATA=E, EST_SOURCE=PJE", "ACT_EST_MAPPING=PRECISE", "FS=MRC", "CURRENCY=USD", "XLFILL=b")</f>
        <v>#N/A Requesting Data...</v>
      </c>
      <c r="AT17" s="6" t="str">
        <f>_xll.BQL("SEG0000230975 Segment", "IS_BILLINGS/1M", "FPR=2021Y", "FPT=A", "FA_ACT_EST_DATA=E, EST_SOURCE=MZS", "ACT_EST_MAPPING=PRECISE", "FS=MRC", "CURRENCY=USD", "XLFILL=b")</f>
        <v>#N/A Requesting Data...</v>
      </c>
      <c r="AU17" s="6" t="str">
        <f>_xll.BQL("SEG0000230975 Segment", "IS_BILLINGS/1M", "FPR=2021Y", "FPT=A", "FA_ACT_EST_DATA=E, EST_SOURCE=SUM", "ACT_EST_MAPPING=PRECISE", "FS=MRC", "CURRENCY=USD", "XLFILL=b")</f>
        <v>#N/A Requesting Data...</v>
      </c>
      <c r="AV17" s="6" t="str">
        <f>_xll.BQL("SEG0000230975 Segment", "IS_BILLINGS/1M", "FPR=2021Y", "FPT=A", "FA_ACT_EST_DATA=E, EST_SOURCE=CRC", "ACT_EST_MAPPING=PRECISE", "FS=MRC", "CURRENCY=USD", "XLFILL=b")</f>
        <v>#N/A Requesting Data...</v>
      </c>
      <c r="AW17" s="6" t="str">
        <f>_xll.BQL("SEG0000230975 Segment", "IS_BILLINGS/1M", "FPR=2021Y", "FPT=A", "FA_ACT_EST_DATA=E, EST_SOURCE=SCB", "ACT_EST_MAPPING=PRECISE", "FS=MRC", "CURRENCY=USD", "XLFILL=b")</f>
        <v>#N/A Requesting Data...</v>
      </c>
    </row>
    <row r="18" spans="1:49" x14ac:dyDescent="0.55000000000000004">
      <c r="A18" s="5" t="s">
        <v>46</v>
      </c>
      <c r="B18" s="2" t="s">
        <v>47</v>
      </c>
      <c r="C18" s="2" t="s">
        <v>48</v>
      </c>
      <c r="D18" s="2" t="s">
        <v>37</v>
      </c>
      <c r="E18" s="6" t="str">
        <f>_xll.BQL("SEG0000230975 Segment", "IS_ADJ_GROSS_MARGIN_PCT_AR", "FPR=2021Y", "FPT=A", "FA_ACT_EST_DATA=E", "ACT_EST_MAPPING=PRECISE", "FS=MRC", "CURRENCY=USD", "XLFILL=b")</f>
        <v>#N/A Requesting Data...</v>
      </c>
      <c r="F18" s="6" t="str">
        <f>_xll.BQL("SEG0000230975 Segment", "CONTRIBUTOR_STATS(IS_ADJ_GROSS_MARGIN_PCT_AR, MIN)", "FPR=2021Y", "FPT=A", "FA_ACT_EST_DATA=E", "ACT_EST_MAPPING=PRECISE", "FS=MRC", "CURRENCY=USD", "XLFILL=b")</f>
        <v>#N/A Requesting Data...</v>
      </c>
      <c r="G18" s="6" t="str">
        <f>_xll.BQL("SEG0000230975 Segment", "CONTRIBUTOR_STATS(IS_ADJ_GROSS_MARGIN_PCT_AR, MAX)", "FPR=2021Y", "FPT=A", "FA_ACT_EST_DATA=E", "ACT_EST_MAPPING=PRECISE", "FS=MRC", "CURRENCY=USD", "XLFILL=b")</f>
        <v>#N/A Requesting Data...</v>
      </c>
      <c r="H18" s="6">
        <f>_xll.BQL("SEG0000230975 Segment", "CONTRIBUTOR_STATS(IS_ADJ_GROSS_MARGIN_PCT_AR, STD)", "FPR=2021Y", "FPT=A", "FA_ACT_EST_DATA=E", "ACT_EST_MAPPING=PRECISE", "FS=MRC", "CURRENCY=USD", "XLFILL=b")</f>
        <v>5.2503644104147693E-2</v>
      </c>
      <c r="I18" s="6" t="str">
        <f>_xll.BQL("SEG0000230975 Segment", "CONTRIBUTOR_STATS(IS_ADJ_GROSS_MARGIN_PCT_AR, MEDIAN)", "FPR=2021Y", "FPT=A", "FA_ACT_EST_DATA=E", "ACT_EST_MAPPING=PRECISE", "FS=MRC", "CURRENCY=USD", "XLFILL=b")</f>
        <v>#N/A Requesting Data...</v>
      </c>
      <c r="J18" s="6" t="str">
        <f>_xll.BQL("SEG0000230975 Segment", "IS_ADJ_GROSS_MARGIN_PCT_AR", "FPR=2021Y", "FPT=A", "FA_ACT_EST_DATA=E, EST_SOURCE=CMPY", "ACT_EST_MAPPING=PRECISE", "FS=MRC", "CURRENCY=USD", "XLFILL=b")</f>
        <v>#N/A Requesting Data...</v>
      </c>
      <c r="K18" s="6" t="str">
        <f>_xll.BQL("SEG0000230975 Segment", "IS_ADJ_GROSS_MARGIN_PCT_AR", "FPR=2021Y", "FPT=A", "FA_ACT_EST_DATA=E, EST_SOURCE=JPM", "ACT_EST_MAPPING=PRECISE", "FS=MRC", "CURRENCY=USD", "XLFILL=b")</f>
        <v>#N/A Requesting Data...</v>
      </c>
      <c r="L18" s="6" t="str">
        <f>_xll.BQL("SEG0000230975 Segment", "IS_ADJ_GROSS_MARGIN_PCT_AR", "FPR=2021Y", "FPT=A", "FA_ACT_EST_DATA=E, EST_SOURCE=WBL", "ACT_EST_MAPPING=PRECISE", "FS=MRC", "CURRENCY=USD", "XLFILL=b")</f>
        <v>#N/A Requesting Data...</v>
      </c>
      <c r="M18" s="6" t="str">
        <f>_xll.BQL("SEG0000230975 Segment", "IS_ADJ_GROSS_MARGIN_PCT_AR", "FPR=2021Y", "FPT=A", "FA_ACT_EST_DATA=E, EST_SOURCE=KEY", "ACT_EST_MAPPING=PRECISE", "FS=MRC", "CURRENCY=USD", "XLFILL=b")</f>
        <v>#N/A Requesting Data...</v>
      </c>
      <c r="N18" s="6" t="str">
        <f>_xll.BQL("SEG0000230975 Segment", "IS_ADJ_GROSS_MARGIN_PCT_AR", "FPR=2021Y", "FPT=A", "FA_ACT_EST_DATA=E, EST_SOURCE=BMO", "ACT_EST_MAPPING=PRECISE", "FS=MRC", "CURRENCY=USD", "XLFILL=b")</f>
        <v>#N/A Requesting Data...</v>
      </c>
      <c r="O18" s="6" t="str">
        <f>_xll.BQL("SEG0000230975 Segment", "IS_ADJ_GROSS_MARGIN_PCT_AR", "FPR=2021Y", "FPT=A", "FA_ACT_EST_DATA=E, EST_SOURCE=OPY", "ACT_EST_MAPPING=PRECISE", "FS=MRC", "CURRENCY=USD", "XLFILL=b")</f>
        <v>#N/A Requesting Data...</v>
      </c>
      <c r="P18" s="6" t="str">
        <f>_xll.BQL("SEG0000230975 Segment", "IS_ADJ_GROSS_MARGIN_PCT_AR", "FPR=2021Y", "FPT=A", "FA_ACT_EST_DATA=E, EST_SOURCE=BCA", "ACT_EST_MAPPING=PRECISE", "FS=MRC", "CURRENCY=USD", "XLFILL=b")</f>
        <v>#N/A Requesting Data...</v>
      </c>
      <c r="Q18" s="6" t="str">
        <f>_xll.BQL("SEG0000230975 Segment", "IS_ADJ_GROSS_MARGIN_PCT_AR", "FPR=2021Y", "FPT=A", "FA_ACT_EST_DATA=E, EST_SOURCE=RHR", "ACT_EST_MAPPING=PRECISE", "FS=MRC", "CURRENCY=USD", "XLFILL=b")</f>
        <v>#N/A Requesting Data...</v>
      </c>
      <c r="R18" s="6" t="str">
        <f>_xll.BQL("SEG0000230975 Segment", "IS_ADJ_GROSS_MARGIN_PCT_AR", "FPR=2021Y", "FPT=A", "FA_ACT_EST_DATA=E, EST_SOURCE=SNR", "ACT_EST_MAPPING=PRECISE", "FS=MRC", "CURRENCY=USD", "XLFILL=b")</f>
        <v>#N/A Requesting Data...</v>
      </c>
      <c r="S18" s="6" t="str">
        <f>_xll.BQL("SEG0000230975 Segment", "IS_ADJ_GROSS_MARGIN_PCT_AR", "FPR=2021Y", "FPT=A", "FA_ACT_EST_DATA=E, EST_SOURCE=MSV", "ACT_EST_MAPPING=PRECISE", "FS=MRC", "CURRENCY=USD", "XLFILL=b")</f>
        <v>#N/A Requesting Data...</v>
      </c>
      <c r="T18" s="6" t="str">
        <f>_xll.BQL("SEG0000230975 Segment", "IS_ADJ_GROSS_MARGIN_PCT_AR", "FPR=2021Y", "FPT=A", "FA_ACT_EST_DATA=E, EST_SOURCE=CAN", "ACT_EST_MAPPING=PRECISE", "FS=MRC", "CURRENCY=USD", "XLFILL=b")</f>
        <v>#N/A Requesting Data...</v>
      </c>
      <c r="U18" s="6" t="str">
        <f>_xll.BQL("SEG0000230975 Segment", "IS_ADJ_GROSS_MARGIN_PCT_AR", "FPR=2021Y", "FPT=A", "FA_ACT_EST_DATA=E, EST_SOURCE=JMP", "ACT_EST_MAPPING=PRECISE", "FS=MRC", "CURRENCY=USD", "XLFILL=b")</f>
        <v>#N/A Requesting Data...</v>
      </c>
      <c r="V18" s="6" t="str">
        <f>_xll.BQL("SEG0000230975 Segment", "IS_ADJ_GROSS_MARGIN_PCT_AR", "FPR=2021Y", "FPT=A", "FA_ACT_EST_DATA=E, EST_SOURCE=NDH", "ACT_EST_MAPPING=PRECISE", "FS=MRC", "CURRENCY=USD", "XLFILL=b")</f>
        <v>#N/A Requesting Data...</v>
      </c>
      <c r="W18" s="6" t="str">
        <f>_xll.BQL("SEG0000230975 Segment", "IS_ADJ_GROSS_MARGIN_PCT_AR", "FPR=2021Y", "FPT=A", "FA_ACT_EST_DATA=E, EST_SOURCE=ZXS", "ACT_EST_MAPPING=PRECISE", "FS=MRC", "CURRENCY=USD", "XLFILL=b")</f>
        <v>#N/A Requesting Data...</v>
      </c>
      <c r="X18" s="6" t="str">
        <f>_xll.BQL("SEG0000230975 Segment", "IS_ADJ_GROSS_MARGIN_PCT_AR", "FPR=2021Y", "FPT=A", "FA_ACT_EST_DATA=E, EST_SOURCE=CWN", "ACT_EST_MAPPING=PRECISE", "FS=MRC", "CURRENCY=USD", "XLFILL=b")</f>
        <v>#N/A Requesting Data...</v>
      </c>
      <c r="Y18" s="6" t="str">
        <f>_xll.BQL("SEG0000230975 Segment", "IS_ADJ_GROSS_MARGIN_PCT_AR", "FPR=2021Y", "FPT=A", "FA_ACT_EST_DATA=E, EST_SOURCE=DBG", "ACT_EST_MAPPING=PRECISE", "FS=MRC", "CURRENCY=USD", "XLFILL=b")</f>
        <v>#N/A Requesting Data...</v>
      </c>
      <c r="Z18" s="6" t="str">
        <f>_xll.BQL("SEG0000230975 Segment", "IS_ADJ_GROSS_MARGIN_PCT_AR", "FPR=2021Y", "FPT=A", "FA_ACT_EST_DATA=E, EST_SOURCE=UBS", "ACT_EST_MAPPING=PRECISE", "FS=MRC", "CURRENCY=USD", "XLFILL=b")</f>
        <v>#N/A Requesting Data...</v>
      </c>
      <c r="AA18" s="6" t="str">
        <f>_xll.BQL("SEG0000230975 Segment", "IS_ADJ_GROSS_MARGIN_PCT_AR", "FPR=2021Y", "FPT=A", "FA_ACT_EST_DATA=E, EST_SOURCE=RBC", "ACT_EST_MAPPING=PRECISE", "FS=MRC", "CURRENCY=USD", "XLFILL=b")</f>
        <v>#N/A Requesting Data...</v>
      </c>
      <c r="AB18" s="6" t="str">
        <f>_xll.BQL("SEG0000230975 Segment", "IS_ADJ_GROSS_MARGIN_PCT_AR", "FPR=2021Y", "FPT=A", "FA_ACT_EST_DATA=E, EST_SOURCE=EVR", "ACT_EST_MAPPING=PRECISE", "FS=MRC", "CURRENCY=USD", "XLFILL=b")</f>
        <v>#N/A Requesting Data...</v>
      </c>
      <c r="AC18" s="6" t="str">
        <f>_xll.BQL("SEG0000230975 Segment", "IS_ADJ_GROSS_MARGIN_PCT_AR", "FPR=2021Y", "FPT=A", "FA_ACT_EST_DATA=E, EST_SOURCE=BNS", "ACT_EST_MAPPING=PRECISE", "FS=MRC", "CURRENCY=USD", "XLFILL=b")</f>
        <v>#N/A Requesting Data...</v>
      </c>
      <c r="AD18" s="6" t="str">
        <f>_xll.BQL("SEG0000230975 Segment", "IS_ADJ_GROSS_MARGIN_PCT_AR", "FPR=2021Y", "FPT=A", "FA_ACT_EST_DATA=E, EST_SOURCE=BAM", "ACT_EST_MAPPING=PRECISE", "FS=MRC", "CURRENCY=USD", "XLFILL=b")</f>
        <v>#N/A Requesting Data...</v>
      </c>
      <c r="AE18" s="6" t="str">
        <f>_xll.BQL("SEG0000230975 Segment", "IS_ADJ_GROSS_MARGIN_PCT_AR", "FPR=2021Y", "FPT=A", "FA_ACT_EST_DATA=E, EST_SOURCE=GSR", "ACT_EST_MAPPING=PRECISE", "FS=MRC", "CURRENCY=USD", "XLFILL=b")</f>
        <v>#N/A Requesting Data...</v>
      </c>
      <c r="AF18" s="6" t="str">
        <f>_xll.BQL("SEG0000230975 Segment", "IS_ADJ_GROSS_MARGIN_PCT_AR", "FPR=2021Y", "FPT=A", "FA_ACT_EST_DATA=E, EST_SOURCE=FBC", "ACT_EST_MAPPING=PRECISE", "FS=MRC", "CURRENCY=USD", "XLFILL=b")</f>
        <v>#N/A Requesting Data...</v>
      </c>
      <c r="AG18" s="6" t="str">
        <f>_xll.BQL("SEG0000230975 Segment", "IS_ADJ_GROSS_MARGIN_PCT_AR", "FPR=2021Y", "FPT=A", "FA_ACT_EST_DATA=E, EST_SOURCE=MAC", "ACT_EST_MAPPING=PRECISE", "FS=MRC", "CURRENCY=USD", "XLFILL=b")</f>
        <v>#N/A Requesting Data...</v>
      </c>
      <c r="AH18" s="6" t="str">
        <f>_xll.BQL("SEG0000230975 Segment", "IS_ADJ_GROSS_MARGIN_PCT_AR", "FPR=2021Y", "FPT=A", "FA_ACT_EST_DATA=E, EST_SOURCE=PSG", "ACT_EST_MAPPING=PRECISE", "FS=MRC", "CURRENCY=USD", "XLFILL=b")</f>
        <v>#N/A Requesting Data...</v>
      </c>
      <c r="AI18" s="6" t="str">
        <f>_xll.BQL("SEG0000230975 Segment", "IS_ADJ_GROSS_MARGIN_PCT_AR", "FPR=2021Y", "FPT=A", "FA_ACT_EST_DATA=E, EST_SOURCE=MSR", "ACT_EST_MAPPING=PRECISE", "FS=MRC", "CURRENCY=USD", "XLFILL=b")</f>
        <v>#N/A Requesting Data...</v>
      </c>
      <c r="AJ18" s="6" t="str">
        <f>_xll.BQL("SEG0000230975 Segment", "IS_ADJ_GROSS_MARGIN_PCT_AR", "FPR=2021Y", "FPT=A", "FA_ACT_EST_DATA=E, EST_SOURCE=JEF", "ACT_EST_MAPPING=PRECISE", "FS=MRC", "CURRENCY=USD", "XLFILL=b")</f>
        <v>#N/A Requesting Data...</v>
      </c>
      <c r="AK18" s="6" t="str">
        <f>_xll.BQL("SEG0000230975 Segment", "IS_ADJ_GROSS_MARGIN_PCT_AR", "FPR=2021Y", "FPT=A", "FA_ACT_EST_DATA=E, EST_SOURCE=TTC", "ACT_EST_MAPPING=PRECISE", "FS=MRC", "CURRENCY=USD", "XLFILL=b")</f>
        <v>#N/A Requesting Data...</v>
      </c>
      <c r="AL18" s="6" t="str">
        <f>_xll.BQL("SEG0000230975 Segment", "IS_ADJ_GROSS_MARGIN_PCT_AR", "FPR=2021Y", "FPT=A", "FA_ACT_EST_DATA=E, EST_SOURCE=RWB", "ACT_EST_MAPPING=PRECISE", "FS=MRC", "CURRENCY=USD", "XLFILL=b")</f>
        <v>#N/A Requesting Data...</v>
      </c>
      <c r="AM18" s="6" t="str">
        <f>_xll.BQL("SEG0000230975 Segment", "IS_ADJ_GROSS_MARGIN_PCT_AR", "FPR=2021Y", "FPT=A", "FA_ACT_EST_DATA=E, EST_SOURCE=DZB", "ACT_EST_MAPPING=PRECISE", "FS=MRC", "CURRENCY=USD", "XLFILL=b")</f>
        <v>#N/A Requesting Data...</v>
      </c>
      <c r="AN18" s="6" t="str">
        <f>_xll.BQL("SEG0000230975 Segment", "IS_ADJ_GROSS_MARGIN_PCT_AR", "FPR=2021Y", "FPT=A", "FA_ACT_EST_DATA=E, EST_SOURCE=DWI", "ACT_EST_MAPPING=PRECISE", "FS=MRC", "CURRENCY=USD", "XLFILL=b")</f>
        <v>#N/A Requesting Data...</v>
      </c>
      <c r="AO18" s="6" t="str">
        <f>_xll.BQL("SEG0000230975 Segment", "IS_ADJ_GROSS_MARGIN_PCT_AR", "FPR=2021Y", "FPT=A", "FA_ACT_EST_DATA=E, EST_SOURCE=ARG", "ACT_EST_MAPPING=PRECISE", "FS=MRC", "CURRENCY=USD", "XLFILL=b")</f>
        <v>#N/A Requesting Data...</v>
      </c>
      <c r="AP18" s="6" t="str">
        <f>_xll.BQL("SEG0000230975 Segment", "IS_ADJ_GROSS_MARGIN_PCT_AR", "FPR=2021Y", "FPT=A", "FA_ACT_EST_DATA=E, EST_SOURCE=CTI", "ACT_EST_MAPPING=PRECISE", "FS=MRC", "CURRENCY=USD", "XLFILL=b")</f>
        <v>#N/A Requesting Data...</v>
      </c>
      <c r="AQ18" s="6" t="str">
        <f>_xll.BQL("SEG0000230975 Segment", "IS_ADJ_GROSS_MARGIN_PCT_AR", "FPR=2021Y", "FPT=A", "FA_ACT_EST_DATA=E, EST_SOURCE=WFT", "ACT_EST_MAPPING=PRECISE", "FS=MRC", "CURRENCY=USD", "XLFILL=b")</f>
        <v>#N/A Requesting Data...</v>
      </c>
      <c r="AR18" s="6" t="str">
        <f>_xll.BQL("SEG0000230975 Segment", "IS_ADJ_GROSS_MARGIN_PCT_AR", "FPR=2021Y", "FPT=A", "FA_ACT_EST_DATA=E, EST_SOURCE=ARE", "ACT_EST_MAPPING=PRECISE", "FS=MRC", "CURRENCY=USD", "XLFILL=b")</f>
        <v>#N/A Requesting Data...</v>
      </c>
      <c r="AS18" s="6" t="str">
        <f>_xll.BQL("SEG0000230975 Segment", "IS_ADJ_GROSS_MARGIN_PCT_AR", "FPR=2021Y", "FPT=A", "FA_ACT_EST_DATA=E, EST_SOURCE=PJE", "ACT_EST_MAPPING=PRECISE", "FS=MRC", "CURRENCY=USD", "XLFILL=b")</f>
        <v>#N/A Requesting Data...</v>
      </c>
      <c r="AT18" s="6" t="str">
        <f>_xll.BQL("SEG0000230975 Segment", "IS_ADJ_GROSS_MARGIN_PCT_AR", "FPR=2021Y", "FPT=A", "FA_ACT_EST_DATA=E, EST_SOURCE=MZS", "ACT_EST_MAPPING=PRECISE", "FS=MRC", "CURRENCY=USD", "XLFILL=b")</f>
        <v>#N/A Requesting Data...</v>
      </c>
      <c r="AU18" s="6" t="str">
        <f>_xll.BQL("SEG0000230975 Segment", "IS_ADJ_GROSS_MARGIN_PCT_AR", "FPR=2021Y", "FPT=A", "FA_ACT_EST_DATA=E, EST_SOURCE=SUM", "ACT_EST_MAPPING=PRECISE", "FS=MRC", "CURRENCY=USD", "XLFILL=b")</f>
        <v>#N/A Requesting Data...</v>
      </c>
      <c r="AV18" s="6" t="str">
        <f>_xll.BQL("SEG0000230975 Segment", "IS_ADJ_GROSS_MARGIN_PCT_AR", "FPR=2021Y", "FPT=A", "FA_ACT_EST_DATA=E, EST_SOURCE=CRC", "ACT_EST_MAPPING=PRECISE", "FS=MRC", "CURRENCY=USD", "XLFILL=b")</f>
        <v>#N/A Requesting Data...</v>
      </c>
      <c r="AW18" s="6" t="str">
        <f>_xll.BQL("SEG0000230975 Segment", "IS_ADJ_GROSS_MARGIN_PCT_AR", "FPR=2021Y", "FPT=A", "FA_ACT_EST_DATA=E, EST_SOURCE=SCB", "ACT_EST_MAPPING=PRECISE", "FS=MRC", "CURRENCY=USD", "XLFILL=b")</f>
        <v>#N/A Requesting Data...</v>
      </c>
    </row>
    <row r="19" spans="1:49" x14ac:dyDescent="0.55000000000000004">
      <c r="A19" s="5" t="s">
        <v>49</v>
      </c>
      <c r="B19" s="2"/>
      <c r="C19" s="2" t="s">
        <v>50</v>
      </c>
      <c r="D19" s="2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</row>
    <row r="20" spans="1:49" x14ac:dyDescent="0.55000000000000004">
      <c r="A20" s="5" t="s">
        <v>35</v>
      </c>
      <c r="B20" s="2" t="s">
        <v>36</v>
      </c>
      <c r="C20" s="2" t="s">
        <v>0</v>
      </c>
      <c r="D20" s="2" t="s">
        <v>51</v>
      </c>
      <c r="E20" s="6" t="str">
        <f>_xll.BQL("SEG0000230986 Segment", "SALES_REV_TURN/1M", "FPR=2021Y", "FPT=A", "FA_ACT_EST_DATA=E", "ACT_EST_MAPPING=PRECISE", "FS=MRC", "CURRENCY=USD", "XLFILL=b")</f>
        <v>#N/A Requesting Data...</v>
      </c>
      <c r="F20" s="6" t="str">
        <f>_xll.BQL("SEG0000230986 Segment", "CONTRIBUTOR_STATS(SALES_REV_TURN, MIN)/1M", "FPR=2021Y", "FPT=A", "FA_ACT_EST_DATA=E", "ACT_EST_MAPPING=PRECISE", "FS=MRC", "CURRENCY=USD", "XLFILL=b")</f>
        <v>#N/A Requesting Data...</v>
      </c>
      <c r="G20" s="6" t="str">
        <f>_xll.BQL("SEG0000230986 Segment", "CONTRIBUTOR_STATS(SALES_REV_TURN, MAX)/1M", "FPR=2021Y", "FPT=A", "FA_ACT_EST_DATA=E", "ACT_EST_MAPPING=PRECISE", "FS=MRC", "CURRENCY=USD", "XLFILL=b")</f>
        <v>#N/A Requesting Data...</v>
      </c>
      <c r="H20" s="6" t="str">
        <f>_xll.BQL("SEG0000230986 Segment", "CONTRIBUTOR_STATS(SALES_REV_TURN, STD)/1M", "FPR=2021Y", "FPT=A", "FA_ACT_EST_DATA=E", "ACT_EST_MAPPING=PRECISE", "FS=MRC", "CURRENCY=USD", "XLFILL=b")</f>
        <v>#N/A Requesting Data...</v>
      </c>
      <c r="I20" s="6" t="str">
        <f>_xll.BQL("SEG0000230986 Segment", "CONTRIBUTOR_STATS(SALES_REV_TURN, MEDIAN)/1M", "FPR=2021Y", "FPT=A", "FA_ACT_EST_DATA=E", "ACT_EST_MAPPING=PRECISE", "FS=MRC", "CURRENCY=USD", "XLFILL=b")</f>
        <v>#N/A Requesting Data...</v>
      </c>
      <c r="J20" s="6" t="str">
        <f>_xll.BQL("SEG0000230986 Segment", "SALES_REV_TURN/1M", "FPR=2021Y", "FPT=A", "FA_ACT_EST_DATA=E, EST_SOURCE=CMPY", "ACT_EST_MAPPING=PRECISE", "FS=MRC", "CURRENCY=USD", "XLFILL=b")</f>
        <v>#N/A Requesting Data...</v>
      </c>
      <c r="K20" s="6" t="str">
        <f>_xll.BQL("SEG0000230986 Segment", "SALES_REV_TURN/1M", "FPR=2021Y", "FPT=A", "FA_ACT_EST_DATA=E, EST_SOURCE=JPM", "ACT_EST_MAPPING=PRECISE", "FS=MRC", "CURRENCY=USD", "XLFILL=b")</f>
        <v>#N/A Requesting Data...</v>
      </c>
      <c r="L20" s="6" t="str">
        <f>_xll.BQL("SEG0000230986 Segment", "SALES_REV_TURN/1M", "FPR=2021Y", "FPT=A", "FA_ACT_EST_DATA=E, EST_SOURCE=WBL", "ACT_EST_MAPPING=PRECISE", "FS=MRC", "CURRENCY=USD", "XLFILL=b")</f>
        <v>#N/A Requesting Data...</v>
      </c>
      <c r="M20" s="6" t="str">
        <f>_xll.BQL("SEG0000230986 Segment", "SALES_REV_TURN/1M", "FPR=2021Y", "FPT=A", "FA_ACT_EST_DATA=E, EST_SOURCE=KEY", "ACT_EST_MAPPING=PRECISE", "FS=MRC", "CURRENCY=USD", "XLFILL=b")</f>
        <v>#N/A Requesting Data...</v>
      </c>
      <c r="N20" s="6" t="str">
        <f>_xll.BQL("SEG0000230986 Segment", "SALES_REV_TURN/1M", "FPR=2021Y", "FPT=A", "FA_ACT_EST_DATA=E, EST_SOURCE=BMO", "ACT_EST_MAPPING=PRECISE", "FS=MRC", "CURRENCY=USD", "XLFILL=b")</f>
        <v>#N/A Requesting Data...</v>
      </c>
      <c r="O20" s="6" t="str">
        <f>_xll.BQL("SEG0000230986 Segment", "SALES_REV_TURN/1M", "FPR=2021Y", "FPT=A", "FA_ACT_EST_DATA=E, EST_SOURCE=OPY", "ACT_EST_MAPPING=PRECISE", "FS=MRC", "CURRENCY=USD", "XLFILL=b")</f>
        <v>#N/A Requesting Data...</v>
      </c>
      <c r="P20" s="6" t="str">
        <f>_xll.BQL("SEG0000230986 Segment", "SALES_REV_TURN/1M", "FPR=2021Y", "FPT=A", "FA_ACT_EST_DATA=E, EST_SOURCE=BCA", "ACT_EST_MAPPING=PRECISE", "FS=MRC", "CURRENCY=USD", "XLFILL=b")</f>
        <v>#N/A Requesting Data...</v>
      </c>
      <c r="Q20" s="6" t="str">
        <f>_xll.BQL("SEG0000230986 Segment", "SALES_REV_TURN/1M", "FPR=2021Y", "FPT=A", "FA_ACT_EST_DATA=E, EST_SOURCE=RHR", "ACT_EST_MAPPING=PRECISE", "FS=MRC", "CURRENCY=USD", "XLFILL=b")</f>
        <v>#N/A Requesting Data...</v>
      </c>
      <c r="R20" s="6" t="str">
        <f>_xll.BQL("SEG0000230986 Segment", "SALES_REV_TURN/1M", "FPR=2021Y", "FPT=A", "FA_ACT_EST_DATA=E, EST_SOURCE=SNR", "ACT_EST_MAPPING=PRECISE", "FS=MRC", "CURRENCY=USD", "XLFILL=b")</f>
        <v>#N/A Requesting Data...</v>
      </c>
      <c r="S20" s="6" t="str">
        <f>_xll.BQL("SEG0000230986 Segment", "SALES_REV_TURN/1M", "FPR=2021Y", "FPT=A", "FA_ACT_EST_DATA=E, EST_SOURCE=MSV", "ACT_EST_MAPPING=PRECISE", "FS=MRC", "CURRENCY=USD", "XLFILL=b")</f>
        <v>#N/A Requesting Data...</v>
      </c>
      <c r="T20" s="6" t="str">
        <f>_xll.BQL("SEG0000230986 Segment", "SALES_REV_TURN/1M", "FPR=2021Y", "FPT=A", "FA_ACT_EST_DATA=E, EST_SOURCE=CAN", "ACT_EST_MAPPING=PRECISE", "FS=MRC", "CURRENCY=USD", "XLFILL=b")</f>
        <v>#N/A Requesting Data...</v>
      </c>
      <c r="U20" s="6" t="str">
        <f>_xll.BQL("SEG0000230986 Segment", "SALES_REV_TURN/1M", "FPR=2021Y", "FPT=A", "FA_ACT_EST_DATA=E, EST_SOURCE=JMP", "ACT_EST_MAPPING=PRECISE", "FS=MRC", "CURRENCY=USD", "XLFILL=b")</f>
        <v>#N/A Requesting Data...</v>
      </c>
      <c r="V20" s="6" t="str">
        <f>_xll.BQL("SEG0000230986 Segment", "SALES_REV_TURN/1M", "FPR=2021Y", "FPT=A", "FA_ACT_EST_DATA=E, EST_SOURCE=NDH", "ACT_EST_MAPPING=PRECISE", "FS=MRC", "CURRENCY=USD", "XLFILL=b")</f>
        <v>#N/A Requesting Data...</v>
      </c>
      <c r="W20" s="6" t="str">
        <f>_xll.BQL("SEG0000230986 Segment", "SALES_REV_TURN/1M", "FPR=2021Y", "FPT=A", "FA_ACT_EST_DATA=E, EST_SOURCE=ZXS", "ACT_EST_MAPPING=PRECISE", "FS=MRC", "CURRENCY=USD", "XLFILL=b")</f>
        <v>#N/A Requesting Data...</v>
      </c>
      <c r="X20" s="6" t="str">
        <f>_xll.BQL("SEG0000230986 Segment", "SALES_REV_TURN/1M", "FPR=2021Y", "FPT=A", "FA_ACT_EST_DATA=E, EST_SOURCE=CWN", "ACT_EST_MAPPING=PRECISE", "FS=MRC", "CURRENCY=USD", "XLFILL=b")</f>
        <v>#N/A Requesting Data...</v>
      </c>
      <c r="Y20" s="6" t="str">
        <f>_xll.BQL("SEG0000230986 Segment", "SALES_REV_TURN/1M", "FPR=2021Y", "FPT=A", "FA_ACT_EST_DATA=E, EST_SOURCE=DBG", "ACT_EST_MAPPING=PRECISE", "FS=MRC", "CURRENCY=USD", "XLFILL=b")</f>
        <v>#N/A Requesting Data...</v>
      </c>
      <c r="Z20" s="6" t="str">
        <f>_xll.BQL("SEG0000230986 Segment", "SALES_REV_TURN/1M", "FPR=2021Y", "FPT=A", "FA_ACT_EST_DATA=E, EST_SOURCE=UBS", "ACT_EST_MAPPING=PRECISE", "FS=MRC", "CURRENCY=USD", "XLFILL=b")</f>
        <v>#N/A Requesting Data...</v>
      </c>
      <c r="AA20" s="6" t="str">
        <f>_xll.BQL("SEG0000230986 Segment", "SALES_REV_TURN/1M", "FPR=2021Y", "FPT=A", "FA_ACT_EST_DATA=E, EST_SOURCE=RBC", "ACT_EST_MAPPING=PRECISE", "FS=MRC", "CURRENCY=USD", "XLFILL=b")</f>
        <v>#N/A Requesting Data...</v>
      </c>
      <c r="AB20" s="6" t="str">
        <f>_xll.BQL("SEG0000230986 Segment", "SALES_REV_TURN/1M", "FPR=2021Y", "FPT=A", "FA_ACT_EST_DATA=E, EST_SOURCE=EVR", "ACT_EST_MAPPING=PRECISE", "FS=MRC", "CURRENCY=USD", "XLFILL=b")</f>
        <v>#N/A Requesting Data...</v>
      </c>
      <c r="AC20" s="6" t="str">
        <f>_xll.BQL("SEG0000230986 Segment", "SALES_REV_TURN/1M", "FPR=2021Y", "FPT=A", "FA_ACT_EST_DATA=E, EST_SOURCE=BNS", "ACT_EST_MAPPING=PRECISE", "FS=MRC", "CURRENCY=USD", "XLFILL=b")</f>
        <v>#N/A Requesting Data...</v>
      </c>
      <c r="AD20" s="6" t="str">
        <f>_xll.BQL("SEG0000230986 Segment", "SALES_REV_TURN/1M", "FPR=2021Y", "FPT=A", "FA_ACT_EST_DATA=E, EST_SOURCE=BAM", "ACT_EST_MAPPING=PRECISE", "FS=MRC", "CURRENCY=USD", "XLFILL=b")</f>
        <v>#N/A Requesting Data...</v>
      </c>
      <c r="AE20" s="6" t="str">
        <f>_xll.BQL("SEG0000230986 Segment", "SALES_REV_TURN/1M", "FPR=2021Y", "FPT=A", "FA_ACT_EST_DATA=E, EST_SOURCE=GSR", "ACT_EST_MAPPING=PRECISE", "FS=MRC", "CURRENCY=USD", "XLFILL=b")</f>
        <v>#N/A Requesting Data...</v>
      </c>
      <c r="AF20" s="6" t="str">
        <f>_xll.BQL("SEG0000230986 Segment", "SALES_REV_TURN/1M", "FPR=2021Y", "FPT=A", "FA_ACT_EST_DATA=E, EST_SOURCE=FBC", "ACT_EST_MAPPING=PRECISE", "FS=MRC", "CURRENCY=USD", "XLFILL=b")</f>
        <v>#N/A Requesting Data...</v>
      </c>
      <c r="AG20" s="6" t="str">
        <f>_xll.BQL("SEG0000230986 Segment", "SALES_REV_TURN/1M", "FPR=2021Y", "FPT=A", "FA_ACT_EST_DATA=E, EST_SOURCE=MAC", "ACT_EST_MAPPING=PRECISE", "FS=MRC", "CURRENCY=USD", "XLFILL=b")</f>
        <v>#N/A Requesting Data...</v>
      </c>
      <c r="AH20" s="6" t="str">
        <f>_xll.BQL("SEG0000230986 Segment", "SALES_REV_TURN/1M", "FPR=2021Y", "FPT=A", "FA_ACT_EST_DATA=E, EST_SOURCE=PSG", "ACT_EST_MAPPING=PRECISE", "FS=MRC", "CURRENCY=USD", "XLFILL=b")</f>
        <v>#N/A Requesting Data...</v>
      </c>
      <c r="AI20" s="6" t="str">
        <f>_xll.BQL("SEG0000230986 Segment", "SALES_REV_TURN/1M", "FPR=2021Y", "FPT=A", "FA_ACT_EST_DATA=E, EST_SOURCE=MSR", "ACT_EST_MAPPING=PRECISE", "FS=MRC", "CURRENCY=USD", "XLFILL=b")</f>
        <v>#N/A Requesting Data...</v>
      </c>
      <c r="AJ20" s="6" t="str">
        <f>_xll.BQL("SEG0000230986 Segment", "SALES_REV_TURN/1M", "FPR=2021Y", "FPT=A", "FA_ACT_EST_DATA=E, EST_SOURCE=JEF", "ACT_EST_MAPPING=PRECISE", "FS=MRC", "CURRENCY=USD", "XLFILL=b")</f>
        <v>#N/A Requesting Data...</v>
      </c>
      <c r="AK20" s="6" t="str">
        <f>_xll.BQL("SEG0000230986 Segment", "SALES_REV_TURN/1M", "FPR=2021Y", "FPT=A", "FA_ACT_EST_DATA=E, EST_SOURCE=TTC", "ACT_EST_MAPPING=PRECISE", "FS=MRC", "CURRENCY=USD", "XLFILL=b")</f>
        <v>#N/A Requesting Data...</v>
      </c>
      <c r="AL20" s="6" t="str">
        <f>_xll.BQL("SEG0000230986 Segment", "SALES_REV_TURN/1M", "FPR=2021Y", "FPT=A", "FA_ACT_EST_DATA=E, EST_SOURCE=RWB", "ACT_EST_MAPPING=PRECISE", "FS=MRC", "CURRENCY=USD", "XLFILL=b")</f>
        <v>#N/A Requesting Data...</v>
      </c>
      <c r="AM20" s="6" t="str">
        <f>_xll.BQL("SEG0000230986 Segment", "SALES_REV_TURN/1M", "FPR=2021Y", "FPT=A", "FA_ACT_EST_DATA=E, EST_SOURCE=DZB", "ACT_EST_MAPPING=PRECISE", "FS=MRC", "CURRENCY=USD", "XLFILL=b")</f>
        <v>#N/A Requesting Data...</v>
      </c>
      <c r="AN20" s="6" t="str">
        <f>_xll.BQL("SEG0000230986 Segment", "SALES_REV_TURN/1M", "FPR=2021Y", "FPT=A", "FA_ACT_EST_DATA=E, EST_SOURCE=DWI", "ACT_EST_MAPPING=PRECISE", "FS=MRC", "CURRENCY=USD", "XLFILL=b")</f>
        <v>#N/A Requesting Data...</v>
      </c>
      <c r="AO20" s="6" t="str">
        <f>_xll.BQL("SEG0000230986 Segment", "SALES_REV_TURN/1M", "FPR=2021Y", "FPT=A", "FA_ACT_EST_DATA=E, EST_SOURCE=ARG", "ACT_EST_MAPPING=PRECISE", "FS=MRC", "CURRENCY=USD", "XLFILL=b")</f>
        <v>#N/A Requesting Data...</v>
      </c>
      <c r="AP20" s="6" t="str">
        <f>_xll.BQL("SEG0000230986 Segment", "SALES_REV_TURN/1M", "FPR=2021Y", "FPT=A", "FA_ACT_EST_DATA=E, EST_SOURCE=CTI", "ACT_EST_MAPPING=PRECISE", "FS=MRC", "CURRENCY=USD", "XLFILL=b")</f>
        <v>#N/A Requesting Data...</v>
      </c>
      <c r="AQ20" s="6" t="str">
        <f>_xll.BQL("SEG0000230986 Segment", "SALES_REV_TURN/1M", "FPR=2021Y", "FPT=A", "FA_ACT_EST_DATA=E, EST_SOURCE=WFT", "ACT_EST_MAPPING=PRECISE", "FS=MRC", "CURRENCY=USD", "XLFILL=b")</f>
        <v>#N/A Requesting Data...</v>
      </c>
      <c r="AR20" s="6" t="str">
        <f>_xll.BQL("SEG0000230986 Segment", "SALES_REV_TURN/1M", "FPR=2021Y", "FPT=A", "FA_ACT_EST_DATA=E, EST_SOURCE=ARE", "ACT_EST_MAPPING=PRECISE", "FS=MRC", "CURRENCY=USD", "XLFILL=b")</f>
        <v>#N/A Requesting Data...</v>
      </c>
      <c r="AS20" s="6" t="str">
        <f>_xll.BQL("SEG0000230986 Segment", "SALES_REV_TURN/1M", "FPR=2021Y", "FPT=A", "FA_ACT_EST_DATA=E, EST_SOURCE=PJE", "ACT_EST_MAPPING=PRECISE", "FS=MRC", "CURRENCY=USD", "XLFILL=b")</f>
        <v>#N/A Requesting Data...</v>
      </c>
      <c r="AT20" s="6" t="str">
        <f>_xll.BQL("SEG0000230986 Segment", "SALES_REV_TURN/1M", "FPR=2021Y", "FPT=A", "FA_ACT_EST_DATA=E, EST_SOURCE=MZS", "ACT_EST_MAPPING=PRECISE", "FS=MRC", "CURRENCY=USD", "XLFILL=b")</f>
        <v>#N/A Requesting Data...</v>
      </c>
      <c r="AU20" s="6" t="str">
        <f>_xll.BQL("SEG0000230986 Segment", "SALES_REV_TURN/1M", "FPR=2021Y", "FPT=A", "FA_ACT_EST_DATA=E, EST_SOURCE=SUM", "ACT_EST_MAPPING=PRECISE", "FS=MRC", "CURRENCY=USD", "XLFILL=b")</f>
        <v>#N/A Requesting Data...</v>
      </c>
      <c r="AV20" s="6" t="str">
        <f>_xll.BQL("SEG0000230986 Segment", "SALES_REV_TURN/1M", "FPR=2021Y", "FPT=A", "FA_ACT_EST_DATA=E, EST_SOURCE=CRC", "ACT_EST_MAPPING=PRECISE", "FS=MRC", "CURRENCY=USD", "XLFILL=b")</f>
        <v>#N/A Requesting Data...</v>
      </c>
      <c r="AW20" s="6" t="str">
        <f>_xll.BQL("SEG0000230986 Segment", "SALES_REV_TURN/1M", "FPR=2021Y", "FPT=A", "FA_ACT_EST_DATA=E, EST_SOURCE=SCB", "ACT_EST_MAPPING=PRECISE", "FS=MRC", "CURRENCY=USD", "XLFILL=b")</f>
        <v>#N/A Requesting Data...</v>
      </c>
    </row>
    <row r="21" spans="1:49" x14ac:dyDescent="0.55000000000000004">
      <c r="A21" s="5" t="s">
        <v>44</v>
      </c>
      <c r="B21" s="2" t="s">
        <v>25</v>
      </c>
      <c r="C21" s="2" t="s">
        <v>45</v>
      </c>
      <c r="D21" s="2" t="s">
        <v>51</v>
      </c>
      <c r="E21" s="6" t="str">
        <f>_xll.BQL("SEG0000230986 Segment", "IS_BILLINGS/1M", "FPR=2021Y", "FPT=A", "FA_ACT_EST_DATA=E", "ACT_EST_MAPPING=PRECISE", "FS=MRC", "CURRENCY=USD", "XLFILL=b")</f>
        <v>#N/A Requesting Data...</v>
      </c>
      <c r="F21" s="6" t="str">
        <f>_xll.BQL("SEG0000230986 Segment", "CONTRIBUTOR_STATS(IS_BILLINGS, MIN)/1M", "FPR=2021Y", "FPT=A", "FA_ACT_EST_DATA=E", "ACT_EST_MAPPING=PRECISE", "FS=MRC", "CURRENCY=USD", "XLFILL=b")</f>
        <v>#N/A Requesting Data...</v>
      </c>
      <c r="G21" s="6" t="str">
        <f>_xll.BQL("SEG0000230986 Segment", "CONTRIBUTOR_STATS(IS_BILLINGS, MAX)/1M", "FPR=2021Y", "FPT=A", "FA_ACT_EST_DATA=E", "ACT_EST_MAPPING=PRECISE", "FS=MRC", "CURRENCY=USD", "XLFILL=b")</f>
        <v>#N/A Requesting Data...</v>
      </c>
      <c r="H21" s="6" t="str">
        <f>_xll.BQL("SEG0000230986 Segment", "CONTRIBUTOR_STATS(IS_BILLINGS, STD)/1M", "FPR=2021Y", "FPT=A", "FA_ACT_EST_DATA=E", "ACT_EST_MAPPING=PRECISE", "FS=MRC", "CURRENCY=USD", "XLFILL=b")</f>
        <v>#N/A Requesting Data...</v>
      </c>
      <c r="I21" s="6" t="str">
        <f>_xll.BQL("SEG0000230986 Segment", "CONTRIBUTOR_STATS(IS_BILLINGS, MEDIAN)/1M", "FPR=2021Y", "FPT=A", "FA_ACT_EST_DATA=E", "ACT_EST_MAPPING=PRECISE", "FS=MRC", "CURRENCY=USD", "XLFILL=b")</f>
        <v>#N/A Requesting Data...</v>
      </c>
      <c r="J21" s="6" t="str">
        <f>_xll.BQL("SEG0000230986 Segment", "IS_BILLINGS/1M", "FPR=2021Y", "FPT=A", "FA_ACT_EST_DATA=E, EST_SOURCE=CMPY", "ACT_EST_MAPPING=PRECISE", "FS=MRC", "CURRENCY=USD", "XLFILL=b")</f>
        <v>#N/A Requesting Data...</v>
      </c>
      <c r="K21" s="6" t="str">
        <f>_xll.BQL("SEG0000230986 Segment", "IS_BILLINGS/1M", "FPR=2021Y", "FPT=A", "FA_ACT_EST_DATA=E, EST_SOURCE=JPM", "ACT_EST_MAPPING=PRECISE", "FS=MRC", "CURRENCY=USD", "XLFILL=b")</f>
        <v>#N/A Requesting Data...</v>
      </c>
      <c r="L21" s="6" t="str">
        <f>_xll.BQL("SEG0000230986 Segment", "IS_BILLINGS/1M", "FPR=2021Y", "FPT=A", "FA_ACT_EST_DATA=E, EST_SOURCE=WBL", "ACT_EST_MAPPING=PRECISE", "FS=MRC", "CURRENCY=USD", "XLFILL=b")</f>
        <v>#N/A Requesting Data...</v>
      </c>
      <c r="M21" s="6" t="str">
        <f>_xll.BQL("SEG0000230986 Segment", "IS_BILLINGS/1M", "FPR=2021Y", "FPT=A", "FA_ACT_EST_DATA=E, EST_SOURCE=KEY", "ACT_EST_MAPPING=PRECISE", "FS=MRC", "CURRENCY=USD", "XLFILL=b")</f>
        <v>#N/A Requesting Data...</v>
      </c>
      <c r="N21" s="6" t="str">
        <f>_xll.BQL("SEG0000230986 Segment", "IS_BILLINGS/1M", "FPR=2021Y", "FPT=A", "FA_ACT_EST_DATA=E, EST_SOURCE=BMO", "ACT_EST_MAPPING=PRECISE", "FS=MRC", "CURRENCY=USD", "XLFILL=b")</f>
        <v>#N/A Requesting Data...</v>
      </c>
      <c r="O21" s="6" t="str">
        <f>_xll.BQL("SEG0000230986 Segment", "IS_BILLINGS/1M", "FPR=2021Y", "FPT=A", "FA_ACT_EST_DATA=E, EST_SOURCE=OPY", "ACT_EST_MAPPING=PRECISE", "FS=MRC", "CURRENCY=USD", "XLFILL=b")</f>
        <v>#N/A Requesting Data...</v>
      </c>
      <c r="P21" s="6" t="str">
        <f>_xll.BQL("SEG0000230986 Segment", "IS_BILLINGS/1M", "FPR=2021Y", "FPT=A", "FA_ACT_EST_DATA=E, EST_SOURCE=BCA", "ACT_EST_MAPPING=PRECISE", "FS=MRC", "CURRENCY=USD", "XLFILL=b")</f>
        <v>#N/A Requesting Data...</v>
      </c>
      <c r="Q21" s="6" t="str">
        <f>_xll.BQL("SEG0000230986 Segment", "IS_BILLINGS/1M", "FPR=2021Y", "FPT=A", "FA_ACT_EST_DATA=E, EST_SOURCE=RHR", "ACT_EST_MAPPING=PRECISE", "FS=MRC", "CURRENCY=USD", "XLFILL=b")</f>
        <v>#N/A Requesting Data...</v>
      </c>
      <c r="R21" s="6" t="str">
        <f>_xll.BQL("SEG0000230986 Segment", "IS_BILLINGS/1M", "FPR=2021Y", "FPT=A", "FA_ACT_EST_DATA=E, EST_SOURCE=SNR", "ACT_EST_MAPPING=PRECISE", "FS=MRC", "CURRENCY=USD", "XLFILL=b")</f>
        <v>#N/A Requesting Data...</v>
      </c>
      <c r="S21" s="6" t="str">
        <f>_xll.BQL("SEG0000230986 Segment", "IS_BILLINGS/1M", "FPR=2021Y", "FPT=A", "FA_ACT_EST_DATA=E, EST_SOURCE=MSV", "ACT_EST_MAPPING=PRECISE", "FS=MRC", "CURRENCY=USD", "XLFILL=b")</f>
        <v>#N/A Requesting Data...</v>
      </c>
      <c r="T21" s="6" t="str">
        <f>_xll.BQL("SEG0000230986 Segment", "IS_BILLINGS/1M", "FPR=2021Y", "FPT=A", "FA_ACT_EST_DATA=E, EST_SOURCE=CAN", "ACT_EST_MAPPING=PRECISE", "FS=MRC", "CURRENCY=USD", "XLFILL=b")</f>
        <v>#N/A Requesting Data...</v>
      </c>
      <c r="U21" s="6" t="str">
        <f>_xll.BQL("SEG0000230986 Segment", "IS_BILLINGS/1M", "FPR=2021Y", "FPT=A", "FA_ACT_EST_DATA=E, EST_SOURCE=JMP", "ACT_EST_MAPPING=PRECISE", "FS=MRC", "CURRENCY=USD", "XLFILL=b")</f>
        <v>#N/A Requesting Data...</v>
      </c>
      <c r="V21" s="6" t="str">
        <f>_xll.BQL("SEG0000230986 Segment", "IS_BILLINGS/1M", "FPR=2021Y", "FPT=A", "FA_ACT_EST_DATA=E, EST_SOURCE=NDH", "ACT_EST_MAPPING=PRECISE", "FS=MRC", "CURRENCY=USD", "XLFILL=b")</f>
        <v>#N/A Requesting Data...</v>
      </c>
      <c r="W21" s="6" t="str">
        <f>_xll.BQL("SEG0000230986 Segment", "IS_BILLINGS/1M", "FPR=2021Y", "FPT=A", "FA_ACT_EST_DATA=E, EST_SOURCE=ZXS", "ACT_EST_MAPPING=PRECISE", "FS=MRC", "CURRENCY=USD", "XLFILL=b")</f>
        <v>#N/A Requesting Data...</v>
      </c>
      <c r="X21" s="6" t="str">
        <f>_xll.BQL("SEG0000230986 Segment", "IS_BILLINGS/1M", "FPR=2021Y", "FPT=A", "FA_ACT_EST_DATA=E, EST_SOURCE=CWN", "ACT_EST_MAPPING=PRECISE", "FS=MRC", "CURRENCY=USD", "XLFILL=b")</f>
        <v>#N/A Requesting Data...</v>
      </c>
      <c r="Y21" s="6" t="str">
        <f>_xll.BQL("SEG0000230986 Segment", "IS_BILLINGS/1M", "FPR=2021Y", "FPT=A", "FA_ACT_EST_DATA=E, EST_SOURCE=DBG", "ACT_EST_MAPPING=PRECISE", "FS=MRC", "CURRENCY=USD", "XLFILL=b")</f>
        <v>#N/A Requesting Data...</v>
      </c>
      <c r="Z21" s="6" t="str">
        <f>_xll.BQL("SEG0000230986 Segment", "IS_BILLINGS/1M", "FPR=2021Y", "FPT=A", "FA_ACT_EST_DATA=E, EST_SOURCE=UBS", "ACT_EST_MAPPING=PRECISE", "FS=MRC", "CURRENCY=USD", "XLFILL=b")</f>
        <v>#N/A Requesting Data...</v>
      </c>
      <c r="AA21" s="6" t="str">
        <f>_xll.BQL("SEG0000230986 Segment", "IS_BILLINGS/1M", "FPR=2021Y", "FPT=A", "FA_ACT_EST_DATA=E, EST_SOURCE=RBC", "ACT_EST_MAPPING=PRECISE", "FS=MRC", "CURRENCY=USD", "XLFILL=b")</f>
        <v>#N/A Requesting Data...</v>
      </c>
      <c r="AB21" s="6" t="str">
        <f>_xll.BQL("SEG0000230986 Segment", "IS_BILLINGS/1M", "FPR=2021Y", "FPT=A", "FA_ACT_EST_DATA=E, EST_SOURCE=EVR", "ACT_EST_MAPPING=PRECISE", "FS=MRC", "CURRENCY=USD", "XLFILL=b")</f>
        <v>#N/A Requesting Data...</v>
      </c>
      <c r="AC21" s="6" t="str">
        <f>_xll.BQL("SEG0000230986 Segment", "IS_BILLINGS/1M", "FPR=2021Y", "FPT=A", "FA_ACT_EST_DATA=E, EST_SOURCE=BNS", "ACT_EST_MAPPING=PRECISE", "FS=MRC", "CURRENCY=USD", "XLFILL=b")</f>
        <v>#N/A Requesting Data...</v>
      </c>
      <c r="AD21" s="6" t="str">
        <f>_xll.BQL("SEG0000230986 Segment", "IS_BILLINGS/1M", "FPR=2021Y", "FPT=A", "FA_ACT_EST_DATA=E, EST_SOURCE=BAM", "ACT_EST_MAPPING=PRECISE", "FS=MRC", "CURRENCY=USD", "XLFILL=b")</f>
        <v>#N/A Requesting Data...</v>
      </c>
      <c r="AE21" s="6" t="str">
        <f>_xll.BQL("SEG0000230986 Segment", "IS_BILLINGS/1M", "FPR=2021Y", "FPT=A", "FA_ACT_EST_DATA=E, EST_SOURCE=GSR", "ACT_EST_MAPPING=PRECISE", "FS=MRC", "CURRENCY=USD", "XLFILL=b")</f>
        <v>#N/A Requesting Data...</v>
      </c>
      <c r="AF21" s="6" t="str">
        <f>_xll.BQL("SEG0000230986 Segment", "IS_BILLINGS/1M", "FPR=2021Y", "FPT=A", "FA_ACT_EST_DATA=E, EST_SOURCE=FBC", "ACT_EST_MAPPING=PRECISE", "FS=MRC", "CURRENCY=USD", "XLFILL=b")</f>
        <v>#N/A Requesting Data...</v>
      </c>
      <c r="AG21" s="6" t="str">
        <f>_xll.BQL("SEG0000230986 Segment", "IS_BILLINGS/1M", "FPR=2021Y", "FPT=A", "FA_ACT_EST_DATA=E, EST_SOURCE=MAC", "ACT_EST_MAPPING=PRECISE", "FS=MRC", "CURRENCY=USD", "XLFILL=b")</f>
        <v>#N/A Requesting Data...</v>
      </c>
      <c r="AH21" s="6" t="str">
        <f>_xll.BQL("SEG0000230986 Segment", "IS_BILLINGS/1M", "FPR=2021Y", "FPT=A", "FA_ACT_EST_DATA=E, EST_SOURCE=PSG", "ACT_EST_MAPPING=PRECISE", "FS=MRC", "CURRENCY=USD", "XLFILL=b")</f>
        <v>#N/A Requesting Data...</v>
      </c>
      <c r="AI21" s="6" t="str">
        <f>_xll.BQL("SEG0000230986 Segment", "IS_BILLINGS/1M", "FPR=2021Y", "FPT=A", "FA_ACT_EST_DATA=E, EST_SOURCE=MSR", "ACT_EST_MAPPING=PRECISE", "FS=MRC", "CURRENCY=USD", "XLFILL=b")</f>
        <v>#N/A Requesting Data...</v>
      </c>
      <c r="AJ21" s="6" t="str">
        <f>_xll.BQL("SEG0000230986 Segment", "IS_BILLINGS/1M", "FPR=2021Y", "FPT=A", "FA_ACT_EST_DATA=E, EST_SOURCE=JEF", "ACT_EST_MAPPING=PRECISE", "FS=MRC", "CURRENCY=USD", "XLFILL=b")</f>
        <v>#N/A Requesting Data...</v>
      </c>
      <c r="AK21" s="6" t="str">
        <f>_xll.BQL("SEG0000230986 Segment", "IS_BILLINGS/1M", "FPR=2021Y", "FPT=A", "FA_ACT_EST_DATA=E, EST_SOURCE=TTC", "ACT_EST_MAPPING=PRECISE", "FS=MRC", "CURRENCY=USD", "XLFILL=b")</f>
        <v>#N/A Requesting Data...</v>
      </c>
      <c r="AL21" s="6" t="str">
        <f>_xll.BQL("SEG0000230986 Segment", "IS_BILLINGS/1M", "FPR=2021Y", "FPT=A", "FA_ACT_EST_DATA=E, EST_SOURCE=RWB", "ACT_EST_MAPPING=PRECISE", "FS=MRC", "CURRENCY=USD", "XLFILL=b")</f>
        <v>#N/A Requesting Data...</v>
      </c>
      <c r="AM21" s="6" t="str">
        <f>_xll.BQL("SEG0000230986 Segment", "IS_BILLINGS/1M", "FPR=2021Y", "FPT=A", "FA_ACT_EST_DATA=E, EST_SOURCE=DZB", "ACT_EST_MAPPING=PRECISE", "FS=MRC", "CURRENCY=USD", "XLFILL=b")</f>
        <v>#N/A Requesting Data...</v>
      </c>
      <c r="AN21" s="6" t="str">
        <f>_xll.BQL("SEG0000230986 Segment", "IS_BILLINGS/1M", "FPR=2021Y", "FPT=A", "FA_ACT_EST_DATA=E, EST_SOURCE=DWI", "ACT_EST_MAPPING=PRECISE", "FS=MRC", "CURRENCY=USD", "XLFILL=b")</f>
        <v>#N/A Requesting Data...</v>
      </c>
      <c r="AO21" s="6" t="str">
        <f>_xll.BQL("SEG0000230986 Segment", "IS_BILLINGS/1M", "FPR=2021Y", "FPT=A", "FA_ACT_EST_DATA=E, EST_SOURCE=ARG", "ACT_EST_MAPPING=PRECISE", "FS=MRC", "CURRENCY=USD", "XLFILL=b")</f>
        <v>#N/A Requesting Data...</v>
      </c>
      <c r="AP21" s="6" t="str">
        <f>_xll.BQL("SEG0000230986 Segment", "IS_BILLINGS/1M", "FPR=2021Y", "FPT=A", "FA_ACT_EST_DATA=E, EST_SOURCE=CTI", "ACT_EST_MAPPING=PRECISE", "FS=MRC", "CURRENCY=USD", "XLFILL=b")</f>
        <v>#N/A Requesting Data...</v>
      </c>
      <c r="AQ21" s="6" t="str">
        <f>_xll.BQL("SEG0000230986 Segment", "IS_BILLINGS/1M", "FPR=2021Y", "FPT=A", "FA_ACT_EST_DATA=E, EST_SOURCE=WFT", "ACT_EST_MAPPING=PRECISE", "FS=MRC", "CURRENCY=USD", "XLFILL=b")</f>
        <v>#N/A Requesting Data...</v>
      </c>
      <c r="AR21" s="6" t="str">
        <f>_xll.BQL("SEG0000230986 Segment", "IS_BILLINGS/1M", "FPR=2021Y", "FPT=A", "FA_ACT_EST_DATA=E, EST_SOURCE=ARE", "ACT_EST_MAPPING=PRECISE", "FS=MRC", "CURRENCY=USD", "XLFILL=b")</f>
        <v>#N/A Requesting Data...</v>
      </c>
      <c r="AS21" s="6" t="str">
        <f>_xll.BQL("SEG0000230986 Segment", "IS_BILLINGS/1M", "FPR=2021Y", "FPT=A", "FA_ACT_EST_DATA=E, EST_SOURCE=PJE", "ACT_EST_MAPPING=PRECISE", "FS=MRC", "CURRENCY=USD", "XLFILL=b")</f>
        <v>#N/A Requesting Data...</v>
      </c>
      <c r="AT21" s="6" t="str">
        <f>_xll.BQL("SEG0000230986 Segment", "IS_BILLINGS/1M", "FPR=2021Y", "FPT=A", "FA_ACT_EST_DATA=E, EST_SOURCE=MZS", "ACT_EST_MAPPING=PRECISE", "FS=MRC", "CURRENCY=USD", "XLFILL=b")</f>
        <v>#N/A Requesting Data...</v>
      </c>
      <c r="AU21" s="6" t="str">
        <f>_xll.BQL("SEG0000230986 Segment", "IS_BILLINGS/1M", "FPR=2021Y", "FPT=A", "FA_ACT_EST_DATA=E, EST_SOURCE=SUM", "ACT_EST_MAPPING=PRECISE", "FS=MRC", "CURRENCY=USD", "XLFILL=b")</f>
        <v>#N/A Requesting Data...</v>
      </c>
      <c r="AV21" s="6" t="str">
        <f>_xll.BQL("SEG0000230986 Segment", "IS_BILLINGS/1M", "FPR=2021Y", "FPT=A", "FA_ACT_EST_DATA=E, EST_SOURCE=CRC", "ACT_EST_MAPPING=PRECISE", "FS=MRC", "CURRENCY=USD", "XLFILL=b")</f>
        <v>#N/A Requesting Data...</v>
      </c>
      <c r="AW21" s="6" t="str">
        <f>_xll.BQL("SEG0000230986 Segment", "IS_BILLINGS/1M", "FPR=2021Y", "FPT=A", "FA_ACT_EST_DATA=E, EST_SOURCE=SCB", "ACT_EST_MAPPING=PRECISE", "FS=MRC", "CURRENCY=USD", "XLFILL=b")</f>
        <v>#N/A Requesting Data...</v>
      </c>
    </row>
    <row r="22" spans="1:49" x14ac:dyDescent="0.55000000000000004">
      <c r="A22" s="5" t="s">
        <v>46</v>
      </c>
      <c r="B22" s="2" t="s">
        <v>47</v>
      </c>
      <c r="C22" s="2" t="s">
        <v>48</v>
      </c>
      <c r="D22" s="2" t="s">
        <v>51</v>
      </c>
      <c r="E22" s="6" t="str">
        <f>_xll.BQL("SEG0000230986 Segment", "IS_ADJ_GROSS_MARGIN_PCT_AR", "FPR=2021Y", "FPT=A", "FA_ACT_EST_DATA=E", "ACT_EST_MAPPING=PRECISE", "FS=MRC", "CURRENCY=USD", "XLFILL=b")</f>
        <v>#N/A Requesting Data...</v>
      </c>
      <c r="F22" s="6" t="str">
        <f>_xll.BQL("SEG0000230986 Segment", "CONTRIBUTOR_STATS(IS_ADJ_GROSS_MARGIN_PCT_AR, MIN)", "FPR=2021Y", "FPT=A", "FA_ACT_EST_DATA=E", "ACT_EST_MAPPING=PRECISE", "FS=MRC", "CURRENCY=USD", "XLFILL=b")</f>
        <v>#N/A Requesting Data...</v>
      </c>
      <c r="G22" s="6" t="str">
        <f>_xll.BQL("SEG0000230986 Segment", "CONTRIBUTOR_STATS(IS_ADJ_GROSS_MARGIN_PCT_AR, MAX)", "FPR=2021Y", "FPT=A", "FA_ACT_EST_DATA=E", "ACT_EST_MAPPING=PRECISE", "FS=MRC", "CURRENCY=USD", "XLFILL=b")</f>
        <v>#N/A Requesting Data...</v>
      </c>
      <c r="H22" s="6" t="str">
        <f>_xll.BQL("SEG0000230986 Segment", "CONTRIBUTOR_STATS(IS_ADJ_GROSS_MARGIN_PCT_AR, STD)", "FPR=2021Y", "FPT=A", "FA_ACT_EST_DATA=E", "ACT_EST_MAPPING=PRECISE", "FS=MRC", "CURRENCY=USD", "XLFILL=b")</f>
        <v>#N/A Requesting Data...</v>
      </c>
      <c r="I22" s="6">
        <f>_xll.BQL("SEG0000230986 Segment", "CONTRIBUTOR_STATS(IS_ADJ_GROSS_MARGIN_PCT_AR, MEDIAN)", "FPR=2021Y", "FPT=A", "FA_ACT_EST_DATA=E", "ACT_EST_MAPPING=PRECISE", "FS=MRC", "CURRENCY=USD", "XLFILL=b")</f>
        <v>14.259312688340668</v>
      </c>
      <c r="J22" s="6" t="str">
        <f>_xll.BQL("SEG0000230986 Segment", "IS_ADJ_GROSS_MARGIN_PCT_AR", "FPR=2021Y", "FPT=A", "FA_ACT_EST_DATA=E, EST_SOURCE=CMPY", "ACT_EST_MAPPING=PRECISE", "FS=MRC", "CURRENCY=USD", "XLFILL=b")</f>
        <v>#N/A Requesting Data...</v>
      </c>
      <c r="K22" s="6" t="str">
        <f>_xll.BQL("SEG0000230986 Segment", "IS_ADJ_GROSS_MARGIN_PCT_AR", "FPR=2021Y", "FPT=A", "FA_ACT_EST_DATA=E, EST_SOURCE=JPM", "ACT_EST_MAPPING=PRECISE", "FS=MRC", "CURRENCY=USD", "XLFILL=b")</f>
        <v>#N/A Requesting Data...</v>
      </c>
      <c r="L22" s="6" t="str">
        <f>_xll.BQL("SEG0000230986 Segment", "IS_ADJ_GROSS_MARGIN_PCT_AR", "FPR=2021Y", "FPT=A", "FA_ACT_EST_DATA=E, EST_SOURCE=WBL", "ACT_EST_MAPPING=PRECISE", "FS=MRC", "CURRENCY=USD", "XLFILL=b")</f>
        <v>#N/A Requesting Data...</v>
      </c>
      <c r="M22" s="6" t="str">
        <f>_xll.BQL("SEG0000230986 Segment", "IS_ADJ_GROSS_MARGIN_PCT_AR", "FPR=2021Y", "FPT=A", "FA_ACT_EST_DATA=E, EST_SOURCE=KEY", "ACT_EST_MAPPING=PRECISE", "FS=MRC", "CURRENCY=USD", "XLFILL=b")</f>
        <v>#N/A Requesting Data...</v>
      </c>
      <c r="N22" s="6" t="str">
        <f>_xll.BQL("SEG0000230986 Segment", "IS_ADJ_GROSS_MARGIN_PCT_AR", "FPR=2021Y", "FPT=A", "FA_ACT_EST_DATA=E, EST_SOURCE=BMO", "ACT_EST_MAPPING=PRECISE", "FS=MRC", "CURRENCY=USD", "XLFILL=b")</f>
        <v>#N/A Requesting Data...</v>
      </c>
      <c r="O22" s="6" t="str">
        <f>_xll.BQL("SEG0000230986 Segment", "IS_ADJ_GROSS_MARGIN_PCT_AR", "FPR=2021Y", "FPT=A", "FA_ACT_EST_DATA=E, EST_SOURCE=OPY", "ACT_EST_MAPPING=PRECISE", "FS=MRC", "CURRENCY=USD", "XLFILL=b")</f>
        <v>#N/A Requesting Data...</v>
      </c>
      <c r="P22" s="6" t="str">
        <f>_xll.BQL("SEG0000230986 Segment", "IS_ADJ_GROSS_MARGIN_PCT_AR", "FPR=2021Y", "FPT=A", "FA_ACT_EST_DATA=E, EST_SOURCE=BCA", "ACT_EST_MAPPING=PRECISE", "FS=MRC", "CURRENCY=USD", "XLFILL=b")</f>
        <v>#N/A Requesting Data...</v>
      </c>
      <c r="Q22" s="6" t="str">
        <f>_xll.BQL("SEG0000230986 Segment", "IS_ADJ_GROSS_MARGIN_PCT_AR", "FPR=2021Y", "FPT=A", "FA_ACT_EST_DATA=E, EST_SOURCE=RHR", "ACT_EST_MAPPING=PRECISE", "FS=MRC", "CURRENCY=USD", "XLFILL=b")</f>
        <v>#N/A Requesting Data...</v>
      </c>
      <c r="R22" s="6" t="str">
        <f>_xll.BQL("SEG0000230986 Segment", "IS_ADJ_GROSS_MARGIN_PCT_AR", "FPR=2021Y", "FPT=A", "FA_ACT_EST_DATA=E, EST_SOURCE=SNR", "ACT_EST_MAPPING=PRECISE", "FS=MRC", "CURRENCY=USD", "XLFILL=b")</f>
        <v>#N/A Requesting Data...</v>
      </c>
      <c r="S22" s="6" t="str">
        <f>_xll.BQL("SEG0000230986 Segment", "IS_ADJ_GROSS_MARGIN_PCT_AR", "FPR=2021Y", "FPT=A", "FA_ACT_EST_DATA=E, EST_SOURCE=MSV", "ACT_EST_MAPPING=PRECISE", "FS=MRC", "CURRENCY=USD", "XLFILL=b")</f>
        <v>#N/A Requesting Data...</v>
      </c>
      <c r="T22" s="6" t="str">
        <f>_xll.BQL("SEG0000230986 Segment", "IS_ADJ_GROSS_MARGIN_PCT_AR", "FPR=2021Y", "FPT=A", "FA_ACT_EST_DATA=E, EST_SOURCE=CAN", "ACT_EST_MAPPING=PRECISE", "FS=MRC", "CURRENCY=USD", "XLFILL=b")</f>
        <v>#N/A Requesting Data...</v>
      </c>
      <c r="U22" s="6" t="str">
        <f>_xll.BQL("SEG0000230986 Segment", "IS_ADJ_GROSS_MARGIN_PCT_AR", "FPR=2021Y", "FPT=A", "FA_ACT_EST_DATA=E, EST_SOURCE=JMP", "ACT_EST_MAPPING=PRECISE", "FS=MRC", "CURRENCY=USD", "XLFILL=b")</f>
        <v>#N/A Requesting Data...</v>
      </c>
      <c r="V22" s="6" t="str">
        <f>_xll.BQL("SEG0000230986 Segment", "IS_ADJ_GROSS_MARGIN_PCT_AR", "FPR=2021Y", "FPT=A", "FA_ACT_EST_DATA=E, EST_SOURCE=NDH", "ACT_EST_MAPPING=PRECISE", "FS=MRC", "CURRENCY=USD", "XLFILL=b")</f>
        <v>#N/A Requesting Data...</v>
      </c>
      <c r="W22" s="6" t="str">
        <f>_xll.BQL("SEG0000230986 Segment", "IS_ADJ_GROSS_MARGIN_PCT_AR", "FPR=2021Y", "FPT=A", "FA_ACT_EST_DATA=E, EST_SOURCE=ZXS", "ACT_EST_MAPPING=PRECISE", "FS=MRC", "CURRENCY=USD", "XLFILL=b")</f>
        <v>#N/A Requesting Data...</v>
      </c>
      <c r="X22" s="6" t="str">
        <f>_xll.BQL("SEG0000230986 Segment", "IS_ADJ_GROSS_MARGIN_PCT_AR", "FPR=2021Y", "FPT=A", "FA_ACT_EST_DATA=E, EST_SOURCE=CWN", "ACT_EST_MAPPING=PRECISE", "FS=MRC", "CURRENCY=USD", "XLFILL=b")</f>
        <v>#N/A Requesting Data...</v>
      </c>
      <c r="Y22" s="6" t="str">
        <f>_xll.BQL("SEG0000230986 Segment", "IS_ADJ_GROSS_MARGIN_PCT_AR", "FPR=2021Y", "FPT=A", "FA_ACT_EST_DATA=E, EST_SOURCE=DBG", "ACT_EST_MAPPING=PRECISE", "FS=MRC", "CURRENCY=USD", "XLFILL=b")</f>
        <v>#N/A Requesting Data...</v>
      </c>
      <c r="Z22" s="6" t="str">
        <f>_xll.BQL("SEG0000230986 Segment", "IS_ADJ_GROSS_MARGIN_PCT_AR", "FPR=2021Y", "FPT=A", "FA_ACT_EST_DATA=E, EST_SOURCE=UBS", "ACT_EST_MAPPING=PRECISE", "FS=MRC", "CURRENCY=USD", "XLFILL=b")</f>
        <v>#N/A Requesting Data...</v>
      </c>
      <c r="AA22" s="6" t="str">
        <f>_xll.BQL("SEG0000230986 Segment", "IS_ADJ_GROSS_MARGIN_PCT_AR", "FPR=2021Y", "FPT=A", "FA_ACT_EST_DATA=E, EST_SOURCE=RBC", "ACT_EST_MAPPING=PRECISE", "FS=MRC", "CURRENCY=USD", "XLFILL=b")</f>
        <v>#N/A Requesting Data...</v>
      </c>
      <c r="AB22" s="6" t="str">
        <f>_xll.BQL("SEG0000230986 Segment", "IS_ADJ_GROSS_MARGIN_PCT_AR", "FPR=2021Y", "FPT=A", "FA_ACT_EST_DATA=E, EST_SOURCE=EVR", "ACT_EST_MAPPING=PRECISE", "FS=MRC", "CURRENCY=USD", "XLFILL=b")</f>
        <v>#N/A Requesting Data...</v>
      </c>
      <c r="AC22" s="6" t="str">
        <f>_xll.BQL("SEG0000230986 Segment", "IS_ADJ_GROSS_MARGIN_PCT_AR", "FPR=2021Y", "FPT=A", "FA_ACT_EST_DATA=E, EST_SOURCE=BNS", "ACT_EST_MAPPING=PRECISE", "FS=MRC", "CURRENCY=USD", "XLFILL=b")</f>
        <v>#N/A Requesting Data...</v>
      </c>
      <c r="AD22" s="6" t="str">
        <f>_xll.BQL("SEG0000230986 Segment", "IS_ADJ_GROSS_MARGIN_PCT_AR", "FPR=2021Y", "FPT=A", "FA_ACT_EST_DATA=E, EST_SOURCE=BAM", "ACT_EST_MAPPING=PRECISE", "FS=MRC", "CURRENCY=USD", "XLFILL=b")</f>
        <v>#N/A Requesting Data...</v>
      </c>
      <c r="AE22" s="6" t="str">
        <f>_xll.BQL("SEG0000230986 Segment", "IS_ADJ_GROSS_MARGIN_PCT_AR", "FPR=2021Y", "FPT=A", "FA_ACT_EST_DATA=E, EST_SOURCE=GSR", "ACT_EST_MAPPING=PRECISE", "FS=MRC", "CURRENCY=USD", "XLFILL=b")</f>
        <v>#N/A Requesting Data...</v>
      </c>
      <c r="AF22" s="6" t="str">
        <f>_xll.BQL("SEG0000230986 Segment", "IS_ADJ_GROSS_MARGIN_PCT_AR", "FPR=2021Y", "FPT=A", "FA_ACT_EST_DATA=E, EST_SOURCE=FBC", "ACT_EST_MAPPING=PRECISE", "FS=MRC", "CURRENCY=USD", "XLFILL=b")</f>
        <v>#N/A Requesting Data...</v>
      </c>
      <c r="AG22" s="6" t="str">
        <f>_xll.BQL("SEG0000230986 Segment", "IS_ADJ_GROSS_MARGIN_PCT_AR", "FPR=2021Y", "FPT=A", "FA_ACT_EST_DATA=E, EST_SOURCE=MAC", "ACT_EST_MAPPING=PRECISE", "FS=MRC", "CURRENCY=USD", "XLFILL=b")</f>
        <v>#N/A Requesting Data...</v>
      </c>
      <c r="AH22" s="6" t="str">
        <f>_xll.BQL("SEG0000230986 Segment", "IS_ADJ_GROSS_MARGIN_PCT_AR", "FPR=2021Y", "FPT=A", "FA_ACT_EST_DATA=E, EST_SOURCE=PSG", "ACT_EST_MAPPING=PRECISE", "FS=MRC", "CURRENCY=USD", "XLFILL=b")</f>
        <v>#N/A Requesting Data...</v>
      </c>
      <c r="AI22" s="6" t="str">
        <f>_xll.BQL("SEG0000230986 Segment", "IS_ADJ_GROSS_MARGIN_PCT_AR", "FPR=2021Y", "FPT=A", "FA_ACT_EST_DATA=E, EST_SOURCE=MSR", "ACT_EST_MAPPING=PRECISE", "FS=MRC", "CURRENCY=USD", "XLFILL=b")</f>
        <v>#N/A Requesting Data...</v>
      </c>
      <c r="AJ22" s="6" t="str">
        <f>_xll.BQL("SEG0000230986 Segment", "IS_ADJ_GROSS_MARGIN_PCT_AR", "FPR=2021Y", "FPT=A", "FA_ACT_EST_DATA=E, EST_SOURCE=JEF", "ACT_EST_MAPPING=PRECISE", "FS=MRC", "CURRENCY=USD", "XLFILL=b")</f>
        <v>#N/A Requesting Data...</v>
      </c>
      <c r="AK22" s="6" t="str">
        <f>_xll.BQL("SEG0000230986 Segment", "IS_ADJ_GROSS_MARGIN_PCT_AR", "FPR=2021Y", "FPT=A", "FA_ACT_EST_DATA=E, EST_SOURCE=TTC", "ACT_EST_MAPPING=PRECISE", "FS=MRC", "CURRENCY=USD", "XLFILL=b")</f>
        <v>#N/A Requesting Data...</v>
      </c>
      <c r="AL22" s="6" t="str">
        <f>_xll.BQL("SEG0000230986 Segment", "IS_ADJ_GROSS_MARGIN_PCT_AR", "FPR=2021Y", "FPT=A", "FA_ACT_EST_DATA=E, EST_SOURCE=RWB", "ACT_EST_MAPPING=PRECISE", "FS=MRC", "CURRENCY=USD", "XLFILL=b")</f>
        <v>#N/A Requesting Data...</v>
      </c>
      <c r="AM22" s="6" t="str">
        <f>_xll.BQL("SEG0000230986 Segment", "IS_ADJ_GROSS_MARGIN_PCT_AR", "FPR=2021Y", "FPT=A", "FA_ACT_EST_DATA=E, EST_SOURCE=DZB", "ACT_EST_MAPPING=PRECISE", "FS=MRC", "CURRENCY=USD", "XLFILL=b")</f>
        <v>#N/A Requesting Data...</v>
      </c>
      <c r="AN22" s="6" t="str">
        <f>_xll.BQL("SEG0000230986 Segment", "IS_ADJ_GROSS_MARGIN_PCT_AR", "FPR=2021Y", "FPT=A", "FA_ACT_EST_DATA=E, EST_SOURCE=DWI", "ACT_EST_MAPPING=PRECISE", "FS=MRC", "CURRENCY=USD", "XLFILL=b")</f>
        <v>#N/A Requesting Data...</v>
      </c>
      <c r="AO22" s="6" t="str">
        <f>_xll.BQL("SEG0000230986 Segment", "IS_ADJ_GROSS_MARGIN_PCT_AR", "FPR=2021Y", "FPT=A", "FA_ACT_EST_DATA=E, EST_SOURCE=ARG", "ACT_EST_MAPPING=PRECISE", "FS=MRC", "CURRENCY=USD", "XLFILL=b")</f>
        <v>#N/A Requesting Data...</v>
      </c>
      <c r="AP22" s="6" t="str">
        <f>_xll.BQL("SEG0000230986 Segment", "IS_ADJ_GROSS_MARGIN_PCT_AR", "FPR=2021Y", "FPT=A", "FA_ACT_EST_DATA=E, EST_SOURCE=CTI", "ACT_EST_MAPPING=PRECISE", "FS=MRC", "CURRENCY=USD", "XLFILL=b")</f>
        <v>#N/A Requesting Data...</v>
      </c>
      <c r="AQ22" s="6" t="str">
        <f>_xll.BQL("SEG0000230986 Segment", "IS_ADJ_GROSS_MARGIN_PCT_AR", "FPR=2021Y", "FPT=A", "FA_ACT_EST_DATA=E, EST_SOURCE=WFT", "ACT_EST_MAPPING=PRECISE", "FS=MRC", "CURRENCY=USD", "XLFILL=b")</f>
        <v>#N/A Requesting Data...</v>
      </c>
      <c r="AR22" s="6" t="str">
        <f>_xll.BQL("SEG0000230986 Segment", "IS_ADJ_GROSS_MARGIN_PCT_AR", "FPR=2021Y", "FPT=A", "FA_ACT_EST_DATA=E, EST_SOURCE=ARE", "ACT_EST_MAPPING=PRECISE", "FS=MRC", "CURRENCY=USD", "XLFILL=b")</f>
        <v>#N/A Requesting Data...</v>
      </c>
      <c r="AS22" s="6" t="str">
        <f>_xll.BQL("SEG0000230986 Segment", "IS_ADJ_GROSS_MARGIN_PCT_AR", "FPR=2021Y", "FPT=A", "FA_ACT_EST_DATA=E, EST_SOURCE=PJE", "ACT_EST_MAPPING=PRECISE", "FS=MRC", "CURRENCY=USD", "XLFILL=b")</f>
        <v>#N/A Requesting Data...</v>
      </c>
      <c r="AT22" s="6" t="str">
        <f>_xll.BQL("SEG0000230986 Segment", "IS_ADJ_GROSS_MARGIN_PCT_AR", "FPR=2021Y", "FPT=A", "FA_ACT_EST_DATA=E, EST_SOURCE=MZS", "ACT_EST_MAPPING=PRECISE", "FS=MRC", "CURRENCY=USD", "XLFILL=b")</f>
        <v>#N/A Requesting Data...</v>
      </c>
      <c r="AU22" s="6" t="str">
        <f>_xll.BQL("SEG0000230986 Segment", "IS_ADJ_GROSS_MARGIN_PCT_AR", "FPR=2021Y", "FPT=A", "FA_ACT_EST_DATA=E, EST_SOURCE=SUM", "ACT_EST_MAPPING=PRECISE", "FS=MRC", "CURRENCY=USD", "XLFILL=b")</f>
        <v>#N/A Requesting Data...</v>
      </c>
      <c r="AV22" s="6" t="str">
        <f>_xll.BQL("SEG0000230986 Segment", "IS_ADJ_GROSS_MARGIN_PCT_AR", "FPR=2021Y", "FPT=A", "FA_ACT_EST_DATA=E, EST_SOURCE=CRC", "ACT_EST_MAPPING=PRECISE", "FS=MRC", "CURRENCY=USD", "XLFILL=b")</f>
        <v>#N/A Requesting Data...</v>
      </c>
      <c r="AW22" s="6" t="str">
        <f>_xll.BQL("SEG0000230986 Segment", "IS_ADJ_GROSS_MARGIN_PCT_AR", "FPR=2021Y", "FPT=A", "FA_ACT_EST_DATA=E, EST_SOURCE=SCB", "ACT_EST_MAPPING=PRECISE", "FS=MRC", "CURRENCY=USD", "XLFILL=b")</f>
        <v>#N/A Requesting Data...</v>
      </c>
    </row>
    <row r="23" spans="1:49" x14ac:dyDescent="0.55000000000000004">
      <c r="A23" s="5" t="s">
        <v>23</v>
      </c>
      <c r="B23" s="2"/>
      <c r="C23" s="2"/>
      <c r="D23" s="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</row>
    <row r="24" spans="1:49" x14ac:dyDescent="0.55000000000000004">
      <c r="A24" s="5" t="s">
        <v>52</v>
      </c>
      <c r="B24" s="2" t="s">
        <v>53</v>
      </c>
      <c r="C24" s="2" t="s">
        <v>54</v>
      </c>
      <c r="D24" s="2"/>
      <c r="E24" s="6" t="str">
        <f>_xll.BQL("NOW US Equity", "IS_ADJ_GROSS_PROFIT_AS_REPORTED/1M", "FPR=2021Y", "FPT=A", "FA_ACT_EST_DATA=E", "ACT_EST_MAPPING=PRECISE", "FS=MRC", "CURRENCY=USD", "XLFILL=b")</f>
        <v>#N/A Requesting Data...</v>
      </c>
      <c r="F24" s="6" t="str">
        <f>_xll.BQL("NOW US Equity", "CONTRIBUTOR_STATS(IS_ADJ_GROSS_PROFIT_AS_REPORTED, MIN)/1M", "FPR=2021Y", "FPT=A", "FA_ACT_EST_DATA=E", "ACT_EST_MAPPING=PRECISE", "FS=MRC", "CURRENCY=USD", "XLFILL=b")</f>
        <v>#N/A Requesting Data...</v>
      </c>
      <c r="G24" s="6" t="str">
        <f>_xll.BQL("NOW US Equity", "CONTRIBUTOR_STATS(IS_ADJ_GROSS_PROFIT_AS_REPORTED, MAX)/1M", "FPR=2021Y", "FPT=A", "FA_ACT_EST_DATA=E", "ACT_EST_MAPPING=PRECISE", "FS=MRC", "CURRENCY=USD", "XLFILL=b")</f>
        <v>#N/A Requesting Data...</v>
      </c>
      <c r="H24" s="6" t="str">
        <f>_xll.BQL("NOW US Equity", "CONTRIBUTOR_STATS(IS_ADJ_GROSS_PROFIT_AS_REPORTED, STD)/1M", "FPR=2021Y", "FPT=A", "FA_ACT_EST_DATA=E", "ACT_EST_MAPPING=PRECISE", "FS=MRC", "CURRENCY=USD", "XLFILL=b")</f>
        <v>#N/A Requesting Data...</v>
      </c>
      <c r="I24" s="6" t="str">
        <f>_xll.BQL("NOW US Equity", "CONTRIBUTOR_STATS(IS_ADJ_GROSS_PROFIT_AS_REPORTED, MEDIAN)/1M", "FPR=2021Y", "FPT=A", "FA_ACT_EST_DATA=E", "ACT_EST_MAPPING=PRECISE", "FS=MRC", "CURRENCY=USD", "XLFILL=b")</f>
        <v>#N/A Requesting Data...</v>
      </c>
      <c r="J24" s="6" t="str">
        <f>_xll.BQL("NOW US Equity", "IS_ADJ_GROSS_PROFIT_AS_REPORTED/1M", "FPR=2021Y", "FPT=A", "FA_ACT_EST_DATA=E, EST_SOURCE=CMPY", "ACT_EST_MAPPING=PRECISE", "FS=MRC", "CURRENCY=USD", "XLFILL=b")</f>
        <v>#N/A Requesting Data...</v>
      </c>
      <c r="K24" s="6">
        <f>_xll.BQL("NOW US Equity", "IS_ADJ_GROSS_PROFIT_AS_REPORTED/1M", "FPR=2021Y", "FPT=A", "FA_ACT_EST_DATA=E, EST_SOURCE=JPM", "ACT_EST_MAPPING=PRECISE", "FS=MRC", "CURRENCY=USD", "XLFILL=b")</f>
        <v>4774.1851214596991</v>
      </c>
      <c r="L24" s="6" t="str">
        <f>_xll.BQL("NOW US Equity", "IS_ADJ_GROSS_PROFIT_AS_REPORTED/1M", "FPR=2021Y", "FPT=A", "FA_ACT_EST_DATA=E, EST_SOURCE=WBL", "ACT_EST_MAPPING=PRECISE", "FS=MRC", "CURRENCY=USD", "XLFILL=b")</f>
        <v>#N/A Requesting Data...</v>
      </c>
      <c r="M24" s="6" t="str">
        <f>_xll.BQL("NOW US Equity", "IS_ADJ_GROSS_PROFIT_AS_REPORTED/1M", "FPR=2021Y", "FPT=A", "FA_ACT_EST_DATA=E, EST_SOURCE=KEY", "ACT_EST_MAPPING=PRECISE", "FS=MRC", "CURRENCY=USD", "XLFILL=b")</f>
        <v>#N/A Requesting Data...</v>
      </c>
      <c r="N24" s="6" t="str">
        <f>_xll.BQL("NOW US Equity", "IS_ADJ_GROSS_PROFIT_AS_REPORTED/1M", "FPR=2021Y", "FPT=A", "FA_ACT_EST_DATA=E, EST_SOURCE=BMO", "ACT_EST_MAPPING=PRECISE", "FS=MRC", "CURRENCY=USD", "XLFILL=b")</f>
        <v>#N/A Requesting Data...</v>
      </c>
      <c r="O24" s="6" t="str">
        <f>_xll.BQL("NOW US Equity", "IS_ADJ_GROSS_PROFIT_AS_REPORTED/1M", "FPR=2021Y", "FPT=A", "FA_ACT_EST_DATA=E, EST_SOURCE=OPY", "ACT_EST_MAPPING=PRECISE", "FS=MRC", "CURRENCY=USD", "XLFILL=b")</f>
        <v/>
      </c>
      <c r="P24" s="6" t="str">
        <f>_xll.BQL("NOW US Equity", "IS_ADJ_GROSS_PROFIT_AS_REPORTED/1M", "FPR=2021Y", "FPT=A", "FA_ACT_EST_DATA=E, EST_SOURCE=BCA", "ACT_EST_MAPPING=PRECISE", "FS=MRC", "CURRENCY=USD", "XLFILL=b")</f>
        <v>#N/A Requesting Data...</v>
      </c>
      <c r="Q24" s="6" t="str">
        <f>_xll.BQL("NOW US Equity", "IS_ADJ_GROSS_PROFIT_AS_REPORTED/1M", "FPR=2021Y", "FPT=A", "FA_ACT_EST_DATA=E, EST_SOURCE=RHR", "ACT_EST_MAPPING=PRECISE", "FS=MRC", "CURRENCY=USD", "XLFILL=b")</f>
        <v>#N/A Requesting Data...</v>
      </c>
      <c r="R24" s="6" t="str">
        <f>_xll.BQL("NOW US Equity", "IS_ADJ_GROSS_PROFIT_AS_REPORTED/1M", "FPR=2021Y", "FPT=A", "FA_ACT_EST_DATA=E, EST_SOURCE=SNR", "ACT_EST_MAPPING=PRECISE", "FS=MRC", "CURRENCY=USD", "XLFILL=b")</f>
        <v>#N/A Requesting Data...</v>
      </c>
      <c r="S24" s="6">
        <f>_xll.BQL("NOW US Equity", "IS_ADJ_GROSS_PROFIT_AS_REPORTED/1M", "FPR=2021Y", "FPT=A", "FA_ACT_EST_DATA=E, EST_SOURCE=MSV", "ACT_EST_MAPPING=PRECISE", "FS=MRC", "CURRENCY=USD", "XLFILL=b")</f>
        <v>4791.5374305680698</v>
      </c>
      <c r="T24" s="6" t="str">
        <f>_xll.BQL("NOW US Equity", "IS_ADJ_GROSS_PROFIT_AS_REPORTED/1M", "FPR=2021Y", "FPT=A", "FA_ACT_EST_DATA=E, EST_SOURCE=CAN", "ACT_EST_MAPPING=PRECISE", "FS=MRC", "CURRENCY=USD", "XLFILL=b")</f>
        <v>#N/A Requesting Data...</v>
      </c>
      <c r="U24" s="6" t="str">
        <f>_xll.BQL("NOW US Equity", "IS_ADJ_GROSS_PROFIT_AS_REPORTED/1M", "FPR=2021Y", "FPT=A", "FA_ACT_EST_DATA=E, EST_SOURCE=JMP", "ACT_EST_MAPPING=PRECISE", "FS=MRC", "CURRENCY=USD", "XLFILL=b")</f>
        <v>#N/A Requesting Data...</v>
      </c>
      <c r="V24" s="6" t="str">
        <f>_xll.BQL("NOW US Equity", "IS_ADJ_GROSS_PROFIT_AS_REPORTED/1M", "FPR=2021Y", "FPT=A", "FA_ACT_EST_DATA=E, EST_SOURCE=NDH", "ACT_EST_MAPPING=PRECISE", "FS=MRC", "CURRENCY=USD", "XLFILL=b")</f>
        <v>#N/A Requesting Data...</v>
      </c>
      <c r="W24" s="6" t="str">
        <f>_xll.BQL("NOW US Equity", "IS_ADJ_GROSS_PROFIT_AS_REPORTED/1M", "FPR=2021Y", "FPT=A", "FA_ACT_EST_DATA=E, EST_SOURCE=ZXS", "ACT_EST_MAPPING=PRECISE", "FS=MRC", "CURRENCY=USD", "XLFILL=b")</f>
        <v>#N/A Requesting Data...</v>
      </c>
      <c r="X24" s="6" t="str">
        <f>_xll.BQL("NOW US Equity", "IS_ADJ_GROSS_PROFIT_AS_REPORTED/1M", "FPR=2021Y", "FPT=A", "FA_ACT_EST_DATA=E, EST_SOURCE=CWN", "ACT_EST_MAPPING=PRECISE", "FS=MRC", "CURRENCY=USD", "XLFILL=b")</f>
        <v/>
      </c>
      <c r="Y24" s="6" t="str">
        <f>_xll.BQL("NOW US Equity", "IS_ADJ_GROSS_PROFIT_AS_REPORTED/1M", "FPR=2021Y", "FPT=A", "FA_ACT_EST_DATA=E, EST_SOURCE=DBG", "ACT_EST_MAPPING=PRECISE", "FS=MRC", "CURRENCY=USD", "XLFILL=b")</f>
        <v>#N/A Requesting Data...</v>
      </c>
      <c r="Z24" s="6" t="str">
        <f>_xll.BQL("NOW US Equity", "IS_ADJ_GROSS_PROFIT_AS_REPORTED/1M", "FPR=2021Y", "FPT=A", "FA_ACT_EST_DATA=E, EST_SOURCE=UBS", "ACT_EST_MAPPING=PRECISE", "FS=MRC", "CURRENCY=USD", "XLFILL=b")</f>
        <v>#N/A Requesting Data...</v>
      </c>
      <c r="AA24" s="6" t="str">
        <f>_xll.BQL("NOW US Equity", "IS_ADJ_GROSS_PROFIT_AS_REPORTED/1M", "FPR=2021Y", "FPT=A", "FA_ACT_EST_DATA=E, EST_SOURCE=RBC", "ACT_EST_MAPPING=PRECISE", "FS=MRC", "CURRENCY=USD", "XLFILL=b")</f>
        <v>#N/A Requesting Data...</v>
      </c>
      <c r="AB24" s="6" t="str">
        <f>_xll.BQL("NOW US Equity", "IS_ADJ_GROSS_PROFIT_AS_REPORTED/1M", "FPR=2021Y", "FPT=A", "FA_ACT_EST_DATA=E, EST_SOURCE=EVR", "ACT_EST_MAPPING=PRECISE", "FS=MRC", "CURRENCY=USD", "XLFILL=b")</f>
        <v/>
      </c>
      <c r="AC24" s="6" t="str">
        <f>_xll.BQL("NOW US Equity", "IS_ADJ_GROSS_PROFIT_AS_REPORTED/1M", "FPR=2021Y", "FPT=A", "FA_ACT_EST_DATA=E, EST_SOURCE=BNS", "ACT_EST_MAPPING=PRECISE", "FS=MRC", "CURRENCY=USD", "XLFILL=b")</f>
        <v>#N/A Requesting Data...</v>
      </c>
      <c r="AD24" s="6" t="str">
        <f>_xll.BQL("NOW US Equity", "IS_ADJ_GROSS_PROFIT_AS_REPORTED/1M", "FPR=2021Y", "FPT=A", "FA_ACT_EST_DATA=E, EST_SOURCE=BAM", "ACT_EST_MAPPING=PRECISE", "FS=MRC", "CURRENCY=USD", "XLFILL=b")</f>
        <v>#N/A Requesting Data...</v>
      </c>
      <c r="AE24" s="6" t="str">
        <f>_xll.BQL("NOW US Equity", "IS_ADJ_GROSS_PROFIT_AS_REPORTED/1M", "FPR=2021Y", "FPT=A", "FA_ACT_EST_DATA=E, EST_SOURCE=GSR", "ACT_EST_MAPPING=PRECISE", "FS=MRC", "CURRENCY=USD", "XLFILL=b")</f>
        <v/>
      </c>
      <c r="AF24" s="6" t="str">
        <f>_xll.BQL("NOW US Equity", "IS_ADJ_GROSS_PROFIT_AS_REPORTED/1M", "FPR=2021Y", "FPT=A", "FA_ACT_EST_DATA=E, EST_SOURCE=FBC", "ACT_EST_MAPPING=PRECISE", "FS=MRC", "CURRENCY=USD", "XLFILL=b")</f>
        <v>#N/A Requesting Data...</v>
      </c>
      <c r="AG24" s="6" t="str">
        <f>_xll.BQL("NOW US Equity", "IS_ADJ_GROSS_PROFIT_AS_REPORTED/1M", "FPR=2021Y", "FPT=A", "FA_ACT_EST_DATA=E, EST_SOURCE=MAC", "ACT_EST_MAPPING=PRECISE", "FS=MRC", "CURRENCY=USD", "XLFILL=b")</f>
        <v>#N/A Requesting Data...</v>
      </c>
      <c r="AH24" s="6" t="str">
        <f>_xll.BQL("NOW US Equity", "IS_ADJ_GROSS_PROFIT_AS_REPORTED/1M", "FPR=2021Y", "FPT=A", "FA_ACT_EST_DATA=E, EST_SOURCE=PSG", "ACT_EST_MAPPING=PRECISE", "FS=MRC", "CURRENCY=USD", "XLFILL=b")</f>
        <v/>
      </c>
      <c r="AI24" s="6" t="str">
        <f>_xll.BQL("NOW US Equity", "IS_ADJ_GROSS_PROFIT_AS_REPORTED/1M", "FPR=2021Y", "FPT=A", "FA_ACT_EST_DATA=E, EST_SOURCE=MSR", "ACT_EST_MAPPING=PRECISE", "FS=MRC", "CURRENCY=USD", "XLFILL=b")</f>
        <v/>
      </c>
      <c r="AJ24" s="6" t="str">
        <f>_xll.BQL("NOW US Equity", "IS_ADJ_GROSS_PROFIT_AS_REPORTED/1M", "FPR=2021Y", "FPT=A", "FA_ACT_EST_DATA=E, EST_SOURCE=JEF", "ACT_EST_MAPPING=PRECISE", "FS=MRC", "CURRENCY=USD", "XLFILL=b")</f>
        <v>#N/A Requesting Data...</v>
      </c>
      <c r="AK24" s="6" t="str">
        <f>_xll.BQL("NOW US Equity", "IS_ADJ_GROSS_PROFIT_AS_REPORTED/1M", "FPR=2021Y", "FPT=A", "FA_ACT_EST_DATA=E, EST_SOURCE=TTC", "ACT_EST_MAPPING=PRECISE", "FS=MRC", "CURRENCY=USD", "XLFILL=b")</f>
        <v/>
      </c>
      <c r="AL24" s="6" t="str">
        <f>_xll.BQL("NOW US Equity", "IS_ADJ_GROSS_PROFIT_AS_REPORTED/1M", "FPR=2021Y", "FPT=A", "FA_ACT_EST_DATA=E, EST_SOURCE=RWB", "ACT_EST_MAPPING=PRECISE", "FS=MRC", "CURRENCY=USD", "XLFILL=b")</f>
        <v/>
      </c>
      <c r="AM24" s="6" t="str">
        <f>_xll.BQL("NOW US Equity", "IS_ADJ_GROSS_PROFIT_AS_REPORTED/1M", "FPR=2021Y", "FPT=A", "FA_ACT_EST_DATA=E, EST_SOURCE=DZB", "ACT_EST_MAPPING=PRECISE", "FS=MRC", "CURRENCY=USD", "XLFILL=b")</f>
        <v>#N/A Requesting Data...</v>
      </c>
      <c r="AN24" s="6" t="str">
        <f>_xll.BQL("NOW US Equity", "IS_ADJ_GROSS_PROFIT_AS_REPORTED/1M", "FPR=2021Y", "FPT=A", "FA_ACT_EST_DATA=E, EST_SOURCE=DWI", "ACT_EST_MAPPING=PRECISE", "FS=MRC", "CURRENCY=USD", "XLFILL=b")</f>
        <v/>
      </c>
      <c r="AO24" s="6" t="str">
        <f>_xll.BQL("NOW US Equity", "IS_ADJ_GROSS_PROFIT_AS_REPORTED/1M", "FPR=2021Y", "FPT=A", "FA_ACT_EST_DATA=E, EST_SOURCE=ARG", "ACT_EST_MAPPING=PRECISE", "FS=MRC", "CURRENCY=USD", "XLFILL=b")</f>
        <v/>
      </c>
      <c r="AP24" s="6" t="str">
        <f>_xll.BQL("NOW US Equity", "IS_ADJ_GROSS_PROFIT_AS_REPORTED/1M", "FPR=2021Y", "FPT=A", "FA_ACT_EST_DATA=E, EST_SOURCE=CTI", "ACT_EST_MAPPING=PRECISE", "FS=MRC", "CURRENCY=USD", "XLFILL=b")</f>
        <v/>
      </c>
      <c r="AQ24" s="6" t="str">
        <f>_xll.BQL("NOW US Equity", "IS_ADJ_GROSS_PROFIT_AS_REPORTED/1M", "FPR=2021Y", "FPT=A", "FA_ACT_EST_DATA=E, EST_SOURCE=WFT", "ACT_EST_MAPPING=PRECISE", "FS=MRC", "CURRENCY=USD", "XLFILL=b")</f>
        <v>#N/A Requesting Data...</v>
      </c>
      <c r="AR24" s="6" t="str">
        <f>_xll.BQL("NOW US Equity", "IS_ADJ_GROSS_PROFIT_AS_REPORTED/1M", "FPR=2021Y", "FPT=A", "FA_ACT_EST_DATA=E, EST_SOURCE=ARE", "ACT_EST_MAPPING=PRECISE", "FS=MRC", "CURRENCY=USD", "XLFILL=b")</f>
        <v/>
      </c>
      <c r="AS24" s="6" t="str">
        <f>_xll.BQL("NOW US Equity", "IS_ADJ_GROSS_PROFIT_AS_REPORTED/1M", "FPR=2021Y", "FPT=A", "FA_ACT_EST_DATA=E, EST_SOURCE=PJE", "ACT_EST_MAPPING=PRECISE", "FS=MRC", "CURRENCY=USD", "XLFILL=b")</f>
        <v>#N/A Requesting Data...</v>
      </c>
      <c r="AT24" s="6" t="str">
        <f>_xll.BQL("NOW US Equity", "IS_ADJ_GROSS_PROFIT_AS_REPORTED/1M", "FPR=2021Y", "FPT=A", "FA_ACT_EST_DATA=E, EST_SOURCE=MZS", "ACT_EST_MAPPING=PRECISE", "FS=MRC", "CURRENCY=USD", "XLFILL=b")</f>
        <v>#N/A Requesting Data...</v>
      </c>
      <c r="AU24" s="6" t="str">
        <f>_xll.BQL("NOW US Equity", "IS_ADJ_GROSS_PROFIT_AS_REPORTED/1M", "FPR=2021Y", "FPT=A", "FA_ACT_EST_DATA=E, EST_SOURCE=SUM", "ACT_EST_MAPPING=PRECISE", "FS=MRC", "CURRENCY=USD", "XLFILL=b")</f>
        <v>#N/A Requesting Data...</v>
      </c>
      <c r="AV24" s="6" t="str">
        <f>_xll.BQL("NOW US Equity", "IS_ADJ_GROSS_PROFIT_AS_REPORTED/1M", "FPR=2021Y", "FPT=A", "FA_ACT_EST_DATA=E, EST_SOURCE=CRC", "ACT_EST_MAPPING=PRECISE", "FS=MRC", "CURRENCY=USD", "XLFILL=b")</f>
        <v/>
      </c>
      <c r="AW24" s="6" t="str">
        <f>_xll.BQL("NOW US Equity", "IS_ADJ_GROSS_PROFIT_AS_REPORTED/1M", "FPR=2021Y", "FPT=A", "FA_ACT_EST_DATA=E, EST_SOURCE=SCB", "ACT_EST_MAPPING=PRECISE", "FS=MRC", "CURRENCY=USD", "XLFILL=b")</f>
        <v>#N/A Requesting Data...</v>
      </c>
    </row>
    <row r="25" spans="1:49" x14ac:dyDescent="0.55000000000000004">
      <c r="A25" s="5" t="s">
        <v>55</v>
      </c>
      <c r="B25" s="2" t="s">
        <v>56</v>
      </c>
      <c r="C25" s="2" t="s">
        <v>57</v>
      </c>
      <c r="D25" s="2"/>
      <c r="E25" s="6" t="str">
        <f>_xll.BQL("NOW US Equity", "IS_COMP_GROSS_MARGIN_PERCENTAGE", "FPR=2021Y", "FPT=A", "FA_ACT_EST_DATA=E", "ACT_EST_MAPPING=PRECISE", "FS=MRC", "CURRENCY=USD", "XLFILL=b")</f>
        <v>#N/A Requesting Data...</v>
      </c>
      <c r="F25" s="6" t="str">
        <f>_xll.BQL("NOW US Equity", "CONTRIBUTOR_STATS(IS_COMP_GROSS_MARGIN_PERCENTAGE, MIN)", "FPR=2021Y", "FPT=A", "FA_ACT_EST_DATA=E", "ACT_EST_MAPPING=PRECISE", "FS=MRC", "CURRENCY=USD", "XLFILL=b")</f>
        <v>#N/A Requesting Data...</v>
      </c>
      <c r="G25" s="6" t="str">
        <f>_xll.BQL("NOW US Equity", "CONTRIBUTOR_STATS(IS_COMP_GROSS_MARGIN_PERCENTAGE, MAX)", "FPR=2021Y", "FPT=A", "FA_ACT_EST_DATA=E", "ACT_EST_MAPPING=PRECISE", "FS=MRC", "CURRENCY=USD", "XLFILL=b")</f>
        <v>#N/A Requesting Data...</v>
      </c>
      <c r="H25" s="6" t="str">
        <f>_xll.BQL("NOW US Equity", "CONTRIBUTOR_STATS(IS_COMP_GROSS_MARGIN_PERCENTAGE, STD)", "FPR=2021Y", "FPT=A", "FA_ACT_EST_DATA=E", "ACT_EST_MAPPING=PRECISE", "FS=MRC", "CURRENCY=USD", "XLFILL=b")</f>
        <v>#N/A Requesting Data...</v>
      </c>
      <c r="I25" s="6" t="str">
        <f>_xll.BQL("NOW US Equity", "CONTRIBUTOR_STATS(IS_COMP_GROSS_MARGIN_PERCENTAGE, MEDIAN)", "FPR=2021Y", "FPT=A", "FA_ACT_EST_DATA=E", "ACT_EST_MAPPING=PRECISE", "FS=MRC", "CURRENCY=USD", "XLFILL=b")</f>
        <v>#N/A Requesting Data...</v>
      </c>
      <c r="J25" s="6" t="str">
        <f>_xll.BQL("NOW US Equity", "IS_COMP_GROSS_MARGIN_PERCENTAGE", "FPR=2021Y", "FPT=A", "FA_ACT_EST_DATA=E, EST_SOURCE=CMPY", "ACT_EST_MAPPING=PRECISE", "FS=MRC", "CURRENCY=USD", "XLFILL=b")</f>
        <v>#N/A Requesting Data...</v>
      </c>
      <c r="K25" s="6" t="str">
        <f>_xll.BQL("NOW US Equity", "IS_COMP_GROSS_MARGIN_PERCENTAGE", "FPR=2021Y", "FPT=A", "FA_ACT_EST_DATA=E, EST_SOURCE=JPM", "ACT_EST_MAPPING=PRECISE", "FS=MRC", "CURRENCY=USD", "XLFILL=b")</f>
        <v>#N/A Requesting Data...</v>
      </c>
      <c r="L25" s="6" t="str">
        <f>_xll.BQL("NOW US Equity", "IS_COMP_GROSS_MARGIN_PERCENTAGE", "FPR=2021Y", "FPT=A", "FA_ACT_EST_DATA=E, EST_SOURCE=WBL", "ACT_EST_MAPPING=PRECISE", "FS=MRC", "CURRENCY=USD", "XLFILL=b")</f>
        <v>#N/A Requesting Data...</v>
      </c>
      <c r="M25" s="6" t="str">
        <f>_xll.BQL("NOW US Equity", "IS_COMP_GROSS_MARGIN_PERCENTAGE", "FPR=2021Y", "FPT=A", "FA_ACT_EST_DATA=E, EST_SOURCE=KEY", "ACT_EST_MAPPING=PRECISE", "FS=MRC", "CURRENCY=USD", "XLFILL=b")</f>
        <v>#N/A Requesting Data...</v>
      </c>
      <c r="N25" s="6" t="str">
        <f>_xll.BQL("NOW US Equity", "IS_COMP_GROSS_MARGIN_PERCENTAGE", "FPR=2021Y", "FPT=A", "FA_ACT_EST_DATA=E, EST_SOURCE=BMO", "ACT_EST_MAPPING=PRECISE", "FS=MRC", "CURRENCY=USD", "XLFILL=b")</f>
        <v>#N/A Requesting Data...</v>
      </c>
      <c r="O25" s="6" t="str">
        <f>_xll.BQL("NOW US Equity", "IS_COMP_GROSS_MARGIN_PERCENTAGE", "FPR=2021Y", "FPT=A", "FA_ACT_EST_DATA=E, EST_SOURCE=OPY", "ACT_EST_MAPPING=PRECISE", "FS=MRC", "CURRENCY=USD", "XLFILL=b")</f>
        <v>#N/A Requesting Data...</v>
      </c>
      <c r="P25" s="6" t="str">
        <f>_xll.BQL("NOW US Equity", "IS_COMP_GROSS_MARGIN_PERCENTAGE", "FPR=2021Y", "FPT=A", "FA_ACT_EST_DATA=E, EST_SOURCE=BCA", "ACT_EST_MAPPING=PRECISE", "FS=MRC", "CURRENCY=USD", "XLFILL=b")</f>
        <v>#N/A Requesting Data...</v>
      </c>
      <c r="Q25" s="6" t="str">
        <f>_xll.BQL("NOW US Equity", "IS_COMP_GROSS_MARGIN_PERCENTAGE", "FPR=2021Y", "FPT=A", "FA_ACT_EST_DATA=E, EST_SOURCE=RHR", "ACT_EST_MAPPING=PRECISE", "FS=MRC", "CURRENCY=USD", "XLFILL=b")</f>
        <v>#N/A Requesting Data...</v>
      </c>
      <c r="R25" s="6" t="str">
        <f>_xll.BQL("NOW US Equity", "IS_COMP_GROSS_MARGIN_PERCENTAGE", "FPR=2021Y", "FPT=A", "FA_ACT_EST_DATA=E, EST_SOURCE=SNR", "ACT_EST_MAPPING=PRECISE", "FS=MRC", "CURRENCY=USD", "XLFILL=b")</f>
        <v>#N/A Requesting Data...</v>
      </c>
      <c r="S25" s="6" t="str">
        <f>_xll.BQL("NOW US Equity", "IS_COMP_GROSS_MARGIN_PERCENTAGE", "FPR=2021Y", "FPT=A", "FA_ACT_EST_DATA=E, EST_SOURCE=MSV", "ACT_EST_MAPPING=PRECISE", "FS=MRC", "CURRENCY=USD", "XLFILL=b")</f>
        <v>#N/A Requesting Data...</v>
      </c>
      <c r="T25" s="6" t="str">
        <f>_xll.BQL("NOW US Equity", "IS_COMP_GROSS_MARGIN_PERCENTAGE", "FPR=2021Y", "FPT=A", "FA_ACT_EST_DATA=E, EST_SOURCE=CAN", "ACT_EST_MAPPING=PRECISE", "FS=MRC", "CURRENCY=USD", "XLFILL=b")</f>
        <v>#N/A Requesting Data...</v>
      </c>
      <c r="U25" s="6" t="str">
        <f>_xll.BQL("NOW US Equity", "IS_COMP_GROSS_MARGIN_PERCENTAGE", "FPR=2021Y", "FPT=A", "FA_ACT_EST_DATA=E, EST_SOURCE=JMP", "ACT_EST_MAPPING=PRECISE", "FS=MRC", "CURRENCY=USD", "XLFILL=b")</f>
        <v>#N/A Requesting Data...</v>
      </c>
      <c r="V25" s="6" t="str">
        <f>_xll.BQL("NOW US Equity", "IS_COMP_GROSS_MARGIN_PERCENTAGE", "FPR=2021Y", "FPT=A", "FA_ACT_EST_DATA=E, EST_SOURCE=NDH", "ACT_EST_MAPPING=PRECISE", "FS=MRC", "CURRENCY=USD", "XLFILL=b")</f>
        <v>#N/A Requesting Data...</v>
      </c>
      <c r="W25" s="6" t="str">
        <f>_xll.BQL("NOW US Equity", "IS_COMP_GROSS_MARGIN_PERCENTAGE", "FPR=2021Y", "FPT=A", "FA_ACT_EST_DATA=E, EST_SOURCE=ZXS", "ACT_EST_MAPPING=PRECISE", "FS=MRC", "CURRENCY=USD", "XLFILL=b")</f>
        <v>#N/A Requesting Data...</v>
      </c>
      <c r="X25" s="6" t="str">
        <f>_xll.BQL("NOW US Equity", "IS_COMP_GROSS_MARGIN_PERCENTAGE", "FPR=2021Y", "FPT=A", "FA_ACT_EST_DATA=E, EST_SOURCE=CWN", "ACT_EST_MAPPING=PRECISE", "FS=MRC", "CURRENCY=USD", "XLFILL=b")</f>
        <v>#N/A Requesting Data...</v>
      </c>
      <c r="Y25" s="6" t="str">
        <f>_xll.BQL("NOW US Equity", "IS_COMP_GROSS_MARGIN_PERCENTAGE", "FPR=2021Y", "FPT=A", "FA_ACT_EST_DATA=E, EST_SOURCE=DBG", "ACT_EST_MAPPING=PRECISE", "FS=MRC", "CURRENCY=USD", "XLFILL=b")</f>
        <v>#N/A Requesting Data...</v>
      </c>
      <c r="Z25" s="6" t="str">
        <f>_xll.BQL("NOW US Equity", "IS_COMP_GROSS_MARGIN_PERCENTAGE", "FPR=2021Y", "FPT=A", "FA_ACT_EST_DATA=E, EST_SOURCE=UBS", "ACT_EST_MAPPING=PRECISE", "FS=MRC", "CURRENCY=USD", "XLFILL=b")</f>
        <v>#N/A Requesting Data...</v>
      </c>
      <c r="AA25" s="6" t="str">
        <f>_xll.BQL("NOW US Equity", "IS_COMP_GROSS_MARGIN_PERCENTAGE", "FPR=2021Y", "FPT=A", "FA_ACT_EST_DATA=E, EST_SOURCE=RBC", "ACT_EST_MAPPING=PRECISE", "FS=MRC", "CURRENCY=USD", "XLFILL=b")</f>
        <v>#N/A Requesting Data...</v>
      </c>
      <c r="AB25" s="6" t="str">
        <f>_xll.BQL("NOW US Equity", "IS_COMP_GROSS_MARGIN_PERCENTAGE", "FPR=2021Y", "FPT=A", "FA_ACT_EST_DATA=E, EST_SOURCE=EVR", "ACT_EST_MAPPING=PRECISE", "FS=MRC", "CURRENCY=USD", "XLFILL=b")</f>
        <v>#N/A Requesting Data...</v>
      </c>
      <c r="AC25" s="6" t="str">
        <f>_xll.BQL("NOW US Equity", "IS_COMP_GROSS_MARGIN_PERCENTAGE", "FPR=2021Y", "FPT=A", "FA_ACT_EST_DATA=E, EST_SOURCE=BNS", "ACT_EST_MAPPING=PRECISE", "FS=MRC", "CURRENCY=USD", "XLFILL=b")</f>
        <v>#N/A Requesting Data...</v>
      </c>
      <c r="AD25" s="6" t="str">
        <f>_xll.BQL("NOW US Equity", "IS_COMP_GROSS_MARGIN_PERCENTAGE", "FPR=2021Y", "FPT=A", "FA_ACT_EST_DATA=E, EST_SOURCE=BAM", "ACT_EST_MAPPING=PRECISE", "FS=MRC", "CURRENCY=USD", "XLFILL=b")</f>
        <v>#N/A Requesting Data...</v>
      </c>
      <c r="AE25" s="6" t="str">
        <f>_xll.BQL("NOW US Equity", "IS_COMP_GROSS_MARGIN_PERCENTAGE", "FPR=2021Y", "FPT=A", "FA_ACT_EST_DATA=E, EST_SOURCE=GSR", "ACT_EST_MAPPING=PRECISE", "FS=MRC", "CURRENCY=USD", "XLFILL=b")</f>
        <v>#N/A Requesting Data...</v>
      </c>
      <c r="AF25" s="6" t="str">
        <f>_xll.BQL("NOW US Equity", "IS_COMP_GROSS_MARGIN_PERCENTAGE", "FPR=2021Y", "FPT=A", "FA_ACT_EST_DATA=E, EST_SOURCE=FBC", "ACT_EST_MAPPING=PRECISE", "FS=MRC", "CURRENCY=USD", "XLFILL=b")</f>
        <v>#N/A Requesting Data...</v>
      </c>
      <c r="AG25" s="6" t="str">
        <f>_xll.BQL("NOW US Equity", "IS_COMP_GROSS_MARGIN_PERCENTAGE", "FPR=2021Y", "FPT=A", "FA_ACT_EST_DATA=E, EST_SOURCE=MAC", "ACT_EST_MAPPING=PRECISE", "FS=MRC", "CURRENCY=USD", "XLFILL=b")</f>
        <v>#N/A Requesting Data...</v>
      </c>
      <c r="AH25" s="6" t="str">
        <f>_xll.BQL("NOW US Equity", "IS_COMP_GROSS_MARGIN_PERCENTAGE", "FPR=2021Y", "FPT=A", "FA_ACT_EST_DATA=E, EST_SOURCE=PSG", "ACT_EST_MAPPING=PRECISE", "FS=MRC", "CURRENCY=USD", "XLFILL=b")</f>
        <v>#N/A Requesting Data...</v>
      </c>
      <c r="AI25" s="6" t="str">
        <f>_xll.BQL("NOW US Equity", "IS_COMP_GROSS_MARGIN_PERCENTAGE", "FPR=2021Y", "FPT=A", "FA_ACT_EST_DATA=E, EST_SOURCE=MSR", "ACT_EST_MAPPING=PRECISE", "FS=MRC", "CURRENCY=USD", "XLFILL=b")</f>
        <v>#N/A Requesting Data...</v>
      </c>
      <c r="AJ25" s="6" t="str">
        <f>_xll.BQL("NOW US Equity", "IS_COMP_GROSS_MARGIN_PERCENTAGE", "FPR=2021Y", "FPT=A", "FA_ACT_EST_DATA=E, EST_SOURCE=JEF", "ACT_EST_MAPPING=PRECISE", "FS=MRC", "CURRENCY=USD", "XLFILL=b")</f>
        <v>#N/A Requesting Data...</v>
      </c>
      <c r="AK25" s="6" t="str">
        <f>_xll.BQL("NOW US Equity", "IS_COMP_GROSS_MARGIN_PERCENTAGE", "FPR=2021Y", "FPT=A", "FA_ACT_EST_DATA=E, EST_SOURCE=TTC", "ACT_EST_MAPPING=PRECISE", "FS=MRC", "CURRENCY=USD", "XLFILL=b")</f>
        <v>#N/A Requesting Data...</v>
      </c>
      <c r="AL25" s="6" t="str">
        <f>_xll.BQL("NOW US Equity", "IS_COMP_GROSS_MARGIN_PERCENTAGE", "FPR=2021Y", "FPT=A", "FA_ACT_EST_DATA=E, EST_SOURCE=RWB", "ACT_EST_MAPPING=PRECISE", "FS=MRC", "CURRENCY=USD", "XLFILL=b")</f>
        <v>#N/A Requesting Data...</v>
      </c>
      <c r="AM25" s="6" t="str">
        <f>_xll.BQL("NOW US Equity", "IS_COMP_GROSS_MARGIN_PERCENTAGE", "FPR=2021Y", "FPT=A", "FA_ACT_EST_DATA=E, EST_SOURCE=DZB", "ACT_EST_MAPPING=PRECISE", "FS=MRC", "CURRENCY=USD", "XLFILL=b")</f>
        <v>#N/A Requesting Data...</v>
      </c>
      <c r="AN25" s="6" t="str">
        <f>_xll.BQL("NOW US Equity", "IS_COMP_GROSS_MARGIN_PERCENTAGE", "FPR=2021Y", "FPT=A", "FA_ACT_EST_DATA=E, EST_SOURCE=DWI", "ACT_EST_MAPPING=PRECISE", "FS=MRC", "CURRENCY=USD", "XLFILL=b")</f>
        <v>#N/A Requesting Data...</v>
      </c>
      <c r="AO25" s="6" t="str">
        <f>_xll.BQL("NOW US Equity", "IS_COMP_GROSS_MARGIN_PERCENTAGE", "FPR=2021Y", "FPT=A", "FA_ACT_EST_DATA=E, EST_SOURCE=ARG", "ACT_EST_MAPPING=PRECISE", "FS=MRC", "CURRENCY=USD", "XLFILL=b")</f>
        <v>#N/A Requesting Data...</v>
      </c>
      <c r="AP25" s="6" t="str">
        <f>_xll.BQL("NOW US Equity", "IS_COMP_GROSS_MARGIN_PERCENTAGE", "FPR=2021Y", "FPT=A", "FA_ACT_EST_DATA=E, EST_SOURCE=CTI", "ACT_EST_MAPPING=PRECISE", "FS=MRC", "CURRENCY=USD", "XLFILL=b")</f>
        <v>#N/A Requesting Data...</v>
      </c>
      <c r="AQ25" s="6" t="str">
        <f>_xll.BQL("NOW US Equity", "IS_COMP_GROSS_MARGIN_PERCENTAGE", "FPR=2021Y", "FPT=A", "FA_ACT_EST_DATA=E, EST_SOURCE=WFT", "ACT_EST_MAPPING=PRECISE", "FS=MRC", "CURRENCY=USD", "XLFILL=b")</f>
        <v>#N/A Requesting Data...</v>
      </c>
      <c r="AR25" s="6" t="str">
        <f>_xll.BQL("NOW US Equity", "IS_COMP_GROSS_MARGIN_PERCENTAGE", "FPR=2021Y", "FPT=A", "FA_ACT_EST_DATA=E, EST_SOURCE=ARE", "ACT_EST_MAPPING=PRECISE", "FS=MRC", "CURRENCY=USD", "XLFILL=b")</f>
        <v>#N/A Requesting Data...</v>
      </c>
      <c r="AS25" s="6" t="str">
        <f>_xll.BQL("NOW US Equity", "IS_COMP_GROSS_MARGIN_PERCENTAGE", "FPR=2021Y", "FPT=A", "FA_ACT_EST_DATA=E, EST_SOURCE=PJE", "ACT_EST_MAPPING=PRECISE", "FS=MRC", "CURRENCY=USD", "XLFILL=b")</f>
        <v>#N/A Requesting Data...</v>
      </c>
      <c r="AT25" s="6" t="str">
        <f>_xll.BQL("NOW US Equity", "IS_COMP_GROSS_MARGIN_PERCENTAGE", "FPR=2021Y", "FPT=A", "FA_ACT_EST_DATA=E, EST_SOURCE=MZS", "ACT_EST_MAPPING=PRECISE", "FS=MRC", "CURRENCY=USD", "XLFILL=b")</f>
        <v>#N/A Requesting Data...</v>
      </c>
      <c r="AU25" s="6" t="str">
        <f>_xll.BQL("NOW US Equity", "IS_COMP_GROSS_MARGIN_PERCENTAGE", "FPR=2021Y", "FPT=A", "FA_ACT_EST_DATA=E, EST_SOURCE=SUM", "ACT_EST_MAPPING=PRECISE", "FS=MRC", "CURRENCY=USD", "XLFILL=b")</f>
        <v>#N/A Requesting Data...</v>
      </c>
      <c r="AV25" s="6" t="str">
        <f>_xll.BQL("NOW US Equity", "IS_COMP_GROSS_MARGIN_PERCENTAGE", "FPR=2021Y", "FPT=A", "FA_ACT_EST_DATA=E, EST_SOURCE=CRC", "ACT_EST_MAPPING=PRECISE", "FS=MRC", "CURRENCY=USD", "XLFILL=b")</f>
        <v>#N/A Requesting Data...</v>
      </c>
      <c r="AW25" s="6" t="str">
        <f>_xll.BQL("NOW US Equity", "IS_COMP_GROSS_MARGIN_PERCENTAGE", "FPR=2021Y", "FPT=A", "FA_ACT_EST_DATA=E, EST_SOURCE=SCB", "ACT_EST_MAPPING=PRECISE", "FS=MRC", "CURRENCY=USD", "XLFILL=b")</f>
        <v>#N/A Requesting Data...</v>
      </c>
    </row>
    <row r="26" spans="1:49" x14ac:dyDescent="0.55000000000000004">
      <c r="A26" s="5" t="s">
        <v>58</v>
      </c>
      <c r="B26" s="2" t="s">
        <v>59</v>
      </c>
      <c r="C26" s="2" t="s">
        <v>60</v>
      </c>
      <c r="D26" s="2"/>
      <c r="E26" s="6" t="str">
        <f>_xll.BQL("NOW US Equity", "IS_ADJ_SELLING_AND_MRKTG_EXPN_AR/1M", "FPR=2021Y", "FPT=A", "FA_ACT_EST_DATA=E", "ACT_EST_MAPPING=PRECISE", "FS=MRC", "CURRENCY=USD", "XLFILL=b")</f>
        <v>#N/A Requesting Data...</v>
      </c>
      <c r="F26" s="6" t="str">
        <f>_xll.BQL("NOW US Equity", "CONTRIBUTOR_STATS(IS_ADJ_SELLING_AND_MRKTG_EXPN_AR, MIN)/1M", "FPR=2021Y", "FPT=A", "FA_ACT_EST_DATA=E", "ACT_EST_MAPPING=PRECISE", "FS=MRC", "CURRENCY=USD", "XLFILL=b")</f>
        <v>#N/A Requesting Data...</v>
      </c>
      <c r="G26" s="6" t="str">
        <f>_xll.BQL("NOW US Equity", "CONTRIBUTOR_STATS(IS_ADJ_SELLING_AND_MRKTG_EXPN_AR, MAX)/1M", "FPR=2021Y", "FPT=A", "FA_ACT_EST_DATA=E", "ACT_EST_MAPPING=PRECISE", "FS=MRC", "CURRENCY=USD", "XLFILL=b")</f>
        <v>#N/A Requesting Data...</v>
      </c>
      <c r="H26" s="6" t="str">
        <f>_xll.BQL("NOW US Equity", "CONTRIBUTOR_STATS(IS_ADJ_SELLING_AND_MRKTG_EXPN_AR, STD)/1M", "FPR=2021Y", "FPT=A", "FA_ACT_EST_DATA=E", "ACT_EST_MAPPING=PRECISE", "FS=MRC", "CURRENCY=USD", "XLFILL=b")</f>
        <v>#N/A Requesting Data...</v>
      </c>
      <c r="I26" s="6" t="str">
        <f>_xll.BQL("NOW US Equity", "CONTRIBUTOR_STATS(IS_ADJ_SELLING_AND_MRKTG_EXPN_AR, MEDIAN)/1M", "FPR=2021Y", "FPT=A", "FA_ACT_EST_DATA=E", "ACT_EST_MAPPING=PRECISE", "FS=MRC", "CURRENCY=USD", "XLFILL=b")</f>
        <v>#N/A Requesting Data...</v>
      </c>
      <c r="J26" s="6" t="str">
        <f>_xll.BQL("NOW US Equity", "IS_ADJ_SELLING_AND_MRKTG_EXPN_AR/1M", "FPR=2021Y", "FPT=A", "FA_ACT_EST_DATA=E, EST_SOURCE=CMPY", "ACT_EST_MAPPING=PRECISE", "FS=MRC", "CURRENCY=USD", "XLFILL=b")</f>
        <v>#N/A Requesting Data...</v>
      </c>
      <c r="K26" s="6" t="str">
        <f>_xll.BQL("NOW US Equity", "IS_ADJ_SELLING_AND_MRKTG_EXPN_AR/1M", "FPR=2021Y", "FPT=A", "FA_ACT_EST_DATA=E, EST_SOURCE=JPM", "ACT_EST_MAPPING=PRECISE", "FS=MRC", "CURRENCY=USD", "XLFILL=b")</f>
        <v>#N/A Requesting Data...</v>
      </c>
      <c r="L26" s="6" t="str">
        <f>_xll.BQL("NOW US Equity", "IS_ADJ_SELLING_AND_MRKTG_EXPN_AR/1M", "FPR=2021Y", "FPT=A", "FA_ACT_EST_DATA=E, EST_SOURCE=WBL", "ACT_EST_MAPPING=PRECISE", "FS=MRC", "CURRENCY=USD", "XLFILL=b")</f>
        <v>#N/A Requesting Data...</v>
      </c>
      <c r="M26" s="6" t="str">
        <f>_xll.BQL("NOW US Equity", "IS_ADJ_SELLING_AND_MRKTG_EXPN_AR/1M", "FPR=2021Y", "FPT=A", "FA_ACT_EST_DATA=E, EST_SOURCE=KEY", "ACT_EST_MAPPING=PRECISE", "FS=MRC", "CURRENCY=USD", "XLFILL=b")</f>
        <v>#N/A Requesting Data...</v>
      </c>
      <c r="N26" s="6" t="str">
        <f>_xll.BQL("NOW US Equity", "IS_ADJ_SELLING_AND_MRKTG_EXPN_AR/1M", "FPR=2021Y", "FPT=A", "FA_ACT_EST_DATA=E, EST_SOURCE=BMO", "ACT_EST_MAPPING=PRECISE", "FS=MRC", "CURRENCY=USD", "XLFILL=b")</f>
        <v>#N/A Requesting Data...</v>
      </c>
      <c r="O26" s="6" t="str">
        <f>_xll.BQL("NOW US Equity", "IS_ADJ_SELLING_AND_MRKTG_EXPN_AR/1M", "FPR=2021Y", "FPT=A", "FA_ACT_EST_DATA=E, EST_SOURCE=OPY", "ACT_EST_MAPPING=PRECISE", "FS=MRC", "CURRENCY=USD", "XLFILL=b")</f>
        <v>#N/A Requesting Data...</v>
      </c>
      <c r="P26" s="6" t="str">
        <f>_xll.BQL("NOW US Equity", "IS_ADJ_SELLING_AND_MRKTG_EXPN_AR/1M", "FPR=2021Y", "FPT=A", "FA_ACT_EST_DATA=E, EST_SOURCE=BCA", "ACT_EST_MAPPING=PRECISE", "FS=MRC", "CURRENCY=USD", "XLFILL=b")</f>
        <v>#N/A Requesting Data...</v>
      </c>
      <c r="Q26" s="6" t="str">
        <f>_xll.BQL("NOW US Equity", "IS_ADJ_SELLING_AND_MRKTG_EXPN_AR/1M", "FPR=2021Y", "FPT=A", "FA_ACT_EST_DATA=E, EST_SOURCE=RHR", "ACT_EST_MAPPING=PRECISE", "FS=MRC", "CURRENCY=USD", "XLFILL=b")</f>
        <v/>
      </c>
      <c r="R26" s="6" t="str">
        <f>_xll.BQL("NOW US Equity", "IS_ADJ_SELLING_AND_MRKTG_EXPN_AR/1M", "FPR=2021Y", "FPT=A", "FA_ACT_EST_DATA=E, EST_SOURCE=SNR", "ACT_EST_MAPPING=PRECISE", "FS=MRC", "CURRENCY=USD", "XLFILL=b")</f>
        <v/>
      </c>
      <c r="S26" s="6" t="str">
        <f>_xll.BQL("NOW US Equity", "IS_ADJ_SELLING_AND_MRKTG_EXPN_AR/1M", "FPR=2021Y", "FPT=A", "FA_ACT_EST_DATA=E, EST_SOURCE=MSV", "ACT_EST_MAPPING=PRECISE", "FS=MRC", "CURRENCY=USD", "XLFILL=b")</f>
        <v>#N/A Requesting Data...</v>
      </c>
      <c r="T26" s="6" t="str">
        <f>_xll.BQL("NOW US Equity", "IS_ADJ_SELLING_AND_MRKTG_EXPN_AR/1M", "FPR=2021Y", "FPT=A", "FA_ACT_EST_DATA=E, EST_SOURCE=CAN", "ACT_EST_MAPPING=PRECISE", "FS=MRC", "CURRENCY=USD", "XLFILL=b")</f>
        <v>#N/A Requesting Data...</v>
      </c>
      <c r="U26" s="6">
        <f>_xll.BQL("NOW US Equity", "IS_ADJ_SELLING_AND_MRKTG_EXPN_AR/1M", "FPR=2021Y", "FPT=A", "FA_ACT_EST_DATA=E, EST_SOURCE=JMP", "ACT_EST_MAPPING=PRECISE", "FS=MRC", "CURRENCY=USD", "XLFILL=b")</f>
        <v>1970.3149703000001</v>
      </c>
      <c r="V26" s="6" t="str">
        <f>_xll.BQL("NOW US Equity", "IS_ADJ_SELLING_AND_MRKTG_EXPN_AR/1M", "FPR=2021Y", "FPT=A", "FA_ACT_EST_DATA=E, EST_SOURCE=NDH", "ACT_EST_MAPPING=PRECISE", "FS=MRC", "CURRENCY=USD", "XLFILL=b")</f>
        <v>#N/A Requesting Data...</v>
      </c>
      <c r="W26" s="6" t="str">
        <f>_xll.BQL("NOW US Equity", "IS_ADJ_SELLING_AND_MRKTG_EXPN_AR/1M", "FPR=2021Y", "FPT=A", "FA_ACT_EST_DATA=E, EST_SOURCE=ZXS", "ACT_EST_MAPPING=PRECISE", "FS=MRC", "CURRENCY=USD", "XLFILL=b")</f>
        <v>#N/A Requesting Data...</v>
      </c>
      <c r="X26" s="6" t="str">
        <f>_xll.BQL("NOW US Equity", "IS_ADJ_SELLING_AND_MRKTG_EXPN_AR/1M", "FPR=2021Y", "FPT=A", "FA_ACT_EST_DATA=E, EST_SOURCE=CWN", "ACT_EST_MAPPING=PRECISE", "FS=MRC", "CURRENCY=USD", "XLFILL=b")</f>
        <v>#N/A Requesting Data...</v>
      </c>
      <c r="Y26" s="6" t="str">
        <f>_xll.BQL("NOW US Equity", "IS_ADJ_SELLING_AND_MRKTG_EXPN_AR/1M", "FPR=2021Y", "FPT=A", "FA_ACT_EST_DATA=E, EST_SOURCE=DBG", "ACT_EST_MAPPING=PRECISE", "FS=MRC", "CURRENCY=USD", "XLFILL=b")</f>
        <v>#N/A Requesting Data...</v>
      </c>
      <c r="Z26" s="6" t="str">
        <f>_xll.BQL("NOW US Equity", "IS_ADJ_SELLING_AND_MRKTG_EXPN_AR/1M", "FPR=2021Y", "FPT=A", "FA_ACT_EST_DATA=E, EST_SOURCE=UBS", "ACT_EST_MAPPING=PRECISE", "FS=MRC", "CURRENCY=USD", "XLFILL=b")</f>
        <v>#N/A Requesting Data...</v>
      </c>
      <c r="AA26" s="6" t="str">
        <f>_xll.BQL("NOW US Equity", "IS_ADJ_SELLING_AND_MRKTG_EXPN_AR/1M", "FPR=2021Y", "FPT=A", "FA_ACT_EST_DATA=E, EST_SOURCE=RBC", "ACT_EST_MAPPING=PRECISE", "FS=MRC", "CURRENCY=USD", "XLFILL=b")</f>
        <v>#N/A Requesting Data...</v>
      </c>
      <c r="AB26" s="6" t="str">
        <f>_xll.BQL("NOW US Equity", "IS_ADJ_SELLING_AND_MRKTG_EXPN_AR/1M", "FPR=2021Y", "FPT=A", "FA_ACT_EST_DATA=E, EST_SOURCE=EVR", "ACT_EST_MAPPING=PRECISE", "FS=MRC", "CURRENCY=USD", "XLFILL=b")</f>
        <v>#N/A Requesting Data...</v>
      </c>
      <c r="AC26" s="6" t="str">
        <f>_xll.BQL("NOW US Equity", "IS_ADJ_SELLING_AND_MRKTG_EXPN_AR/1M", "FPR=2021Y", "FPT=A", "FA_ACT_EST_DATA=E, EST_SOURCE=BNS", "ACT_EST_MAPPING=PRECISE", "FS=MRC", "CURRENCY=USD", "XLFILL=b")</f>
        <v>#N/A Requesting Data...</v>
      </c>
      <c r="AD26" s="6" t="str">
        <f>_xll.BQL("NOW US Equity", "IS_ADJ_SELLING_AND_MRKTG_EXPN_AR/1M", "FPR=2021Y", "FPT=A", "FA_ACT_EST_DATA=E, EST_SOURCE=BAM", "ACT_EST_MAPPING=PRECISE", "FS=MRC", "CURRENCY=USD", "XLFILL=b")</f>
        <v>#N/A Requesting Data...</v>
      </c>
      <c r="AE26" s="6" t="str">
        <f>_xll.BQL("NOW US Equity", "IS_ADJ_SELLING_AND_MRKTG_EXPN_AR/1M", "FPR=2021Y", "FPT=A", "FA_ACT_EST_DATA=E, EST_SOURCE=GSR", "ACT_EST_MAPPING=PRECISE", "FS=MRC", "CURRENCY=USD", "XLFILL=b")</f>
        <v>#N/A Requesting Data...</v>
      </c>
      <c r="AF26" s="6" t="str">
        <f>_xll.BQL("NOW US Equity", "IS_ADJ_SELLING_AND_MRKTG_EXPN_AR/1M", "FPR=2021Y", "FPT=A", "FA_ACT_EST_DATA=E, EST_SOURCE=FBC", "ACT_EST_MAPPING=PRECISE", "FS=MRC", "CURRENCY=USD", "XLFILL=b")</f>
        <v>#N/A Requesting Data...</v>
      </c>
      <c r="AG26" s="6" t="str">
        <f>_xll.BQL("NOW US Equity", "IS_ADJ_SELLING_AND_MRKTG_EXPN_AR/1M", "FPR=2021Y", "FPT=A", "FA_ACT_EST_DATA=E, EST_SOURCE=MAC", "ACT_EST_MAPPING=PRECISE", "FS=MRC", "CURRENCY=USD", "XLFILL=b")</f>
        <v>#N/A Requesting Data...</v>
      </c>
      <c r="AH26" s="6" t="str">
        <f>_xll.BQL("NOW US Equity", "IS_ADJ_SELLING_AND_MRKTG_EXPN_AR/1M", "FPR=2021Y", "FPT=A", "FA_ACT_EST_DATA=E, EST_SOURCE=PSG", "ACT_EST_MAPPING=PRECISE", "FS=MRC", "CURRENCY=USD", "XLFILL=b")</f>
        <v>#N/A Requesting Data...</v>
      </c>
      <c r="AI26" s="6" t="str">
        <f>_xll.BQL("NOW US Equity", "IS_ADJ_SELLING_AND_MRKTG_EXPN_AR/1M", "FPR=2021Y", "FPT=A", "FA_ACT_EST_DATA=E, EST_SOURCE=MSR", "ACT_EST_MAPPING=PRECISE", "FS=MRC", "CURRENCY=USD", "XLFILL=b")</f>
        <v>#N/A Requesting Data...</v>
      </c>
      <c r="AJ26" s="6" t="str">
        <f>_xll.BQL("NOW US Equity", "IS_ADJ_SELLING_AND_MRKTG_EXPN_AR/1M", "FPR=2021Y", "FPT=A", "FA_ACT_EST_DATA=E, EST_SOURCE=JEF", "ACT_EST_MAPPING=PRECISE", "FS=MRC", "CURRENCY=USD", "XLFILL=b")</f>
        <v>#N/A Requesting Data...</v>
      </c>
      <c r="AK26" s="6" t="str">
        <f>_xll.BQL("NOW US Equity", "IS_ADJ_SELLING_AND_MRKTG_EXPN_AR/1M", "FPR=2021Y", "FPT=A", "FA_ACT_EST_DATA=E, EST_SOURCE=TTC", "ACT_EST_MAPPING=PRECISE", "FS=MRC", "CURRENCY=USD", "XLFILL=b")</f>
        <v>#N/A Requesting Data...</v>
      </c>
      <c r="AL26" s="6" t="str">
        <f>_xll.BQL("NOW US Equity", "IS_ADJ_SELLING_AND_MRKTG_EXPN_AR/1M", "FPR=2021Y", "FPT=A", "FA_ACT_EST_DATA=E, EST_SOURCE=RWB", "ACT_EST_MAPPING=PRECISE", "FS=MRC", "CURRENCY=USD", "XLFILL=b")</f>
        <v>#N/A Requesting Data...</v>
      </c>
      <c r="AM26" s="6" t="str">
        <f>_xll.BQL("NOW US Equity", "IS_ADJ_SELLING_AND_MRKTG_EXPN_AR/1M", "FPR=2021Y", "FPT=A", "FA_ACT_EST_DATA=E, EST_SOURCE=DZB", "ACT_EST_MAPPING=PRECISE", "FS=MRC", "CURRENCY=USD", "XLFILL=b")</f>
        <v>#N/A Requesting Data...</v>
      </c>
      <c r="AN26" s="6" t="str">
        <f>_xll.BQL("NOW US Equity", "IS_ADJ_SELLING_AND_MRKTG_EXPN_AR/1M", "FPR=2021Y", "FPT=A", "FA_ACT_EST_DATA=E, EST_SOURCE=DWI", "ACT_EST_MAPPING=PRECISE", "FS=MRC", "CURRENCY=USD", "XLFILL=b")</f>
        <v>#N/A Requesting Data...</v>
      </c>
      <c r="AO26" s="6" t="str">
        <f>_xll.BQL("NOW US Equity", "IS_ADJ_SELLING_AND_MRKTG_EXPN_AR/1M", "FPR=2021Y", "FPT=A", "FA_ACT_EST_DATA=E, EST_SOURCE=ARG", "ACT_EST_MAPPING=PRECISE", "FS=MRC", "CURRENCY=USD", "XLFILL=b")</f>
        <v>#N/A Requesting Data...</v>
      </c>
      <c r="AP26" s="6" t="str">
        <f>_xll.BQL("NOW US Equity", "IS_ADJ_SELLING_AND_MRKTG_EXPN_AR/1M", "FPR=2021Y", "FPT=A", "FA_ACT_EST_DATA=E, EST_SOURCE=CTI", "ACT_EST_MAPPING=PRECISE", "FS=MRC", "CURRENCY=USD", "XLFILL=b")</f>
        <v>#N/A Requesting Data...</v>
      </c>
      <c r="AQ26" s="6" t="str">
        <f>_xll.BQL("NOW US Equity", "IS_ADJ_SELLING_AND_MRKTG_EXPN_AR/1M", "FPR=2021Y", "FPT=A", "FA_ACT_EST_DATA=E, EST_SOURCE=WFT", "ACT_EST_MAPPING=PRECISE", "FS=MRC", "CURRENCY=USD", "XLFILL=b")</f>
        <v>#N/A Requesting Data...</v>
      </c>
      <c r="AR26" s="6" t="str">
        <f>_xll.BQL("NOW US Equity", "IS_ADJ_SELLING_AND_MRKTG_EXPN_AR/1M", "FPR=2021Y", "FPT=A", "FA_ACT_EST_DATA=E, EST_SOURCE=ARE", "ACT_EST_MAPPING=PRECISE", "FS=MRC", "CURRENCY=USD", "XLFILL=b")</f>
        <v>#N/A Requesting Data...</v>
      </c>
      <c r="AS26" s="6" t="str">
        <f>_xll.BQL("NOW US Equity", "IS_ADJ_SELLING_AND_MRKTG_EXPN_AR/1M", "FPR=2021Y", "FPT=A", "FA_ACT_EST_DATA=E, EST_SOURCE=PJE", "ACT_EST_MAPPING=PRECISE", "FS=MRC", "CURRENCY=USD", "XLFILL=b")</f>
        <v/>
      </c>
      <c r="AT26" s="6" t="str">
        <f>_xll.BQL("NOW US Equity", "IS_ADJ_SELLING_AND_MRKTG_EXPN_AR/1M", "FPR=2021Y", "FPT=A", "FA_ACT_EST_DATA=E, EST_SOURCE=MZS", "ACT_EST_MAPPING=PRECISE", "FS=MRC", "CURRENCY=USD", "XLFILL=b")</f>
        <v>#N/A Requesting Data...</v>
      </c>
      <c r="AU26" s="6" t="str">
        <f>_xll.BQL("NOW US Equity", "IS_ADJ_SELLING_AND_MRKTG_EXPN_AR/1M", "FPR=2021Y", "FPT=A", "FA_ACT_EST_DATA=E, EST_SOURCE=SUM", "ACT_EST_MAPPING=PRECISE", "FS=MRC", "CURRENCY=USD", "XLFILL=b")</f>
        <v>#N/A Requesting Data...</v>
      </c>
      <c r="AV26" s="6" t="str">
        <f>_xll.BQL("NOW US Equity", "IS_ADJ_SELLING_AND_MRKTG_EXPN_AR/1M", "FPR=2021Y", "FPT=A", "FA_ACT_EST_DATA=E, EST_SOURCE=CRC", "ACT_EST_MAPPING=PRECISE", "FS=MRC", "CURRENCY=USD", "XLFILL=b")</f>
        <v>#N/A Requesting Data...</v>
      </c>
      <c r="AW26" s="6" t="str">
        <f>_xll.BQL("NOW US Equity", "IS_ADJ_SELLING_AND_MRKTG_EXPN_AR/1M", "FPR=2021Y", "FPT=A", "FA_ACT_EST_DATA=E, EST_SOURCE=SCB", "ACT_EST_MAPPING=PRECISE", "FS=MRC", "CURRENCY=USD", "XLFILL=b")</f>
        <v>#N/A Requesting Data...</v>
      </c>
    </row>
    <row r="27" spans="1:49" x14ac:dyDescent="0.55000000000000004">
      <c r="A27" s="5" t="s">
        <v>61</v>
      </c>
      <c r="B27" s="2" t="s">
        <v>62</v>
      </c>
      <c r="C27" s="2" t="s">
        <v>63</v>
      </c>
      <c r="D27" s="2"/>
      <c r="E27" s="6" t="str">
        <f>_xll.BQL("NOW US Equity", "IS_REV_INCLUDING_INTERSEG_REV/1M", "FPR=2021Y", "FPT=A", "FA_ACT_EST_DATA=E", "ACT_EST_MAPPING=PRECISE", "FS=MRC", "CURRENCY=USD", "XLFILL=b")</f>
        <v>#N/A Requesting Data...</v>
      </c>
      <c r="F27" s="6" t="str">
        <f>_xll.BQL("NOW US Equity", "CONTRIBUTOR_STATS(IS_REV_INCLUDING_INTERSEG_REV, MIN)/1M", "FPR=2021Y", "FPT=A", "FA_ACT_EST_DATA=E", "ACT_EST_MAPPING=PRECISE", "FS=MRC", "CURRENCY=USD", "XLFILL=b")</f>
        <v>#N/A Requesting Data...</v>
      </c>
      <c r="G27" s="6" t="str">
        <f>_xll.BQL("NOW US Equity", "CONTRIBUTOR_STATS(IS_REV_INCLUDING_INTERSEG_REV, MAX)/1M", "FPR=2021Y", "FPT=A", "FA_ACT_EST_DATA=E", "ACT_EST_MAPPING=PRECISE", "FS=MRC", "CURRENCY=USD", "XLFILL=b")</f>
        <v>#N/A Requesting Data...</v>
      </c>
      <c r="H27" s="6" t="str">
        <f>_xll.BQL("NOW US Equity", "CONTRIBUTOR_STATS(IS_REV_INCLUDING_INTERSEG_REV, STD)/1M", "FPR=2021Y", "FPT=A", "FA_ACT_EST_DATA=E", "ACT_EST_MAPPING=PRECISE", "FS=MRC", "CURRENCY=USD", "XLFILL=b")</f>
        <v>#N/A Requesting Data...</v>
      </c>
      <c r="I27" s="6" t="str">
        <f>_xll.BQL("NOW US Equity", "CONTRIBUTOR_STATS(IS_REV_INCLUDING_INTERSEG_REV, MEDIAN)/1M", "FPR=2021Y", "FPT=A", "FA_ACT_EST_DATA=E", "ACT_EST_MAPPING=PRECISE", "FS=MRC", "CURRENCY=USD", "XLFILL=b")</f>
        <v>#N/A Requesting Data...</v>
      </c>
      <c r="J27" s="6" t="str">
        <f>_xll.BQL("NOW US Equity", "IS_REV_INCLUDING_INTERSEG_REV/1M", "FPR=2021Y", "FPT=A", "FA_ACT_EST_DATA=E, EST_SOURCE=CMPY", "ACT_EST_MAPPING=PRECISE", "FS=MRC", "CURRENCY=USD", "XLFILL=b")</f>
        <v/>
      </c>
      <c r="K27" s="6" t="str">
        <f>_xll.BQL("NOW US Equity", "IS_REV_INCLUDING_INTERSEG_REV/1M", "FPR=2021Y", "FPT=A", "FA_ACT_EST_DATA=E, EST_SOURCE=JPM", "ACT_EST_MAPPING=PRECISE", "FS=MRC", "CURRENCY=USD", "XLFILL=b")</f>
        <v>#N/A Requesting Data...</v>
      </c>
      <c r="L27" s="6" t="str">
        <f>_xll.BQL("NOW US Equity", "IS_REV_INCLUDING_INTERSEG_REV/1M", "FPR=2021Y", "FPT=A", "FA_ACT_EST_DATA=E, EST_SOURCE=WBL", "ACT_EST_MAPPING=PRECISE", "FS=MRC", "CURRENCY=USD", "XLFILL=b")</f>
        <v>#N/A Requesting Data...</v>
      </c>
      <c r="M27" s="6" t="str">
        <f>_xll.BQL("NOW US Equity", "IS_REV_INCLUDING_INTERSEG_REV/1M", "FPR=2021Y", "FPT=A", "FA_ACT_EST_DATA=E, EST_SOURCE=KEY", "ACT_EST_MAPPING=PRECISE", "FS=MRC", "CURRENCY=USD", "XLFILL=b")</f>
        <v>#N/A Requesting Data...</v>
      </c>
      <c r="N27" s="6" t="str">
        <f>_xll.BQL("NOW US Equity", "IS_REV_INCLUDING_INTERSEG_REV/1M", "FPR=2021Y", "FPT=A", "FA_ACT_EST_DATA=E, EST_SOURCE=BMO", "ACT_EST_MAPPING=PRECISE", "FS=MRC", "CURRENCY=USD", "XLFILL=b")</f>
        <v>#N/A Requesting Data...</v>
      </c>
      <c r="O27" s="6" t="str">
        <f>_xll.BQL("NOW US Equity", "IS_REV_INCLUDING_INTERSEG_REV/1M", "FPR=2021Y", "FPT=A", "FA_ACT_EST_DATA=E, EST_SOURCE=OPY", "ACT_EST_MAPPING=PRECISE", "FS=MRC", "CURRENCY=USD", "XLFILL=b")</f>
        <v>#N/A Requesting Data...</v>
      </c>
      <c r="P27" s="6" t="str">
        <f>_xll.BQL("NOW US Equity", "IS_REV_INCLUDING_INTERSEG_REV/1M", "FPR=2021Y", "FPT=A", "FA_ACT_EST_DATA=E, EST_SOURCE=BCA", "ACT_EST_MAPPING=PRECISE", "FS=MRC", "CURRENCY=USD", "XLFILL=b")</f>
        <v>#N/A Requesting Data...</v>
      </c>
      <c r="Q27" s="6" t="str">
        <f>_xll.BQL("NOW US Equity", "IS_REV_INCLUDING_INTERSEG_REV/1M", "FPR=2021Y", "FPT=A", "FA_ACT_EST_DATA=E, EST_SOURCE=RHR", "ACT_EST_MAPPING=PRECISE", "FS=MRC", "CURRENCY=USD", "XLFILL=b")</f>
        <v>#N/A Requesting Data...</v>
      </c>
      <c r="R27" s="6" t="str">
        <f>_xll.BQL("NOW US Equity", "IS_REV_INCLUDING_INTERSEG_REV/1M", "FPR=2021Y", "FPT=A", "FA_ACT_EST_DATA=E, EST_SOURCE=SNR", "ACT_EST_MAPPING=PRECISE", "FS=MRC", "CURRENCY=USD", "XLFILL=b")</f>
        <v>#N/A Requesting Data...</v>
      </c>
      <c r="S27" s="6" t="str">
        <f>_xll.BQL("NOW US Equity", "IS_REV_INCLUDING_INTERSEG_REV/1M", "FPR=2021Y", "FPT=A", "FA_ACT_EST_DATA=E, EST_SOURCE=MSV", "ACT_EST_MAPPING=PRECISE", "FS=MRC", "CURRENCY=USD", "XLFILL=b")</f>
        <v>#N/A Requesting Data...</v>
      </c>
      <c r="T27" s="6" t="str">
        <f>_xll.BQL("NOW US Equity", "IS_REV_INCLUDING_INTERSEG_REV/1M", "FPR=2021Y", "FPT=A", "FA_ACT_EST_DATA=E, EST_SOURCE=CAN", "ACT_EST_MAPPING=PRECISE", "FS=MRC", "CURRENCY=USD", "XLFILL=b")</f>
        <v>#N/A Requesting Data...</v>
      </c>
      <c r="U27" s="6" t="str">
        <f>_xll.BQL("NOW US Equity", "IS_REV_INCLUDING_INTERSEG_REV/1M", "FPR=2021Y", "FPT=A", "FA_ACT_EST_DATA=E, EST_SOURCE=JMP", "ACT_EST_MAPPING=PRECISE", "FS=MRC", "CURRENCY=USD", "XLFILL=b")</f>
        <v>#N/A Requesting Data...</v>
      </c>
      <c r="V27" s="6" t="str">
        <f>_xll.BQL("NOW US Equity", "IS_REV_INCLUDING_INTERSEG_REV/1M", "FPR=2021Y", "FPT=A", "FA_ACT_EST_DATA=E, EST_SOURCE=NDH", "ACT_EST_MAPPING=PRECISE", "FS=MRC", "CURRENCY=USD", "XLFILL=b")</f>
        <v>#N/A Requesting Data...</v>
      </c>
      <c r="W27" s="6" t="str">
        <f>_xll.BQL("NOW US Equity", "IS_REV_INCLUDING_INTERSEG_REV/1M", "FPR=2021Y", "FPT=A", "FA_ACT_EST_DATA=E, EST_SOURCE=ZXS", "ACT_EST_MAPPING=PRECISE", "FS=MRC", "CURRENCY=USD", "XLFILL=b")</f>
        <v>#N/A Requesting Data...</v>
      </c>
      <c r="X27" s="6" t="str">
        <f>_xll.BQL("NOW US Equity", "IS_REV_INCLUDING_INTERSEG_REV/1M", "FPR=2021Y", "FPT=A", "FA_ACT_EST_DATA=E, EST_SOURCE=CWN", "ACT_EST_MAPPING=PRECISE", "FS=MRC", "CURRENCY=USD", "XLFILL=b")</f>
        <v>#N/A Requesting Data...</v>
      </c>
      <c r="Y27" s="6" t="str">
        <f>_xll.BQL("NOW US Equity", "IS_REV_INCLUDING_INTERSEG_REV/1M", "FPR=2021Y", "FPT=A", "FA_ACT_EST_DATA=E, EST_SOURCE=DBG", "ACT_EST_MAPPING=PRECISE", "FS=MRC", "CURRENCY=USD", "XLFILL=b")</f>
        <v>#N/A Requesting Data...</v>
      </c>
      <c r="Z27" s="6" t="str">
        <f>_xll.BQL("NOW US Equity", "IS_REV_INCLUDING_INTERSEG_REV/1M", "FPR=2021Y", "FPT=A", "FA_ACT_EST_DATA=E, EST_SOURCE=UBS", "ACT_EST_MAPPING=PRECISE", "FS=MRC", "CURRENCY=USD", "XLFILL=b")</f>
        <v>#N/A Requesting Data...</v>
      </c>
      <c r="AA27" s="6" t="str">
        <f>_xll.BQL("NOW US Equity", "IS_REV_INCLUDING_INTERSEG_REV/1M", "FPR=2021Y", "FPT=A", "FA_ACT_EST_DATA=E, EST_SOURCE=RBC", "ACT_EST_MAPPING=PRECISE", "FS=MRC", "CURRENCY=USD", "XLFILL=b")</f>
        <v>#N/A Requesting Data...</v>
      </c>
      <c r="AB27" s="6" t="str">
        <f>_xll.BQL("NOW US Equity", "IS_REV_INCLUDING_INTERSEG_REV/1M", "FPR=2021Y", "FPT=A", "FA_ACT_EST_DATA=E, EST_SOURCE=EVR", "ACT_EST_MAPPING=PRECISE", "FS=MRC", "CURRENCY=USD", "XLFILL=b")</f>
        <v>#N/A Requesting Data...</v>
      </c>
      <c r="AC27" s="6" t="str">
        <f>_xll.BQL("NOW US Equity", "IS_REV_INCLUDING_INTERSEG_REV/1M", "FPR=2021Y", "FPT=A", "FA_ACT_EST_DATA=E, EST_SOURCE=BNS", "ACT_EST_MAPPING=PRECISE", "FS=MRC", "CURRENCY=USD", "XLFILL=b")</f>
        <v>#N/A Requesting Data...</v>
      </c>
      <c r="AD27" s="6" t="str">
        <f>_xll.BQL("NOW US Equity", "IS_REV_INCLUDING_INTERSEG_REV/1M", "FPR=2021Y", "FPT=A", "FA_ACT_EST_DATA=E, EST_SOURCE=BAM", "ACT_EST_MAPPING=PRECISE", "FS=MRC", "CURRENCY=USD", "XLFILL=b")</f>
        <v>#N/A Requesting Data...</v>
      </c>
      <c r="AE27" s="6" t="str">
        <f>_xll.BQL("NOW US Equity", "IS_REV_INCLUDING_INTERSEG_REV/1M", "FPR=2021Y", "FPT=A", "FA_ACT_EST_DATA=E, EST_SOURCE=GSR", "ACT_EST_MAPPING=PRECISE", "FS=MRC", "CURRENCY=USD", "XLFILL=b")</f>
        <v>#N/A Requesting Data...</v>
      </c>
      <c r="AF27" s="6" t="str">
        <f>_xll.BQL("NOW US Equity", "IS_REV_INCLUDING_INTERSEG_REV/1M", "FPR=2021Y", "FPT=A", "FA_ACT_EST_DATA=E, EST_SOURCE=FBC", "ACT_EST_MAPPING=PRECISE", "FS=MRC", "CURRENCY=USD", "XLFILL=b")</f>
        <v>#N/A Requesting Data...</v>
      </c>
      <c r="AG27" s="6" t="str">
        <f>_xll.BQL("NOW US Equity", "IS_REV_INCLUDING_INTERSEG_REV/1M", "FPR=2021Y", "FPT=A", "FA_ACT_EST_DATA=E, EST_SOURCE=MAC", "ACT_EST_MAPPING=PRECISE", "FS=MRC", "CURRENCY=USD", "XLFILL=b")</f>
        <v>#N/A Requesting Data...</v>
      </c>
      <c r="AH27" s="6" t="str">
        <f>_xll.BQL("NOW US Equity", "IS_REV_INCLUDING_INTERSEG_REV/1M", "FPR=2021Y", "FPT=A", "FA_ACT_EST_DATA=E, EST_SOURCE=PSG", "ACT_EST_MAPPING=PRECISE", "FS=MRC", "CURRENCY=USD", "XLFILL=b")</f>
        <v>#N/A Requesting Data...</v>
      </c>
      <c r="AI27" s="6" t="str">
        <f>_xll.BQL("NOW US Equity", "IS_REV_INCLUDING_INTERSEG_REV/1M", "FPR=2021Y", "FPT=A", "FA_ACT_EST_DATA=E, EST_SOURCE=MSR", "ACT_EST_MAPPING=PRECISE", "FS=MRC", "CURRENCY=USD", "XLFILL=b")</f>
        <v>#N/A Requesting Data...</v>
      </c>
      <c r="AJ27" s="6" t="str">
        <f>_xll.BQL("NOW US Equity", "IS_REV_INCLUDING_INTERSEG_REV/1M", "FPR=2021Y", "FPT=A", "FA_ACT_EST_DATA=E, EST_SOURCE=JEF", "ACT_EST_MAPPING=PRECISE", "FS=MRC", "CURRENCY=USD", "XLFILL=b")</f>
        <v>#N/A Requesting Data...</v>
      </c>
      <c r="AK27" s="6" t="str">
        <f>_xll.BQL("NOW US Equity", "IS_REV_INCLUDING_INTERSEG_REV/1M", "FPR=2021Y", "FPT=A", "FA_ACT_EST_DATA=E, EST_SOURCE=TTC", "ACT_EST_MAPPING=PRECISE", "FS=MRC", "CURRENCY=USD", "XLFILL=b")</f>
        <v>#N/A Requesting Data...</v>
      </c>
      <c r="AL27" s="6" t="str">
        <f>_xll.BQL("NOW US Equity", "IS_REV_INCLUDING_INTERSEG_REV/1M", "FPR=2021Y", "FPT=A", "FA_ACT_EST_DATA=E, EST_SOURCE=RWB", "ACT_EST_MAPPING=PRECISE", "FS=MRC", "CURRENCY=USD", "XLFILL=b")</f>
        <v>#N/A Requesting Data...</v>
      </c>
      <c r="AM27" s="6" t="str">
        <f>_xll.BQL("NOW US Equity", "IS_REV_INCLUDING_INTERSEG_REV/1M", "FPR=2021Y", "FPT=A", "FA_ACT_EST_DATA=E, EST_SOURCE=DZB", "ACT_EST_MAPPING=PRECISE", "FS=MRC", "CURRENCY=USD", "XLFILL=b")</f>
        <v>#N/A Requesting Data...</v>
      </c>
      <c r="AN27" s="6" t="str">
        <f>_xll.BQL("NOW US Equity", "IS_REV_INCLUDING_INTERSEG_REV/1M", "FPR=2021Y", "FPT=A", "FA_ACT_EST_DATA=E, EST_SOURCE=DWI", "ACT_EST_MAPPING=PRECISE", "FS=MRC", "CURRENCY=USD", "XLFILL=b")</f>
        <v>#N/A Requesting Data...</v>
      </c>
      <c r="AO27" s="6" t="str">
        <f>_xll.BQL("NOW US Equity", "IS_REV_INCLUDING_INTERSEG_REV/1M", "FPR=2021Y", "FPT=A", "FA_ACT_EST_DATA=E, EST_SOURCE=ARG", "ACT_EST_MAPPING=PRECISE", "FS=MRC", "CURRENCY=USD", "XLFILL=b")</f>
        <v>#N/A Requesting Data...</v>
      </c>
      <c r="AP27" s="6" t="str">
        <f>_xll.BQL("NOW US Equity", "IS_REV_INCLUDING_INTERSEG_REV/1M", "FPR=2021Y", "FPT=A", "FA_ACT_EST_DATA=E, EST_SOURCE=CTI", "ACT_EST_MAPPING=PRECISE", "FS=MRC", "CURRENCY=USD", "XLFILL=b")</f>
        <v>#N/A Requesting Data...</v>
      </c>
      <c r="AQ27" s="6" t="str">
        <f>_xll.BQL("NOW US Equity", "IS_REV_INCLUDING_INTERSEG_REV/1M", "FPR=2021Y", "FPT=A", "FA_ACT_EST_DATA=E, EST_SOURCE=WFT", "ACT_EST_MAPPING=PRECISE", "FS=MRC", "CURRENCY=USD", "XLFILL=b")</f>
        <v>#N/A Requesting Data...</v>
      </c>
      <c r="AR27" s="6" t="str">
        <f>_xll.BQL("NOW US Equity", "IS_REV_INCLUDING_INTERSEG_REV/1M", "FPR=2021Y", "FPT=A", "FA_ACT_EST_DATA=E, EST_SOURCE=ARE", "ACT_EST_MAPPING=PRECISE", "FS=MRC", "CURRENCY=USD", "XLFILL=b")</f>
        <v>#N/A Requesting Data...</v>
      </c>
      <c r="AS27" s="6" t="str">
        <f>_xll.BQL("NOW US Equity", "IS_REV_INCLUDING_INTERSEG_REV/1M", "FPR=2021Y", "FPT=A", "FA_ACT_EST_DATA=E, EST_SOURCE=PJE", "ACT_EST_MAPPING=PRECISE", "FS=MRC", "CURRENCY=USD", "XLFILL=b")</f>
        <v>#N/A Requesting Data...</v>
      </c>
      <c r="AT27" s="6" t="str">
        <f>_xll.BQL("NOW US Equity", "IS_REV_INCLUDING_INTERSEG_REV/1M", "FPR=2021Y", "FPT=A", "FA_ACT_EST_DATA=E, EST_SOURCE=MZS", "ACT_EST_MAPPING=PRECISE", "FS=MRC", "CURRENCY=USD", "XLFILL=b")</f>
        <v>#N/A Requesting Data...</v>
      </c>
      <c r="AU27" s="6" t="str">
        <f>_xll.BQL("NOW US Equity", "IS_REV_INCLUDING_INTERSEG_REV/1M", "FPR=2021Y", "FPT=A", "FA_ACT_EST_DATA=E, EST_SOURCE=SUM", "ACT_EST_MAPPING=PRECISE", "FS=MRC", "CURRENCY=USD", "XLFILL=b")</f>
        <v>#N/A Requesting Data...</v>
      </c>
      <c r="AV27" s="6" t="str">
        <f>_xll.BQL("NOW US Equity", "IS_REV_INCLUDING_INTERSEG_REV/1M", "FPR=2021Y", "FPT=A", "FA_ACT_EST_DATA=E, EST_SOURCE=CRC", "ACT_EST_MAPPING=PRECISE", "FS=MRC", "CURRENCY=USD", "XLFILL=b")</f>
        <v>#N/A Requesting Data...</v>
      </c>
      <c r="AW27" s="6" t="str">
        <f>_xll.BQL("NOW US Equity", "IS_REV_INCLUDING_INTERSEG_REV/1M", "FPR=2021Y", "FPT=A", "FA_ACT_EST_DATA=E, EST_SOURCE=SCB", "ACT_EST_MAPPING=PRECISE", "FS=MRC", "CURRENCY=USD", "XLFILL=b")</f>
        <v>#N/A Requesting Data...</v>
      </c>
    </row>
    <row r="28" spans="1:49" x14ac:dyDescent="0.55000000000000004">
      <c r="A28" s="5" t="s">
        <v>64</v>
      </c>
      <c r="B28" s="2" t="s">
        <v>65</v>
      </c>
      <c r="C28" s="2" t="s">
        <v>66</v>
      </c>
      <c r="D28" s="2"/>
      <c r="E28" s="6" t="str">
        <f>_xll.BQL("NOW US Equity", "ADJ_OPERATING_MARGIN", "FPR=2021Y", "FPT=A", "FA_ACT_EST_DATA=E", "ACT_EST_MAPPING=PRECISE", "FS=MRC", "CURRENCY=USD", "XLFILL=b")</f>
        <v>#N/A Requesting Data...</v>
      </c>
      <c r="F28" s="6" t="str">
        <f>_xll.BQL("NOW US Equity", "CONTRIBUTOR_STATS(ADJ_OPERATING_MARGIN, MIN)", "FPR=2021Y", "FPT=A", "FA_ACT_EST_DATA=E", "ACT_EST_MAPPING=PRECISE", "FS=MRC", "CURRENCY=USD", "XLFILL=b")</f>
        <v>#N/A Requesting Data...</v>
      </c>
      <c r="G28" s="6" t="str">
        <f>_xll.BQL("NOW US Equity", "CONTRIBUTOR_STATS(ADJ_OPERATING_MARGIN, MAX)", "FPR=2021Y", "FPT=A", "FA_ACT_EST_DATA=E", "ACT_EST_MAPPING=PRECISE", "FS=MRC", "CURRENCY=USD", "XLFILL=b")</f>
        <v>#N/A Requesting Data...</v>
      </c>
      <c r="H28" s="6" t="str">
        <f>_xll.BQL("NOW US Equity", "CONTRIBUTOR_STATS(ADJ_OPERATING_MARGIN, STD)", "FPR=2021Y", "FPT=A", "FA_ACT_EST_DATA=E", "ACT_EST_MAPPING=PRECISE", "FS=MRC", "CURRENCY=USD", "XLFILL=b")</f>
        <v>#N/A Requesting Data...</v>
      </c>
      <c r="I28" s="6" t="str">
        <f>_xll.BQL("NOW US Equity", "CONTRIBUTOR_STATS(ADJ_OPERATING_MARGIN, MEDIAN)", "FPR=2021Y", "FPT=A", "FA_ACT_EST_DATA=E", "ACT_EST_MAPPING=PRECISE", "FS=MRC", "CURRENCY=USD", "XLFILL=b")</f>
        <v>#N/A Requesting Data...</v>
      </c>
      <c r="J28" s="6" t="str">
        <f>_xll.BQL("NOW US Equity", "ADJ_OPERATING_MARGIN", "FPR=2021Y", "FPT=A", "FA_ACT_EST_DATA=E, EST_SOURCE=CMPY", "ACT_EST_MAPPING=PRECISE", "FS=MRC", "CURRENCY=USD", "XLFILL=b")</f>
        <v>#N/A Requesting Data...</v>
      </c>
      <c r="K28" s="6" t="str">
        <f>_xll.BQL("NOW US Equity", "ADJ_OPERATING_MARGIN", "FPR=2021Y", "FPT=A", "FA_ACT_EST_DATA=E, EST_SOURCE=JPM", "ACT_EST_MAPPING=PRECISE", "FS=MRC", "CURRENCY=USD", "XLFILL=b")</f>
        <v>#N/A Requesting Data...</v>
      </c>
      <c r="L28" s="6" t="str">
        <f>_xll.BQL("NOW US Equity", "ADJ_OPERATING_MARGIN", "FPR=2021Y", "FPT=A", "FA_ACT_EST_DATA=E, EST_SOURCE=WBL", "ACT_EST_MAPPING=PRECISE", "FS=MRC", "CURRENCY=USD", "XLFILL=b")</f>
        <v>#N/A Requesting Data...</v>
      </c>
      <c r="M28" s="6" t="str">
        <f>_xll.BQL("NOW US Equity", "ADJ_OPERATING_MARGIN", "FPR=2021Y", "FPT=A", "FA_ACT_EST_DATA=E, EST_SOURCE=KEY", "ACT_EST_MAPPING=PRECISE", "FS=MRC", "CURRENCY=USD", "XLFILL=b")</f>
        <v>#N/A Requesting Data...</v>
      </c>
      <c r="N28" s="6" t="str">
        <f>_xll.BQL("NOW US Equity", "ADJ_OPERATING_MARGIN", "FPR=2021Y", "FPT=A", "FA_ACT_EST_DATA=E, EST_SOURCE=BMO", "ACT_EST_MAPPING=PRECISE", "FS=MRC", "CURRENCY=USD", "XLFILL=b")</f>
        <v>#N/A Requesting Data...</v>
      </c>
      <c r="O28" s="6" t="str">
        <f>_xll.BQL("NOW US Equity", "ADJ_OPERATING_MARGIN", "FPR=2021Y", "FPT=A", "FA_ACT_EST_DATA=E, EST_SOURCE=OPY", "ACT_EST_MAPPING=PRECISE", "FS=MRC", "CURRENCY=USD", "XLFILL=b")</f>
        <v>#N/A Requesting Data...</v>
      </c>
      <c r="P28" s="6" t="str">
        <f>_xll.BQL("NOW US Equity", "ADJ_OPERATING_MARGIN", "FPR=2021Y", "FPT=A", "FA_ACT_EST_DATA=E, EST_SOURCE=BCA", "ACT_EST_MAPPING=PRECISE", "FS=MRC", "CURRENCY=USD", "XLFILL=b")</f>
        <v>#N/A Requesting Data...</v>
      </c>
      <c r="Q28" s="6" t="str">
        <f>_xll.BQL("NOW US Equity", "ADJ_OPERATING_MARGIN", "FPR=2021Y", "FPT=A", "FA_ACT_EST_DATA=E, EST_SOURCE=RHR", "ACT_EST_MAPPING=PRECISE", "FS=MRC", "CURRENCY=USD", "XLFILL=b")</f>
        <v>#N/A Requesting Data...</v>
      </c>
      <c r="R28" s="6" t="str">
        <f>_xll.BQL("NOW US Equity", "ADJ_OPERATING_MARGIN", "FPR=2021Y", "FPT=A", "FA_ACT_EST_DATA=E, EST_SOURCE=SNR", "ACT_EST_MAPPING=PRECISE", "FS=MRC", "CURRENCY=USD", "XLFILL=b")</f>
        <v>#N/A Requesting Data...</v>
      </c>
      <c r="S28" s="6" t="str">
        <f>_xll.BQL("NOW US Equity", "ADJ_OPERATING_MARGIN", "FPR=2021Y", "FPT=A", "FA_ACT_EST_DATA=E, EST_SOURCE=MSV", "ACT_EST_MAPPING=PRECISE", "FS=MRC", "CURRENCY=USD", "XLFILL=b")</f>
        <v>#N/A Requesting Data...</v>
      </c>
      <c r="T28" s="6" t="str">
        <f>_xll.BQL("NOW US Equity", "ADJ_OPERATING_MARGIN", "FPR=2021Y", "FPT=A", "FA_ACT_EST_DATA=E, EST_SOURCE=CAN", "ACT_EST_MAPPING=PRECISE", "FS=MRC", "CURRENCY=USD", "XLFILL=b")</f>
        <v>#N/A Requesting Data...</v>
      </c>
      <c r="U28" s="6" t="str">
        <f>_xll.BQL("NOW US Equity", "ADJ_OPERATING_MARGIN", "FPR=2021Y", "FPT=A", "FA_ACT_EST_DATA=E, EST_SOURCE=JMP", "ACT_EST_MAPPING=PRECISE", "FS=MRC", "CURRENCY=USD", "XLFILL=b")</f>
        <v>#N/A Requesting Data...</v>
      </c>
      <c r="V28" s="6" t="str">
        <f>_xll.BQL("NOW US Equity", "ADJ_OPERATING_MARGIN", "FPR=2021Y", "FPT=A", "FA_ACT_EST_DATA=E, EST_SOURCE=NDH", "ACT_EST_MAPPING=PRECISE", "FS=MRC", "CURRENCY=USD", "XLFILL=b")</f>
        <v>#N/A Requesting Data...</v>
      </c>
      <c r="W28" s="6" t="str">
        <f>_xll.BQL("NOW US Equity", "ADJ_OPERATING_MARGIN", "FPR=2021Y", "FPT=A", "FA_ACT_EST_DATA=E, EST_SOURCE=ZXS", "ACT_EST_MAPPING=PRECISE", "FS=MRC", "CURRENCY=USD", "XLFILL=b")</f>
        <v>#N/A Requesting Data...</v>
      </c>
      <c r="X28" s="6" t="str">
        <f>_xll.BQL("NOW US Equity", "ADJ_OPERATING_MARGIN", "FPR=2021Y", "FPT=A", "FA_ACT_EST_DATA=E, EST_SOURCE=CWN", "ACT_EST_MAPPING=PRECISE", "FS=MRC", "CURRENCY=USD", "XLFILL=b")</f>
        <v>#N/A Requesting Data...</v>
      </c>
      <c r="Y28" s="6" t="str">
        <f>_xll.BQL("NOW US Equity", "ADJ_OPERATING_MARGIN", "FPR=2021Y", "FPT=A", "FA_ACT_EST_DATA=E, EST_SOURCE=DBG", "ACT_EST_MAPPING=PRECISE", "FS=MRC", "CURRENCY=USD", "XLFILL=b")</f>
        <v>#N/A Requesting Data...</v>
      </c>
      <c r="Z28" s="6" t="str">
        <f>_xll.BQL("NOW US Equity", "ADJ_OPERATING_MARGIN", "FPR=2021Y", "FPT=A", "FA_ACT_EST_DATA=E, EST_SOURCE=UBS", "ACT_EST_MAPPING=PRECISE", "FS=MRC", "CURRENCY=USD", "XLFILL=b")</f>
        <v>#N/A Requesting Data...</v>
      </c>
      <c r="AA28" s="6" t="str">
        <f>_xll.BQL("NOW US Equity", "ADJ_OPERATING_MARGIN", "FPR=2021Y", "FPT=A", "FA_ACT_EST_DATA=E, EST_SOURCE=RBC", "ACT_EST_MAPPING=PRECISE", "FS=MRC", "CURRENCY=USD", "XLFILL=b")</f>
        <v>#N/A Requesting Data...</v>
      </c>
      <c r="AB28" s="6" t="str">
        <f>_xll.BQL("NOW US Equity", "ADJ_OPERATING_MARGIN", "FPR=2021Y", "FPT=A", "FA_ACT_EST_DATA=E, EST_SOURCE=EVR", "ACT_EST_MAPPING=PRECISE", "FS=MRC", "CURRENCY=USD", "XLFILL=b")</f>
        <v>#N/A Requesting Data...</v>
      </c>
      <c r="AC28" s="6" t="str">
        <f>_xll.BQL("NOW US Equity", "ADJ_OPERATING_MARGIN", "FPR=2021Y", "FPT=A", "FA_ACT_EST_DATA=E, EST_SOURCE=BNS", "ACT_EST_MAPPING=PRECISE", "FS=MRC", "CURRENCY=USD", "XLFILL=b")</f>
        <v>#N/A Requesting Data...</v>
      </c>
      <c r="AD28" s="6" t="str">
        <f>_xll.BQL("NOW US Equity", "ADJ_OPERATING_MARGIN", "FPR=2021Y", "FPT=A", "FA_ACT_EST_DATA=E, EST_SOURCE=BAM", "ACT_EST_MAPPING=PRECISE", "FS=MRC", "CURRENCY=USD", "XLFILL=b")</f>
        <v>#N/A Requesting Data...</v>
      </c>
      <c r="AE28" s="6" t="str">
        <f>_xll.BQL("NOW US Equity", "ADJ_OPERATING_MARGIN", "FPR=2021Y", "FPT=A", "FA_ACT_EST_DATA=E, EST_SOURCE=GSR", "ACT_EST_MAPPING=PRECISE", "FS=MRC", "CURRENCY=USD", "XLFILL=b")</f>
        <v>#N/A Requesting Data...</v>
      </c>
      <c r="AF28" s="6" t="str">
        <f>_xll.BQL("NOW US Equity", "ADJ_OPERATING_MARGIN", "FPR=2021Y", "FPT=A", "FA_ACT_EST_DATA=E, EST_SOURCE=FBC", "ACT_EST_MAPPING=PRECISE", "FS=MRC", "CURRENCY=USD", "XLFILL=b")</f>
        <v>#N/A Requesting Data...</v>
      </c>
      <c r="AG28" s="6" t="str">
        <f>_xll.BQL("NOW US Equity", "ADJ_OPERATING_MARGIN", "FPR=2021Y", "FPT=A", "FA_ACT_EST_DATA=E, EST_SOURCE=MAC", "ACT_EST_MAPPING=PRECISE", "FS=MRC", "CURRENCY=USD", "XLFILL=b")</f>
        <v>#N/A Requesting Data...</v>
      </c>
      <c r="AH28" s="6" t="str">
        <f>_xll.BQL("NOW US Equity", "ADJ_OPERATING_MARGIN", "FPR=2021Y", "FPT=A", "FA_ACT_EST_DATA=E, EST_SOURCE=PSG", "ACT_EST_MAPPING=PRECISE", "FS=MRC", "CURRENCY=USD", "XLFILL=b")</f>
        <v>#N/A Requesting Data...</v>
      </c>
      <c r="AI28" s="6" t="str">
        <f>_xll.BQL("NOW US Equity", "ADJ_OPERATING_MARGIN", "FPR=2021Y", "FPT=A", "FA_ACT_EST_DATA=E, EST_SOURCE=MSR", "ACT_EST_MAPPING=PRECISE", "FS=MRC", "CURRENCY=USD", "XLFILL=b")</f>
        <v>#N/A Requesting Data...</v>
      </c>
      <c r="AJ28" s="6" t="str">
        <f>_xll.BQL("NOW US Equity", "ADJ_OPERATING_MARGIN", "FPR=2021Y", "FPT=A", "FA_ACT_EST_DATA=E, EST_SOURCE=JEF", "ACT_EST_MAPPING=PRECISE", "FS=MRC", "CURRENCY=USD", "XLFILL=b")</f>
        <v>#N/A Requesting Data...</v>
      </c>
      <c r="AK28" s="6" t="str">
        <f>_xll.BQL("NOW US Equity", "ADJ_OPERATING_MARGIN", "FPR=2021Y", "FPT=A", "FA_ACT_EST_DATA=E, EST_SOURCE=TTC", "ACT_EST_MAPPING=PRECISE", "FS=MRC", "CURRENCY=USD", "XLFILL=b")</f>
        <v>#N/A Requesting Data...</v>
      </c>
      <c r="AL28" s="6" t="str">
        <f>_xll.BQL("NOW US Equity", "ADJ_OPERATING_MARGIN", "FPR=2021Y", "FPT=A", "FA_ACT_EST_DATA=E, EST_SOURCE=RWB", "ACT_EST_MAPPING=PRECISE", "FS=MRC", "CURRENCY=USD", "XLFILL=b")</f>
        <v>#N/A Requesting Data...</v>
      </c>
      <c r="AM28" s="6" t="str">
        <f>_xll.BQL("NOW US Equity", "ADJ_OPERATING_MARGIN", "FPR=2021Y", "FPT=A", "FA_ACT_EST_DATA=E, EST_SOURCE=DZB", "ACT_EST_MAPPING=PRECISE", "FS=MRC", "CURRENCY=USD", "XLFILL=b")</f>
        <v>#N/A Requesting Data...</v>
      </c>
      <c r="AN28" s="6" t="str">
        <f>_xll.BQL("NOW US Equity", "ADJ_OPERATING_MARGIN", "FPR=2021Y", "FPT=A", "FA_ACT_EST_DATA=E, EST_SOURCE=DWI", "ACT_EST_MAPPING=PRECISE", "FS=MRC", "CURRENCY=USD", "XLFILL=b")</f>
        <v>#N/A Requesting Data...</v>
      </c>
      <c r="AO28" s="6" t="str">
        <f>_xll.BQL("NOW US Equity", "ADJ_OPERATING_MARGIN", "FPR=2021Y", "FPT=A", "FA_ACT_EST_DATA=E, EST_SOURCE=ARG", "ACT_EST_MAPPING=PRECISE", "FS=MRC", "CURRENCY=USD", "XLFILL=b")</f>
        <v>#N/A Requesting Data...</v>
      </c>
      <c r="AP28" s="6" t="str">
        <f>_xll.BQL("NOW US Equity", "ADJ_OPERATING_MARGIN", "FPR=2021Y", "FPT=A", "FA_ACT_EST_DATA=E, EST_SOURCE=CTI", "ACT_EST_MAPPING=PRECISE", "FS=MRC", "CURRENCY=USD", "XLFILL=b")</f>
        <v>#N/A Requesting Data...</v>
      </c>
      <c r="AQ28" s="6" t="str">
        <f>_xll.BQL("NOW US Equity", "ADJ_OPERATING_MARGIN", "FPR=2021Y", "FPT=A", "FA_ACT_EST_DATA=E, EST_SOURCE=WFT", "ACT_EST_MAPPING=PRECISE", "FS=MRC", "CURRENCY=USD", "XLFILL=b")</f>
        <v>#N/A Requesting Data...</v>
      </c>
      <c r="AR28" s="6" t="str">
        <f>_xll.BQL("NOW US Equity", "ADJ_OPERATING_MARGIN", "FPR=2021Y", "FPT=A", "FA_ACT_EST_DATA=E, EST_SOURCE=ARE", "ACT_EST_MAPPING=PRECISE", "FS=MRC", "CURRENCY=USD", "XLFILL=b")</f>
        <v>#N/A Requesting Data...</v>
      </c>
      <c r="AS28" s="6" t="str">
        <f>_xll.BQL("NOW US Equity", "ADJ_OPERATING_MARGIN", "FPR=2021Y", "FPT=A", "FA_ACT_EST_DATA=E, EST_SOURCE=PJE", "ACT_EST_MAPPING=PRECISE", "FS=MRC", "CURRENCY=USD", "XLFILL=b")</f>
        <v>#N/A Requesting Data...</v>
      </c>
      <c r="AT28" s="6" t="str">
        <f>_xll.BQL("NOW US Equity", "ADJ_OPERATING_MARGIN", "FPR=2021Y", "FPT=A", "FA_ACT_EST_DATA=E, EST_SOURCE=MZS", "ACT_EST_MAPPING=PRECISE", "FS=MRC", "CURRENCY=USD", "XLFILL=b")</f>
        <v>#N/A Requesting Data...</v>
      </c>
      <c r="AU28" s="6" t="str">
        <f>_xll.BQL("NOW US Equity", "ADJ_OPERATING_MARGIN", "FPR=2021Y", "FPT=A", "FA_ACT_EST_DATA=E, EST_SOURCE=SUM", "ACT_EST_MAPPING=PRECISE", "FS=MRC", "CURRENCY=USD", "XLFILL=b")</f>
        <v>#N/A Requesting Data...</v>
      </c>
      <c r="AV28" s="6" t="str">
        <f>_xll.BQL("NOW US Equity", "ADJ_OPERATING_MARGIN", "FPR=2021Y", "FPT=A", "FA_ACT_EST_DATA=E, EST_SOURCE=CRC", "ACT_EST_MAPPING=PRECISE", "FS=MRC", "CURRENCY=USD", "XLFILL=b")</f>
        <v>#N/A Requesting Data...</v>
      </c>
      <c r="AW28" s="6" t="str">
        <f>_xll.BQL("NOW US Equity", "ADJ_OPERATING_MARGIN", "FPR=2021Y", "FPT=A", "FA_ACT_EST_DATA=E, EST_SOURCE=SCB", "ACT_EST_MAPPING=PRECISE", "FS=MRC", "CURRENCY=USD", "XLFILL=b")</f>
        <v>#N/A Requesting Data...</v>
      </c>
    </row>
    <row r="29" spans="1:49" x14ac:dyDescent="0.55000000000000004">
      <c r="A29" s="5" t="s">
        <v>23</v>
      </c>
      <c r="B29" s="2"/>
      <c r="C29" s="2"/>
      <c r="D29" s="2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</row>
    <row r="30" spans="1:49" x14ac:dyDescent="0.55000000000000004">
      <c r="A30" s="5" t="s">
        <v>67</v>
      </c>
      <c r="B30" s="2" t="s">
        <v>68</v>
      </c>
      <c r="C30" s="2" t="s">
        <v>69</v>
      </c>
      <c r="D30" s="2"/>
      <c r="E30" s="6" t="str">
        <f>_xll.BQL("NOW US Equity", "CF_FREE_CASH_FLOW_AS_REPORTED/1M", "FPR=2021Y", "FPT=A", "FA_ACT_EST_DATA=E", "ACT_EST_MAPPING=PRECISE", "FS=MRC", "CURRENCY=USD", "XLFILL=b")</f>
        <v>#N/A Requesting Data...</v>
      </c>
      <c r="F30" s="6" t="str">
        <f>_xll.BQL("NOW US Equity", "CONTRIBUTOR_STATS(CF_FREE_CASH_FLOW_AS_REPORTED, MIN)/1M", "FPR=2021Y", "FPT=A", "FA_ACT_EST_DATA=E", "ACT_EST_MAPPING=PRECISE", "FS=MRC", "CURRENCY=USD", "XLFILL=b")</f>
        <v>#N/A Requesting Data...</v>
      </c>
      <c r="G30" s="6" t="str">
        <f>_xll.BQL("NOW US Equity", "CONTRIBUTOR_STATS(CF_FREE_CASH_FLOW_AS_REPORTED, MAX)/1M", "FPR=2021Y", "FPT=A", "FA_ACT_EST_DATA=E", "ACT_EST_MAPPING=PRECISE", "FS=MRC", "CURRENCY=USD", "XLFILL=b")</f>
        <v>#N/A Requesting Data...</v>
      </c>
      <c r="H30" s="6" t="str">
        <f>_xll.BQL("NOW US Equity", "CONTRIBUTOR_STATS(CF_FREE_CASH_FLOW_AS_REPORTED, STD)/1M", "FPR=2021Y", "FPT=A", "FA_ACT_EST_DATA=E", "ACT_EST_MAPPING=PRECISE", "FS=MRC", "CURRENCY=USD", "XLFILL=b")</f>
        <v>#N/A Requesting Data...</v>
      </c>
      <c r="I30" s="6" t="str">
        <f>_xll.BQL("NOW US Equity", "CONTRIBUTOR_STATS(CF_FREE_CASH_FLOW_AS_REPORTED, MEDIAN)/1M", "FPR=2021Y", "FPT=A", "FA_ACT_EST_DATA=E", "ACT_EST_MAPPING=PRECISE", "FS=MRC", "CURRENCY=USD", "XLFILL=b")</f>
        <v>#N/A Requesting Data...</v>
      </c>
      <c r="J30" s="6" t="str">
        <f>_xll.BQL("NOW US Equity", "CF_FREE_CASH_FLOW_AS_REPORTED/1M", "FPR=2021Y", "FPT=A", "FA_ACT_EST_DATA=E, EST_SOURCE=CMPY", "ACT_EST_MAPPING=PRECISE", "FS=MRC", "CURRENCY=USD", "XLFILL=b")</f>
        <v>#N/A Requesting Data...</v>
      </c>
      <c r="K30" s="6" t="str">
        <f>_xll.BQL("NOW US Equity", "CF_FREE_CASH_FLOW_AS_REPORTED/1M", "FPR=2021Y", "FPT=A", "FA_ACT_EST_DATA=E, EST_SOURCE=JPM", "ACT_EST_MAPPING=PRECISE", "FS=MRC", "CURRENCY=USD", "XLFILL=b")</f>
        <v>#N/A Requesting Data...</v>
      </c>
      <c r="L30" s="6" t="str">
        <f>_xll.BQL("NOW US Equity", "CF_FREE_CASH_FLOW_AS_REPORTED/1M", "FPR=2021Y", "FPT=A", "FA_ACT_EST_DATA=E, EST_SOURCE=WBL", "ACT_EST_MAPPING=PRECISE", "FS=MRC", "CURRENCY=USD", "XLFILL=b")</f>
        <v>#N/A Requesting Data...</v>
      </c>
      <c r="M30" s="6" t="str">
        <f>_xll.BQL("NOW US Equity", "CF_FREE_CASH_FLOW_AS_REPORTED/1M", "FPR=2021Y", "FPT=A", "FA_ACT_EST_DATA=E, EST_SOURCE=KEY", "ACT_EST_MAPPING=PRECISE", "FS=MRC", "CURRENCY=USD", "XLFILL=b")</f>
        <v>#N/A Requesting Data...</v>
      </c>
      <c r="N30" s="6" t="str">
        <f>_xll.BQL("NOW US Equity", "CF_FREE_CASH_FLOW_AS_REPORTED/1M", "FPR=2021Y", "FPT=A", "FA_ACT_EST_DATA=E, EST_SOURCE=BMO", "ACT_EST_MAPPING=PRECISE", "FS=MRC", "CURRENCY=USD", "XLFILL=b")</f>
        <v>#N/A Requesting Data...</v>
      </c>
      <c r="O30" s="6" t="str">
        <f>_xll.BQL("NOW US Equity", "CF_FREE_CASH_FLOW_AS_REPORTED/1M", "FPR=2021Y", "FPT=A", "FA_ACT_EST_DATA=E, EST_SOURCE=OPY", "ACT_EST_MAPPING=PRECISE", "FS=MRC", "CURRENCY=USD", "XLFILL=b")</f>
        <v>#N/A Requesting Data...</v>
      </c>
      <c r="P30" s="6" t="str">
        <f>_xll.BQL("NOW US Equity", "CF_FREE_CASH_FLOW_AS_REPORTED/1M", "FPR=2021Y", "FPT=A", "FA_ACT_EST_DATA=E, EST_SOURCE=BCA", "ACT_EST_MAPPING=PRECISE", "FS=MRC", "CURRENCY=USD", "XLFILL=b")</f>
        <v>#N/A Requesting Data...</v>
      </c>
      <c r="Q30" s="6" t="str">
        <f>_xll.BQL("NOW US Equity", "CF_FREE_CASH_FLOW_AS_REPORTED/1M", "FPR=2021Y", "FPT=A", "FA_ACT_EST_DATA=E, EST_SOURCE=RHR", "ACT_EST_MAPPING=PRECISE", "FS=MRC", "CURRENCY=USD", "XLFILL=b")</f>
        <v>#N/A Requesting Data...</v>
      </c>
      <c r="R30" s="6" t="str">
        <f>_xll.BQL("NOW US Equity", "CF_FREE_CASH_FLOW_AS_REPORTED/1M", "FPR=2021Y", "FPT=A", "FA_ACT_EST_DATA=E, EST_SOURCE=SNR", "ACT_EST_MAPPING=PRECISE", "FS=MRC", "CURRENCY=USD", "XLFILL=b")</f>
        <v>#N/A Requesting Data...</v>
      </c>
      <c r="S30" s="6" t="str">
        <f>_xll.BQL("NOW US Equity", "CF_FREE_CASH_FLOW_AS_REPORTED/1M", "FPR=2021Y", "FPT=A", "FA_ACT_EST_DATA=E, EST_SOURCE=MSV", "ACT_EST_MAPPING=PRECISE", "FS=MRC", "CURRENCY=USD", "XLFILL=b")</f>
        <v>#N/A Requesting Data...</v>
      </c>
      <c r="T30" s="6" t="str">
        <f>_xll.BQL("NOW US Equity", "CF_FREE_CASH_FLOW_AS_REPORTED/1M", "FPR=2021Y", "FPT=A", "FA_ACT_EST_DATA=E, EST_SOURCE=CAN", "ACT_EST_MAPPING=PRECISE", "FS=MRC", "CURRENCY=USD", "XLFILL=b")</f>
        <v>#N/A Requesting Data...</v>
      </c>
      <c r="U30" s="6" t="str">
        <f>_xll.BQL("NOW US Equity", "CF_FREE_CASH_FLOW_AS_REPORTED/1M", "FPR=2021Y", "FPT=A", "FA_ACT_EST_DATA=E, EST_SOURCE=JMP", "ACT_EST_MAPPING=PRECISE", "FS=MRC", "CURRENCY=USD", "XLFILL=b")</f>
        <v>#N/A Requesting Data...</v>
      </c>
      <c r="V30" s="6" t="str">
        <f>_xll.BQL("NOW US Equity", "CF_FREE_CASH_FLOW_AS_REPORTED/1M", "FPR=2021Y", "FPT=A", "FA_ACT_EST_DATA=E, EST_SOURCE=NDH", "ACT_EST_MAPPING=PRECISE", "FS=MRC", "CURRENCY=USD", "XLFILL=b")</f>
        <v>#N/A Requesting Data...</v>
      </c>
      <c r="W30" s="6" t="str">
        <f>_xll.BQL("NOW US Equity", "CF_FREE_CASH_FLOW_AS_REPORTED/1M", "FPR=2021Y", "FPT=A", "FA_ACT_EST_DATA=E, EST_SOURCE=ZXS", "ACT_EST_MAPPING=PRECISE", "FS=MRC", "CURRENCY=USD", "XLFILL=b")</f>
        <v>#N/A Requesting Data...</v>
      </c>
      <c r="X30" s="6" t="str">
        <f>_xll.BQL("NOW US Equity", "CF_FREE_CASH_FLOW_AS_REPORTED/1M", "FPR=2021Y", "FPT=A", "FA_ACT_EST_DATA=E, EST_SOURCE=CWN", "ACT_EST_MAPPING=PRECISE", "FS=MRC", "CURRENCY=USD", "XLFILL=b")</f>
        <v>#N/A Requesting Data...</v>
      </c>
      <c r="Y30" s="6" t="str">
        <f>_xll.BQL("NOW US Equity", "CF_FREE_CASH_FLOW_AS_REPORTED/1M", "FPR=2021Y", "FPT=A", "FA_ACT_EST_DATA=E, EST_SOURCE=DBG", "ACT_EST_MAPPING=PRECISE", "FS=MRC", "CURRENCY=USD", "XLFILL=b")</f>
        <v>#N/A Requesting Data...</v>
      </c>
      <c r="Z30" s="6" t="str">
        <f>_xll.BQL("NOW US Equity", "CF_FREE_CASH_FLOW_AS_REPORTED/1M", "FPR=2021Y", "FPT=A", "FA_ACT_EST_DATA=E, EST_SOURCE=UBS", "ACT_EST_MAPPING=PRECISE", "FS=MRC", "CURRENCY=USD", "XLFILL=b")</f>
        <v>#N/A Requesting Data...</v>
      </c>
      <c r="AA30" s="6" t="str">
        <f>_xll.BQL("NOW US Equity", "CF_FREE_CASH_FLOW_AS_REPORTED/1M", "FPR=2021Y", "FPT=A", "FA_ACT_EST_DATA=E, EST_SOURCE=RBC", "ACT_EST_MAPPING=PRECISE", "FS=MRC", "CURRENCY=USD", "XLFILL=b")</f>
        <v>#N/A Requesting Data...</v>
      </c>
      <c r="AB30" s="6" t="str">
        <f>_xll.BQL("NOW US Equity", "CF_FREE_CASH_FLOW_AS_REPORTED/1M", "FPR=2021Y", "FPT=A", "FA_ACT_EST_DATA=E, EST_SOURCE=EVR", "ACT_EST_MAPPING=PRECISE", "FS=MRC", "CURRENCY=USD", "XLFILL=b")</f>
        <v>#N/A Requesting Data...</v>
      </c>
      <c r="AC30" s="6" t="str">
        <f>_xll.BQL("NOW US Equity", "CF_FREE_CASH_FLOW_AS_REPORTED/1M", "FPR=2021Y", "FPT=A", "FA_ACT_EST_DATA=E, EST_SOURCE=BNS", "ACT_EST_MAPPING=PRECISE", "FS=MRC", "CURRENCY=USD", "XLFILL=b")</f>
        <v>#N/A Requesting Data...</v>
      </c>
      <c r="AD30" s="6" t="str">
        <f>_xll.BQL("NOW US Equity", "CF_FREE_CASH_FLOW_AS_REPORTED/1M", "FPR=2021Y", "FPT=A", "FA_ACT_EST_DATA=E, EST_SOURCE=BAM", "ACT_EST_MAPPING=PRECISE", "FS=MRC", "CURRENCY=USD", "XLFILL=b")</f>
        <v>#N/A Requesting Data...</v>
      </c>
      <c r="AE30" s="6" t="str">
        <f>_xll.BQL("NOW US Equity", "CF_FREE_CASH_FLOW_AS_REPORTED/1M", "FPR=2021Y", "FPT=A", "FA_ACT_EST_DATA=E, EST_SOURCE=GSR", "ACT_EST_MAPPING=PRECISE", "FS=MRC", "CURRENCY=USD", "XLFILL=b")</f>
        <v>#N/A Requesting Data...</v>
      </c>
      <c r="AF30" s="6" t="str">
        <f>_xll.BQL("NOW US Equity", "CF_FREE_CASH_FLOW_AS_REPORTED/1M", "FPR=2021Y", "FPT=A", "FA_ACT_EST_DATA=E, EST_SOURCE=FBC", "ACT_EST_MAPPING=PRECISE", "FS=MRC", "CURRENCY=USD", "XLFILL=b")</f>
        <v>#N/A Requesting Data...</v>
      </c>
      <c r="AG30" s="6" t="str">
        <f>_xll.BQL("NOW US Equity", "CF_FREE_CASH_FLOW_AS_REPORTED/1M", "FPR=2021Y", "FPT=A", "FA_ACT_EST_DATA=E, EST_SOURCE=MAC", "ACT_EST_MAPPING=PRECISE", "FS=MRC", "CURRENCY=USD", "XLFILL=b")</f>
        <v>#N/A Requesting Data...</v>
      </c>
      <c r="AH30" s="6" t="str">
        <f>_xll.BQL("NOW US Equity", "CF_FREE_CASH_FLOW_AS_REPORTED/1M", "FPR=2021Y", "FPT=A", "FA_ACT_EST_DATA=E, EST_SOURCE=PSG", "ACT_EST_MAPPING=PRECISE", "FS=MRC", "CURRENCY=USD", "XLFILL=b")</f>
        <v>#N/A Requesting Data...</v>
      </c>
      <c r="AI30" s="6" t="str">
        <f>_xll.BQL("NOW US Equity", "CF_FREE_CASH_FLOW_AS_REPORTED/1M", "FPR=2021Y", "FPT=A", "FA_ACT_EST_DATA=E, EST_SOURCE=MSR", "ACT_EST_MAPPING=PRECISE", "FS=MRC", "CURRENCY=USD", "XLFILL=b")</f>
        <v>#N/A Requesting Data...</v>
      </c>
      <c r="AJ30" s="6" t="str">
        <f>_xll.BQL("NOW US Equity", "CF_FREE_CASH_FLOW_AS_REPORTED/1M", "FPR=2021Y", "FPT=A", "FA_ACT_EST_DATA=E, EST_SOURCE=JEF", "ACT_EST_MAPPING=PRECISE", "FS=MRC", "CURRENCY=USD", "XLFILL=b")</f>
        <v>#N/A Requesting Data...</v>
      </c>
      <c r="AK30" s="6" t="str">
        <f>_xll.BQL("NOW US Equity", "CF_FREE_CASH_FLOW_AS_REPORTED/1M", "FPR=2021Y", "FPT=A", "FA_ACT_EST_DATA=E, EST_SOURCE=TTC", "ACT_EST_MAPPING=PRECISE", "FS=MRC", "CURRENCY=USD", "XLFILL=b")</f>
        <v>#N/A Requesting Data...</v>
      </c>
      <c r="AL30" s="6" t="str">
        <f>_xll.BQL("NOW US Equity", "CF_FREE_CASH_FLOW_AS_REPORTED/1M", "FPR=2021Y", "FPT=A", "FA_ACT_EST_DATA=E, EST_SOURCE=RWB", "ACT_EST_MAPPING=PRECISE", "FS=MRC", "CURRENCY=USD", "XLFILL=b")</f>
        <v>#N/A Requesting Data...</v>
      </c>
      <c r="AM30" s="6" t="str">
        <f>_xll.BQL("NOW US Equity", "CF_FREE_CASH_FLOW_AS_REPORTED/1M", "FPR=2021Y", "FPT=A", "FA_ACT_EST_DATA=E, EST_SOURCE=DZB", "ACT_EST_MAPPING=PRECISE", "FS=MRC", "CURRENCY=USD", "XLFILL=b")</f>
        <v>#N/A Requesting Data...</v>
      </c>
      <c r="AN30" s="6" t="str">
        <f>_xll.BQL("NOW US Equity", "CF_FREE_CASH_FLOW_AS_REPORTED/1M", "FPR=2021Y", "FPT=A", "FA_ACT_EST_DATA=E, EST_SOURCE=DWI", "ACT_EST_MAPPING=PRECISE", "FS=MRC", "CURRENCY=USD", "XLFILL=b")</f>
        <v>#N/A Requesting Data...</v>
      </c>
      <c r="AO30" s="6" t="str">
        <f>_xll.BQL("NOW US Equity", "CF_FREE_CASH_FLOW_AS_REPORTED/1M", "FPR=2021Y", "FPT=A", "FA_ACT_EST_DATA=E, EST_SOURCE=ARG", "ACT_EST_MAPPING=PRECISE", "FS=MRC", "CURRENCY=USD", "XLFILL=b")</f>
        <v>#N/A Requesting Data...</v>
      </c>
      <c r="AP30" s="6" t="str">
        <f>_xll.BQL("NOW US Equity", "CF_FREE_CASH_FLOW_AS_REPORTED/1M", "FPR=2021Y", "FPT=A", "FA_ACT_EST_DATA=E, EST_SOURCE=CTI", "ACT_EST_MAPPING=PRECISE", "FS=MRC", "CURRENCY=USD", "XLFILL=b")</f>
        <v>#N/A Requesting Data...</v>
      </c>
      <c r="AQ30" s="6" t="str">
        <f>_xll.BQL("NOW US Equity", "CF_FREE_CASH_FLOW_AS_REPORTED/1M", "FPR=2021Y", "FPT=A", "FA_ACT_EST_DATA=E, EST_SOURCE=WFT", "ACT_EST_MAPPING=PRECISE", "FS=MRC", "CURRENCY=USD", "XLFILL=b")</f>
        <v>#N/A Requesting Data...</v>
      </c>
      <c r="AR30" s="6" t="str">
        <f>_xll.BQL("NOW US Equity", "CF_FREE_CASH_FLOW_AS_REPORTED/1M", "FPR=2021Y", "FPT=A", "FA_ACT_EST_DATA=E, EST_SOURCE=ARE", "ACT_EST_MAPPING=PRECISE", "FS=MRC", "CURRENCY=USD", "XLFILL=b")</f>
        <v>#N/A Requesting Data...</v>
      </c>
      <c r="AS30" s="6" t="str">
        <f>_xll.BQL("NOW US Equity", "CF_FREE_CASH_FLOW_AS_REPORTED/1M", "FPR=2021Y", "FPT=A", "FA_ACT_EST_DATA=E, EST_SOURCE=PJE", "ACT_EST_MAPPING=PRECISE", "FS=MRC", "CURRENCY=USD", "XLFILL=b")</f>
        <v>#N/A Requesting Data...</v>
      </c>
      <c r="AT30" s="6" t="str">
        <f>_xll.BQL("NOW US Equity", "CF_FREE_CASH_FLOW_AS_REPORTED/1M", "FPR=2021Y", "FPT=A", "FA_ACT_EST_DATA=E, EST_SOURCE=MZS", "ACT_EST_MAPPING=PRECISE", "FS=MRC", "CURRENCY=USD", "XLFILL=b")</f>
        <v>#N/A Requesting Data...</v>
      </c>
      <c r="AU30" s="6" t="str">
        <f>_xll.BQL("NOW US Equity", "CF_FREE_CASH_FLOW_AS_REPORTED/1M", "FPR=2021Y", "FPT=A", "FA_ACT_EST_DATA=E, EST_SOURCE=SUM", "ACT_EST_MAPPING=PRECISE", "FS=MRC", "CURRENCY=USD", "XLFILL=b")</f>
        <v>#N/A Requesting Data...</v>
      </c>
      <c r="AV30" s="6" t="str">
        <f>_xll.BQL("NOW US Equity", "CF_FREE_CASH_FLOW_AS_REPORTED/1M", "FPR=2021Y", "FPT=A", "FA_ACT_EST_DATA=E, EST_SOURCE=CRC", "ACT_EST_MAPPING=PRECISE", "FS=MRC", "CURRENCY=USD", "XLFILL=b")</f>
        <v>#N/A Requesting Data...</v>
      </c>
      <c r="AW30" s="6" t="str">
        <f>_xll.BQL("NOW US Equity", "CF_FREE_CASH_FLOW_AS_REPORTED/1M", "FPR=2021Y", "FPT=A", "FA_ACT_EST_DATA=E, EST_SOURCE=SCB", "ACT_EST_MAPPING=PRECISE", "FS=MRC", "CURRENCY=USD", "XLFILL=b")</f>
        <v>#N/A Requesting Data...</v>
      </c>
    </row>
    <row r="31" spans="1:49" x14ac:dyDescent="0.55000000000000004">
      <c r="A31" s="5" t="s">
        <v>23</v>
      </c>
      <c r="B31" s="2"/>
      <c r="C31" s="2"/>
      <c r="D31" s="2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</row>
    <row r="32" spans="1:49" x14ac:dyDescent="0.55000000000000004">
      <c r="A32" s="5" t="s">
        <v>70</v>
      </c>
      <c r="B32" s="2" t="s">
        <v>71</v>
      </c>
      <c r="C32" s="2" t="s">
        <v>72</v>
      </c>
      <c r="D32" s="2"/>
      <c r="E32" s="6" t="str">
        <f>_xll.BQL("NOW US Equity", "BS_REMAINING_PERFORMANCE_OBLIG/1M", "FPR=2021Y", "FPT=A", "FA_ACT_EST_DATA=E", "ACT_EST_MAPPING=PRECISE", "FS=MRC", "CURRENCY=USD", "XLFILL=b")</f>
        <v>#N/A Requesting Data...</v>
      </c>
      <c r="F32" s="6" t="str">
        <f>_xll.BQL("NOW US Equity", "CONTRIBUTOR_STATS(BS_REMAINING_PERFORMANCE_OBLIG, MIN)/1M", "FPR=2021Y", "FPT=A", "FA_ACT_EST_DATA=E", "ACT_EST_MAPPING=PRECISE", "FS=MRC", "CURRENCY=USD", "XLFILL=b")</f>
        <v>#N/A Requesting Data...</v>
      </c>
      <c r="G32" s="6" t="str">
        <f>_xll.BQL("NOW US Equity", "CONTRIBUTOR_STATS(BS_REMAINING_PERFORMANCE_OBLIG, MAX)/1M", "FPR=2021Y", "FPT=A", "FA_ACT_EST_DATA=E", "ACT_EST_MAPPING=PRECISE", "FS=MRC", "CURRENCY=USD", "XLFILL=b")</f>
        <v>#N/A Requesting Data...</v>
      </c>
      <c r="H32" s="6" t="str">
        <f>_xll.BQL("NOW US Equity", "CONTRIBUTOR_STATS(BS_REMAINING_PERFORMANCE_OBLIG, STD)/1M", "FPR=2021Y", "FPT=A", "FA_ACT_EST_DATA=E", "ACT_EST_MAPPING=PRECISE", "FS=MRC", "CURRENCY=USD", "XLFILL=b")</f>
        <v>#N/A Requesting Data...</v>
      </c>
      <c r="I32" s="6" t="str">
        <f>_xll.BQL("NOW US Equity", "CONTRIBUTOR_STATS(BS_REMAINING_PERFORMANCE_OBLIG, MEDIAN)/1M", "FPR=2021Y", "FPT=A", "FA_ACT_EST_DATA=E", "ACT_EST_MAPPING=PRECISE", "FS=MRC", "CURRENCY=USD", "XLFILL=b")</f>
        <v>#N/A Requesting Data...</v>
      </c>
      <c r="J32" s="6" t="str">
        <f>_xll.BQL("NOW US Equity", "BS_REMAINING_PERFORMANCE_OBLIG/1M", "FPR=2021Y", "FPT=A", "FA_ACT_EST_DATA=E, EST_SOURCE=CMPY", "ACT_EST_MAPPING=PRECISE", "FS=MRC", "CURRENCY=USD", "XLFILL=b")</f>
        <v>#N/A Requesting Data...</v>
      </c>
      <c r="K32" s="6" t="str">
        <f>_xll.BQL("NOW US Equity", "BS_REMAINING_PERFORMANCE_OBLIG/1M", "FPR=2021Y", "FPT=A", "FA_ACT_EST_DATA=E, EST_SOURCE=JPM", "ACT_EST_MAPPING=PRECISE", "FS=MRC", "CURRENCY=USD", "XLFILL=b")</f>
        <v>#N/A Requesting Data...</v>
      </c>
      <c r="L32" s="6" t="str">
        <f>_xll.BQL("NOW US Equity", "BS_REMAINING_PERFORMANCE_OBLIG/1M", "FPR=2021Y", "FPT=A", "FA_ACT_EST_DATA=E, EST_SOURCE=WBL", "ACT_EST_MAPPING=PRECISE", "FS=MRC", "CURRENCY=USD", "XLFILL=b")</f>
        <v>#N/A Requesting Data...</v>
      </c>
      <c r="M32" s="6" t="str">
        <f>_xll.BQL("NOW US Equity", "BS_REMAINING_PERFORMANCE_OBLIG/1M", "FPR=2021Y", "FPT=A", "FA_ACT_EST_DATA=E, EST_SOURCE=KEY", "ACT_EST_MAPPING=PRECISE", "FS=MRC", "CURRENCY=USD", "XLFILL=b")</f>
        <v>#N/A Requesting Data...</v>
      </c>
      <c r="N32" s="6" t="str">
        <f>_xll.BQL("NOW US Equity", "BS_REMAINING_PERFORMANCE_OBLIG/1M", "FPR=2021Y", "FPT=A", "FA_ACT_EST_DATA=E, EST_SOURCE=BMO", "ACT_EST_MAPPING=PRECISE", "FS=MRC", "CURRENCY=USD", "XLFILL=b")</f>
        <v>#N/A Requesting Data...</v>
      </c>
      <c r="O32" s="6" t="str">
        <f>_xll.BQL("NOW US Equity", "BS_REMAINING_PERFORMANCE_OBLIG/1M", "FPR=2021Y", "FPT=A", "FA_ACT_EST_DATA=E, EST_SOURCE=OPY", "ACT_EST_MAPPING=PRECISE", "FS=MRC", "CURRENCY=USD", "XLFILL=b")</f>
        <v>#N/A Requesting Data...</v>
      </c>
      <c r="P32" s="6" t="str">
        <f>_xll.BQL("NOW US Equity", "BS_REMAINING_PERFORMANCE_OBLIG/1M", "FPR=2021Y", "FPT=A", "FA_ACT_EST_DATA=E, EST_SOURCE=BCA", "ACT_EST_MAPPING=PRECISE", "FS=MRC", "CURRENCY=USD", "XLFILL=b")</f>
        <v>#N/A Requesting Data...</v>
      </c>
      <c r="Q32" s="6" t="str">
        <f>_xll.BQL("NOW US Equity", "BS_REMAINING_PERFORMANCE_OBLIG/1M", "FPR=2021Y", "FPT=A", "FA_ACT_EST_DATA=E, EST_SOURCE=RHR", "ACT_EST_MAPPING=PRECISE", "FS=MRC", "CURRENCY=USD", "XLFILL=b")</f>
        <v>#N/A Requesting Data...</v>
      </c>
      <c r="R32" s="6" t="str">
        <f>_xll.BQL("NOW US Equity", "BS_REMAINING_PERFORMANCE_OBLIG/1M", "FPR=2021Y", "FPT=A", "FA_ACT_EST_DATA=E, EST_SOURCE=SNR", "ACT_EST_MAPPING=PRECISE", "FS=MRC", "CURRENCY=USD", "XLFILL=b")</f>
        <v>#N/A Requesting Data...</v>
      </c>
      <c r="S32" s="6" t="str">
        <f>_xll.BQL("NOW US Equity", "BS_REMAINING_PERFORMANCE_OBLIG/1M", "FPR=2021Y", "FPT=A", "FA_ACT_EST_DATA=E, EST_SOURCE=MSV", "ACT_EST_MAPPING=PRECISE", "FS=MRC", "CURRENCY=USD", "XLFILL=b")</f>
        <v>#N/A Requesting Data...</v>
      </c>
      <c r="T32" s="6" t="str">
        <f>_xll.BQL("NOW US Equity", "BS_REMAINING_PERFORMANCE_OBLIG/1M", "FPR=2021Y", "FPT=A", "FA_ACT_EST_DATA=E, EST_SOURCE=CAN", "ACT_EST_MAPPING=PRECISE", "FS=MRC", "CURRENCY=USD", "XLFILL=b")</f>
        <v>#N/A Requesting Data...</v>
      </c>
      <c r="U32" s="6" t="str">
        <f>_xll.BQL("NOW US Equity", "BS_REMAINING_PERFORMANCE_OBLIG/1M", "FPR=2021Y", "FPT=A", "FA_ACT_EST_DATA=E, EST_SOURCE=JMP", "ACT_EST_MAPPING=PRECISE", "FS=MRC", "CURRENCY=USD", "XLFILL=b")</f>
        <v>#N/A Requesting Data...</v>
      </c>
      <c r="V32" s="6" t="str">
        <f>_xll.BQL("NOW US Equity", "BS_REMAINING_PERFORMANCE_OBLIG/1M", "FPR=2021Y", "FPT=A", "FA_ACT_EST_DATA=E, EST_SOURCE=NDH", "ACT_EST_MAPPING=PRECISE", "FS=MRC", "CURRENCY=USD", "XLFILL=b")</f>
        <v>#N/A Requesting Data...</v>
      </c>
      <c r="W32" s="6" t="str">
        <f>_xll.BQL("NOW US Equity", "BS_REMAINING_PERFORMANCE_OBLIG/1M", "FPR=2021Y", "FPT=A", "FA_ACT_EST_DATA=E, EST_SOURCE=ZXS", "ACT_EST_MAPPING=PRECISE", "FS=MRC", "CURRENCY=USD", "XLFILL=b")</f>
        <v>#N/A Requesting Data...</v>
      </c>
      <c r="X32" s="6" t="str">
        <f>_xll.BQL("NOW US Equity", "BS_REMAINING_PERFORMANCE_OBLIG/1M", "FPR=2021Y", "FPT=A", "FA_ACT_EST_DATA=E, EST_SOURCE=CWN", "ACT_EST_MAPPING=PRECISE", "FS=MRC", "CURRENCY=USD", "XLFILL=b")</f>
        <v>#N/A Requesting Data...</v>
      </c>
      <c r="Y32" s="6" t="str">
        <f>_xll.BQL("NOW US Equity", "BS_REMAINING_PERFORMANCE_OBLIG/1M", "FPR=2021Y", "FPT=A", "FA_ACT_EST_DATA=E, EST_SOURCE=DBG", "ACT_EST_MAPPING=PRECISE", "FS=MRC", "CURRENCY=USD", "XLFILL=b")</f>
        <v>#N/A Requesting Data...</v>
      </c>
      <c r="Z32" s="6" t="str">
        <f>_xll.BQL("NOW US Equity", "BS_REMAINING_PERFORMANCE_OBLIG/1M", "FPR=2021Y", "FPT=A", "FA_ACT_EST_DATA=E, EST_SOURCE=UBS", "ACT_EST_MAPPING=PRECISE", "FS=MRC", "CURRENCY=USD", "XLFILL=b")</f>
        <v>#N/A Requesting Data...</v>
      </c>
      <c r="AA32" s="6" t="str">
        <f>_xll.BQL("NOW US Equity", "BS_REMAINING_PERFORMANCE_OBLIG/1M", "FPR=2021Y", "FPT=A", "FA_ACT_EST_DATA=E, EST_SOURCE=RBC", "ACT_EST_MAPPING=PRECISE", "FS=MRC", "CURRENCY=USD", "XLFILL=b")</f>
        <v>#N/A Requesting Data...</v>
      </c>
      <c r="AB32" s="6" t="str">
        <f>_xll.BQL("NOW US Equity", "BS_REMAINING_PERFORMANCE_OBLIG/1M", "FPR=2021Y", "FPT=A", "FA_ACT_EST_DATA=E, EST_SOURCE=EVR", "ACT_EST_MAPPING=PRECISE", "FS=MRC", "CURRENCY=USD", "XLFILL=b")</f>
        <v>#N/A Requesting Data...</v>
      </c>
      <c r="AC32" s="6" t="str">
        <f>_xll.BQL("NOW US Equity", "BS_REMAINING_PERFORMANCE_OBLIG/1M", "FPR=2021Y", "FPT=A", "FA_ACT_EST_DATA=E, EST_SOURCE=BNS", "ACT_EST_MAPPING=PRECISE", "FS=MRC", "CURRENCY=USD", "XLFILL=b")</f>
        <v>#N/A Requesting Data...</v>
      </c>
      <c r="AD32" s="6" t="str">
        <f>_xll.BQL("NOW US Equity", "BS_REMAINING_PERFORMANCE_OBLIG/1M", "FPR=2021Y", "FPT=A", "FA_ACT_EST_DATA=E, EST_SOURCE=BAM", "ACT_EST_MAPPING=PRECISE", "FS=MRC", "CURRENCY=USD", "XLFILL=b")</f>
        <v>#N/A Requesting Data...</v>
      </c>
      <c r="AE32" s="6" t="str">
        <f>_xll.BQL("NOW US Equity", "BS_REMAINING_PERFORMANCE_OBLIG/1M", "FPR=2021Y", "FPT=A", "FA_ACT_EST_DATA=E, EST_SOURCE=GSR", "ACT_EST_MAPPING=PRECISE", "FS=MRC", "CURRENCY=USD", "XLFILL=b")</f>
        <v>#N/A Requesting Data...</v>
      </c>
      <c r="AF32" s="6" t="str">
        <f>_xll.BQL("NOW US Equity", "BS_REMAINING_PERFORMANCE_OBLIG/1M", "FPR=2021Y", "FPT=A", "FA_ACT_EST_DATA=E, EST_SOURCE=FBC", "ACT_EST_MAPPING=PRECISE", "FS=MRC", "CURRENCY=USD", "XLFILL=b")</f>
        <v>#N/A Requesting Data...</v>
      </c>
      <c r="AG32" s="6" t="str">
        <f>_xll.BQL("NOW US Equity", "BS_REMAINING_PERFORMANCE_OBLIG/1M", "FPR=2021Y", "FPT=A", "FA_ACT_EST_DATA=E, EST_SOURCE=MAC", "ACT_EST_MAPPING=PRECISE", "FS=MRC", "CURRENCY=USD", "XLFILL=b")</f>
        <v>#N/A Requesting Data...</v>
      </c>
      <c r="AH32" s="6" t="str">
        <f>_xll.BQL("NOW US Equity", "BS_REMAINING_PERFORMANCE_OBLIG/1M", "FPR=2021Y", "FPT=A", "FA_ACT_EST_DATA=E, EST_SOURCE=PSG", "ACT_EST_MAPPING=PRECISE", "FS=MRC", "CURRENCY=USD", "XLFILL=b")</f>
        <v>#N/A Requesting Data...</v>
      </c>
      <c r="AI32" s="6" t="str">
        <f>_xll.BQL("NOW US Equity", "BS_REMAINING_PERFORMANCE_OBLIG/1M", "FPR=2021Y", "FPT=A", "FA_ACT_EST_DATA=E, EST_SOURCE=MSR", "ACT_EST_MAPPING=PRECISE", "FS=MRC", "CURRENCY=USD", "XLFILL=b")</f>
        <v>#N/A Requesting Data...</v>
      </c>
      <c r="AJ32" s="6" t="str">
        <f>_xll.BQL("NOW US Equity", "BS_REMAINING_PERFORMANCE_OBLIG/1M", "FPR=2021Y", "FPT=A", "FA_ACT_EST_DATA=E, EST_SOURCE=JEF", "ACT_EST_MAPPING=PRECISE", "FS=MRC", "CURRENCY=USD", "XLFILL=b")</f>
        <v>#N/A Requesting Data...</v>
      </c>
      <c r="AK32" s="6" t="str">
        <f>_xll.BQL("NOW US Equity", "BS_REMAINING_PERFORMANCE_OBLIG/1M", "FPR=2021Y", "FPT=A", "FA_ACT_EST_DATA=E, EST_SOURCE=TTC", "ACT_EST_MAPPING=PRECISE", "FS=MRC", "CURRENCY=USD", "XLFILL=b")</f>
        <v>#N/A Requesting Data...</v>
      </c>
      <c r="AL32" s="6" t="str">
        <f>_xll.BQL("NOW US Equity", "BS_REMAINING_PERFORMANCE_OBLIG/1M", "FPR=2021Y", "FPT=A", "FA_ACT_EST_DATA=E, EST_SOURCE=RWB", "ACT_EST_MAPPING=PRECISE", "FS=MRC", "CURRENCY=USD", "XLFILL=b")</f>
        <v>#N/A Requesting Data...</v>
      </c>
      <c r="AM32" s="6" t="str">
        <f>_xll.BQL("NOW US Equity", "BS_REMAINING_PERFORMANCE_OBLIG/1M", "FPR=2021Y", "FPT=A", "FA_ACT_EST_DATA=E, EST_SOURCE=DZB", "ACT_EST_MAPPING=PRECISE", "FS=MRC", "CURRENCY=USD", "XLFILL=b")</f>
        <v>#N/A Requesting Data...</v>
      </c>
      <c r="AN32" s="6" t="str">
        <f>_xll.BQL("NOW US Equity", "BS_REMAINING_PERFORMANCE_OBLIG/1M", "FPR=2021Y", "FPT=A", "FA_ACT_EST_DATA=E, EST_SOURCE=DWI", "ACT_EST_MAPPING=PRECISE", "FS=MRC", "CURRENCY=USD", "XLFILL=b")</f>
        <v>#N/A Requesting Data...</v>
      </c>
      <c r="AO32" s="6" t="str">
        <f>_xll.BQL("NOW US Equity", "BS_REMAINING_PERFORMANCE_OBLIG/1M", "FPR=2021Y", "FPT=A", "FA_ACT_EST_DATA=E, EST_SOURCE=ARG", "ACT_EST_MAPPING=PRECISE", "FS=MRC", "CURRENCY=USD", "XLFILL=b")</f>
        <v>#N/A Requesting Data...</v>
      </c>
      <c r="AP32" s="6" t="str">
        <f>_xll.BQL("NOW US Equity", "BS_REMAINING_PERFORMANCE_OBLIG/1M", "FPR=2021Y", "FPT=A", "FA_ACT_EST_DATA=E, EST_SOURCE=CTI", "ACT_EST_MAPPING=PRECISE", "FS=MRC", "CURRENCY=USD", "XLFILL=b")</f>
        <v>#N/A Requesting Data...</v>
      </c>
      <c r="AQ32" s="6" t="str">
        <f>_xll.BQL("NOW US Equity", "BS_REMAINING_PERFORMANCE_OBLIG/1M", "FPR=2021Y", "FPT=A", "FA_ACT_EST_DATA=E, EST_SOURCE=WFT", "ACT_EST_MAPPING=PRECISE", "FS=MRC", "CURRENCY=USD", "XLFILL=b")</f>
        <v>#N/A Requesting Data...</v>
      </c>
      <c r="AR32" s="6" t="str">
        <f>_xll.BQL("NOW US Equity", "BS_REMAINING_PERFORMANCE_OBLIG/1M", "FPR=2021Y", "FPT=A", "FA_ACT_EST_DATA=E, EST_SOURCE=ARE", "ACT_EST_MAPPING=PRECISE", "FS=MRC", "CURRENCY=USD", "XLFILL=b")</f>
        <v>#N/A Requesting Data...</v>
      </c>
      <c r="AS32" s="6" t="str">
        <f>_xll.BQL("NOW US Equity", "BS_REMAINING_PERFORMANCE_OBLIG/1M", "FPR=2021Y", "FPT=A", "FA_ACT_EST_DATA=E, EST_SOURCE=PJE", "ACT_EST_MAPPING=PRECISE", "FS=MRC", "CURRENCY=USD", "XLFILL=b")</f>
        <v>#N/A Requesting Data...</v>
      </c>
      <c r="AT32" s="6" t="str">
        <f>_xll.BQL("NOW US Equity", "BS_REMAINING_PERFORMANCE_OBLIG/1M", "FPR=2021Y", "FPT=A", "FA_ACT_EST_DATA=E, EST_SOURCE=MZS", "ACT_EST_MAPPING=PRECISE", "FS=MRC", "CURRENCY=USD", "XLFILL=b")</f>
        <v>#N/A Requesting Data...</v>
      </c>
      <c r="AU32" s="6" t="str">
        <f>_xll.BQL("NOW US Equity", "BS_REMAINING_PERFORMANCE_OBLIG/1M", "FPR=2021Y", "FPT=A", "FA_ACT_EST_DATA=E, EST_SOURCE=SUM", "ACT_EST_MAPPING=PRECISE", "FS=MRC", "CURRENCY=USD", "XLFILL=b")</f>
        <v>#N/A Requesting Data...</v>
      </c>
      <c r="AV32" s="6" t="str">
        <f>_xll.BQL("NOW US Equity", "BS_REMAINING_PERFORMANCE_OBLIG/1M", "FPR=2021Y", "FPT=A", "FA_ACT_EST_DATA=E, EST_SOURCE=CRC", "ACT_EST_MAPPING=PRECISE", "FS=MRC", "CURRENCY=USD", "XLFILL=b")</f>
        <v>#N/A Requesting Data...</v>
      </c>
      <c r="AW32" s="6" t="str">
        <f>_xll.BQL("NOW US Equity", "BS_REMAINING_PERFORMANCE_OBLIG/1M", "FPR=2021Y", "FPT=A", "FA_ACT_EST_DATA=E, EST_SOURCE=SCB", "ACT_EST_MAPPING=PRECISE", "FS=MRC", "CURRENCY=USD", "XLFILL=b")</f>
        <v>#N/A Requesting Data...</v>
      </c>
    </row>
    <row r="33" spans="1:49" x14ac:dyDescent="0.55000000000000004">
      <c r="A33" s="5" t="s">
        <v>23</v>
      </c>
      <c r="B33" s="2"/>
      <c r="C33" s="2"/>
      <c r="D33" s="2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</row>
    <row r="34" spans="1:49" x14ac:dyDescent="0.55000000000000004">
      <c r="A34" s="5" t="s">
        <v>73</v>
      </c>
      <c r="B34" s="2"/>
      <c r="C34" s="2" t="s">
        <v>74</v>
      </c>
      <c r="D34" s="2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</row>
    <row r="35" spans="1:49" x14ac:dyDescent="0.55000000000000004">
      <c r="A35" s="5" t="s">
        <v>23</v>
      </c>
      <c r="B35" s="2"/>
      <c r="C35" s="2"/>
      <c r="D35" s="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</row>
    <row r="36" spans="1:49" x14ac:dyDescent="0.55000000000000004">
      <c r="A36" s="5" t="s">
        <v>75</v>
      </c>
      <c r="B36" s="2"/>
      <c r="C36" s="2" t="s">
        <v>76</v>
      </c>
      <c r="D36" s="2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</row>
    <row r="37" spans="1:49" x14ac:dyDescent="0.55000000000000004">
      <c r="A37" s="5" t="s">
        <v>70</v>
      </c>
      <c r="B37" s="2" t="s">
        <v>71</v>
      </c>
      <c r="C37" s="2" t="s">
        <v>72</v>
      </c>
      <c r="D37" s="2"/>
      <c r="E37" s="6" t="str">
        <f>_xll.BQL("NOW US Equity", "BS_REMAINING_PERFORMANCE_OBLIG/1M", "FPR=2021Y", "FPT=A", "FA_ACT_EST_DATA=E", "ACT_EST_MAPPING=PRECISE", "FS=MRC", "CURRENCY=USD", "XLFILL=b")</f>
        <v>#N/A Requesting Data...</v>
      </c>
      <c r="F37" s="6" t="str">
        <f>_xll.BQL("NOW US Equity", "CONTRIBUTOR_STATS(BS_REMAINING_PERFORMANCE_OBLIG, MIN)/1M", "FPR=2021Y", "FPT=A", "FA_ACT_EST_DATA=E", "ACT_EST_MAPPING=PRECISE", "FS=MRC", "CURRENCY=USD", "XLFILL=b")</f>
        <v>#N/A Requesting Data...</v>
      </c>
      <c r="G37" s="6" t="str">
        <f>_xll.BQL("NOW US Equity", "CONTRIBUTOR_STATS(BS_REMAINING_PERFORMANCE_OBLIG, MAX)/1M", "FPR=2021Y", "FPT=A", "FA_ACT_EST_DATA=E", "ACT_EST_MAPPING=PRECISE", "FS=MRC", "CURRENCY=USD", "XLFILL=b")</f>
        <v>#N/A Requesting Data...</v>
      </c>
      <c r="H37" s="6" t="str">
        <f>_xll.BQL("NOW US Equity", "CONTRIBUTOR_STATS(BS_REMAINING_PERFORMANCE_OBLIG, STD)/1M", "FPR=2021Y", "FPT=A", "FA_ACT_EST_DATA=E", "ACT_EST_MAPPING=PRECISE", "FS=MRC", "CURRENCY=USD", "XLFILL=b")</f>
        <v>#N/A Requesting Data...</v>
      </c>
      <c r="I37" s="6" t="str">
        <f>_xll.BQL("NOW US Equity", "CONTRIBUTOR_STATS(BS_REMAINING_PERFORMANCE_OBLIG, MEDIAN)/1M", "FPR=2021Y", "FPT=A", "FA_ACT_EST_DATA=E", "ACT_EST_MAPPING=PRECISE", "FS=MRC", "CURRENCY=USD", "XLFILL=b")</f>
        <v>#N/A Requesting Data...</v>
      </c>
      <c r="J37" s="6" t="str">
        <f>_xll.BQL("NOW US Equity", "BS_REMAINING_PERFORMANCE_OBLIG/1M", "FPR=2021Y", "FPT=A", "FA_ACT_EST_DATA=E, EST_SOURCE=CMPY", "ACT_EST_MAPPING=PRECISE", "FS=MRC", "CURRENCY=USD", "XLFILL=b")</f>
        <v>#N/A Requesting Data...</v>
      </c>
      <c r="K37" s="6" t="str">
        <f>_xll.BQL("NOW US Equity", "BS_REMAINING_PERFORMANCE_OBLIG/1M", "FPR=2021Y", "FPT=A", "FA_ACT_EST_DATA=E, EST_SOURCE=JPM", "ACT_EST_MAPPING=PRECISE", "FS=MRC", "CURRENCY=USD", "XLFILL=b")</f>
        <v>#N/A Requesting Data...</v>
      </c>
      <c r="L37" s="6" t="str">
        <f>_xll.BQL("NOW US Equity", "BS_REMAINING_PERFORMANCE_OBLIG/1M", "FPR=2021Y", "FPT=A", "FA_ACT_EST_DATA=E, EST_SOURCE=WBL", "ACT_EST_MAPPING=PRECISE", "FS=MRC", "CURRENCY=USD", "XLFILL=b")</f>
        <v>#N/A Requesting Data...</v>
      </c>
      <c r="M37" s="6" t="str">
        <f>_xll.BQL("NOW US Equity", "BS_REMAINING_PERFORMANCE_OBLIG/1M", "FPR=2021Y", "FPT=A", "FA_ACT_EST_DATA=E, EST_SOURCE=KEY", "ACT_EST_MAPPING=PRECISE", "FS=MRC", "CURRENCY=USD", "XLFILL=b")</f>
        <v>#N/A Requesting Data...</v>
      </c>
      <c r="N37" s="6" t="str">
        <f>_xll.BQL("NOW US Equity", "BS_REMAINING_PERFORMANCE_OBLIG/1M", "FPR=2021Y", "FPT=A", "FA_ACT_EST_DATA=E, EST_SOURCE=BMO", "ACT_EST_MAPPING=PRECISE", "FS=MRC", "CURRENCY=USD", "XLFILL=b")</f>
        <v>#N/A Requesting Data...</v>
      </c>
      <c r="O37" s="6" t="str">
        <f>_xll.BQL("NOW US Equity", "BS_REMAINING_PERFORMANCE_OBLIG/1M", "FPR=2021Y", "FPT=A", "FA_ACT_EST_DATA=E, EST_SOURCE=OPY", "ACT_EST_MAPPING=PRECISE", "FS=MRC", "CURRENCY=USD", "XLFILL=b")</f>
        <v>#N/A Requesting Data...</v>
      </c>
      <c r="P37" s="6" t="str">
        <f>_xll.BQL("NOW US Equity", "BS_REMAINING_PERFORMANCE_OBLIG/1M", "FPR=2021Y", "FPT=A", "FA_ACT_EST_DATA=E, EST_SOURCE=BCA", "ACT_EST_MAPPING=PRECISE", "FS=MRC", "CURRENCY=USD", "XLFILL=b")</f>
        <v>#N/A Requesting Data...</v>
      </c>
      <c r="Q37" s="6" t="str">
        <f>_xll.BQL("NOW US Equity", "BS_REMAINING_PERFORMANCE_OBLIG/1M", "FPR=2021Y", "FPT=A", "FA_ACT_EST_DATA=E, EST_SOURCE=RHR", "ACT_EST_MAPPING=PRECISE", "FS=MRC", "CURRENCY=USD", "XLFILL=b")</f>
        <v>#N/A Requesting Data...</v>
      </c>
      <c r="R37" s="6" t="str">
        <f>_xll.BQL("NOW US Equity", "BS_REMAINING_PERFORMANCE_OBLIG/1M", "FPR=2021Y", "FPT=A", "FA_ACT_EST_DATA=E, EST_SOURCE=SNR", "ACT_EST_MAPPING=PRECISE", "FS=MRC", "CURRENCY=USD", "XLFILL=b")</f>
        <v>#N/A Requesting Data...</v>
      </c>
      <c r="S37" s="6" t="str">
        <f>_xll.BQL("NOW US Equity", "BS_REMAINING_PERFORMANCE_OBLIG/1M", "FPR=2021Y", "FPT=A", "FA_ACT_EST_DATA=E, EST_SOURCE=MSV", "ACT_EST_MAPPING=PRECISE", "FS=MRC", "CURRENCY=USD", "XLFILL=b")</f>
        <v>#N/A Requesting Data...</v>
      </c>
      <c r="T37" s="6" t="str">
        <f>_xll.BQL("NOW US Equity", "BS_REMAINING_PERFORMANCE_OBLIG/1M", "FPR=2021Y", "FPT=A", "FA_ACT_EST_DATA=E, EST_SOURCE=CAN", "ACT_EST_MAPPING=PRECISE", "FS=MRC", "CURRENCY=USD", "XLFILL=b")</f>
        <v>#N/A Requesting Data...</v>
      </c>
      <c r="U37" s="6" t="str">
        <f>_xll.BQL("NOW US Equity", "BS_REMAINING_PERFORMANCE_OBLIG/1M", "FPR=2021Y", "FPT=A", "FA_ACT_EST_DATA=E, EST_SOURCE=JMP", "ACT_EST_MAPPING=PRECISE", "FS=MRC", "CURRENCY=USD", "XLFILL=b")</f>
        <v>#N/A Requesting Data...</v>
      </c>
      <c r="V37" s="6" t="str">
        <f>_xll.BQL("NOW US Equity", "BS_REMAINING_PERFORMANCE_OBLIG/1M", "FPR=2021Y", "FPT=A", "FA_ACT_EST_DATA=E, EST_SOURCE=NDH", "ACT_EST_MAPPING=PRECISE", "FS=MRC", "CURRENCY=USD", "XLFILL=b")</f>
        <v>#N/A Requesting Data...</v>
      </c>
      <c r="W37" s="6" t="str">
        <f>_xll.BQL("NOW US Equity", "BS_REMAINING_PERFORMANCE_OBLIG/1M", "FPR=2021Y", "FPT=A", "FA_ACT_EST_DATA=E, EST_SOURCE=ZXS", "ACT_EST_MAPPING=PRECISE", "FS=MRC", "CURRENCY=USD", "XLFILL=b")</f>
        <v>#N/A Requesting Data...</v>
      </c>
      <c r="X37" s="6" t="str">
        <f>_xll.BQL("NOW US Equity", "BS_REMAINING_PERFORMANCE_OBLIG/1M", "FPR=2021Y", "FPT=A", "FA_ACT_EST_DATA=E, EST_SOURCE=CWN", "ACT_EST_MAPPING=PRECISE", "FS=MRC", "CURRENCY=USD", "XLFILL=b")</f>
        <v>#N/A Requesting Data...</v>
      </c>
      <c r="Y37" s="6" t="str">
        <f>_xll.BQL("NOW US Equity", "BS_REMAINING_PERFORMANCE_OBLIG/1M", "FPR=2021Y", "FPT=A", "FA_ACT_EST_DATA=E, EST_SOURCE=DBG", "ACT_EST_MAPPING=PRECISE", "FS=MRC", "CURRENCY=USD", "XLFILL=b")</f>
        <v>#N/A Requesting Data...</v>
      </c>
      <c r="Z37" s="6" t="str">
        <f>_xll.BQL("NOW US Equity", "BS_REMAINING_PERFORMANCE_OBLIG/1M", "FPR=2021Y", "FPT=A", "FA_ACT_EST_DATA=E, EST_SOURCE=UBS", "ACT_EST_MAPPING=PRECISE", "FS=MRC", "CURRENCY=USD", "XLFILL=b")</f>
        <v>#N/A Requesting Data...</v>
      </c>
      <c r="AA37" s="6" t="str">
        <f>_xll.BQL("NOW US Equity", "BS_REMAINING_PERFORMANCE_OBLIG/1M", "FPR=2021Y", "FPT=A", "FA_ACT_EST_DATA=E, EST_SOURCE=RBC", "ACT_EST_MAPPING=PRECISE", "FS=MRC", "CURRENCY=USD", "XLFILL=b")</f>
        <v>#N/A Requesting Data...</v>
      </c>
      <c r="AB37" s="6" t="str">
        <f>_xll.BQL("NOW US Equity", "BS_REMAINING_PERFORMANCE_OBLIG/1M", "FPR=2021Y", "FPT=A", "FA_ACT_EST_DATA=E, EST_SOURCE=EVR", "ACT_EST_MAPPING=PRECISE", "FS=MRC", "CURRENCY=USD", "XLFILL=b")</f>
        <v>#N/A Requesting Data...</v>
      </c>
      <c r="AC37" s="6" t="str">
        <f>_xll.BQL("NOW US Equity", "BS_REMAINING_PERFORMANCE_OBLIG/1M", "FPR=2021Y", "FPT=A", "FA_ACT_EST_DATA=E, EST_SOURCE=BNS", "ACT_EST_MAPPING=PRECISE", "FS=MRC", "CURRENCY=USD", "XLFILL=b")</f>
        <v>#N/A Requesting Data...</v>
      </c>
      <c r="AD37" s="6" t="str">
        <f>_xll.BQL("NOW US Equity", "BS_REMAINING_PERFORMANCE_OBLIG/1M", "FPR=2021Y", "FPT=A", "FA_ACT_EST_DATA=E, EST_SOURCE=BAM", "ACT_EST_MAPPING=PRECISE", "FS=MRC", "CURRENCY=USD", "XLFILL=b")</f>
        <v>#N/A Requesting Data...</v>
      </c>
      <c r="AE37" s="6" t="str">
        <f>_xll.BQL("NOW US Equity", "BS_REMAINING_PERFORMANCE_OBLIG/1M", "FPR=2021Y", "FPT=A", "FA_ACT_EST_DATA=E, EST_SOURCE=GSR", "ACT_EST_MAPPING=PRECISE", "FS=MRC", "CURRENCY=USD", "XLFILL=b")</f>
        <v>#N/A Requesting Data...</v>
      </c>
      <c r="AF37" s="6" t="str">
        <f>_xll.BQL("NOW US Equity", "BS_REMAINING_PERFORMANCE_OBLIG/1M", "FPR=2021Y", "FPT=A", "FA_ACT_EST_DATA=E, EST_SOURCE=FBC", "ACT_EST_MAPPING=PRECISE", "FS=MRC", "CURRENCY=USD", "XLFILL=b")</f>
        <v>#N/A Requesting Data...</v>
      </c>
      <c r="AG37" s="6" t="str">
        <f>_xll.BQL("NOW US Equity", "BS_REMAINING_PERFORMANCE_OBLIG/1M", "FPR=2021Y", "FPT=A", "FA_ACT_EST_DATA=E, EST_SOURCE=MAC", "ACT_EST_MAPPING=PRECISE", "FS=MRC", "CURRENCY=USD", "XLFILL=b")</f>
        <v>#N/A Requesting Data...</v>
      </c>
      <c r="AH37" s="6" t="str">
        <f>_xll.BQL("NOW US Equity", "BS_REMAINING_PERFORMANCE_OBLIG/1M", "FPR=2021Y", "FPT=A", "FA_ACT_EST_DATA=E, EST_SOURCE=PSG", "ACT_EST_MAPPING=PRECISE", "FS=MRC", "CURRENCY=USD", "XLFILL=b")</f>
        <v>#N/A Requesting Data...</v>
      </c>
      <c r="AI37" s="6" t="str">
        <f>_xll.BQL("NOW US Equity", "BS_REMAINING_PERFORMANCE_OBLIG/1M", "FPR=2021Y", "FPT=A", "FA_ACT_EST_DATA=E, EST_SOURCE=MSR", "ACT_EST_MAPPING=PRECISE", "FS=MRC", "CURRENCY=USD", "XLFILL=b")</f>
        <v>#N/A Requesting Data...</v>
      </c>
      <c r="AJ37" s="6" t="str">
        <f>_xll.BQL("NOW US Equity", "BS_REMAINING_PERFORMANCE_OBLIG/1M", "FPR=2021Y", "FPT=A", "FA_ACT_EST_DATA=E, EST_SOURCE=JEF", "ACT_EST_MAPPING=PRECISE", "FS=MRC", "CURRENCY=USD", "XLFILL=b")</f>
        <v>#N/A Requesting Data...</v>
      </c>
      <c r="AK37" s="6" t="str">
        <f>_xll.BQL("NOW US Equity", "BS_REMAINING_PERFORMANCE_OBLIG/1M", "FPR=2021Y", "FPT=A", "FA_ACT_EST_DATA=E, EST_SOURCE=TTC", "ACT_EST_MAPPING=PRECISE", "FS=MRC", "CURRENCY=USD", "XLFILL=b")</f>
        <v>#N/A Requesting Data...</v>
      </c>
      <c r="AL37" s="6" t="str">
        <f>_xll.BQL("NOW US Equity", "BS_REMAINING_PERFORMANCE_OBLIG/1M", "FPR=2021Y", "FPT=A", "FA_ACT_EST_DATA=E, EST_SOURCE=RWB", "ACT_EST_MAPPING=PRECISE", "FS=MRC", "CURRENCY=USD", "XLFILL=b")</f>
        <v>#N/A Requesting Data...</v>
      </c>
      <c r="AM37" s="6" t="str">
        <f>_xll.BQL("NOW US Equity", "BS_REMAINING_PERFORMANCE_OBLIG/1M", "FPR=2021Y", "FPT=A", "FA_ACT_EST_DATA=E, EST_SOURCE=DZB", "ACT_EST_MAPPING=PRECISE", "FS=MRC", "CURRENCY=USD", "XLFILL=b")</f>
        <v>#N/A Requesting Data...</v>
      </c>
      <c r="AN37" s="6" t="str">
        <f>_xll.BQL("NOW US Equity", "BS_REMAINING_PERFORMANCE_OBLIG/1M", "FPR=2021Y", "FPT=A", "FA_ACT_EST_DATA=E, EST_SOURCE=DWI", "ACT_EST_MAPPING=PRECISE", "FS=MRC", "CURRENCY=USD", "XLFILL=b")</f>
        <v>#N/A Requesting Data...</v>
      </c>
      <c r="AO37" s="6" t="str">
        <f>_xll.BQL("NOW US Equity", "BS_REMAINING_PERFORMANCE_OBLIG/1M", "FPR=2021Y", "FPT=A", "FA_ACT_EST_DATA=E, EST_SOURCE=ARG", "ACT_EST_MAPPING=PRECISE", "FS=MRC", "CURRENCY=USD", "XLFILL=b")</f>
        <v>#N/A Requesting Data...</v>
      </c>
      <c r="AP37" s="6" t="str">
        <f>_xll.BQL("NOW US Equity", "BS_REMAINING_PERFORMANCE_OBLIG/1M", "FPR=2021Y", "FPT=A", "FA_ACT_EST_DATA=E, EST_SOURCE=CTI", "ACT_EST_MAPPING=PRECISE", "FS=MRC", "CURRENCY=USD", "XLFILL=b")</f>
        <v>#N/A Requesting Data...</v>
      </c>
      <c r="AQ37" s="6" t="str">
        <f>_xll.BQL("NOW US Equity", "BS_REMAINING_PERFORMANCE_OBLIG/1M", "FPR=2021Y", "FPT=A", "FA_ACT_EST_DATA=E, EST_SOURCE=WFT", "ACT_EST_MAPPING=PRECISE", "FS=MRC", "CURRENCY=USD", "XLFILL=b")</f>
        <v>#N/A Requesting Data...</v>
      </c>
      <c r="AR37" s="6" t="str">
        <f>_xll.BQL("NOW US Equity", "BS_REMAINING_PERFORMANCE_OBLIG/1M", "FPR=2021Y", "FPT=A", "FA_ACT_EST_DATA=E, EST_SOURCE=ARE", "ACT_EST_MAPPING=PRECISE", "FS=MRC", "CURRENCY=USD", "XLFILL=b")</f>
        <v>#N/A Requesting Data...</v>
      </c>
      <c r="AS37" s="6" t="str">
        <f>_xll.BQL("NOW US Equity", "BS_REMAINING_PERFORMANCE_OBLIG/1M", "FPR=2021Y", "FPT=A", "FA_ACT_EST_DATA=E, EST_SOURCE=PJE", "ACT_EST_MAPPING=PRECISE", "FS=MRC", "CURRENCY=USD", "XLFILL=b")</f>
        <v>#N/A Requesting Data...</v>
      </c>
      <c r="AT37" s="6" t="str">
        <f>_xll.BQL("NOW US Equity", "BS_REMAINING_PERFORMANCE_OBLIG/1M", "FPR=2021Y", "FPT=A", "FA_ACT_EST_DATA=E, EST_SOURCE=MZS", "ACT_EST_MAPPING=PRECISE", "FS=MRC", "CURRENCY=USD", "XLFILL=b")</f>
        <v>#N/A Requesting Data...</v>
      </c>
      <c r="AU37" s="6" t="str">
        <f>_xll.BQL("NOW US Equity", "BS_REMAINING_PERFORMANCE_OBLIG/1M", "FPR=2021Y", "FPT=A", "FA_ACT_EST_DATA=E, EST_SOURCE=SUM", "ACT_EST_MAPPING=PRECISE", "FS=MRC", "CURRENCY=USD", "XLFILL=b")</f>
        <v>#N/A Requesting Data...</v>
      </c>
      <c r="AV37" s="6" t="str">
        <f>_xll.BQL("NOW US Equity", "BS_REMAINING_PERFORMANCE_OBLIG/1M", "FPR=2021Y", "FPT=A", "FA_ACT_EST_DATA=E, EST_SOURCE=CRC", "ACT_EST_MAPPING=PRECISE", "FS=MRC", "CURRENCY=USD", "XLFILL=b")</f>
        <v>#N/A Requesting Data...</v>
      </c>
      <c r="AW37" s="6" t="str">
        <f>_xll.BQL("NOW US Equity", "BS_REMAINING_PERFORMANCE_OBLIG/1M", "FPR=2021Y", "FPT=A", "FA_ACT_EST_DATA=E, EST_SOURCE=SCB", "ACT_EST_MAPPING=PRECISE", "FS=MRC", "CURRENCY=USD", "XLFILL=b")</f>
        <v>#N/A Requesting Data...</v>
      </c>
    </row>
    <row r="38" spans="1:49" x14ac:dyDescent="0.55000000000000004">
      <c r="A38" s="5" t="s">
        <v>77</v>
      </c>
      <c r="B38" s="2"/>
      <c r="C38" s="2" t="s">
        <v>45</v>
      </c>
      <c r="D38" s="2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</row>
    <row r="39" spans="1:49" x14ac:dyDescent="0.55000000000000004">
      <c r="A39" s="5" t="s">
        <v>78</v>
      </c>
      <c r="B39" s="2" t="s">
        <v>25</v>
      </c>
      <c r="C39" s="2" t="s">
        <v>26</v>
      </c>
      <c r="D39" s="2"/>
      <c r="E39" s="6" t="str">
        <f>_xll.BQL("NOW US Equity", "IS_BILLINGS/1M", "FPR=2021Y", "FPT=A", "FA_ACT_EST_DATA=E", "ACT_EST_MAPPING=PRECISE", "FS=MRC", "CURRENCY=USD", "XLFILL=b")</f>
        <v>#N/A Requesting Data...</v>
      </c>
      <c r="F39" s="6" t="str">
        <f>_xll.BQL("NOW US Equity", "CONTRIBUTOR_STATS(IS_BILLINGS, MIN)/1M", "FPR=2021Y", "FPT=A", "FA_ACT_EST_DATA=E", "ACT_EST_MAPPING=PRECISE", "FS=MRC", "CURRENCY=USD", "XLFILL=b")</f>
        <v>#N/A Requesting Data...</v>
      </c>
      <c r="G39" s="6" t="str">
        <f>_xll.BQL("NOW US Equity", "CONTRIBUTOR_STATS(IS_BILLINGS, MAX)/1M", "FPR=2021Y", "FPT=A", "FA_ACT_EST_DATA=E", "ACT_EST_MAPPING=PRECISE", "FS=MRC", "CURRENCY=USD", "XLFILL=b")</f>
        <v>#N/A Requesting Data...</v>
      </c>
      <c r="H39" s="6" t="str">
        <f>_xll.BQL("NOW US Equity", "CONTRIBUTOR_STATS(IS_BILLINGS, STD)/1M", "FPR=2021Y", "FPT=A", "FA_ACT_EST_DATA=E", "ACT_EST_MAPPING=PRECISE", "FS=MRC", "CURRENCY=USD", "XLFILL=b")</f>
        <v>#N/A Requesting Data...</v>
      </c>
      <c r="I39" s="6" t="str">
        <f>_xll.BQL("NOW US Equity", "CONTRIBUTOR_STATS(IS_BILLINGS, MEDIAN)/1M", "FPR=2021Y", "FPT=A", "FA_ACT_EST_DATA=E", "ACT_EST_MAPPING=PRECISE", "FS=MRC", "CURRENCY=USD", "XLFILL=b")</f>
        <v>#N/A Requesting Data...</v>
      </c>
      <c r="J39" s="6" t="str">
        <f>_xll.BQL("NOW US Equity", "IS_BILLINGS/1M", "FPR=2021Y", "FPT=A", "FA_ACT_EST_DATA=E, EST_SOURCE=CMPY", "ACT_EST_MAPPING=PRECISE", "FS=MRC", "CURRENCY=USD", "XLFILL=b")</f>
        <v>#N/A Requesting Data...</v>
      </c>
      <c r="K39" s="6" t="str">
        <f>_xll.BQL("NOW US Equity", "IS_BILLINGS/1M", "FPR=2021Y", "FPT=A", "FA_ACT_EST_DATA=E, EST_SOURCE=JPM", "ACT_EST_MAPPING=PRECISE", "FS=MRC", "CURRENCY=USD", "XLFILL=b")</f>
        <v>#N/A Requesting Data...</v>
      </c>
      <c r="L39" s="6" t="str">
        <f>_xll.BQL("NOW US Equity", "IS_BILLINGS/1M", "FPR=2021Y", "FPT=A", "FA_ACT_EST_DATA=E, EST_SOURCE=WBL", "ACT_EST_MAPPING=PRECISE", "FS=MRC", "CURRENCY=USD", "XLFILL=b")</f>
        <v>#N/A Requesting Data...</v>
      </c>
      <c r="M39" s="6" t="str">
        <f>_xll.BQL("NOW US Equity", "IS_BILLINGS/1M", "FPR=2021Y", "FPT=A", "FA_ACT_EST_DATA=E, EST_SOURCE=KEY", "ACT_EST_MAPPING=PRECISE", "FS=MRC", "CURRENCY=USD", "XLFILL=b")</f>
        <v>#N/A Requesting Data...</v>
      </c>
      <c r="N39" s="6" t="str">
        <f>_xll.BQL("NOW US Equity", "IS_BILLINGS/1M", "FPR=2021Y", "FPT=A", "FA_ACT_EST_DATA=E, EST_SOURCE=BMO", "ACT_EST_MAPPING=PRECISE", "FS=MRC", "CURRENCY=USD", "XLFILL=b")</f>
        <v>#N/A Requesting Data...</v>
      </c>
      <c r="O39" s="6" t="str">
        <f>_xll.BQL("NOW US Equity", "IS_BILLINGS/1M", "FPR=2021Y", "FPT=A", "FA_ACT_EST_DATA=E, EST_SOURCE=OPY", "ACT_EST_MAPPING=PRECISE", "FS=MRC", "CURRENCY=USD", "XLFILL=b")</f>
        <v>#N/A Requesting Data...</v>
      </c>
      <c r="P39" s="6" t="str">
        <f>_xll.BQL("NOW US Equity", "IS_BILLINGS/1M", "FPR=2021Y", "FPT=A", "FA_ACT_EST_DATA=E, EST_SOURCE=BCA", "ACT_EST_MAPPING=PRECISE", "FS=MRC", "CURRENCY=USD", "XLFILL=b")</f>
        <v>#N/A Requesting Data...</v>
      </c>
      <c r="Q39" s="6" t="str">
        <f>_xll.BQL("NOW US Equity", "IS_BILLINGS/1M", "FPR=2021Y", "FPT=A", "FA_ACT_EST_DATA=E, EST_SOURCE=RHR", "ACT_EST_MAPPING=PRECISE", "FS=MRC", "CURRENCY=USD", "XLFILL=b")</f>
        <v>#N/A Requesting Data...</v>
      </c>
      <c r="R39" s="6" t="str">
        <f>_xll.BQL("NOW US Equity", "IS_BILLINGS/1M", "FPR=2021Y", "FPT=A", "FA_ACT_EST_DATA=E, EST_SOURCE=SNR", "ACT_EST_MAPPING=PRECISE", "FS=MRC", "CURRENCY=USD", "XLFILL=b")</f>
        <v>#N/A Requesting Data...</v>
      </c>
      <c r="S39" s="6" t="str">
        <f>_xll.BQL("NOW US Equity", "IS_BILLINGS/1M", "FPR=2021Y", "FPT=A", "FA_ACT_EST_DATA=E, EST_SOURCE=MSV", "ACT_EST_MAPPING=PRECISE", "FS=MRC", "CURRENCY=USD", "XLFILL=b")</f>
        <v>#N/A Requesting Data...</v>
      </c>
      <c r="T39" s="6" t="str">
        <f>_xll.BQL("NOW US Equity", "IS_BILLINGS/1M", "FPR=2021Y", "FPT=A", "FA_ACT_EST_DATA=E, EST_SOURCE=CAN", "ACT_EST_MAPPING=PRECISE", "FS=MRC", "CURRENCY=USD", "XLFILL=b")</f>
        <v>#N/A Requesting Data...</v>
      </c>
      <c r="U39" s="6" t="str">
        <f>_xll.BQL("NOW US Equity", "IS_BILLINGS/1M", "FPR=2021Y", "FPT=A", "FA_ACT_EST_DATA=E, EST_SOURCE=JMP", "ACT_EST_MAPPING=PRECISE", "FS=MRC", "CURRENCY=USD", "XLFILL=b")</f>
        <v>#N/A Requesting Data...</v>
      </c>
      <c r="V39" s="6" t="str">
        <f>_xll.BQL("NOW US Equity", "IS_BILLINGS/1M", "FPR=2021Y", "FPT=A", "FA_ACT_EST_DATA=E, EST_SOURCE=NDH", "ACT_EST_MAPPING=PRECISE", "FS=MRC", "CURRENCY=USD", "XLFILL=b")</f>
        <v>#N/A Requesting Data...</v>
      </c>
      <c r="W39" s="6" t="str">
        <f>_xll.BQL("NOW US Equity", "IS_BILLINGS/1M", "FPR=2021Y", "FPT=A", "FA_ACT_EST_DATA=E, EST_SOURCE=ZXS", "ACT_EST_MAPPING=PRECISE", "FS=MRC", "CURRENCY=USD", "XLFILL=b")</f>
        <v>#N/A Requesting Data...</v>
      </c>
      <c r="X39" s="6" t="str">
        <f>_xll.BQL("NOW US Equity", "IS_BILLINGS/1M", "FPR=2021Y", "FPT=A", "FA_ACT_EST_DATA=E, EST_SOURCE=CWN", "ACT_EST_MAPPING=PRECISE", "FS=MRC", "CURRENCY=USD", "XLFILL=b")</f>
        <v>#N/A Requesting Data...</v>
      </c>
      <c r="Y39" s="6" t="str">
        <f>_xll.BQL("NOW US Equity", "IS_BILLINGS/1M", "FPR=2021Y", "FPT=A", "FA_ACT_EST_DATA=E, EST_SOURCE=DBG", "ACT_EST_MAPPING=PRECISE", "FS=MRC", "CURRENCY=USD", "XLFILL=b")</f>
        <v>#N/A Requesting Data...</v>
      </c>
      <c r="Z39" s="6" t="str">
        <f>_xll.BQL("NOW US Equity", "IS_BILLINGS/1M", "FPR=2021Y", "FPT=A", "FA_ACT_EST_DATA=E, EST_SOURCE=UBS", "ACT_EST_MAPPING=PRECISE", "FS=MRC", "CURRENCY=USD", "XLFILL=b")</f>
        <v>#N/A Requesting Data...</v>
      </c>
      <c r="AA39" s="6" t="str">
        <f>_xll.BQL("NOW US Equity", "IS_BILLINGS/1M", "FPR=2021Y", "FPT=A", "FA_ACT_EST_DATA=E, EST_SOURCE=RBC", "ACT_EST_MAPPING=PRECISE", "FS=MRC", "CURRENCY=USD", "XLFILL=b")</f>
        <v>#N/A Requesting Data...</v>
      </c>
      <c r="AB39" s="6" t="str">
        <f>_xll.BQL("NOW US Equity", "IS_BILLINGS/1M", "FPR=2021Y", "FPT=A", "FA_ACT_EST_DATA=E, EST_SOURCE=EVR", "ACT_EST_MAPPING=PRECISE", "FS=MRC", "CURRENCY=USD", "XLFILL=b")</f>
        <v>#N/A Requesting Data...</v>
      </c>
      <c r="AC39" s="6" t="str">
        <f>_xll.BQL("NOW US Equity", "IS_BILLINGS/1M", "FPR=2021Y", "FPT=A", "FA_ACT_EST_DATA=E, EST_SOURCE=BNS", "ACT_EST_MAPPING=PRECISE", "FS=MRC", "CURRENCY=USD", "XLFILL=b")</f>
        <v>#N/A Requesting Data...</v>
      </c>
      <c r="AD39" s="6" t="str">
        <f>_xll.BQL("NOW US Equity", "IS_BILLINGS/1M", "FPR=2021Y", "FPT=A", "FA_ACT_EST_DATA=E, EST_SOURCE=BAM", "ACT_EST_MAPPING=PRECISE", "FS=MRC", "CURRENCY=USD", "XLFILL=b")</f>
        <v>#N/A Requesting Data...</v>
      </c>
      <c r="AE39" s="6" t="str">
        <f>_xll.BQL("NOW US Equity", "IS_BILLINGS/1M", "FPR=2021Y", "FPT=A", "FA_ACT_EST_DATA=E, EST_SOURCE=GSR", "ACT_EST_MAPPING=PRECISE", "FS=MRC", "CURRENCY=USD", "XLFILL=b")</f>
        <v>#N/A Requesting Data...</v>
      </c>
      <c r="AF39" s="6" t="str">
        <f>_xll.BQL("NOW US Equity", "IS_BILLINGS/1M", "FPR=2021Y", "FPT=A", "FA_ACT_EST_DATA=E, EST_SOURCE=FBC", "ACT_EST_MAPPING=PRECISE", "FS=MRC", "CURRENCY=USD", "XLFILL=b")</f>
        <v>#N/A Requesting Data...</v>
      </c>
      <c r="AG39" s="6" t="str">
        <f>_xll.BQL("NOW US Equity", "IS_BILLINGS/1M", "FPR=2021Y", "FPT=A", "FA_ACT_EST_DATA=E, EST_SOURCE=MAC", "ACT_EST_MAPPING=PRECISE", "FS=MRC", "CURRENCY=USD", "XLFILL=b")</f>
        <v>#N/A Requesting Data...</v>
      </c>
      <c r="AH39" s="6" t="str">
        <f>_xll.BQL("NOW US Equity", "IS_BILLINGS/1M", "FPR=2021Y", "FPT=A", "FA_ACT_EST_DATA=E, EST_SOURCE=PSG", "ACT_EST_MAPPING=PRECISE", "FS=MRC", "CURRENCY=USD", "XLFILL=b")</f>
        <v>#N/A Requesting Data...</v>
      </c>
      <c r="AI39" s="6" t="str">
        <f>_xll.BQL("NOW US Equity", "IS_BILLINGS/1M", "FPR=2021Y", "FPT=A", "FA_ACT_EST_DATA=E, EST_SOURCE=MSR", "ACT_EST_MAPPING=PRECISE", "FS=MRC", "CURRENCY=USD", "XLFILL=b")</f>
        <v>#N/A Requesting Data...</v>
      </c>
      <c r="AJ39" s="6" t="str">
        <f>_xll.BQL("NOW US Equity", "IS_BILLINGS/1M", "FPR=2021Y", "FPT=A", "FA_ACT_EST_DATA=E, EST_SOURCE=JEF", "ACT_EST_MAPPING=PRECISE", "FS=MRC", "CURRENCY=USD", "XLFILL=b")</f>
        <v>#N/A Requesting Data...</v>
      </c>
      <c r="AK39" s="6" t="str">
        <f>_xll.BQL("NOW US Equity", "IS_BILLINGS/1M", "FPR=2021Y", "FPT=A", "FA_ACT_EST_DATA=E, EST_SOURCE=TTC", "ACT_EST_MAPPING=PRECISE", "FS=MRC", "CURRENCY=USD", "XLFILL=b")</f>
        <v>#N/A Requesting Data...</v>
      </c>
      <c r="AL39" s="6" t="str">
        <f>_xll.BQL("NOW US Equity", "IS_BILLINGS/1M", "FPR=2021Y", "FPT=A", "FA_ACT_EST_DATA=E, EST_SOURCE=RWB", "ACT_EST_MAPPING=PRECISE", "FS=MRC", "CURRENCY=USD", "XLFILL=b")</f>
        <v>#N/A Requesting Data...</v>
      </c>
      <c r="AM39" s="6" t="str">
        <f>_xll.BQL("NOW US Equity", "IS_BILLINGS/1M", "FPR=2021Y", "FPT=A", "FA_ACT_EST_DATA=E, EST_SOURCE=DZB", "ACT_EST_MAPPING=PRECISE", "FS=MRC", "CURRENCY=USD", "XLFILL=b")</f>
        <v>#N/A Requesting Data...</v>
      </c>
      <c r="AN39" s="6" t="str">
        <f>_xll.BQL("NOW US Equity", "IS_BILLINGS/1M", "FPR=2021Y", "FPT=A", "FA_ACT_EST_DATA=E, EST_SOURCE=DWI", "ACT_EST_MAPPING=PRECISE", "FS=MRC", "CURRENCY=USD", "XLFILL=b")</f>
        <v>#N/A Requesting Data...</v>
      </c>
      <c r="AO39" s="6" t="str">
        <f>_xll.BQL("NOW US Equity", "IS_BILLINGS/1M", "FPR=2021Y", "FPT=A", "FA_ACT_EST_DATA=E, EST_SOURCE=ARG", "ACT_EST_MAPPING=PRECISE", "FS=MRC", "CURRENCY=USD", "XLFILL=b")</f>
        <v>#N/A Requesting Data...</v>
      </c>
      <c r="AP39" s="6" t="str">
        <f>_xll.BQL("NOW US Equity", "IS_BILLINGS/1M", "FPR=2021Y", "FPT=A", "FA_ACT_EST_DATA=E, EST_SOURCE=CTI", "ACT_EST_MAPPING=PRECISE", "FS=MRC", "CURRENCY=USD", "XLFILL=b")</f>
        <v>#N/A Requesting Data...</v>
      </c>
      <c r="AQ39" s="6" t="str">
        <f>_xll.BQL("NOW US Equity", "IS_BILLINGS/1M", "FPR=2021Y", "FPT=A", "FA_ACT_EST_DATA=E, EST_SOURCE=WFT", "ACT_EST_MAPPING=PRECISE", "FS=MRC", "CURRENCY=USD", "XLFILL=b")</f>
        <v>#N/A Requesting Data...</v>
      </c>
      <c r="AR39" s="6" t="str">
        <f>_xll.BQL("NOW US Equity", "IS_BILLINGS/1M", "FPR=2021Y", "FPT=A", "FA_ACT_EST_DATA=E, EST_SOURCE=ARE", "ACT_EST_MAPPING=PRECISE", "FS=MRC", "CURRENCY=USD", "XLFILL=b")</f>
        <v>#N/A Requesting Data...</v>
      </c>
      <c r="AS39" s="6" t="str">
        <f>_xll.BQL("NOW US Equity", "IS_BILLINGS/1M", "FPR=2021Y", "FPT=A", "FA_ACT_EST_DATA=E, EST_SOURCE=PJE", "ACT_EST_MAPPING=PRECISE", "FS=MRC", "CURRENCY=USD", "XLFILL=b")</f>
        <v>#N/A Requesting Data...</v>
      </c>
      <c r="AT39" s="6" t="str">
        <f>_xll.BQL("NOW US Equity", "IS_BILLINGS/1M", "FPR=2021Y", "FPT=A", "FA_ACT_EST_DATA=E, EST_SOURCE=MZS", "ACT_EST_MAPPING=PRECISE", "FS=MRC", "CURRENCY=USD", "XLFILL=b")</f>
        <v>#N/A Requesting Data...</v>
      </c>
      <c r="AU39" s="6" t="str">
        <f>_xll.BQL("NOW US Equity", "IS_BILLINGS/1M", "FPR=2021Y", "FPT=A", "FA_ACT_EST_DATA=E, EST_SOURCE=SUM", "ACT_EST_MAPPING=PRECISE", "FS=MRC", "CURRENCY=USD", "XLFILL=b")</f>
        <v>#N/A Requesting Data...</v>
      </c>
      <c r="AV39" s="6" t="str">
        <f>_xll.BQL("NOW US Equity", "IS_BILLINGS/1M", "FPR=2021Y", "FPT=A", "FA_ACT_EST_DATA=E, EST_SOURCE=CRC", "ACT_EST_MAPPING=PRECISE", "FS=MRC", "CURRENCY=USD", "XLFILL=b")</f>
        <v>#N/A Requesting Data...</v>
      </c>
      <c r="AW39" s="6" t="str">
        <f>_xll.BQL("NOW US Equity", "IS_BILLINGS/1M", "FPR=2021Y", "FPT=A", "FA_ACT_EST_DATA=E, EST_SOURCE=SCB", "ACT_EST_MAPPING=PRECISE", "FS=MRC", "CURRENCY=USD", "XLFILL=b")</f>
        <v>#N/A Requesting Data...</v>
      </c>
    </row>
    <row r="40" spans="1:49" x14ac:dyDescent="0.55000000000000004">
      <c r="A40" s="5" t="s">
        <v>79</v>
      </c>
      <c r="B40" s="2" t="s">
        <v>28</v>
      </c>
      <c r="C40" s="2" t="s">
        <v>29</v>
      </c>
      <c r="D40" s="2"/>
      <c r="E40" s="6" t="str">
        <f>_xll.BQL("NOW US Equity", "BILLNG_AMOUNT_GROWTH_PCT", "FPR=2021Y", "FPT=A", "FA_ACT_EST_DATA=E", "ACT_EST_MAPPING=PRECISE", "FS=MRC", "CURRENCY=USD", "XLFILL=b")</f>
        <v>#N/A Requesting Data...</v>
      </c>
      <c r="F40" s="6" t="str">
        <f>_xll.BQL("NOW US Equity", "CONTRIBUTOR_STATS(BILLNG_AMOUNT_GROWTH_PCT, MIN)", "FPR=2021Y", "FPT=A", "FA_ACT_EST_DATA=E", "ACT_EST_MAPPING=PRECISE", "FS=MRC", "CURRENCY=USD", "XLFILL=b")</f>
        <v>#N/A Requesting Data...</v>
      </c>
      <c r="G40" s="6" t="str">
        <f>_xll.BQL("NOW US Equity", "CONTRIBUTOR_STATS(BILLNG_AMOUNT_GROWTH_PCT, MAX)", "FPR=2021Y", "FPT=A", "FA_ACT_EST_DATA=E", "ACT_EST_MAPPING=PRECISE", "FS=MRC", "CURRENCY=USD", "XLFILL=b")</f>
        <v>#N/A Requesting Data...</v>
      </c>
      <c r="H40" s="6" t="str">
        <f>_xll.BQL("NOW US Equity", "CONTRIBUTOR_STATS(BILLNG_AMOUNT_GROWTH_PCT, STD)", "FPR=2021Y", "FPT=A", "FA_ACT_EST_DATA=E", "ACT_EST_MAPPING=PRECISE", "FS=MRC", "CURRENCY=USD", "XLFILL=b")</f>
        <v>#N/A Requesting Data...</v>
      </c>
      <c r="I40" s="6">
        <f>_xll.BQL("NOW US Equity", "CONTRIBUTOR_STATS(BILLNG_AMOUNT_GROWTH_PCT, MEDIAN)", "FPR=2021Y", "FPT=A", "FA_ACT_EST_DATA=E", "ACT_EST_MAPPING=PRECISE", "FS=MRC", "CURRENCY=USD", "XLFILL=b")</f>
        <v>28.306706055932263</v>
      </c>
      <c r="J40" s="6" t="str">
        <f>_xll.BQL("NOW US Equity", "BILLNG_AMOUNT_GROWTH_PCT", "FPR=2021Y", "FPT=A", "FA_ACT_EST_DATA=E, EST_SOURCE=CMPY", "ACT_EST_MAPPING=PRECISE", "FS=MRC", "CURRENCY=USD", "XLFILL=b")</f>
        <v>#N/A Requesting Data...</v>
      </c>
      <c r="K40" s="6" t="str">
        <f>_xll.BQL("NOW US Equity", "BILLNG_AMOUNT_GROWTH_PCT", "FPR=2021Y", "FPT=A", "FA_ACT_EST_DATA=E, EST_SOURCE=JPM", "ACT_EST_MAPPING=PRECISE", "FS=MRC", "CURRENCY=USD", "XLFILL=b")</f>
        <v>#N/A Requesting Data...</v>
      </c>
      <c r="L40" s="6" t="str">
        <f>_xll.BQL("NOW US Equity", "BILLNG_AMOUNT_GROWTH_PCT", "FPR=2021Y", "FPT=A", "FA_ACT_EST_DATA=E, EST_SOURCE=WBL", "ACT_EST_MAPPING=PRECISE", "FS=MRC", "CURRENCY=USD", "XLFILL=b")</f>
        <v>#N/A Requesting Data...</v>
      </c>
      <c r="M40" s="6" t="str">
        <f>_xll.BQL("NOW US Equity", "BILLNG_AMOUNT_GROWTH_PCT", "FPR=2021Y", "FPT=A", "FA_ACT_EST_DATA=E, EST_SOURCE=KEY", "ACT_EST_MAPPING=PRECISE", "FS=MRC", "CURRENCY=USD", "XLFILL=b")</f>
        <v>#N/A Requesting Data...</v>
      </c>
      <c r="N40" s="6" t="str">
        <f>_xll.BQL("NOW US Equity", "BILLNG_AMOUNT_GROWTH_PCT", "FPR=2021Y", "FPT=A", "FA_ACT_EST_DATA=E, EST_SOURCE=BMO", "ACT_EST_MAPPING=PRECISE", "FS=MRC", "CURRENCY=USD", "XLFILL=b")</f>
        <v>#N/A Requesting Data...</v>
      </c>
      <c r="O40" s="6" t="str">
        <f>_xll.BQL("NOW US Equity", "BILLNG_AMOUNT_GROWTH_PCT", "FPR=2021Y", "FPT=A", "FA_ACT_EST_DATA=E, EST_SOURCE=OPY", "ACT_EST_MAPPING=PRECISE", "FS=MRC", "CURRENCY=USD", "XLFILL=b")</f>
        <v>#N/A Requesting Data...</v>
      </c>
      <c r="P40" s="6" t="str">
        <f>_xll.BQL("NOW US Equity", "BILLNG_AMOUNT_GROWTH_PCT", "FPR=2021Y", "FPT=A", "FA_ACT_EST_DATA=E, EST_SOURCE=BCA", "ACT_EST_MAPPING=PRECISE", "FS=MRC", "CURRENCY=USD", "XLFILL=b")</f>
        <v>#N/A Requesting Data...</v>
      </c>
      <c r="Q40" s="6" t="str">
        <f>_xll.BQL("NOW US Equity", "BILLNG_AMOUNT_GROWTH_PCT", "FPR=2021Y", "FPT=A", "FA_ACT_EST_DATA=E, EST_SOURCE=RHR", "ACT_EST_MAPPING=PRECISE", "FS=MRC", "CURRENCY=USD", "XLFILL=b")</f>
        <v>#N/A Requesting Data...</v>
      </c>
      <c r="R40" s="6" t="str">
        <f>_xll.BQL("NOW US Equity", "BILLNG_AMOUNT_GROWTH_PCT", "FPR=2021Y", "FPT=A", "FA_ACT_EST_DATA=E, EST_SOURCE=SNR", "ACT_EST_MAPPING=PRECISE", "FS=MRC", "CURRENCY=USD", "XLFILL=b")</f>
        <v>#N/A Requesting Data...</v>
      </c>
      <c r="S40" s="6" t="str">
        <f>_xll.BQL("NOW US Equity", "BILLNG_AMOUNT_GROWTH_PCT", "FPR=2021Y", "FPT=A", "FA_ACT_EST_DATA=E, EST_SOURCE=MSV", "ACT_EST_MAPPING=PRECISE", "FS=MRC", "CURRENCY=USD", "XLFILL=b")</f>
        <v>#N/A Requesting Data...</v>
      </c>
      <c r="T40" s="6" t="str">
        <f>_xll.BQL("NOW US Equity", "BILLNG_AMOUNT_GROWTH_PCT", "FPR=2021Y", "FPT=A", "FA_ACT_EST_DATA=E, EST_SOURCE=CAN", "ACT_EST_MAPPING=PRECISE", "FS=MRC", "CURRENCY=USD", "XLFILL=b")</f>
        <v>#N/A Requesting Data...</v>
      </c>
      <c r="U40" s="6" t="str">
        <f>_xll.BQL("NOW US Equity", "BILLNG_AMOUNT_GROWTH_PCT", "FPR=2021Y", "FPT=A", "FA_ACT_EST_DATA=E, EST_SOURCE=JMP", "ACT_EST_MAPPING=PRECISE", "FS=MRC", "CURRENCY=USD", "XLFILL=b")</f>
        <v>#N/A Requesting Data...</v>
      </c>
      <c r="V40" s="6" t="str">
        <f>_xll.BQL("NOW US Equity", "BILLNG_AMOUNT_GROWTH_PCT", "FPR=2021Y", "FPT=A", "FA_ACT_EST_DATA=E, EST_SOURCE=NDH", "ACT_EST_MAPPING=PRECISE", "FS=MRC", "CURRENCY=USD", "XLFILL=b")</f>
        <v>#N/A Requesting Data...</v>
      </c>
      <c r="W40" s="6" t="str">
        <f>_xll.BQL("NOW US Equity", "BILLNG_AMOUNT_GROWTH_PCT", "FPR=2021Y", "FPT=A", "FA_ACT_EST_DATA=E, EST_SOURCE=ZXS", "ACT_EST_MAPPING=PRECISE", "FS=MRC", "CURRENCY=USD", "XLFILL=b")</f>
        <v>#N/A Requesting Data...</v>
      </c>
      <c r="X40" s="6" t="str">
        <f>_xll.BQL("NOW US Equity", "BILLNG_AMOUNT_GROWTH_PCT", "FPR=2021Y", "FPT=A", "FA_ACT_EST_DATA=E, EST_SOURCE=CWN", "ACT_EST_MAPPING=PRECISE", "FS=MRC", "CURRENCY=USD", "XLFILL=b")</f>
        <v>#N/A Requesting Data...</v>
      </c>
      <c r="Y40" s="6" t="str">
        <f>_xll.BQL("NOW US Equity", "BILLNG_AMOUNT_GROWTH_PCT", "FPR=2021Y", "FPT=A", "FA_ACT_EST_DATA=E, EST_SOURCE=DBG", "ACT_EST_MAPPING=PRECISE", "FS=MRC", "CURRENCY=USD", "XLFILL=b")</f>
        <v>#N/A Requesting Data...</v>
      </c>
      <c r="Z40" s="6" t="str">
        <f>_xll.BQL("NOW US Equity", "BILLNG_AMOUNT_GROWTH_PCT", "FPR=2021Y", "FPT=A", "FA_ACT_EST_DATA=E, EST_SOURCE=UBS", "ACT_EST_MAPPING=PRECISE", "FS=MRC", "CURRENCY=USD", "XLFILL=b")</f>
        <v>#N/A Requesting Data...</v>
      </c>
      <c r="AA40" s="6" t="str">
        <f>_xll.BQL("NOW US Equity", "BILLNG_AMOUNT_GROWTH_PCT", "FPR=2021Y", "FPT=A", "FA_ACT_EST_DATA=E, EST_SOURCE=RBC", "ACT_EST_MAPPING=PRECISE", "FS=MRC", "CURRENCY=USD", "XLFILL=b")</f>
        <v>#N/A Requesting Data...</v>
      </c>
      <c r="AB40" s="6" t="str">
        <f>_xll.BQL("NOW US Equity", "BILLNG_AMOUNT_GROWTH_PCT", "FPR=2021Y", "FPT=A", "FA_ACT_EST_DATA=E, EST_SOURCE=EVR", "ACT_EST_MAPPING=PRECISE", "FS=MRC", "CURRENCY=USD", "XLFILL=b")</f>
        <v>#N/A Requesting Data...</v>
      </c>
      <c r="AC40" s="6" t="str">
        <f>_xll.BQL("NOW US Equity", "BILLNG_AMOUNT_GROWTH_PCT", "FPR=2021Y", "FPT=A", "FA_ACT_EST_DATA=E, EST_SOURCE=BNS", "ACT_EST_MAPPING=PRECISE", "FS=MRC", "CURRENCY=USD", "XLFILL=b")</f>
        <v>#N/A Requesting Data...</v>
      </c>
      <c r="AD40" s="6" t="str">
        <f>_xll.BQL("NOW US Equity", "BILLNG_AMOUNT_GROWTH_PCT", "FPR=2021Y", "FPT=A", "FA_ACT_EST_DATA=E, EST_SOURCE=BAM", "ACT_EST_MAPPING=PRECISE", "FS=MRC", "CURRENCY=USD", "XLFILL=b")</f>
        <v>#N/A Requesting Data...</v>
      </c>
      <c r="AE40" s="6" t="str">
        <f>_xll.BQL("NOW US Equity", "BILLNG_AMOUNT_GROWTH_PCT", "FPR=2021Y", "FPT=A", "FA_ACT_EST_DATA=E, EST_SOURCE=GSR", "ACT_EST_MAPPING=PRECISE", "FS=MRC", "CURRENCY=USD", "XLFILL=b")</f>
        <v>#N/A Requesting Data...</v>
      </c>
      <c r="AF40" s="6" t="str">
        <f>_xll.BQL("NOW US Equity", "BILLNG_AMOUNT_GROWTH_PCT", "FPR=2021Y", "FPT=A", "FA_ACT_EST_DATA=E, EST_SOURCE=FBC", "ACT_EST_MAPPING=PRECISE", "FS=MRC", "CURRENCY=USD", "XLFILL=b")</f>
        <v>#N/A Requesting Data...</v>
      </c>
      <c r="AG40" s="6" t="str">
        <f>_xll.BQL("NOW US Equity", "BILLNG_AMOUNT_GROWTH_PCT", "FPR=2021Y", "FPT=A", "FA_ACT_EST_DATA=E, EST_SOURCE=MAC", "ACT_EST_MAPPING=PRECISE", "FS=MRC", "CURRENCY=USD", "XLFILL=b")</f>
        <v>#N/A Requesting Data...</v>
      </c>
      <c r="AH40" s="6" t="str">
        <f>_xll.BQL("NOW US Equity", "BILLNG_AMOUNT_GROWTH_PCT", "FPR=2021Y", "FPT=A", "FA_ACT_EST_DATA=E, EST_SOURCE=PSG", "ACT_EST_MAPPING=PRECISE", "FS=MRC", "CURRENCY=USD", "XLFILL=b")</f>
        <v>#N/A Requesting Data...</v>
      </c>
      <c r="AI40" s="6" t="str">
        <f>_xll.BQL("NOW US Equity", "BILLNG_AMOUNT_GROWTH_PCT", "FPR=2021Y", "FPT=A", "FA_ACT_EST_DATA=E, EST_SOURCE=MSR", "ACT_EST_MAPPING=PRECISE", "FS=MRC", "CURRENCY=USD", "XLFILL=b")</f>
        <v>#N/A Requesting Data...</v>
      </c>
      <c r="AJ40" s="6" t="str">
        <f>_xll.BQL("NOW US Equity", "BILLNG_AMOUNT_GROWTH_PCT", "FPR=2021Y", "FPT=A", "FA_ACT_EST_DATA=E, EST_SOURCE=JEF", "ACT_EST_MAPPING=PRECISE", "FS=MRC", "CURRENCY=USD", "XLFILL=b")</f>
        <v>#N/A Requesting Data...</v>
      </c>
      <c r="AK40" s="6" t="str">
        <f>_xll.BQL("NOW US Equity", "BILLNG_AMOUNT_GROWTH_PCT", "FPR=2021Y", "FPT=A", "FA_ACT_EST_DATA=E, EST_SOURCE=TTC", "ACT_EST_MAPPING=PRECISE", "FS=MRC", "CURRENCY=USD", "XLFILL=b")</f>
        <v>#N/A Requesting Data...</v>
      </c>
      <c r="AL40" s="6" t="str">
        <f>_xll.BQL("NOW US Equity", "BILLNG_AMOUNT_GROWTH_PCT", "FPR=2021Y", "FPT=A", "FA_ACT_EST_DATA=E, EST_SOURCE=RWB", "ACT_EST_MAPPING=PRECISE", "FS=MRC", "CURRENCY=USD", "XLFILL=b")</f>
        <v>#N/A Requesting Data...</v>
      </c>
      <c r="AM40" s="6" t="str">
        <f>_xll.BQL("NOW US Equity", "BILLNG_AMOUNT_GROWTH_PCT", "FPR=2021Y", "FPT=A", "FA_ACT_EST_DATA=E, EST_SOURCE=DZB", "ACT_EST_MAPPING=PRECISE", "FS=MRC", "CURRENCY=USD", "XLFILL=b")</f>
        <v>#N/A Requesting Data...</v>
      </c>
      <c r="AN40" s="6" t="str">
        <f>_xll.BQL("NOW US Equity", "BILLNG_AMOUNT_GROWTH_PCT", "FPR=2021Y", "FPT=A", "FA_ACT_EST_DATA=E, EST_SOURCE=DWI", "ACT_EST_MAPPING=PRECISE", "FS=MRC", "CURRENCY=USD", "XLFILL=b")</f>
        <v>#N/A Requesting Data...</v>
      </c>
      <c r="AO40" s="6" t="str">
        <f>_xll.BQL("NOW US Equity", "BILLNG_AMOUNT_GROWTH_PCT", "FPR=2021Y", "FPT=A", "FA_ACT_EST_DATA=E, EST_SOURCE=ARG", "ACT_EST_MAPPING=PRECISE", "FS=MRC", "CURRENCY=USD", "XLFILL=b")</f>
        <v>#N/A Requesting Data...</v>
      </c>
      <c r="AP40" s="6" t="str">
        <f>_xll.BQL("NOW US Equity", "BILLNG_AMOUNT_GROWTH_PCT", "FPR=2021Y", "FPT=A", "FA_ACT_EST_DATA=E, EST_SOURCE=CTI", "ACT_EST_MAPPING=PRECISE", "FS=MRC", "CURRENCY=USD", "XLFILL=b")</f>
        <v>#N/A Requesting Data...</v>
      </c>
      <c r="AQ40" s="6" t="str">
        <f>_xll.BQL("NOW US Equity", "BILLNG_AMOUNT_GROWTH_PCT", "FPR=2021Y", "FPT=A", "FA_ACT_EST_DATA=E, EST_SOURCE=WFT", "ACT_EST_MAPPING=PRECISE", "FS=MRC", "CURRENCY=USD", "XLFILL=b")</f>
        <v>#N/A Requesting Data...</v>
      </c>
      <c r="AR40" s="6" t="str">
        <f>_xll.BQL("NOW US Equity", "BILLNG_AMOUNT_GROWTH_PCT", "FPR=2021Y", "FPT=A", "FA_ACT_EST_DATA=E, EST_SOURCE=ARE", "ACT_EST_MAPPING=PRECISE", "FS=MRC", "CURRENCY=USD", "XLFILL=b")</f>
        <v>#N/A Requesting Data...</v>
      </c>
      <c r="AS40" s="6" t="str">
        <f>_xll.BQL("NOW US Equity", "BILLNG_AMOUNT_GROWTH_PCT", "FPR=2021Y", "FPT=A", "FA_ACT_EST_DATA=E, EST_SOURCE=PJE", "ACT_EST_MAPPING=PRECISE", "FS=MRC", "CURRENCY=USD", "XLFILL=b")</f>
        <v>#N/A Requesting Data...</v>
      </c>
      <c r="AT40" s="6" t="str">
        <f>_xll.BQL("NOW US Equity", "BILLNG_AMOUNT_GROWTH_PCT", "FPR=2021Y", "FPT=A", "FA_ACT_EST_DATA=E, EST_SOURCE=MZS", "ACT_EST_MAPPING=PRECISE", "FS=MRC", "CURRENCY=USD", "XLFILL=b")</f>
        <v>#N/A Requesting Data...</v>
      </c>
      <c r="AU40" s="6" t="str">
        <f>_xll.BQL("NOW US Equity", "BILLNG_AMOUNT_GROWTH_PCT", "FPR=2021Y", "FPT=A", "FA_ACT_EST_DATA=E, EST_SOURCE=SUM", "ACT_EST_MAPPING=PRECISE", "FS=MRC", "CURRENCY=USD", "XLFILL=b")</f>
        <v>#N/A Requesting Data...</v>
      </c>
      <c r="AV40" s="6" t="str">
        <f>_xll.BQL("NOW US Equity", "BILLNG_AMOUNT_GROWTH_PCT", "FPR=2021Y", "FPT=A", "FA_ACT_EST_DATA=E, EST_SOURCE=CRC", "ACT_EST_MAPPING=PRECISE", "FS=MRC", "CURRENCY=USD", "XLFILL=b")</f>
        <v>#N/A Requesting Data...</v>
      </c>
      <c r="AW40" s="6" t="str">
        <f>_xll.BQL("NOW US Equity", "BILLNG_AMOUNT_GROWTH_PCT", "FPR=2021Y", "FPT=A", "FA_ACT_EST_DATA=E, EST_SOURCE=SCB", "ACT_EST_MAPPING=PRECISE", "FS=MRC", "CURRENCY=USD", "XLFILL=b")</f>
        <v>#N/A Requesting Data...</v>
      </c>
    </row>
    <row r="41" spans="1:49" x14ac:dyDescent="0.55000000000000004">
      <c r="A41" s="5" t="s">
        <v>80</v>
      </c>
      <c r="B41" s="2"/>
      <c r="C41" s="2" t="s">
        <v>34</v>
      </c>
      <c r="D41" s="2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</row>
    <row r="42" spans="1:49" x14ac:dyDescent="0.55000000000000004">
      <c r="A42" s="5" t="s">
        <v>81</v>
      </c>
      <c r="B42" s="2" t="s">
        <v>25</v>
      </c>
      <c r="C42" s="2" t="s">
        <v>45</v>
      </c>
      <c r="D42" s="2" t="s">
        <v>37</v>
      </c>
      <c r="E42" s="6" t="str">
        <f>_xll.BQL("SEG0000230975 Segment", "IS_BILLINGS/1M", "FPR=2021Y", "FPT=A", "FA_ACT_EST_DATA=E", "ACT_EST_MAPPING=PRECISE", "FS=MRC", "CURRENCY=USD", "XLFILL=b")</f>
        <v>#N/A Requesting Data...</v>
      </c>
      <c r="F42" s="6" t="str">
        <f>_xll.BQL("SEG0000230975 Segment", "CONTRIBUTOR_STATS(IS_BILLINGS, MIN)/1M", "FPR=2021Y", "FPT=A", "FA_ACT_EST_DATA=E", "ACT_EST_MAPPING=PRECISE", "FS=MRC", "CURRENCY=USD", "XLFILL=b")</f>
        <v>#N/A Requesting Data...</v>
      </c>
      <c r="G42" s="6" t="str">
        <f>_xll.BQL("SEG0000230975 Segment", "CONTRIBUTOR_STATS(IS_BILLINGS, MAX)/1M", "FPR=2021Y", "FPT=A", "FA_ACT_EST_DATA=E", "ACT_EST_MAPPING=PRECISE", "FS=MRC", "CURRENCY=USD", "XLFILL=b")</f>
        <v>#N/A Requesting Data...</v>
      </c>
      <c r="H42" s="6" t="str">
        <f>_xll.BQL("SEG0000230975 Segment", "CONTRIBUTOR_STATS(IS_BILLINGS, STD)/1M", "FPR=2021Y", "FPT=A", "FA_ACT_EST_DATA=E", "ACT_EST_MAPPING=PRECISE", "FS=MRC", "CURRENCY=USD", "XLFILL=b")</f>
        <v>#N/A Requesting Data...</v>
      </c>
      <c r="I42" s="6" t="str">
        <f>_xll.BQL("SEG0000230975 Segment", "CONTRIBUTOR_STATS(IS_BILLINGS, MEDIAN)/1M", "FPR=2021Y", "FPT=A", "FA_ACT_EST_DATA=E", "ACT_EST_MAPPING=PRECISE", "FS=MRC", "CURRENCY=USD", "XLFILL=b")</f>
        <v>#N/A Requesting Data...</v>
      </c>
      <c r="J42" s="6" t="str">
        <f>_xll.BQL("SEG0000230975 Segment", "IS_BILLINGS/1M", "FPR=2021Y", "FPT=A", "FA_ACT_EST_DATA=E, EST_SOURCE=CMPY", "ACT_EST_MAPPING=PRECISE", "FS=MRC", "CURRENCY=USD", "XLFILL=b")</f>
        <v>#N/A Requesting Data...</v>
      </c>
      <c r="K42" s="6" t="str">
        <f>_xll.BQL("SEG0000230975 Segment", "IS_BILLINGS/1M", "FPR=2021Y", "FPT=A", "FA_ACT_EST_DATA=E, EST_SOURCE=JPM", "ACT_EST_MAPPING=PRECISE", "FS=MRC", "CURRENCY=USD", "XLFILL=b")</f>
        <v>#N/A Requesting Data...</v>
      </c>
      <c r="L42" s="6" t="str">
        <f>_xll.BQL("SEG0000230975 Segment", "IS_BILLINGS/1M", "FPR=2021Y", "FPT=A", "FA_ACT_EST_DATA=E, EST_SOURCE=WBL", "ACT_EST_MAPPING=PRECISE", "FS=MRC", "CURRENCY=USD", "XLFILL=b")</f>
        <v>#N/A Requesting Data...</v>
      </c>
      <c r="M42" s="6" t="str">
        <f>_xll.BQL("SEG0000230975 Segment", "IS_BILLINGS/1M", "FPR=2021Y", "FPT=A", "FA_ACT_EST_DATA=E, EST_SOURCE=KEY", "ACT_EST_MAPPING=PRECISE", "FS=MRC", "CURRENCY=USD", "XLFILL=b")</f>
        <v>#N/A Requesting Data...</v>
      </c>
      <c r="N42" s="6" t="str">
        <f>_xll.BQL("SEG0000230975 Segment", "IS_BILLINGS/1M", "FPR=2021Y", "FPT=A", "FA_ACT_EST_DATA=E, EST_SOURCE=BMO", "ACT_EST_MAPPING=PRECISE", "FS=MRC", "CURRENCY=USD", "XLFILL=b")</f>
        <v>#N/A Requesting Data...</v>
      </c>
      <c r="O42" s="6" t="str">
        <f>_xll.BQL("SEG0000230975 Segment", "IS_BILLINGS/1M", "FPR=2021Y", "FPT=A", "FA_ACT_EST_DATA=E, EST_SOURCE=OPY", "ACT_EST_MAPPING=PRECISE", "FS=MRC", "CURRENCY=USD", "XLFILL=b")</f>
        <v>#N/A Requesting Data...</v>
      </c>
      <c r="P42" s="6" t="str">
        <f>_xll.BQL("SEG0000230975 Segment", "IS_BILLINGS/1M", "FPR=2021Y", "FPT=A", "FA_ACT_EST_DATA=E, EST_SOURCE=BCA", "ACT_EST_MAPPING=PRECISE", "FS=MRC", "CURRENCY=USD", "XLFILL=b")</f>
        <v>#N/A Requesting Data...</v>
      </c>
      <c r="Q42" s="6" t="str">
        <f>_xll.BQL("SEG0000230975 Segment", "IS_BILLINGS/1M", "FPR=2021Y", "FPT=A", "FA_ACT_EST_DATA=E, EST_SOURCE=RHR", "ACT_EST_MAPPING=PRECISE", "FS=MRC", "CURRENCY=USD", "XLFILL=b")</f>
        <v>#N/A Requesting Data...</v>
      </c>
      <c r="R42" s="6" t="str">
        <f>_xll.BQL("SEG0000230975 Segment", "IS_BILLINGS/1M", "FPR=2021Y", "FPT=A", "FA_ACT_EST_DATA=E, EST_SOURCE=SNR", "ACT_EST_MAPPING=PRECISE", "FS=MRC", "CURRENCY=USD", "XLFILL=b")</f>
        <v>#N/A Requesting Data...</v>
      </c>
      <c r="S42" s="6" t="str">
        <f>_xll.BQL("SEG0000230975 Segment", "IS_BILLINGS/1M", "FPR=2021Y", "FPT=A", "FA_ACT_EST_DATA=E, EST_SOURCE=MSV", "ACT_EST_MAPPING=PRECISE", "FS=MRC", "CURRENCY=USD", "XLFILL=b")</f>
        <v>#N/A Requesting Data...</v>
      </c>
      <c r="T42" s="6" t="str">
        <f>_xll.BQL("SEG0000230975 Segment", "IS_BILLINGS/1M", "FPR=2021Y", "FPT=A", "FA_ACT_EST_DATA=E, EST_SOURCE=CAN", "ACT_EST_MAPPING=PRECISE", "FS=MRC", "CURRENCY=USD", "XLFILL=b")</f>
        <v>#N/A Requesting Data...</v>
      </c>
      <c r="U42" s="6" t="str">
        <f>_xll.BQL("SEG0000230975 Segment", "IS_BILLINGS/1M", "FPR=2021Y", "FPT=A", "FA_ACT_EST_DATA=E, EST_SOURCE=JMP", "ACT_EST_MAPPING=PRECISE", "FS=MRC", "CURRENCY=USD", "XLFILL=b")</f>
        <v>#N/A Requesting Data...</v>
      </c>
      <c r="V42" s="6" t="str">
        <f>_xll.BQL("SEG0000230975 Segment", "IS_BILLINGS/1M", "FPR=2021Y", "FPT=A", "FA_ACT_EST_DATA=E, EST_SOURCE=NDH", "ACT_EST_MAPPING=PRECISE", "FS=MRC", "CURRENCY=USD", "XLFILL=b")</f>
        <v>#N/A Requesting Data...</v>
      </c>
      <c r="W42" s="6" t="str">
        <f>_xll.BQL("SEG0000230975 Segment", "IS_BILLINGS/1M", "FPR=2021Y", "FPT=A", "FA_ACT_EST_DATA=E, EST_SOURCE=ZXS", "ACT_EST_MAPPING=PRECISE", "FS=MRC", "CURRENCY=USD", "XLFILL=b")</f>
        <v>#N/A Requesting Data...</v>
      </c>
      <c r="X42" s="6" t="str">
        <f>_xll.BQL("SEG0000230975 Segment", "IS_BILLINGS/1M", "FPR=2021Y", "FPT=A", "FA_ACT_EST_DATA=E, EST_SOURCE=CWN", "ACT_EST_MAPPING=PRECISE", "FS=MRC", "CURRENCY=USD", "XLFILL=b")</f>
        <v>#N/A Requesting Data...</v>
      </c>
      <c r="Y42" s="6" t="str">
        <f>_xll.BQL("SEG0000230975 Segment", "IS_BILLINGS/1M", "FPR=2021Y", "FPT=A", "FA_ACT_EST_DATA=E, EST_SOURCE=DBG", "ACT_EST_MAPPING=PRECISE", "FS=MRC", "CURRENCY=USD", "XLFILL=b")</f>
        <v>#N/A Requesting Data...</v>
      </c>
      <c r="Z42" s="6" t="str">
        <f>_xll.BQL("SEG0000230975 Segment", "IS_BILLINGS/1M", "FPR=2021Y", "FPT=A", "FA_ACT_EST_DATA=E, EST_SOURCE=UBS", "ACT_EST_MAPPING=PRECISE", "FS=MRC", "CURRENCY=USD", "XLFILL=b")</f>
        <v>#N/A Requesting Data...</v>
      </c>
      <c r="AA42" s="6" t="str">
        <f>_xll.BQL("SEG0000230975 Segment", "IS_BILLINGS/1M", "FPR=2021Y", "FPT=A", "FA_ACT_EST_DATA=E, EST_SOURCE=RBC", "ACT_EST_MAPPING=PRECISE", "FS=MRC", "CURRENCY=USD", "XLFILL=b")</f>
        <v>#N/A Requesting Data...</v>
      </c>
      <c r="AB42" s="6" t="str">
        <f>_xll.BQL("SEG0000230975 Segment", "IS_BILLINGS/1M", "FPR=2021Y", "FPT=A", "FA_ACT_EST_DATA=E, EST_SOURCE=EVR", "ACT_EST_MAPPING=PRECISE", "FS=MRC", "CURRENCY=USD", "XLFILL=b")</f>
        <v>#N/A Requesting Data...</v>
      </c>
      <c r="AC42" s="6" t="str">
        <f>_xll.BQL("SEG0000230975 Segment", "IS_BILLINGS/1M", "FPR=2021Y", "FPT=A", "FA_ACT_EST_DATA=E, EST_SOURCE=BNS", "ACT_EST_MAPPING=PRECISE", "FS=MRC", "CURRENCY=USD", "XLFILL=b")</f>
        <v>#N/A Requesting Data...</v>
      </c>
      <c r="AD42" s="6" t="str">
        <f>_xll.BQL("SEG0000230975 Segment", "IS_BILLINGS/1M", "FPR=2021Y", "FPT=A", "FA_ACT_EST_DATA=E, EST_SOURCE=BAM", "ACT_EST_MAPPING=PRECISE", "FS=MRC", "CURRENCY=USD", "XLFILL=b")</f>
        <v>#N/A Requesting Data...</v>
      </c>
      <c r="AE42" s="6" t="str">
        <f>_xll.BQL("SEG0000230975 Segment", "IS_BILLINGS/1M", "FPR=2021Y", "FPT=A", "FA_ACT_EST_DATA=E, EST_SOURCE=GSR", "ACT_EST_MAPPING=PRECISE", "FS=MRC", "CURRENCY=USD", "XLFILL=b")</f>
        <v>#N/A Requesting Data...</v>
      </c>
      <c r="AF42" s="6" t="str">
        <f>_xll.BQL("SEG0000230975 Segment", "IS_BILLINGS/1M", "FPR=2021Y", "FPT=A", "FA_ACT_EST_DATA=E, EST_SOURCE=FBC", "ACT_EST_MAPPING=PRECISE", "FS=MRC", "CURRENCY=USD", "XLFILL=b")</f>
        <v>#N/A Requesting Data...</v>
      </c>
      <c r="AG42" s="6" t="str">
        <f>_xll.BQL("SEG0000230975 Segment", "IS_BILLINGS/1M", "FPR=2021Y", "FPT=A", "FA_ACT_EST_DATA=E, EST_SOURCE=MAC", "ACT_EST_MAPPING=PRECISE", "FS=MRC", "CURRENCY=USD", "XLFILL=b")</f>
        <v>#N/A Requesting Data...</v>
      </c>
      <c r="AH42" s="6" t="str">
        <f>_xll.BQL("SEG0000230975 Segment", "IS_BILLINGS/1M", "FPR=2021Y", "FPT=A", "FA_ACT_EST_DATA=E, EST_SOURCE=PSG", "ACT_EST_MAPPING=PRECISE", "FS=MRC", "CURRENCY=USD", "XLFILL=b")</f>
        <v>#N/A Requesting Data...</v>
      </c>
      <c r="AI42" s="6" t="str">
        <f>_xll.BQL("SEG0000230975 Segment", "IS_BILLINGS/1M", "FPR=2021Y", "FPT=A", "FA_ACT_EST_DATA=E, EST_SOURCE=MSR", "ACT_EST_MAPPING=PRECISE", "FS=MRC", "CURRENCY=USD", "XLFILL=b")</f>
        <v>#N/A Requesting Data...</v>
      </c>
      <c r="AJ42" s="6" t="str">
        <f>_xll.BQL("SEG0000230975 Segment", "IS_BILLINGS/1M", "FPR=2021Y", "FPT=A", "FA_ACT_EST_DATA=E, EST_SOURCE=JEF", "ACT_EST_MAPPING=PRECISE", "FS=MRC", "CURRENCY=USD", "XLFILL=b")</f>
        <v>#N/A Requesting Data...</v>
      </c>
      <c r="AK42" s="6" t="str">
        <f>_xll.BQL("SEG0000230975 Segment", "IS_BILLINGS/1M", "FPR=2021Y", "FPT=A", "FA_ACT_EST_DATA=E, EST_SOURCE=TTC", "ACT_EST_MAPPING=PRECISE", "FS=MRC", "CURRENCY=USD", "XLFILL=b")</f>
        <v>#N/A Requesting Data...</v>
      </c>
      <c r="AL42" s="6" t="str">
        <f>_xll.BQL("SEG0000230975 Segment", "IS_BILLINGS/1M", "FPR=2021Y", "FPT=A", "FA_ACT_EST_DATA=E, EST_SOURCE=RWB", "ACT_EST_MAPPING=PRECISE", "FS=MRC", "CURRENCY=USD", "XLFILL=b")</f>
        <v>#N/A Requesting Data...</v>
      </c>
      <c r="AM42" s="6" t="str">
        <f>_xll.BQL("SEG0000230975 Segment", "IS_BILLINGS/1M", "FPR=2021Y", "FPT=A", "FA_ACT_EST_DATA=E, EST_SOURCE=DZB", "ACT_EST_MAPPING=PRECISE", "FS=MRC", "CURRENCY=USD", "XLFILL=b")</f>
        <v>#N/A Requesting Data...</v>
      </c>
      <c r="AN42" s="6" t="str">
        <f>_xll.BQL("SEG0000230975 Segment", "IS_BILLINGS/1M", "FPR=2021Y", "FPT=A", "FA_ACT_EST_DATA=E, EST_SOURCE=DWI", "ACT_EST_MAPPING=PRECISE", "FS=MRC", "CURRENCY=USD", "XLFILL=b")</f>
        <v>#N/A Requesting Data...</v>
      </c>
      <c r="AO42" s="6" t="str">
        <f>_xll.BQL("SEG0000230975 Segment", "IS_BILLINGS/1M", "FPR=2021Y", "FPT=A", "FA_ACT_EST_DATA=E, EST_SOURCE=ARG", "ACT_EST_MAPPING=PRECISE", "FS=MRC", "CURRENCY=USD", "XLFILL=b")</f>
        <v>#N/A Requesting Data...</v>
      </c>
      <c r="AP42" s="6" t="str">
        <f>_xll.BQL("SEG0000230975 Segment", "IS_BILLINGS/1M", "FPR=2021Y", "FPT=A", "FA_ACT_EST_DATA=E, EST_SOURCE=CTI", "ACT_EST_MAPPING=PRECISE", "FS=MRC", "CURRENCY=USD", "XLFILL=b")</f>
        <v>#N/A Requesting Data...</v>
      </c>
      <c r="AQ42" s="6" t="str">
        <f>_xll.BQL("SEG0000230975 Segment", "IS_BILLINGS/1M", "FPR=2021Y", "FPT=A", "FA_ACT_EST_DATA=E, EST_SOURCE=WFT", "ACT_EST_MAPPING=PRECISE", "FS=MRC", "CURRENCY=USD", "XLFILL=b")</f>
        <v>#N/A Requesting Data...</v>
      </c>
      <c r="AR42" s="6" t="str">
        <f>_xll.BQL("SEG0000230975 Segment", "IS_BILLINGS/1M", "FPR=2021Y", "FPT=A", "FA_ACT_EST_DATA=E, EST_SOURCE=ARE", "ACT_EST_MAPPING=PRECISE", "FS=MRC", "CURRENCY=USD", "XLFILL=b")</f>
        <v>#N/A Requesting Data...</v>
      </c>
      <c r="AS42" s="6" t="str">
        <f>_xll.BQL("SEG0000230975 Segment", "IS_BILLINGS/1M", "FPR=2021Y", "FPT=A", "FA_ACT_EST_DATA=E, EST_SOURCE=PJE", "ACT_EST_MAPPING=PRECISE", "FS=MRC", "CURRENCY=USD", "XLFILL=b")</f>
        <v>#N/A Requesting Data...</v>
      </c>
      <c r="AT42" s="6" t="str">
        <f>_xll.BQL("SEG0000230975 Segment", "IS_BILLINGS/1M", "FPR=2021Y", "FPT=A", "FA_ACT_EST_DATA=E, EST_SOURCE=MZS", "ACT_EST_MAPPING=PRECISE", "FS=MRC", "CURRENCY=USD", "XLFILL=b")</f>
        <v>#N/A Requesting Data...</v>
      </c>
      <c r="AU42" s="6" t="str">
        <f>_xll.BQL("SEG0000230975 Segment", "IS_BILLINGS/1M", "FPR=2021Y", "FPT=A", "FA_ACT_EST_DATA=E, EST_SOURCE=SUM", "ACT_EST_MAPPING=PRECISE", "FS=MRC", "CURRENCY=USD", "XLFILL=b")</f>
        <v>#N/A Requesting Data...</v>
      </c>
      <c r="AV42" s="6" t="str">
        <f>_xll.BQL("SEG0000230975 Segment", "IS_BILLINGS/1M", "FPR=2021Y", "FPT=A", "FA_ACT_EST_DATA=E, EST_SOURCE=CRC", "ACT_EST_MAPPING=PRECISE", "FS=MRC", "CURRENCY=USD", "XLFILL=b")</f>
        <v>#N/A Requesting Data...</v>
      </c>
      <c r="AW42" s="6" t="str">
        <f>_xll.BQL("SEG0000230975 Segment", "IS_BILLINGS/1M", "FPR=2021Y", "FPT=A", "FA_ACT_EST_DATA=E, EST_SOURCE=SCB", "ACT_EST_MAPPING=PRECISE", "FS=MRC", "CURRENCY=USD", "XLFILL=b")</f>
        <v>#N/A Requesting Data...</v>
      </c>
    </row>
    <row r="43" spans="1:49" x14ac:dyDescent="0.55000000000000004">
      <c r="A43" s="5" t="s">
        <v>82</v>
      </c>
      <c r="B43" s="2" t="s">
        <v>83</v>
      </c>
      <c r="C43" s="2" t="s">
        <v>84</v>
      </c>
      <c r="D43" s="2" t="s">
        <v>37</v>
      </c>
      <c r="E43" s="6" t="str">
        <f>_xll.BQL("SEG0000230975 Segment", "CB_ADJ_BILLINGS_AMT/1M", "FPR=2021Y", "FPT=A", "FA_ACT_EST_DATA=E", "ACT_EST_MAPPING=PRECISE", "FS=MRC", "CURRENCY=USD", "XLFILL=b")</f>
        <v>#N/A Requesting Data...</v>
      </c>
      <c r="F43" s="6" t="str">
        <f>_xll.BQL("SEG0000230975 Segment", "CONTRIBUTOR_STATS(CB_ADJ_BILLINGS_AMT, MIN)/1M", "FPR=2021Y", "FPT=A", "FA_ACT_EST_DATA=E", "ACT_EST_MAPPING=PRECISE", "FS=MRC", "CURRENCY=USD", "XLFILL=b")</f>
        <v>#N/A Requesting Data...</v>
      </c>
      <c r="G43" s="6" t="str">
        <f>_xll.BQL("SEG0000230975 Segment", "CONTRIBUTOR_STATS(CB_ADJ_BILLINGS_AMT, MAX)/1M", "FPR=2021Y", "FPT=A", "FA_ACT_EST_DATA=E", "ACT_EST_MAPPING=PRECISE", "FS=MRC", "CURRENCY=USD", "XLFILL=b")</f>
        <v>#N/A Requesting Data...</v>
      </c>
      <c r="H43" s="6" t="str">
        <f>_xll.BQL("SEG0000230975 Segment", "CONTRIBUTOR_STATS(CB_ADJ_BILLINGS_AMT, STD)/1M", "FPR=2021Y", "FPT=A", "FA_ACT_EST_DATA=E", "ACT_EST_MAPPING=PRECISE", "FS=MRC", "CURRENCY=USD", "XLFILL=b")</f>
        <v>#N/A Requesting Data...</v>
      </c>
      <c r="I43" s="6" t="str">
        <f>_xll.BQL("SEG0000230975 Segment", "CONTRIBUTOR_STATS(CB_ADJ_BILLINGS_AMT, MEDIAN)/1M", "FPR=2021Y", "FPT=A", "FA_ACT_EST_DATA=E", "ACT_EST_MAPPING=PRECISE", "FS=MRC", "CURRENCY=USD", "XLFILL=b")</f>
        <v>#N/A Requesting Data...</v>
      </c>
      <c r="J43" s="6" t="str">
        <f>_xll.BQL("SEG0000230975 Segment", "CB_ADJ_BILLINGS_AMT/1M", "FPR=2021Y", "FPT=A", "FA_ACT_EST_DATA=E, EST_SOURCE=CMPY", "ACT_EST_MAPPING=PRECISE", "FS=MRC", "CURRENCY=USD", "XLFILL=b")</f>
        <v>#N/A Requesting Data...</v>
      </c>
      <c r="K43" s="6" t="str">
        <f>_xll.BQL("SEG0000230975 Segment", "CB_ADJ_BILLINGS_AMT/1M", "FPR=2021Y", "FPT=A", "FA_ACT_EST_DATA=E, EST_SOURCE=JPM", "ACT_EST_MAPPING=PRECISE", "FS=MRC", "CURRENCY=USD", "XLFILL=b")</f>
        <v>#N/A Requesting Data...</v>
      </c>
      <c r="L43" s="6" t="str">
        <f>_xll.BQL("SEG0000230975 Segment", "CB_ADJ_BILLINGS_AMT/1M", "FPR=2021Y", "FPT=A", "FA_ACT_EST_DATA=E, EST_SOURCE=WBL", "ACT_EST_MAPPING=PRECISE", "FS=MRC", "CURRENCY=USD", "XLFILL=b")</f>
        <v>#N/A Requesting Data...</v>
      </c>
      <c r="M43" s="6" t="str">
        <f>_xll.BQL("SEG0000230975 Segment", "CB_ADJ_BILLINGS_AMT/1M", "FPR=2021Y", "FPT=A", "FA_ACT_EST_DATA=E, EST_SOURCE=KEY", "ACT_EST_MAPPING=PRECISE", "FS=MRC", "CURRENCY=USD", "XLFILL=b")</f>
        <v>#N/A Requesting Data...</v>
      </c>
      <c r="N43" s="6" t="str">
        <f>_xll.BQL("SEG0000230975 Segment", "CB_ADJ_BILLINGS_AMT/1M", "FPR=2021Y", "FPT=A", "FA_ACT_EST_DATA=E, EST_SOURCE=BMO", "ACT_EST_MAPPING=PRECISE", "FS=MRC", "CURRENCY=USD", "XLFILL=b")</f>
        <v>#N/A Requesting Data...</v>
      </c>
      <c r="O43" s="6" t="str">
        <f>_xll.BQL("SEG0000230975 Segment", "CB_ADJ_BILLINGS_AMT/1M", "FPR=2021Y", "FPT=A", "FA_ACT_EST_DATA=E, EST_SOURCE=OPY", "ACT_EST_MAPPING=PRECISE", "FS=MRC", "CURRENCY=USD", "XLFILL=b")</f>
        <v>#N/A Requesting Data...</v>
      </c>
      <c r="P43" s="6" t="str">
        <f>_xll.BQL("SEG0000230975 Segment", "CB_ADJ_BILLINGS_AMT/1M", "FPR=2021Y", "FPT=A", "FA_ACT_EST_DATA=E, EST_SOURCE=BCA", "ACT_EST_MAPPING=PRECISE", "FS=MRC", "CURRENCY=USD", "XLFILL=b")</f>
        <v>#N/A Requesting Data...</v>
      </c>
      <c r="Q43" s="6" t="str">
        <f>_xll.BQL("SEG0000230975 Segment", "CB_ADJ_BILLINGS_AMT/1M", "FPR=2021Y", "FPT=A", "FA_ACT_EST_DATA=E, EST_SOURCE=RHR", "ACT_EST_MAPPING=PRECISE", "FS=MRC", "CURRENCY=USD", "XLFILL=b")</f>
        <v>#N/A Requesting Data...</v>
      </c>
      <c r="R43" s="6" t="str">
        <f>_xll.BQL("SEG0000230975 Segment", "CB_ADJ_BILLINGS_AMT/1M", "FPR=2021Y", "FPT=A", "FA_ACT_EST_DATA=E, EST_SOURCE=SNR", "ACT_EST_MAPPING=PRECISE", "FS=MRC", "CURRENCY=USD", "XLFILL=b")</f>
        <v>#N/A Requesting Data...</v>
      </c>
      <c r="S43" s="6" t="str">
        <f>_xll.BQL("SEG0000230975 Segment", "CB_ADJ_BILLINGS_AMT/1M", "FPR=2021Y", "FPT=A", "FA_ACT_EST_DATA=E, EST_SOURCE=MSV", "ACT_EST_MAPPING=PRECISE", "FS=MRC", "CURRENCY=USD", "XLFILL=b")</f>
        <v>#N/A Requesting Data...</v>
      </c>
      <c r="T43" s="6" t="str">
        <f>_xll.BQL("SEG0000230975 Segment", "CB_ADJ_BILLINGS_AMT/1M", "FPR=2021Y", "FPT=A", "FA_ACT_EST_DATA=E, EST_SOURCE=CAN", "ACT_EST_MAPPING=PRECISE", "FS=MRC", "CURRENCY=USD", "XLFILL=b")</f>
        <v>#N/A Requesting Data...</v>
      </c>
      <c r="U43" s="6" t="str">
        <f>_xll.BQL("SEG0000230975 Segment", "CB_ADJ_BILLINGS_AMT/1M", "FPR=2021Y", "FPT=A", "FA_ACT_EST_DATA=E, EST_SOURCE=JMP", "ACT_EST_MAPPING=PRECISE", "FS=MRC", "CURRENCY=USD", "XLFILL=b")</f>
        <v>#N/A Requesting Data...</v>
      </c>
      <c r="V43" s="6" t="str">
        <f>_xll.BQL("SEG0000230975 Segment", "CB_ADJ_BILLINGS_AMT/1M", "FPR=2021Y", "FPT=A", "FA_ACT_EST_DATA=E, EST_SOURCE=NDH", "ACT_EST_MAPPING=PRECISE", "FS=MRC", "CURRENCY=USD", "XLFILL=b")</f>
        <v>#N/A Requesting Data...</v>
      </c>
      <c r="W43" s="6" t="str">
        <f>_xll.BQL("SEG0000230975 Segment", "CB_ADJ_BILLINGS_AMT/1M", "FPR=2021Y", "FPT=A", "FA_ACT_EST_DATA=E, EST_SOURCE=ZXS", "ACT_EST_MAPPING=PRECISE", "FS=MRC", "CURRENCY=USD", "XLFILL=b")</f>
        <v>#N/A Requesting Data...</v>
      </c>
      <c r="X43" s="6" t="str">
        <f>_xll.BQL("SEG0000230975 Segment", "CB_ADJ_BILLINGS_AMT/1M", "FPR=2021Y", "FPT=A", "FA_ACT_EST_DATA=E, EST_SOURCE=CWN", "ACT_EST_MAPPING=PRECISE", "FS=MRC", "CURRENCY=USD", "XLFILL=b")</f>
        <v>#N/A Requesting Data...</v>
      </c>
      <c r="Y43" s="6" t="str">
        <f>_xll.BQL("SEG0000230975 Segment", "CB_ADJ_BILLINGS_AMT/1M", "FPR=2021Y", "FPT=A", "FA_ACT_EST_DATA=E, EST_SOURCE=DBG", "ACT_EST_MAPPING=PRECISE", "FS=MRC", "CURRENCY=USD", "XLFILL=b")</f>
        <v>#N/A Requesting Data...</v>
      </c>
      <c r="Z43" s="6" t="str">
        <f>_xll.BQL("SEG0000230975 Segment", "CB_ADJ_BILLINGS_AMT/1M", "FPR=2021Y", "FPT=A", "FA_ACT_EST_DATA=E, EST_SOURCE=UBS", "ACT_EST_MAPPING=PRECISE", "FS=MRC", "CURRENCY=USD", "XLFILL=b")</f>
        <v>#N/A Requesting Data...</v>
      </c>
      <c r="AA43" s="6" t="str">
        <f>_xll.BQL("SEG0000230975 Segment", "CB_ADJ_BILLINGS_AMT/1M", "FPR=2021Y", "FPT=A", "FA_ACT_EST_DATA=E, EST_SOURCE=RBC", "ACT_EST_MAPPING=PRECISE", "FS=MRC", "CURRENCY=USD", "XLFILL=b")</f>
        <v>#N/A Requesting Data...</v>
      </c>
      <c r="AB43" s="6" t="str">
        <f>_xll.BQL("SEG0000230975 Segment", "CB_ADJ_BILLINGS_AMT/1M", "FPR=2021Y", "FPT=A", "FA_ACT_EST_DATA=E, EST_SOURCE=EVR", "ACT_EST_MAPPING=PRECISE", "FS=MRC", "CURRENCY=USD", "XLFILL=b")</f>
        <v>#N/A Requesting Data...</v>
      </c>
      <c r="AC43" s="6" t="str">
        <f>_xll.BQL("SEG0000230975 Segment", "CB_ADJ_BILLINGS_AMT/1M", "FPR=2021Y", "FPT=A", "FA_ACT_EST_DATA=E, EST_SOURCE=BNS", "ACT_EST_MAPPING=PRECISE", "FS=MRC", "CURRENCY=USD", "XLFILL=b")</f>
        <v>#N/A Requesting Data...</v>
      </c>
      <c r="AD43" s="6" t="str">
        <f>_xll.BQL("SEG0000230975 Segment", "CB_ADJ_BILLINGS_AMT/1M", "FPR=2021Y", "FPT=A", "FA_ACT_EST_DATA=E, EST_SOURCE=BAM", "ACT_EST_MAPPING=PRECISE", "FS=MRC", "CURRENCY=USD", "XLFILL=b")</f>
        <v>#N/A Requesting Data...</v>
      </c>
      <c r="AE43" s="6" t="str">
        <f>_xll.BQL("SEG0000230975 Segment", "CB_ADJ_BILLINGS_AMT/1M", "FPR=2021Y", "FPT=A", "FA_ACT_EST_DATA=E, EST_SOURCE=GSR", "ACT_EST_MAPPING=PRECISE", "FS=MRC", "CURRENCY=USD", "XLFILL=b")</f>
        <v>#N/A Requesting Data...</v>
      </c>
      <c r="AF43" s="6" t="str">
        <f>_xll.BQL("SEG0000230975 Segment", "CB_ADJ_BILLINGS_AMT/1M", "FPR=2021Y", "FPT=A", "FA_ACT_EST_DATA=E, EST_SOURCE=FBC", "ACT_EST_MAPPING=PRECISE", "FS=MRC", "CURRENCY=USD", "XLFILL=b")</f>
        <v>#N/A Requesting Data...</v>
      </c>
      <c r="AG43" s="6" t="str">
        <f>_xll.BQL("SEG0000230975 Segment", "CB_ADJ_BILLINGS_AMT/1M", "FPR=2021Y", "FPT=A", "FA_ACT_EST_DATA=E, EST_SOURCE=MAC", "ACT_EST_MAPPING=PRECISE", "FS=MRC", "CURRENCY=USD", "XLFILL=b")</f>
        <v>#N/A Requesting Data...</v>
      </c>
      <c r="AH43" s="6" t="str">
        <f>_xll.BQL("SEG0000230975 Segment", "CB_ADJ_BILLINGS_AMT/1M", "FPR=2021Y", "FPT=A", "FA_ACT_EST_DATA=E, EST_SOURCE=PSG", "ACT_EST_MAPPING=PRECISE", "FS=MRC", "CURRENCY=USD", "XLFILL=b")</f>
        <v>#N/A Requesting Data...</v>
      </c>
      <c r="AI43" s="6" t="str">
        <f>_xll.BQL("SEG0000230975 Segment", "CB_ADJ_BILLINGS_AMT/1M", "FPR=2021Y", "FPT=A", "FA_ACT_EST_DATA=E, EST_SOURCE=MSR", "ACT_EST_MAPPING=PRECISE", "FS=MRC", "CURRENCY=USD", "XLFILL=b")</f>
        <v>#N/A Requesting Data...</v>
      </c>
      <c r="AJ43" s="6" t="str">
        <f>_xll.BQL("SEG0000230975 Segment", "CB_ADJ_BILLINGS_AMT/1M", "FPR=2021Y", "FPT=A", "FA_ACT_EST_DATA=E, EST_SOURCE=JEF", "ACT_EST_MAPPING=PRECISE", "FS=MRC", "CURRENCY=USD", "XLFILL=b")</f>
        <v>#N/A Requesting Data...</v>
      </c>
      <c r="AK43" s="6" t="str">
        <f>_xll.BQL("SEG0000230975 Segment", "CB_ADJ_BILLINGS_AMT/1M", "FPR=2021Y", "FPT=A", "FA_ACT_EST_DATA=E, EST_SOURCE=TTC", "ACT_EST_MAPPING=PRECISE", "FS=MRC", "CURRENCY=USD", "XLFILL=b")</f>
        <v>#N/A Requesting Data...</v>
      </c>
      <c r="AL43" s="6" t="str">
        <f>_xll.BQL("SEG0000230975 Segment", "CB_ADJ_BILLINGS_AMT/1M", "FPR=2021Y", "FPT=A", "FA_ACT_EST_DATA=E, EST_SOURCE=RWB", "ACT_EST_MAPPING=PRECISE", "FS=MRC", "CURRENCY=USD", "XLFILL=b")</f>
        <v>#N/A Requesting Data...</v>
      </c>
      <c r="AM43" s="6" t="str">
        <f>_xll.BQL("SEG0000230975 Segment", "CB_ADJ_BILLINGS_AMT/1M", "FPR=2021Y", "FPT=A", "FA_ACT_EST_DATA=E, EST_SOURCE=DZB", "ACT_EST_MAPPING=PRECISE", "FS=MRC", "CURRENCY=USD", "XLFILL=b")</f>
        <v>#N/A Requesting Data...</v>
      </c>
      <c r="AN43" s="6" t="str">
        <f>_xll.BQL("SEG0000230975 Segment", "CB_ADJ_BILLINGS_AMT/1M", "FPR=2021Y", "FPT=A", "FA_ACT_EST_DATA=E, EST_SOURCE=DWI", "ACT_EST_MAPPING=PRECISE", "FS=MRC", "CURRENCY=USD", "XLFILL=b")</f>
        <v>#N/A Requesting Data...</v>
      </c>
      <c r="AO43" s="6" t="str">
        <f>_xll.BQL("SEG0000230975 Segment", "CB_ADJ_BILLINGS_AMT/1M", "FPR=2021Y", "FPT=A", "FA_ACT_EST_DATA=E, EST_SOURCE=ARG", "ACT_EST_MAPPING=PRECISE", "FS=MRC", "CURRENCY=USD", "XLFILL=b")</f>
        <v>#N/A Requesting Data...</v>
      </c>
      <c r="AP43" s="6" t="str">
        <f>_xll.BQL("SEG0000230975 Segment", "CB_ADJ_BILLINGS_AMT/1M", "FPR=2021Y", "FPT=A", "FA_ACT_EST_DATA=E, EST_SOURCE=CTI", "ACT_EST_MAPPING=PRECISE", "FS=MRC", "CURRENCY=USD", "XLFILL=b")</f>
        <v>#N/A Requesting Data...</v>
      </c>
      <c r="AQ43" s="6" t="str">
        <f>_xll.BQL("SEG0000230975 Segment", "CB_ADJ_BILLINGS_AMT/1M", "FPR=2021Y", "FPT=A", "FA_ACT_EST_DATA=E, EST_SOURCE=WFT", "ACT_EST_MAPPING=PRECISE", "FS=MRC", "CURRENCY=USD", "XLFILL=b")</f>
        <v>#N/A Requesting Data...</v>
      </c>
      <c r="AR43" s="6" t="str">
        <f>_xll.BQL("SEG0000230975 Segment", "CB_ADJ_BILLINGS_AMT/1M", "FPR=2021Y", "FPT=A", "FA_ACT_EST_DATA=E, EST_SOURCE=ARE", "ACT_EST_MAPPING=PRECISE", "FS=MRC", "CURRENCY=USD", "XLFILL=b")</f>
        <v>#N/A Requesting Data...</v>
      </c>
      <c r="AS43" s="6" t="str">
        <f>_xll.BQL("SEG0000230975 Segment", "CB_ADJ_BILLINGS_AMT/1M", "FPR=2021Y", "FPT=A", "FA_ACT_EST_DATA=E, EST_SOURCE=PJE", "ACT_EST_MAPPING=PRECISE", "FS=MRC", "CURRENCY=USD", "XLFILL=b")</f>
        <v>#N/A Requesting Data...</v>
      </c>
      <c r="AT43" s="6" t="str">
        <f>_xll.BQL("SEG0000230975 Segment", "CB_ADJ_BILLINGS_AMT/1M", "FPR=2021Y", "FPT=A", "FA_ACT_EST_DATA=E, EST_SOURCE=MZS", "ACT_EST_MAPPING=PRECISE", "FS=MRC", "CURRENCY=USD", "XLFILL=b")</f>
        <v>#N/A Requesting Data...</v>
      </c>
      <c r="AU43" s="6" t="str">
        <f>_xll.BQL("SEG0000230975 Segment", "CB_ADJ_BILLINGS_AMT/1M", "FPR=2021Y", "FPT=A", "FA_ACT_EST_DATA=E, EST_SOURCE=SUM", "ACT_EST_MAPPING=PRECISE", "FS=MRC", "CURRENCY=USD", "XLFILL=b")</f>
        <v>#N/A Requesting Data...</v>
      </c>
      <c r="AV43" s="6" t="str">
        <f>_xll.BQL("SEG0000230975 Segment", "CB_ADJ_BILLINGS_AMT/1M", "FPR=2021Y", "FPT=A", "FA_ACT_EST_DATA=E, EST_SOURCE=CRC", "ACT_EST_MAPPING=PRECISE", "FS=MRC", "CURRENCY=USD", "XLFILL=b")</f>
        <v>#N/A Requesting Data...</v>
      </c>
      <c r="AW43" s="6" t="str">
        <f>_xll.BQL("SEG0000230975 Segment", "CB_ADJ_BILLINGS_AMT/1M", "FPR=2021Y", "FPT=A", "FA_ACT_EST_DATA=E, EST_SOURCE=SCB", "ACT_EST_MAPPING=PRECISE", "FS=MRC", "CURRENCY=USD", "XLFILL=b")</f>
        <v>#N/A Requesting Data...</v>
      </c>
    </row>
    <row r="44" spans="1:49" x14ac:dyDescent="0.55000000000000004">
      <c r="A44" s="5" t="s">
        <v>85</v>
      </c>
      <c r="B44" s="2" t="s">
        <v>86</v>
      </c>
      <c r="C44" s="2" t="s">
        <v>87</v>
      </c>
      <c r="D44" s="2" t="s">
        <v>51</v>
      </c>
      <c r="E44" s="6" t="str">
        <f>_xll.BQL("SEG0000230986 Segment", "IS_FOREIGN_CURRENCY_TURNOVER/1M", "FPR=2021Y", "FPT=A", "FA_ACT_EST_DATA=E", "ACT_EST_MAPPING=PRECISE", "FS=MRC", "CURRENCY=USD", "XLFILL=b")</f>
        <v>#N/A Requesting Data...</v>
      </c>
      <c r="F44" s="6" t="str">
        <f>_xll.BQL("SEG0000230986 Segment", "CONTRIBUTOR_STATS(IS_FOREIGN_CURRENCY_TURNOVER, MIN)/1M", "FPR=2021Y", "FPT=A", "FA_ACT_EST_DATA=E", "ACT_EST_MAPPING=PRECISE", "FS=MRC", "CURRENCY=USD", "XLFILL=b")</f>
        <v>#N/A Requesting Data...</v>
      </c>
      <c r="G44" s="6" t="str">
        <f>_xll.BQL("SEG0000230986 Segment", "CONTRIBUTOR_STATS(IS_FOREIGN_CURRENCY_TURNOVER, MAX)/1M", "FPR=2021Y", "FPT=A", "FA_ACT_EST_DATA=E", "ACT_EST_MAPPING=PRECISE", "FS=MRC", "CURRENCY=USD", "XLFILL=b")</f>
        <v>#N/A Requesting Data...</v>
      </c>
      <c r="H44" s="6" t="str">
        <f>_xll.BQL("SEG0000230986 Segment", "CONTRIBUTOR_STATS(IS_FOREIGN_CURRENCY_TURNOVER, STD)/1M", "FPR=2021Y", "FPT=A", "FA_ACT_EST_DATA=E", "ACT_EST_MAPPING=PRECISE", "FS=MRC", "CURRENCY=USD", "XLFILL=b")</f>
        <v>#N/A Requesting Data...</v>
      </c>
      <c r="I44" s="6" t="str">
        <f>_xll.BQL("SEG0000230986 Segment", "CONTRIBUTOR_STATS(IS_FOREIGN_CURRENCY_TURNOVER, MEDIAN)/1M", "FPR=2021Y", "FPT=A", "FA_ACT_EST_DATA=E", "ACT_EST_MAPPING=PRECISE", "FS=MRC", "CURRENCY=USD", "XLFILL=b")</f>
        <v>#N/A Requesting Data...</v>
      </c>
      <c r="J44" s="6" t="str">
        <f>_xll.BQL("SEG0000230986 Segment", "IS_FOREIGN_CURRENCY_TURNOVER/1M", "FPR=2021Y", "FPT=A", "FA_ACT_EST_DATA=E, EST_SOURCE=CMPY", "ACT_EST_MAPPING=PRECISE", "FS=MRC", "CURRENCY=USD", "XLFILL=b")</f>
        <v>#N/A Requesting Data...</v>
      </c>
      <c r="K44" s="6" t="str">
        <f>_xll.BQL("SEG0000230986 Segment", "IS_FOREIGN_CURRENCY_TURNOVER/1M", "FPR=2021Y", "FPT=A", "FA_ACT_EST_DATA=E, EST_SOURCE=JPM", "ACT_EST_MAPPING=PRECISE", "FS=MRC", "CURRENCY=USD", "XLFILL=b")</f>
        <v>#N/A Requesting Data...</v>
      </c>
      <c r="L44" s="6" t="str">
        <f>_xll.BQL("SEG0000230986 Segment", "IS_FOREIGN_CURRENCY_TURNOVER/1M", "FPR=2021Y", "FPT=A", "FA_ACT_EST_DATA=E, EST_SOURCE=WBL", "ACT_EST_MAPPING=PRECISE", "FS=MRC", "CURRENCY=USD", "XLFILL=b")</f>
        <v>#N/A Requesting Data...</v>
      </c>
      <c r="M44" s="6" t="str">
        <f>_xll.BQL("SEG0000230986 Segment", "IS_FOREIGN_CURRENCY_TURNOVER/1M", "FPR=2021Y", "FPT=A", "FA_ACT_EST_DATA=E, EST_SOURCE=KEY", "ACT_EST_MAPPING=PRECISE", "FS=MRC", "CURRENCY=USD", "XLFILL=b")</f>
        <v>#N/A Requesting Data...</v>
      </c>
      <c r="N44" s="6" t="str">
        <f>_xll.BQL("SEG0000230986 Segment", "IS_FOREIGN_CURRENCY_TURNOVER/1M", "FPR=2021Y", "FPT=A", "FA_ACT_EST_DATA=E, EST_SOURCE=BMO", "ACT_EST_MAPPING=PRECISE", "FS=MRC", "CURRENCY=USD", "XLFILL=b")</f>
        <v/>
      </c>
      <c r="O44" s="6" t="str">
        <f>_xll.BQL("SEG0000230986 Segment", "IS_FOREIGN_CURRENCY_TURNOVER/1M", "FPR=2021Y", "FPT=A", "FA_ACT_EST_DATA=E, EST_SOURCE=OPY", "ACT_EST_MAPPING=PRECISE", "FS=MRC", "CURRENCY=USD", "XLFILL=b")</f>
        <v>#N/A Requesting Data...</v>
      </c>
      <c r="P44" s="6" t="str">
        <f>_xll.BQL("SEG0000230986 Segment", "IS_FOREIGN_CURRENCY_TURNOVER/1M", "FPR=2021Y", "FPT=A", "FA_ACT_EST_DATA=E, EST_SOURCE=BCA", "ACT_EST_MAPPING=PRECISE", "FS=MRC", "CURRENCY=USD", "XLFILL=b")</f>
        <v>#N/A Requesting Data...</v>
      </c>
      <c r="Q44" s="6" t="str">
        <f>_xll.BQL("SEG0000230986 Segment", "IS_FOREIGN_CURRENCY_TURNOVER/1M", "FPR=2021Y", "FPT=A", "FA_ACT_EST_DATA=E, EST_SOURCE=RHR", "ACT_EST_MAPPING=PRECISE", "FS=MRC", "CURRENCY=USD", "XLFILL=b")</f>
        <v/>
      </c>
      <c r="R44" s="6" t="str">
        <f>_xll.BQL("SEG0000230986 Segment", "IS_FOREIGN_CURRENCY_TURNOVER/1M", "FPR=2021Y", "FPT=A", "FA_ACT_EST_DATA=E, EST_SOURCE=SNR", "ACT_EST_MAPPING=PRECISE", "FS=MRC", "CURRENCY=USD", "XLFILL=b")</f>
        <v/>
      </c>
      <c r="S44" s="6" t="str">
        <f>_xll.BQL("SEG0000230986 Segment", "IS_FOREIGN_CURRENCY_TURNOVER/1M", "FPR=2021Y", "FPT=A", "FA_ACT_EST_DATA=E, EST_SOURCE=MSV", "ACT_EST_MAPPING=PRECISE", "FS=MRC", "CURRENCY=USD", "XLFILL=b")</f>
        <v>#N/A Requesting Data...</v>
      </c>
      <c r="T44" s="6" t="str">
        <f>_xll.BQL("SEG0000230986 Segment", "IS_FOREIGN_CURRENCY_TURNOVER/1M", "FPR=2021Y", "FPT=A", "FA_ACT_EST_DATA=E, EST_SOURCE=CAN", "ACT_EST_MAPPING=PRECISE", "FS=MRC", "CURRENCY=USD", "XLFILL=b")</f>
        <v>#N/A Requesting Data...</v>
      </c>
      <c r="U44" s="6" t="str">
        <f>_xll.BQL("SEG0000230986 Segment", "IS_FOREIGN_CURRENCY_TURNOVER/1M", "FPR=2021Y", "FPT=A", "FA_ACT_EST_DATA=E, EST_SOURCE=JMP", "ACT_EST_MAPPING=PRECISE", "FS=MRC", "CURRENCY=USD", "XLFILL=b")</f>
        <v/>
      </c>
      <c r="V44" s="6" t="str">
        <f>_xll.BQL("SEG0000230986 Segment", "IS_FOREIGN_CURRENCY_TURNOVER/1M", "FPR=2021Y", "FPT=A", "FA_ACT_EST_DATA=E, EST_SOURCE=NDH", "ACT_EST_MAPPING=PRECISE", "FS=MRC", "CURRENCY=USD", "XLFILL=b")</f>
        <v>#N/A Requesting Data...</v>
      </c>
      <c r="W44" s="6" t="str">
        <f>_xll.BQL("SEG0000230986 Segment", "IS_FOREIGN_CURRENCY_TURNOVER/1M", "FPR=2021Y", "FPT=A", "FA_ACT_EST_DATA=E, EST_SOURCE=ZXS", "ACT_EST_MAPPING=PRECISE", "FS=MRC", "CURRENCY=USD", "XLFILL=b")</f>
        <v>#N/A Requesting Data...</v>
      </c>
      <c r="X44" s="6" t="str">
        <f>_xll.BQL("SEG0000230986 Segment", "IS_FOREIGN_CURRENCY_TURNOVER/1M", "FPR=2021Y", "FPT=A", "FA_ACT_EST_DATA=E, EST_SOURCE=CWN", "ACT_EST_MAPPING=PRECISE", "FS=MRC", "CURRENCY=USD", "XLFILL=b")</f>
        <v>#N/A Requesting Data...</v>
      </c>
      <c r="Y44" s="6" t="str">
        <f>_xll.BQL("SEG0000230986 Segment", "IS_FOREIGN_CURRENCY_TURNOVER/1M", "FPR=2021Y", "FPT=A", "FA_ACT_EST_DATA=E, EST_SOURCE=DBG", "ACT_EST_MAPPING=PRECISE", "FS=MRC", "CURRENCY=USD", "XLFILL=b")</f>
        <v>#N/A Requesting Data...</v>
      </c>
      <c r="Z44" s="6" t="str">
        <f>_xll.BQL("SEG0000230986 Segment", "IS_FOREIGN_CURRENCY_TURNOVER/1M", "FPR=2021Y", "FPT=A", "FA_ACT_EST_DATA=E, EST_SOURCE=UBS", "ACT_EST_MAPPING=PRECISE", "FS=MRC", "CURRENCY=USD", "XLFILL=b")</f>
        <v>#N/A Requesting Data...</v>
      </c>
      <c r="AA44" s="6" t="str">
        <f>_xll.BQL("SEG0000230986 Segment", "IS_FOREIGN_CURRENCY_TURNOVER/1M", "FPR=2021Y", "FPT=A", "FA_ACT_EST_DATA=E, EST_SOURCE=RBC", "ACT_EST_MAPPING=PRECISE", "FS=MRC", "CURRENCY=USD", "XLFILL=b")</f>
        <v>#N/A Requesting Data...</v>
      </c>
      <c r="AB44" s="6" t="str">
        <f>_xll.BQL("SEG0000230986 Segment", "IS_FOREIGN_CURRENCY_TURNOVER/1M", "FPR=2021Y", "FPT=A", "FA_ACT_EST_DATA=E, EST_SOURCE=EVR", "ACT_EST_MAPPING=PRECISE", "FS=MRC", "CURRENCY=USD", "XLFILL=b")</f>
        <v>#N/A Requesting Data...</v>
      </c>
      <c r="AC44" s="6" t="str">
        <f>_xll.BQL("SEG0000230986 Segment", "IS_FOREIGN_CURRENCY_TURNOVER/1M", "FPR=2021Y", "FPT=A", "FA_ACT_EST_DATA=E, EST_SOURCE=BNS", "ACT_EST_MAPPING=PRECISE", "FS=MRC", "CURRENCY=USD", "XLFILL=b")</f>
        <v/>
      </c>
      <c r="AD44" s="6" t="str">
        <f>_xll.BQL("SEG0000230986 Segment", "IS_FOREIGN_CURRENCY_TURNOVER/1M", "FPR=2021Y", "FPT=A", "FA_ACT_EST_DATA=E, EST_SOURCE=BAM", "ACT_EST_MAPPING=PRECISE", "FS=MRC", "CURRENCY=USD", "XLFILL=b")</f>
        <v>#N/A Requesting Data...</v>
      </c>
      <c r="AE44" s="6" t="str">
        <f>_xll.BQL("SEG0000230986 Segment", "IS_FOREIGN_CURRENCY_TURNOVER/1M", "FPR=2021Y", "FPT=A", "FA_ACT_EST_DATA=E, EST_SOURCE=GSR", "ACT_EST_MAPPING=PRECISE", "FS=MRC", "CURRENCY=USD", "XLFILL=b")</f>
        <v>#N/A Requesting Data...</v>
      </c>
      <c r="AF44" s="6" t="str">
        <f>_xll.BQL("SEG0000230986 Segment", "IS_FOREIGN_CURRENCY_TURNOVER/1M", "FPR=2021Y", "FPT=A", "FA_ACT_EST_DATA=E, EST_SOURCE=FBC", "ACT_EST_MAPPING=PRECISE", "FS=MRC", "CURRENCY=USD", "XLFILL=b")</f>
        <v>#N/A Requesting Data...</v>
      </c>
      <c r="AG44" s="6" t="str">
        <f>_xll.BQL("SEG0000230986 Segment", "IS_FOREIGN_CURRENCY_TURNOVER/1M", "FPR=2021Y", "FPT=A", "FA_ACT_EST_DATA=E, EST_SOURCE=MAC", "ACT_EST_MAPPING=PRECISE", "FS=MRC", "CURRENCY=USD", "XLFILL=b")</f>
        <v>#N/A Requesting Data...</v>
      </c>
      <c r="AH44" s="6" t="str">
        <f>_xll.BQL("SEG0000230986 Segment", "IS_FOREIGN_CURRENCY_TURNOVER/1M", "FPR=2021Y", "FPT=A", "FA_ACT_EST_DATA=E, EST_SOURCE=PSG", "ACT_EST_MAPPING=PRECISE", "FS=MRC", "CURRENCY=USD", "XLFILL=b")</f>
        <v>#N/A Requesting Data...</v>
      </c>
      <c r="AI44" s="6" t="str">
        <f>_xll.BQL("SEG0000230986 Segment", "IS_FOREIGN_CURRENCY_TURNOVER/1M", "FPR=2021Y", "FPT=A", "FA_ACT_EST_DATA=E, EST_SOURCE=MSR", "ACT_EST_MAPPING=PRECISE", "FS=MRC", "CURRENCY=USD", "XLFILL=b")</f>
        <v>#N/A Requesting Data...</v>
      </c>
      <c r="AJ44" s="6" t="str">
        <f>_xll.BQL("SEG0000230986 Segment", "IS_FOREIGN_CURRENCY_TURNOVER/1M", "FPR=2021Y", "FPT=A", "FA_ACT_EST_DATA=E, EST_SOURCE=JEF", "ACT_EST_MAPPING=PRECISE", "FS=MRC", "CURRENCY=USD", "XLFILL=b")</f>
        <v>#N/A Requesting Data...</v>
      </c>
      <c r="AK44" s="6" t="str">
        <f>_xll.BQL("SEG0000230986 Segment", "IS_FOREIGN_CURRENCY_TURNOVER/1M", "FPR=2021Y", "FPT=A", "FA_ACT_EST_DATA=E, EST_SOURCE=TTC", "ACT_EST_MAPPING=PRECISE", "FS=MRC", "CURRENCY=USD", "XLFILL=b")</f>
        <v>#N/A Requesting Data...</v>
      </c>
      <c r="AL44" s="6" t="str">
        <f>_xll.BQL("SEG0000230986 Segment", "IS_FOREIGN_CURRENCY_TURNOVER/1M", "FPR=2021Y", "FPT=A", "FA_ACT_EST_DATA=E, EST_SOURCE=RWB", "ACT_EST_MAPPING=PRECISE", "FS=MRC", "CURRENCY=USD", "XLFILL=b")</f>
        <v>#N/A Requesting Data...</v>
      </c>
      <c r="AM44" s="6" t="str">
        <f>_xll.BQL("SEG0000230986 Segment", "IS_FOREIGN_CURRENCY_TURNOVER/1M", "FPR=2021Y", "FPT=A", "FA_ACT_EST_DATA=E, EST_SOURCE=DZB", "ACT_EST_MAPPING=PRECISE", "FS=MRC", "CURRENCY=USD", "XLFILL=b")</f>
        <v>#N/A Requesting Data...</v>
      </c>
      <c r="AN44" s="6" t="str">
        <f>_xll.BQL("SEG0000230986 Segment", "IS_FOREIGN_CURRENCY_TURNOVER/1M", "FPR=2021Y", "FPT=A", "FA_ACT_EST_DATA=E, EST_SOURCE=DWI", "ACT_EST_MAPPING=PRECISE", "FS=MRC", "CURRENCY=USD", "XLFILL=b")</f>
        <v>#N/A Requesting Data...</v>
      </c>
      <c r="AO44" s="6" t="str">
        <f>_xll.BQL("SEG0000230986 Segment", "IS_FOREIGN_CURRENCY_TURNOVER/1M", "FPR=2021Y", "FPT=A", "FA_ACT_EST_DATA=E, EST_SOURCE=ARG", "ACT_EST_MAPPING=PRECISE", "FS=MRC", "CURRENCY=USD", "XLFILL=b")</f>
        <v>#N/A Requesting Data...</v>
      </c>
      <c r="AP44" s="6" t="str">
        <f>_xll.BQL("SEG0000230986 Segment", "IS_FOREIGN_CURRENCY_TURNOVER/1M", "FPR=2021Y", "FPT=A", "FA_ACT_EST_DATA=E, EST_SOURCE=CTI", "ACT_EST_MAPPING=PRECISE", "FS=MRC", "CURRENCY=USD", "XLFILL=b")</f>
        <v>#N/A Requesting Data...</v>
      </c>
      <c r="AQ44" s="6" t="str">
        <f>_xll.BQL("SEG0000230986 Segment", "IS_FOREIGN_CURRENCY_TURNOVER/1M", "FPR=2021Y", "FPT=A", "FA_ACT_EST_DATA=E, EST_SOURCE=WFT", "ACT_EST_MAPPING=PRECISE", "FS=MRC", "CURRENCY=USD", "XLFILL=b")</f>
        <v>#N/A Requesting Data...</v>
      </c>
      <c r="AR44" s="6" t="str">
        <f>_xll.BQL("SEG0000230986 Segment", "IS_FOREIGN_CURRENCY_TURNOVER/1M", "FPR=2021Y", "FPT=A", "FA_ACT_EST_DATA=E, EST_SOURCE=ARE", "ACT_EST_MAPPING=PRECISE", "FS=MRC", "CURRENCY=USD", "XLFILL=b")</f>
        <v>#N/A Requesting Data...</v>
      </c>
      <c r="AS44" s="6" t="str">
        <f>_xll.BQL("SEG0000230986 Segment", "IS_FOREIGN_CURRENCY_TURNOVER/1M", "FPR=2021Y", "FPT=A", "FA_ACT_EST_DATA=E, EST_SOURCE=PJE", "ACT_EST_MAPPING=PRECISE", "FS=MRC", "CURRENCY=USD", "XLFILL=b")</f>
        <v/>
      </c>
      <c r="AT44" s="6" t="str">
        <f>_xll.BQL("SEG0000230986 Segment", "IS_FOREIGN_CURRENCY_TURNOVER/1M", "FPR=2021Y", "FPT=A", "FA_ACT_EST_DATA=E, EST_SOURCE=MZS", "ACT_EST_MAPPING=PRECISE", "FS=MRC", "CURRENCY=USD", "XLFILL=b")</f>
        <v>#N/A Requesting Data...</v>
      </c>
      <c r="AU44" s="6" t="str">
        <f>_xll.BQL("SEG0000230986 Segment", "IS_FOREIGN_CURRENCY_TURNOVER/1M", "FPR=2021Y", "FPT=A", "FA_ACT_EST_DATA=E, EST_SOURCE=SUM", "ACT_EST_MAPPING=PRECISE", "FS=MRC", "CURRENCY=USD", "XLFILL=b")</f>
        <v>#N/A Requesting Data...</v>
      </c>
      <c r="AV44" s="6" t="str">
        <f>_xll.BQL("SEG0000230986 Segment", "IS_FOREIGN_CURRENCY_TURNOVER/1M", "FPR=2021Y", "FPT=A", "FA_ACT_EST_DATA=E, EST_SOURCE=CRC", "ACT_EST_MAPPING=PRECISE", "FS=MRC", "CURRENCY=USD", "XLFILL=b")</f>
        <v>#N/A Requesting Data...</v>
      </c>
      <c r="AW44" s="6" t="str">
        <f>_xll.BQL("SEG0000230986 Segment", "IS_FOREIGN_CURRENCY_TURNOVER/1M", "FPR=2021Y", "FPT=A", "FA_ACT_EST_DATA=E, EST_SOURCE=SCB", "ACT_EST_MAPPING=PRECISE", "FS=MRC", "CURRENCY=USD", "XLFILL=b")</f>
        <v>#N/A Requesting Data...</v>
      </c>
    </row>
    <row r="45" spans="1:49" x14ac:dyDescent="0.55000000000000004">
      <c r="A45" s="5" t="s">
        <v>88</v>
      </c>
      <c r="B45" s="2"/>
      <c r="C45" s="2" t="s">
        <v>50</v>
      </c>
      <c r="D45" s="2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</row>
    <row r="46" spans="1:49" x14ac:dyDescent="0.55000000000000004">
      <c r="A46" s="5" t="s">
        <v>81</v>
      </c>
      <c r="B46" s="2" t="s">
        <v>25</v>
      </c>
      <c r="C46" s="2" t="s">
        <v>45</v>
      </c>
      <c r="D46" s="2" t="s">
        <v>51</v>
      </c>
      <c r="E46" s="6" t="str">
        <f>_xll.BQL("SEG0000230986 Segment", "IS_BILLINGS/1M", "FPR=2021Y", "FPT=A", "FA_ACT_EST_DATA=E", "ACT_EST_MAPPING=PRECISE", "FS=MRC", "CURRENCY=USD", "XLFILL=b")</f>
        <v>#N/A Requesting Data...</v>
      </c>
      <c r="F46" s="6" t="str">
        <f>_xll.BQL("SEG0000230986 Segment", "CONTRIBUTOR_STATS(IS_BILLINGS, MIN)/1M", "FPR=2021Y", "FPT=A", "FA_ACT_EST_DATA=E", "ACT_EST_MAPPING=PRECISE", "FS=MRC", "CURRENCY=USD", "XLFILL=b")</f>
        <v>#N/A Requesting Data...</v>
      </c>
      <c r="G46" s="6" t="str">
        <f>_xll.BQL("SEG0000230986 Segment", "CONTRIBUTOR_STATS(IS_BILLINGS, MAX)/1M", "FPR=2021Y", "FPT=A", "FA_ACT_EST_DATA=E", "ACT_EST_MAPPING=PRECISE", "FS=MRC", "CURRENCY=USD", "XLFILL=b")</f>
        <v>#N/A Requesting Data...</v>
      </c>
      <c r="H46" s="6" t="str">
        <f>_xll.BQL("SEG0000230986 Segment", "CONTRIBUTOR_STATS(IS_BILLINGS, STD)/1M", "FPR=2021Y", "FPT=A", "FA_ACT_EST_DATA=E", "ACT_EST_MAPPING=PRECISE", "FS=MRC", "CURRENCY=USD", "XLFILL=b")</f>
        <v>#N/A Requesting Data...</v>
      </c>
      <c r="I46" s="6" t="str">
        <f>_xll.BQL("SEG0000230986 Segment", "CONTRIBUTOR_STATS(IS_BILLINGS, MEDIAN)/1M", "FPR=2021Y", "FPT=A", "FA_ACT_EST_DATA=E", "ACT_EST_MAPPING=PRECISE", "FS=MRC", "CURRENCY=USD", "XLFILL=b")</f>
        <v>#N/A Requesting Data...</v>
      </c>
      <c r="J46" s="6" t="str">
        <f>_xll.BQL("SEG0000230986 Segment", "IS_BILLINGS/1M", "FPR=2021Y", "FPT=A", "FA_ACT_EST_DATA=E, EST_SOURCE=CMPY", "ACT_EST_MAPPING=PRECISE", "FS=MRC", "CURRENCY=USD", "XLFILL=b")</f>
        <v>#N/A Requesting Data...</v>
      </c>
      <c r="K46" s="6" t="str">
        <f>_xll.BQL("SEG0000230986 Segment", "IS_BILLINGS/1M", "FPR=2021Y", "FPT=A", "FA_ACT_EST_DATA=E, EST_SOURCE=JPM", "ACT_EST_MAPPING=PRECISE", "FS=MRC", "CURRENCY=USD", "XLFILL=b")</f>
        <v>#N/A Requesting Data...</v>
      </c>
      <c r="L46" s="6" t="str">
        <f>_xll.BQL("SEG0000230986 Segment", "IS_BILLINGS/1M", "FPR=2021Y", "FPT=A", "FA_ACT_EST_DATA=E, EST_SOURCE=WBL", "ACT_EST_MAPPING=PRECISE", "FS=MRC", "CURRENCY=USD", "XLFILL=b")</f>
        <v>#N/A Requesting Data...</v>
      </c>
      <c r="M46" s="6" t="str">
        <f>_xll.BQL("SEG0000230986 Segment", "IS_BILLINGS/1M", "FPR=2021Y", "FPT=A", "FA_ACT_EST_DATA=E, EST_SOURCE=KEY", "ACT_EST_MAPPING=PRECISE", "FS=MRC", "CURRENCY=USD", "XLFILL=b")</f>
        <v>#N/A Requesting Data...</v>
      </c>
      <c r="N46" s="6" t="str">
        <f>_xll.BQL("SEG0000230986 Segment", "IS_BILLINGS/1M", "FPR=2021Y", "FPT=A", "FA_ACT_EST_DATA=E, EST_SOURCE=BMO", "ACT_EST_MAPPING=PRECISE", "FS=MRC", "CURRENCY=USD", "XLFILL=b")</f>
        <v>#N/A Requesting Data...</v>
      </c>
      <c r="O46" s="6" t="str">
        <f>_xll.BQL("SEG0000230986 Segment", "IS_BILLINGS/1M", "FPR=2021Y", "FPT=A", "FA_ACT_EST_DATA=E, EST_SOURCE=OPY", "ACT_EST_MAPPING=PRECISE", "FS=MRC", "CURRENCY=USD", "XLFILL=b")</f>
        <v>#N/A Requesting Data...</v>
      </c>
      <c r="P46" s="6" t="str">
        <f>_xll.BQL("SEG0000230986 Segment", "IS_BILLINGS/1M", "FPR=2021Y", "FPT=A", "FA_ACT_EST_DATA=E, EST_SOURCE=BCA", "ACT_EST_MAPPING=PRECISE", "FS=MRC", "CURRENCY=USD", "XLFILL=b")</f>
        <v>#N/A Requesting Data...</v>
      </c>
      <c r="Q46" s="6" t="str">
        <f>_xll.BQL("SEG0000230986 Segment", "IS_BILLINGS/1M", "FPR=2021Y", "FPT=A", "FA_ACT_EST_DATA=E, EST_SOURCE=RHR", "ACT_EST_MAPPING=PRECISE", "FS=MRC", "CURRENCY=USD", "XLFILL=b")</f>
        <v>#N/A Requesting Data...</v>
      </c>
      <c r="R46" s="6" t="str">
        <f>_xll.BQL("SEG0000230986 Segment", "IS_BILLINGS/1M", "FPR=2021Y", "FPT=A", "FA_ACT_EST_DATA=E, EST_SOURCE=SNR", "ACT_EST_MAPPING=PRECISE", "FS=MRC", "CURRENCY=USD", "XLFILL=b")</f>
        <v>#N/A Requesting Data...</v>
      </c>
      <c r="S46" s="6" t="str">
        <f>_xll.BQL("SEG0000230986 Segment", "IS_BILLINGS/1M", "FPR=2021Y", "FPT=A", "FA_ACT_EST_DATA=E, EST_SOURCE=MSV", "ACT_EST_MAPPING=PRECISE", "FS=MRC", "CURRENCY=USD", "XLFILL=b")</f>
        <v>#N/A Requesting Data...</v>
      </c>
      <c r="T46" s="6" t="str">
        <f>_xll.BQL("SEG0000230986 Segment", "IS_BILLINGS/1M", "FPR=2021Y", "FPT=A", "FA_ACT_EST_DATA=E, EST_SOURCE=CAN", "ACT_EST_MAPPING=PRECISE", "FS=MRC", "CURRENCY=USD", "XLFILL=b")</f>
        <v>#N/A Requesting Data...</v>
      </c>
      <c r="U46" s="6" t="str">
        <f>_xll.BQL("SEG0000230986 Segment", "IS_BILLINGS/1M", "FPR=2021Y", "FPT=A", "FA_ACT_EST_DATA=E, EST_SOURCE=JMP", "ACT_EST_MAPPING=PRECISE", "FS=MRC", "CURRENCY=USD", "XLFILL=b")</f>
        <v>#N/A Requesting Data...</v>
      </c>
      <c r="V46" s="6" t="str">
        <f>_xll.BQL("SEG0000230986 Segment", "IS_BILLINGS/1M", "FPR=2021Y", "FPT=A", "FA_ACT_EST_DATA=E, EST_SOURCE=NDH", "ACT_EST_MAPPING=PRECISE", "FS=MRC", "CURRENCY=USD", "XLFILL=b")</f>
        <v>#N/A Requesting Data...</v>
      </c>
      <c r="W46" s="6" t="str">
        <f>_xll.BQL("SEG0000230986 Segment", "IS_BILLINGS/1M", "FPR=2021Y", "FPT=A", "FA_ACT_EST_DATA=E, EST_SOURCE=ZXS", "ACT_EST_MAPPING=PRECISE", "FS=MRC", "CURRENCY=USD", "XLFILL=b")</f>
        <v>#N/A Requesting Data...</v>
      </c>
      <c r="X46" s="6" t="str">
        <f>_xll.BQL("SEG0000230986 Segment", "IS_BILLINGS/1M", "FPR=2021Y", "FPT=A", "FA_ACT_EST_DATA=E, EST_SOURCE=CWN", "ACT_EST_MAPPING=PRECISE", "FS=MRC", "CURRENCY=USD", "XLFILL=b")</f>
        <v>#N/A Requesting Data...</v>
      </c>
      <c r="Y46" s="6" t="str">
        <f>_xll.BQL("SEG0000230986 Segment", "IS_BILLINGS/1M", "FPR=2021Y", "FPT=A", "FA_ACT_EST_DATA=E, EST_SOURCE=DBG", "ACT_EST_MAPPING=PRECISE", "FS=MRC", "CURRENCY=USD", "XLFILL=b")</f>
        <v>#N/A Requesting Data...</v>
      </c>
      <c r="Z46" s="6" t="str">
        <f>_xll.BQL("SEG0000230986 Segment", "IS_BILLINGS/1M", "FPR=2021Y", "FPT=A", "FA_ACT_EST_DATA=E, EST_SOURCE=UBS", "ACT_EST_MAPPING=PRECISE", "FS=MRC", "CURRENCY=USD", "XLFILL=b")</f>
        <v>#N/A Requesting Data...</v>
      </c>
      <c r="AA46" s="6" t="str">
        <f>_xll.BQL("SEG0000230986 Segment", "IS_BILLINGS/1M", "FPR=2021Y", "FPT=A", "FA_ACT_EST_DATA=E, EST_SOURCE=RBC", "ACT_EST_MAPPING=PRECISE", "FS=MRC", "CURRENCY=USD", "XLFILL=b")</f>
        <v>#N/A Requesting Data...</v>
      </c>
      <c r="AB46" s="6" t="str">
        <f>_xll.BQL("SEG0000230986 Segment", "IS_BILLINGS/1M", "FPR=2021Y", "FPT=A", "FA_ACT_EST_DATA=E, EST_SOURCE=EVR", "ACT_EST_MAPPING=PRECISE", "FS=MRC", "CURRENCY=USD", "XLFILL=b")</f>
        <v>#N/A Requesting Data...</v>
      </c>
      <c r="AC46" s="6" t="str">
        <f>_xll.BQL("SEG0000230986 Segment", "IS_BILLINGS/1M", "FPR=2021Y", "FPT=A", "FA_ACT_EST_DATA=E, EST_SOURCE=BNS", "ACT_EST_MAPPING=PRECISE", "FS=MRC", "CURRENCY=USD", "XLFILL=b")</f>
        <v>#N/A Requesting Data...</v>
      </c>
      <c r="AD46" s="6" t="str">
        <f>_xll.BQL("SEG0000230986 Segment", "IS_BILLINGS/1M", "FPR=2021Y", "FPT=A", "FA_ACT_EST_DATA=E, EST_SOURCE=BAM", "ACT_EST_MAPPING=PRECISE", "FS=MRC", "CURRENCY=USD", "XLFILL=b")</f>
        <v>#N/A Requesting Data...</v>
      </c>
      <c r="AE46" s="6" t="str">
        <f>_xll.BQL("SEG0000230986 Segment", "IS_BILLINGS/1M", "FPR=2021Y", "FPT=A", "FA_ACT_EST_DATA=E, EST_SOURCE=GSR", "ACT_EST_MAPPING=PRECISE", "FS=MRC", "CURRENCY=USD", "XLFILL=b")</f>
        <v>#N/A Requesting Data...</v>
      </c>
      <c r="AF46" s="6" t="str">
        <f>_xll.BQL("SEG0000230986 Segment", "IS_BILLINGS/1M", "FPR=2021Y", "FPT=A", "FA_ACT_EST_DATA=E, EST_SOURCE=FBC", "ACT_EST_MAPPING=PRECISE", "FS=MRC", "CURRENCY=USD", "XLFILL=b")</f>
        <v>#N/A Requesting Data...</v>
      </c>
      <c r="AG46" s="6" t="str">
        <f>_xll.BQL("SEG0000230986 Segment", "IS_BILLINGS/1M", "FPR=2021Y", "FPT=A", "FA_ACT_EST_DATA=E, EST_SOURCE=MAC", "ACT_EST_MAPPING=PRECISE", "FS=MRC", "CURRENCY=USD", "XLFILL=b")</f>
        <v>#N/A Requesting Data...</v>
      </c>
      <c r="AH46" s="6" t="str">
        <f>_xll.BQL("SEG0000230986 Segment", "IS_BILLINGS/1M", "FPR=2021Y", "FPT=A", "FA_ACT_EST_DATA=E, EST_SOURCE=PSG", "ACT_EST_MAPPING=PRECISE", "FS=MRC", "CURRENCY=USD", "XLFILL=b")</f>
        <v>#N/A Requesting Data...</v>
      </c>
      <c r="AI46" s="6" t="str">
        <f>_xll.BQL("SEG0000230986 Segment", "IS_BILLINGS/1M", "FPR=2021Y", "FPT=A", "FA_ACT_EST_DATA=E, EST_SOURCE=MSR", "ACT_EST_MAPPING=PRECISE", "FS=MRC", "CURRENCY=USD", "XLFILL=b")</f>
        <v>#N/A Requesting Data...</v>
      </c>
      <c r="AJ46" s="6" t="str">
        <f>_xll.BQL("SEG0000230986 Segment", "IS_BILLINGS/1M", "FPR=2021Y", "FPT=A", "FA_ACT_EST_DATA=E, EST_SOURCE=JEF", "ACT_EST_MAPPING=PRECISE", "FS=MRC", "CURRENCY=USD", "XLFILL=b")</f>
        <v>#N/A Requesting Data...</v>
      </c>
      <c r="AK46" s="6" t="str">
        <f>_xll.BQL("SEG0000230986 Segment", "IS_BILLINGS/1M", "FPR=2021Y", "FPT=A", "FA_ACT_EST_DATA=E, EST_SOURCE=TTC", "ACT_EST_MAPPING=PRECISE", "FS=MRC", "CURRENCY=USD", "XLFILL=b")</f>
        <v>#N/A Requesting Data...</v>
      </c>
      <c r="AL46" s="6" t="str">
        <f>_xll.BQL("SEG0000230986 Segment", "IS_BILLINGS/1M", "FPR=2021Y", "FPT=A", "FA_ACT_EST_DATA=E, EST_SOURCE=RWB", "ACT_EST_MAPPING=PRECISE", "FS=MRC", "CURRENCY=USD", "XLFILL=b")</f>
        <v>#N/A Requesting Data...</v>
      </c>
      <c r="AM46" s="6" t="str">
        <f>_xll.BQL("SEG0000230986 Segment", "IS_BILLINGS/1M", "FPR=2021Y", "FPT=A", "FA_ACT_EST_DATA=E, EST_SOURCE=DZB", "ACT_EST_MAPPING=PRECISE", "FS=MRC", "CURRENCY=USD", "XLFILL=b")</f>
        <v>#N/A Requesting Data...</v>
      </c>
      <c r="AN46" s="6" t="str">
        <f>_xll.BQL("SEG0000230986 Segment", "IS_BILLINGS/1M", "FPR=2021Y", "FPT=A", "FA_ACT_EST_DATA=E, EST_SOURCE=DWI", "ACT_EST_MAPPING=PRECISE", "FS=MRC", "CURRENCY=USD", "XLFILL=b")</f>
        <v>#N/A Requesting Data...</v>
      </c>
      <c r="AO46" s="6" t="str">
        <f>_xll.BQL("SEG0000230986 Segment", "IS_BILLINGS/1M", "FPR=2021Y", "FPT=A", "FA_ACT_EST_DATA=E, EST_SOURCE=ARG", "ACT_EST_MAPPING=PRECISE", "FS=MRC", "CURRENCY=USD", "XLFILL=b")</f>
        <v>#N/A Requesting Data...</v>
      </c>
      <c r="AP46" s="6" t="str">
        <f>_xll.BQL("SEG0000230986 Segment", "IS_BILLINGS/1M", "FPR=2021Y", "FPT=A", "FA_ACT_EST_DATA=E, EST_SOURCE=CTI", "ACT_EST_MAPPING=PRECISE", "FS=MRC", "CURRENCY=USD", "XLFILL=b")</f>
        <v>#N/A Requesting Data...</v>
      </c>
      <c r="AQ46" s="6" t="str">
        <f>_xll.BQL("SEG0000230986 Segment", "IS_BILLINGS/1M", "FPR=2021Y", "FPT=A", "FA_ACT_EST_DATA=E, EST_SOURCE=WFT", "ACT_EST_MAPPING=PRECISE", "FS=MRC", "CURRENCY=USD", "XLFILL=b")</f>
        <v>#N/A Requesting Data...</v>
      </c>
      <c r="AR46" s="6" t="str">
        <f>_xll.BQL("SEG0000230986 Segment", "IS_BILLINGS/1M", "FPR=2021Y", "FPT=A", "FA_ACT_EST_DATA=E, EST_SOURCE=ARE", "ACT_EST_MAPPING=PRECISE", "FS=MRC", "CURRENCY=USD", "XLFILL=b")</f>
        <v>#N/A Requesting Data...</v>
      </c>
      <c r="AS46" s="6" t="str">
        <f>_xll.BQL("SEG0000230986 Segment", "IS_BILLINGS/1M", "FPR=2021Y", "FPT=A", "FA_ACT_EST_DATA=E, EST_SOURCE=PJE", "ACT_EST_MAPPING=PRECISE", "FS=MRC", "CURRENCY=USD", "XLFILL=b")</f>
        <v>#N/A Requesting Data...</v>
      </c>
      <c r="AT46" s="6" t="str">
        <f>_xll.BQL("SEG0000230986 Segment", "IS_BILLINGS/1M", "FPR=2021Y", "FPT=A", "FA_ACT_EST_DATA=E, EST_SOURCE=MZS", "ACT_EST_MAPPING=PRECISE", "FS=MRC", "CURRENCY=USD", "XLFILL=b")</f>
        <v>#N/A Requesting Data...</v>
      </c>
      <c r="AU46" s="6" t="str">
        <f>_xll.BQL("SEG0000230986 Segment", "IS_BILLINGS/1M", "FPR=2021Y", "FPT=A", "FA_ACT_EST_DATA=E, EST_SOURCE=SUM", "ACT_EST_MAPPING=PRECISE", "FS=MRC", "CURRENCY=USD", "XLFILL=b")</f>
        <v>#N/A Requesting Data...</v>
      </c>
      <c r="AV46" s="6" t="str">
        <f>_xll.BQL("SEG0000230986 Segment", "IS_BILLINGS/1M", "FPR=2021Y", "FPT=A", "FA_ACT_EST_DATA=E, EST_SOURCE=CRC", "ACT_EST_MAPPING=PRECISE", "FS=MRC", "CURRENCY=USD", "XLFILL=b")</f>
        <v>#N/A Requesting Data...</v>
      </c>
      <c r="AW46" s="6" t="str">
        <f>_xll.BQL("SEG0000230986 Segment", "IS_BILLINGS/1M", "FPR=2021Y", "FPT=A", "FA_ACT_EST_DATA=E, EST_SOURCE=SCB", "ACT_EST_MAPPING=PRECISE", "FS=MRC", "CURRENCY=USD", "XLFILL=b")</f>
        <v>#N/A Requesting Data...</v>
      </c>
    </row>
    <row r="47" spans="1:49" x14ac:dyDescent="0.55000000000000004">
      <c r="A47" s="5" t="s">
        <v>82</v>
      </c>
      <c r="B47" s="2" t="s">
        <v>83</v>
      </c>
      <c r="C47" s="2" t="s">
        <v>84</v>
      </c>
      <c r="D47" s="2" t="s">
        <v>51</v>
      </c>
      <c r="E47" s="6" t="str">
        <f>_xll.BQL("SEG0000230986 Segment", "CB_ADJ_BILLINGS_AMT/1M", "FPR=2021Y", "FPT=A", "FA_ACT_EST_DATA=E", "ACT_EST_MAPPING=PRECISE", "FS=MRC", "CURRENCY=USD", "XLFILL=b")</f>
        <v>#N/A Requesting Data...</v>
      </c>
      <c r="F47" s="6" t="str">
        <f>_xll.BQL("SEG0000230986 Segment", "CONTRIBUTOR_STATS(CB_ADJ_BILLINGS_AMT, MIN)/1M", "FPR=2021Y", "FPT=A", "FA_ACT_EST_DATA=E", "ACT_EST_MAPPING=PRECISE", "FS=MRC", "CURRENCY=USD", "XLFILL=b")</f>
        <v>#N/A Requesting Data...</v>
      </c>
      <c r="G47" s="6" t="str">
        <f>_xll.BQL("SEG0000230986 Segment", "CONTRIBUTOR_STATS(CB_ADJ_BILLINGS_AMT, MAX)/1M", "FPR=2021Y", "FPT=A", "FA_ACT_EST_DATA=E", "ACT_EST_MAPPING=PRECISE", "FS=MRC", "CURRENCY=USD", "XLFILL=b")</f>
        <v>#N/A Requesting Data...</v>
      </c>
      <c r="H47" s="6" t="str">
        <f>_xll.BQL("SEG0000230986 Segment", "CONTRIBUTOR_STATS(CB_ADJ_BILLINGS_AMT, STD)/1M", "FPR=2021Y", "FPT=A", "FA_ACT_EST_DATA=E", "ACT_EST_MAPPING=PRECISE", "FS=MRC", "CURRENCY=USD", "XLFILL=b")</f>
        <v>#N/A Requesting Data...</v>
      </c>
      <c r="I47" s="6" t="str">
        <f>_xll.BQL("SEG0000230986 Segment", "CONTRIBUTOR_STATS(CB_ADJ_BILLINGS_AMT, MEDIAN)/1M", "FPR=2021Y", "FPT=A", "FA_ACT_EST_DATA=E", "ACT_EST_MAPPING=PRECISE", "FS=MRC", "CURRENCY=USD", "XLFILL=b")</f>
        <v>#N/A Requesting Data...</v>
      </c>
      <c r="J47" s="6" t="str">
        <f>_xll.BQL("SEG0000230986 Segment", "CB_ADJ_BILLINGS_AMT/1M", "FPR=2021Y", "FPT=A", "FA_ACT_EST_DATA=E, EST_SOURCE=CMPY", "ACT_EST_MAPPING=PRECISE", "FS=MRC", "CURRENCY=USD", "XLFILL=b")</f>
        <v>#N/A Requesting Data...</v>
      </c>
      <c r="K47" s="6" t="str">
        <f>_xll.BQL("SEG0000230986 Segment", "CB_ADJ_BILLINGS_AMT/1M", "FPR=2021Y", "FPT=A", "FA_ACT_EST_DATA=E, EST_SOURCE=JPM", "ACT_EST_MAPPING=PRECISE", "FS=MRC", "CURRENCY=USD", "XLFILL=b")</f>
        <v>#N/A Requesting Data...</v>
      </c>
      <c r="L47" s="6" t="str">
        <f>_xll.BQL("SEG0000230986 Segment", "CB_ADJ_BILLINGS_AMT/1M", "FPR=2021Y", "FPT=A", "FA_ACT_EST_DATA=E, EST_SOURCE=WBL", "ACT_EST_MAPPING=PRECISE", "FS=MRC", "CURRENCY=USD", "XLFILL=b")</f>
        <v>#N/A Requesting Data...</v>
      </c>
      <c r="M47" s="6" t="str">
        <f>_xll.BQL("SEG0000230986 Segment", "CB_ADJ_BILLINGS_AMT/1M", "FPR=2021Y", "FPT=A", "FA_ACT_EST_DATA=E, EST_SOURCE=KEY", "ACT_EST_MAPPING=PRECISE", "FS=MRC", "CURRENCY=USD", "XLFILL=b")</f>
        <v>#N/A Requesting Data...</v>
      </c>
      <c r="N47" s="6" t="str">
        <f>_xll.BQL("SEG0000230986 Segment", "CB_ADJ_BILLINGS_AMT/1M", "FPR=2021Y", "FPT=A", "FA_ACT_EST_DATA=E, EST_SOURCE=BMO", "ACT_EST_MAPPING=PRECISE", "FS=MRC", "CURRENCY=USD", "XLFILL=b")</f>
        <v>#N/A Requesting Data...</v>
      </c>
      <c r="O47" s="6" t="str">
        <f>_xll.BQL("SEG0000230986 Segment", "CB_ADJ_BILLINGS_AMT/1M", "FPR=2021Y", "FPT=A", "FA_ACT_EST_DATA=E, EST_SOURCE=OPY", "ACT_EST_MAPPING=PRECISE", "FS=MRC", "CURRENCY=USD", "XLFILL=b")</f>
        <v>#N/A Requesting Data...</v>
      </c>
      <c r="P47" s="6" t="str">
        <f>_xll.BQL("SEG0000230986 Segment", "CB_ADJ_BILLINGS_AMT/1M", "FPR=2021Y", "FPT=A", "FA_ACT_EST_DATA=E, EST_SOURCE=BCA", "ACT_EST_MAPPING=PRECISE", "FS=MRC", "CURRENCY=USD", "XLFILL=b")</f>
        <v>#N/A Requesting Data...</v>
      </c>
      <c r="Q47" s="6" t="str">
        <f>_xll.BQL("SEG0000230986 Segment", "CB_ADJ_BILLINGS_AMT/1M", "FPR=2021Y", "FPT=A", "FA_ACT_EST_DATA=E, EST_SOURCE=RHR", "ACT_EST_MAPPING=PRECISE", "FS=MRC", "CURRENCY=USD", "XLFILL=b")</f>
        <v>#N/A Requesting Data...</v>
      </c>
      <c r="R47" s="6" t="str">
        <f>_xll.BQL("SEG0000230986 Segment", "CB_ADJ_BILLINGS_AMT/1M", "FPR=2021Y", "FPT=A", "FA_ACT_EST_DATA=E, EST_SOURCE=SNR", "ACT_EST_MAPPING=PRECISE", "FS=MRC", "CURRENCY=USD", "XLFILL=b")</f>
        <v>#N/A Requesting Data...</v>
      </c>
      <c r="S47" s="6" t="str">
        <f>_xll.BQL("SEG0000230986 Segment", "CB_ADJ_BILLINGS_AMT/1M", "FPR=2021Y", "FPT=A", "FA_ACT_EST_DATA=E, EST_SOURCE=MSV", "ACT_EST_MAPPING=PRECISE", "FS=MRC", "CURRENCY=USD", "XLFILL=b")</f>
        <v>#N/A Requesting Data...</v>
      </c>
      <c r="T47" s="6" t="str">
        <f>_xll.BQL("SEG0000230986 Segment", "CB_ADJ_BILLINGS_AMT/1M", "FPR=2021Y", "FPT=A", "FA_ACT_EST_DATA=E, EST_SOURCE=CAN", "ACT_EST_MAPPING=PRECISE", "FS=MRC", "CURRENCY=USD", "XLFILL=b")</f>
        <v>#N/A Requesting Data...</v>
      </c>
      <c r="U47" s="6" t="str">
        <f>_xll.BQL("SEG0000230986 Segment", "CB_ADJ_BILLINGS_AMT/1M", "FPR=2021Y", "FPT=A", "FA_ACT_EST_DATA=E, EST_SOURCE=JMP", "ACT_EST_MAPPING=PRECISE", "FS=MRC", "CURRENCY=USD", "XLFILL=b")</f>
        <v>#N/A Requesting Data...</v>
      </c>
      <c r="V47" s="6" t="str">
        <f>_xll.BQL("SEG0000230986 Segment", "CB_ADJ_BILLINGS_AMT/1M", "FPR=2021Y", "FPT=A", "FA_ACT_EST_DATA=E, EST_SOURCE=NDH", "ACT_EST_MAPPING=PRECISE", "FS=MRC", "CURRENCY=USD", "XLFILL=b")</f>
        <v>#N/A Requesting Data...</v>
      </c>
      <c r="W47" s="6" t="str">
        <f>_xll.BQL("SEG0000230986 Segment", "CB_ADJ_BILLINGS_AMT/1M", "FPR=2021Y", "FPT=A", "FA_ACT_EST_DATA=E, EST_SOURCE=ZXS", "ACT_EST_MAPPING=PRECISE", "FS=MRC", "CURRENCY=USD", "XLFILL=b")</f>
        <v>#N/A Requesting Data...</v>
      </c>
      <c r="X47" s="6" t="str">
        <f>_xll.BQL("SEG0000230986 Segment", "CB_ADJ_BILLINGS_AMT/1M", "FPR=2021Y", "FPT=A", "FA_ACT_EST_DATA=E, EST_SOURCE=CWN", "ACT_EST_MAPPING=PRECISE", "FS=MRC", "CURRENCY=USD", "XLFILL=b")</f>
        <v>#N/A Requesting Data...</v>
      </c>
      <c r="Y47" s="6" t="str">
        <f>_xll.BQL("SEG0000230986 Segment", "CB_ADJ_BILLINGS_AMT/1M", "FPR=2021Y", "FPT=A", "FA_ACT_EST_DATA=E, EST_SOURCE=DBG", "ACT_EST_MAPPING=PRECISE", "FS=MRC", "CURRENCY=USD", "XLFILL=b")</f>
        <v>#N/A Requesting Data...</v>
      </c>
      <c r="Z47" s="6" t="str">
        <f>_xll.BQL("SEG0000230986 Segment", "CB_ADJ_BILLINGS_AMT/1M", "FPR=2021Y", "FPT=A", "FA_ACT_EST_DATA=E, EST_SOURCE=UBS", "ACT_EST_MAPPING=PRECISE", "FS=MRC", "CURRENCY=USD", "XLFILL=b")</f>
        <v>#N/A Requesting Data...</v>
      </c>
      <c r="AA47" s="6" t="str">
        <f>_xll.BQL("SEG0000230986 Segment", "CB_ADJ_BILLINGS_AMT/1M", "FPR=2021Y", "FPT=A", "FA_ACT_EST_DATA=E, EST_SOURCE=RBC", "ACT_EST_MAPPING=PRECISE", "FS=MRC", "CURRENCY=USD", "XLFILL=b")</f>
        <v>#N/A Requesting Data...</v>
      </c>
      <c r="AB47" s="6" t="str">
        <f>_xll.BQL("SEG0000230986 Segment", "CB_ADJ_BILLINGS_AMT/1M", "FPR=2021Y", "FPT=A", "FA_ACT_EST_DATA=E, EST_SOURCE=EVR", "ACT_EST_MAPPING=PRECISE", "FS=MRC", "CURRENCY=USD", "XLFILL=b")</f>
        <v>#N/A Requesting Data...</v>
      </c>
      <c r="AC47" s="6" t="str">
        <f>_xll.BQL("SEG0000230986 Segment", "CB_ADJ_BILLINGS_AMT/1M", "FPR=2021Y", "FPT=A", "FA_ACT_EST_DATA=E, EST_SOURCE=BNS", "ACT_EST_MAPPING=PRECISE", "FS=MRC", "CURRENCY=USD", "XLFILL=b")</f>
        <v>#N/A Requesting Data...</v>
      </c>
      <c r="AD47" s="6" t="str">
        <f>_xll.BQL("SEG0000230986 Segment", "CB_ADJ_BILLINGS_AMT/1M", "FPR=2021Y", "FPT=A", "FA_ACT_EST_DATA=E, EST_SOURCE=BAM", "ACT_EST_MAPPING=PRECISE", "FS=MRC", "CURRENCY=USD", "XLFILL=b")</f>
        <v>#N/A Requesting Data...</v>
      </c>
      <c r="AE47" s="6" t="str">
        <f>_xll.BQL("SEG0000230986 Segment", "CB_ADJ_BILLINGS_AMT/1M", "FPR=2021Y", "FPT=A", "FA_ACT_EST_DATA=E, EST_SOURCE=GSR", "ACT_EST_MAPPING=PRECISE", "FS=MRC", "CURRENCY=USD", "XLFILL=b")</f>
        <v>#N/A Requesting Data...</v>
      </c>
      <c r="AF47" s="6" t="str">
        <f>_xll.BQL("SEG0000230986 Segment", "CB_ADJ_BILLINGS_AMT/1M", "FPR=2021Y", "FPT=A", "FA_ACT_EST_DATA=E, EST_SOURCE=FBC", "ACT_EST_MAPPING=PRECISE", "FS=MRC", "CURRENCY=USD", "XLFILL=b")</f>
        <v>#N/A Requesting Data...</v>
      </c>
      <c r="AG47" s="6" t="str">
        <f>_xll.BQL("SEG0000230986 Segment", "CB_ADJ_BILLINGS_AMT/1M", "FPR=2021Y", "FPT=A", "FA_ACT_EST_DATA=E, EST_SOURCE=MAC", "ACT_EST_MAPPING=PRECISE", "FS=MRC", "CURRENCY=USD", "XLFILL=b")</f>
        <v>#N/A Requesting Data...</v>
      </c>
      <c r="AH47" s="6" t="str">
        <f>_xll.BQL("SEG0000230986 Segment", "CB_ADJ_BILLINGS_AMT/1M", "FPR=2021Y", "FPT=A", "FA_ACT_EST_DATA=E, EST_SOURCE=PSG", "ACT_EST_MAPPING=PRECISE", "FS=MRC", "CURRENCY=USD", "XLFILL=b")</f>
        <v>#N/A Requesting Data...</v>
      </c>
      <c r="AI47" s="6" t="str">
        <f>_xll.BQL("SEG0000230986 Segment", "CB_ADJ_BILLINGS_AMT/1M", "FPR=2021Y", "FPT=A", "FA_ACT_EST_DATA=E, EST_SOURCE=MSR", "ACT_EST_MAPPING=PRECISE", "FS=MRC", "CURRENCY=USD", "XLFILL=b")</f>
        <v>#N/A Requesting Data...</v>
      </c>
      <c r="AJ47" s="6" t="str">
        <f>_xll.BQL("SEG0000230986 Segment", "CB_ADJ_BILLINGS_AMT/1M", "FPR=2021Y", "FPT=A", "FA_ACT_EST_DATA=E, EST_SOURCE=JEF", "ACT_EST_MAPPING=PRECISE", "FS=MRC", "CURRENCY=USD", "XLFILL=b")</f>
        <v>#N/A Requesting Data...</v>
      </c>
      <c r="AK47" s="6" t="str">
        <f>_xll.BQL("SEG0000230986 Segment", "CB_ADJ_BILLINGS_AMT/1M", "FPR=2021Y", "FPT=A", "FA_ACT_EST_DATA=E, EST_SOURCE=TTC", "ACT_EST_MAPPING=PRECISE", "FS=MRC", "CURRENCY=USD", "XLFILL=b")</f>
        <v>#N/A Requesting Data...</v>
      </c>
      <c r="AL47" s="6" t="str">
        <f>_xll.BQL("SEG0000230986 Segment", "CB_ADJ_BILLINGS_AMT/1M", "FPR=2021Y", "FPT=A", "FA_ACT_EST_DATA=E, EST_SOURCE=RWB", "ACT_EST_MAPPING=PRECISE", "FS=MRC", "CURRENCY=USD", "XLFILL=b")</f>
        <v>#N/A Requesting Data...</v>
      </c>
      <c r="AM47" s="6" t="str">
        <f>_xll.BQL("SEG0000230986 Segment", "CB_ADJ_BILLINGS_AMT/1M", "FPR=2021Y", "FPT=A", "FA_ACT_EST_DATA=E, EST_SOURCE=DZB", "ACT_EST_MAPPING=PRECISE", "FS=MRC", "CURRENCY=USD", "XLFILL=b")</f>
        <v>#N/A Requesting Data...</v>
      </c>
      <c r="AN47" s="6" t="str">
        <f>_xll.BQL("SEG0000230986 Segment", "CB_ADJ_BILLINGS_AMT/1M", "FPR=2021Y", "FPT=A", "FA_ACT_EST_DATA=E, EST_SOURCE=DWI", "ACT_EST_MAPPING=PRECISE", "FS=MRC", "CURRENCY=USD", "XLFILL=b")</f>
        <v>#N/A Requesting Data...</v>
      </c>
      <c r="AO47" s="6" t="str">
        <f>_xll.BQL("SEG0000230986 Segment", "CB_ADJ_BILLINGS_AMT/1M", "FPR=2021Y", "FPT=A", "FA_ACT_EST_DATA=E, EST_SOURCE=ARG", "ACT_EST_MAPPING=PRECISE", "FS=MRC", "CURRENCY=USD", "XLFILL=b")</f>
        <v>#N/A Requesting Data...</v>
      </c>
      <c r="AP47" s="6" t="str">
        <f>_xll.BQL("SEG0000230986 Segment", "CB_ADJ_BILLINGS_AMT/1M", "FPR=2021Y", "FPT=A", "FA_ACT_EST_DATA=E, EST_SOURCE=CTI", "ACT_EST_MAPPING=PRECISE", "FS=MRC", "CURRENCY=USD", "XLFILL=b")</f>
        <v>#N/A Requesting Data...</v>
      </c>
      <c r="AQ47" s="6" t="str">
        <f>_xll.BQL("SEG0000230986 Segment", "CB_ADJ_BILLINGS_AMT/1M", "FPR=2021Y", "FPT=A", "FA_ACT_EST_DATA=E, EST_SOURCE=WFT", "ACT_EST_MAPPING=PRECISE", "FS=MRC", "CURRENCY=USD", "XLFILL=b")</f>
        <v>#N/A Requesting Data...</v>
      </c>
      <c r="AR47" s="6" t="str">
        <f>_xll.BQL("SEG0000230986 Segment", "CB_ADJ_BILLINGS_AMT/1M", "FPR=2021Y", "FPT=A", "FA_ACT_EST_DATA=E, EST_SOURCE=ARE", "ACT_EST_MAPPING=PRECISE", "FS=MRC", "CURRENCY=USD", "XLFILL=b")</f>
        <v>#N/A Requesting Data...</v>
      </c>
      <c r="AS47" s="6" t="str">
        <f>_xll.BQL("SEG0000230986 Segment", "CB_ADJ_BILLINGS_AMT/1M", "FPR=2021Y", "FPT=A", "FA_ACT_EST_DATA=E, EST_SOURCE=PJE", "ACT_EST_MAPPING=PRECISE", "FS=MRC", "CURRENCY=USD", "XLFILL=b")</f>
        <v>#N/A Requesting Data...</v>
      </c>
      <c r="AT47" s="6" t="str">
        <f>_xll.BQL("SEG0000230986 Segment", "CB_ADJ_BILLINGS_AMT/1M", "FPR=2021Y", "FPT=A", "FA_ACT_EST_DATA=E, EST_SOURCE=MZS", "ACT_EST_MAPPING=PRECISE", "FS=MRC", "CURRENCY=USD", "XLFILL=b")</f>
        <v>#N/A Requesting Data...</v>
      </c>
      <c r="AU47" s="6" t="str">
        <f>_xll.BQL("SEG0000230986 Segment", "CB_ADJ_BILLINGS_AMT/1M", "FPR=2021Y", "FPT=A", "FA_ACT_EST_DATA=E, EST_SOURCE=SUM", "ACT_EST_MAPPING=PRECISE", "FS=MRC", "CURRENCY=USD", "XLFILL=b")</f>
        <v>#N/A Requesting Data...</v>
      </c>
      <c r="AV47" s="6" t="str">
        <f>_xll.BQL("SEG0000230986 Segment", "CB_ADJ_BILLINGS_AMT/1M", "FPR=2021Y", "FPT=A", "FA_ACT_EST_DATA=E, EST_SOURCE=CRC", "ACT_EST_MAPPING=PRECISE", "FS=MRC", "CURRENCY=USD", "XLFILL=b")</f>
        <v>#N/A Requesting Data...</v>
      </c>
      <c r="AW47" s="6" t="str">
        <f>_xll.BQL("SEG0000230986 Segment", "CB_ADJ_BILLINGS_AMT/1M", "FPR=2021Y", "FPT=A", "FA_ACT_EST_DATA=E, EST_SOURCE=SCB", "ACT_EST_MAPPING=PRECISE", "FS=MRC", "CURRENCY=USD", "XLFILL=b")</f>
        <v>#N/A Requesting Data...</v>
      </c>
    </row>
    <row r="48" spans="1:49" x14ac:dyDescent="0.55000000000000004">
      <c r="A48" s="5" t="s">
        <v>23</v>
      </c>
      <c r="B48" s="2"/>
      <c r="C48" s="2"/>
      <c r="D48" s="2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</row>
    <row r="49" spans="1:49" x14ac:dyDescent="0.55000000000000004">
      <c r="A49" s="5" t="s">
        <v>89</v>
      </c>
      <c r="B49" s="2"/>
      <c r="C49" s="2" t="s">
        <v>90</v>
      </c>
      <c r="D49" s="2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</row>
    <row r="50" spans="1:49" x14ac:dyDescent="0.55000000000000004">
      <c r="A50" s="5" t="s">
        <v>30</v>
      </c>
      <c r="B50" s="2" t="s">
        <v>31</v>
      </c>
      <c r="C50" s="2" t="s">
        <v>32</v>
      </c>
      <c r="D50" s="2"/>
      <c r="E50" s="6" t="str">
        <f>_xll.BQL("NOW US Equity", "NUM_CSTMR_CNTRCT_OVER_1_MILLN", "FPR=2021Y", "FPT=A", "FA_ACT_EST_DATA=E", "ACT_EST_MAPPING=PRECISE", "FS=MRC", "CURRENCY=USD", "XLFILL=b")</f>
        <v>#N/A Requesting Data...</v>
      </c>
      <c r="F50" s="6" t="str">
        <f>_xll.BQL("NOW US Equity", "CONTRIBUTOR_STATS(NUM_CSTMR_CNTRCT_OVER_1_MILLN, MIN)", "FPR=2021Y", "FPT=A", "FA_ACT_EST_DATA=E", "ACT_EST_MAPPING=PRECISE", "FS=MRC", "CURRENCY=USD", "XLFILL=b")</f>
        <v>#N/A Requesting Data...</v>
      </c>
      <c r="G50" s="6" t="str">
        <f>_xll.BQL("NOW US Equity", "CONTRIBUTOR_STATS(NUM_CSTMR_CNTRCT_OVER_1_MILLN, MAX)", "FPR=2021Y", "FPT=A", "FA_ACT_EST_DATA=E", "ACT_EST_MAPPING=PRECISE", "FS=MRC", "CURRENCY=USD", "XLFILL=b")</f>
        <v>#N/A Requesting Data...</v>
      </c>
      <c r="H50" s="6" t="str">
        <f>_xll.BQL("NOW US Equity", "CONTRIBUTOR_STATS(NUM_CSTMR_CNTRCT_OVER_1_MILLN, STD)", "FPR=2021Y", "FPT=A", "FA_ACT_EST_DATA=E", "ACT_EST_MAPPING=PRECISE", "FS=MRC", "CURRENCY=USD", "XLFILL=b")</f>
        <v>#N/A Requesting Data...</v>
      </c>
      <c r="I50" s="6" t="str">
        <f>_xll.BQL("NOW US Equity", "CONTRIBUTOR_STATS(NUM_CSTMR_CNTRCT_OVER_1_MILLN, MEDIAN)", "FPR=2021Y", "FPT=A", "FA_ACT_EST_DATA=E", "ACT_EST_MAPPING=PRECISE", "FS=MRC", "CURRENCY=USD", "XLFILL=b")</f>
        <v>#N/A Requesting Data...</v>
      </c>
      <c r="J50" s="6" t="str">
        <f>_xll.BQL("NOW US Equity", "NUM_CSTMR_CNTRCT_OVER_1_MILLN", "FPR=2021Y", "FPT=A", "FA_ACT_EST_DATA=E, EST_SOURCE=CMPY", "ACT_EST_MAPPING=PRECISE", "FS=MRC", "CURRENCY=USD", "XLFILL=b")</f>
        <v>#N/A Requesting Data...</v>
      </c>
      <c r="K50" s="6" t="str">
        <f>_xll.BQL("NOW US Equity", "NUM_CSTMR_CNTRCT_OVER_1_MILLN", "FPR=2021Y", "FPT=A", "FA_ACT_EST_DATA=E, EST_SOURCE=JPM", "ACT_EST_MAPPING=PRECISE", "FS=MRC", "CURRENCY=USD", "XLFILL=b")</f>
        <v>#N/A Requesting Data...</v>
      </c>
      <c r="L50" s="6" t="str">
        <f>_xll.BQL("NOW US Equity", "NUM_CSTMR_CNTRCT_OVER_1_MILLN", "FPR=2021Y", "FPT=A", "FA_ACT_EST_DATA=E, EST_SOURCE=WBL", "ACT_EST_MAPPING=PRECISE", "FS=MRC", "CURRENCY=USD", "XLFILL=b")</f>
        <v>#N/A Requesting Data...</v>
      </c>
      <c r="M50" s="6" t="str">
        <f>_xll.BQL("NOW US Equity", "NUM_CSTMR_CNTRCT_OVER_1_MILLN", "FPR=2021Y", "FPT=A", "FA_ACT_EST_DATA=E, EST_SOURCE=KEY", "ACT_EST_MAPPING=PRECISE", "FS=MRC", "CURRENCY=USD", "XLFILL=b")</f>
        <v>#N/A Requesting Data...</v>
      </c>
      <c r="N50" s="6" t="str">
        <f>_xll.BQL("NOW US Equity", "NUM_CSTMR_CNTRCT_OVER_1_MILLN", "FPR=2021Y", "FPT=A", "FA_ACT_EST_DATA=E, EST_SOURCE=BMO", "ACT_EST_MAPPING=PRECISE", "FS=MRC", "CURRENCY=USD", "XLFILL=b")</f>
        <v/>
      </c>
      <c r="O50" s="6" t="str">
        <f>_xll.BQL("NOW US Equity", "NUM_CSTMR_CNTRCT_OVER_1_MILLN", "FPR=2021Y", "FPT=A", "FA_ACT_EST_DATA=E, EST_SOURCE=OPY", "ACT_EST_MAPPING=PRECISE", "FS=MRC", "CURRENCY=USD", "XLFILL=b")</f>
        <v>#N/A Requesting Data...</v>
      </c>
      <c r="P50" s="6" t="str">
        <f>_xll.BQL("NOW US Equity", "NUM_CSTMR_CNTRCT_OVER_1_MILLN", "FPR=2021Y", "FPT=A", "FA_ACT_EST_DATA=E, EST_SOURCE=BCA", "ACT_EST_MAPPING=PRECISE", "FS=MRC", "CURRENCY=USD", "XLFILL=b")</f>
        <v>#N/A Requesting Data...</v>
      </c>
      <c r="Q50" s="6" t="str">
        <f>_xll.BQL("NOW US Equity", "NUM_CSTMR_CNTRCT_OVER_1_MILLN", "FPR=2021Y", "FPT=A", "FA_ACT_EST_DATA=E, EST_SOURCE=RHR", "ACT_EST_MAPPING=PRECISE", "FS=MRC", "CURRENCY=USD", "XLFILL=b")</f>
        <v>#N/A Requesting Data...</v>
      </c>
      <c r="R50" s="6" t="str">
        <f>_xll.BQL("NOW US Equity", "NUM_CSTMR_CNTRCT_OVER_1_MILLN", "FPR=2021Y", "FPT=A", "FA_ACT_EST_DATA=E, EST_SOURCE=SNR", "ACT_EST_MAPPING=PRECISE", "FS=MRC", "CURRENCY=USD", "XLFILL=b")</f>
        <v/>
      </c>
      <c r="S50" s="6" t="str">
        <f>_xll.BQL("NOW US Equity", "NUM_CSTMR_CNTRCT_OVER_1_MILLN", "FPR=2021Y", "FPT=A", "FA_ACT_EST_DATA=E, EST_SOURCE=MSV", "ACT_EST_MAPPING=PRECISE", "FS=MRC", "CURRENCY=USD", "XLFILL=b")</f>
        <v>#N/A Requesting Data...</v>
      </c>
      <c r="T50" s="6" t="str">
        <f>_xll.BQL("NOW US Equity", "NUM_CSTMR_CNTRCT_OVER_1_MILLN", "FPR=2021Y", "FPT=A", "FA_ACT_EST_DATA=E, EST_SOURCE=CAN", "ACT_EST_MAPPING=PRECISE", "FS=MRC", "CURRENCY=USD", "XLFILL=b")</f>
        <v>#N/A Requesting Data...</v>
      </c>
      <c r="U50" s="6" t="str">
        <f>_xll.BQL("NOW US Equity", "NUM_CSTMR_CNTRCT_OVER_1_MILLN", "FPR=2021Y", "FPT=A", "FA_ACT_EST_DATA=E, EST_SOURCE=JMP", "ACT_EST_MAPPING=PRECISE", "FS=MRC", "CURRENCY=USD", "XLFILL=b")</f>
        <v/>
      </c>
      <c r="V50" s="6" t="str">
        <f>_xll.BQL("NOW US Equity", "NUM_CSTMR_CNTRCT_OVER_1_MILLN", "FPR=2021Y", "FPT=A", "FA_ACT_EST_DATA=E, EST_SOURCE=NDH", "ACT_EST_MAPPING=PRECISE", "FS=MRC", "CURRENCY=USD", "XLFILL=b")</f>
        <v>#N/A Requesting Data...</v>
      </c>
      <c r="W50" s="6" t="str">
        <f>_xll.BQL("NOW US Equity", "NUM_CSTMR_CNTRCT_OVER_1_MILLN", "FPR=2021Y", "FPT=A", "FA_ACT_EST_DATA=E, EST_SOURCE=ZXS", "ACT_EST_MAPPING=PRECISE", "FS=MRC", "CURRENCY=USD", "XLFILL=b")</f>
        <v>#N/A Requesting Data...</v>
      </c>
      <c r="X50" s="6" t="str">
        <f>_xll.BQL("NOW US Equity", "NUM_CSTMR_CNTRCT_OVER_1_MILLN", "FPR=2021Y", "FPT=A", "FA_ACT_EST_DATA=E, EST_SOURCE=CWN", "ACT_EST_MAPPING=PRECISE", "FS=MRC", "CURRENCY=USD", "XLFILL=b")</f>
        <v>#N/A Requesting Data...</v>
      </c>
      <c r="Y50" s="6" t="str">
        <f>_xll.BQL("NOW US Equity", "NUM_CSTMR_CNTRCT_OVER_1_MILLN", "FPR=2021Y", "FPT=A", "FA_ACT_EST_DATA=E, EST_SOURCE=DBG", "ACT_EST_MAPPING=PRECISE", "FS=MRC", "CURRENCY=USD", "XLFILL=b")</f>
        <v>#N/A Requesting Data...</v>
      </c>
      <c r="Z50" s="6" t="str">
        <f>_xll.BQL("NOW US Equity", "NUM_CSTMR_CNTRCT_OVER_1_MILLN", "FPR=2021Y", "FPT=A", "FA_ACT_EST_DATA=E, EST_SOURCE=UBS", "ACT_EST_MAPPING=PRECISE", "FS=MRC", "CURRENCY=USD", "XLFILL=b")</f>
        <v>#N/A Requesting Data...</v>
      </c>
      <c r="AA50" s="6" t="str">
        <f>_xll.BQL("NOW US Equity", "NUM_CSTMR_CNTRCT_OVER_1_MILLN", "FPR=2021Y", "FPT=A", "FA_ACT_EST_DATA=E, EST_SOURCE=RBC", "ACT_EST_MAPPING=PRECISE", "FS=MRC", "CURRENCY=USD", "XLFILL=b")</f>
        <v>#N/A Requesting Data...</v>
      </c>
      <c r="AB50" s="6" t="str">
        <f>_xll.BQL("NOW US Equity", "NUM_CSTMR_CNTRCT_OVER_1_MILLN", "FPR=2021Y", "FPT=A", "FA_ACT_EST_DATA=E, EST_SOURCE=EVR", "ACT_EST_MAPPING=PRECISE", "FS=MRC", "CURRENCY=USD", "XLFILL=b")</f>
        <v>#N/A Requesting Data...</v>
      </c>
      <c r="AC50" s="6" t="str">
        <f>_xll.BQL("NOW US Equity", "NUM_CSTMR_CNTRCT_OVER_1_MILLN", "FPR=2021Y", "FPT=A", "FA_ACT_EST_DATA=E, EST_SOURCE=BNS", "ACT_EST_MAPPING=PRECISE", "FS=MRC", "CURRENCY=USD", "XLFILL=b")</f>
        <v/>
      </c>
      <c r="AD50" s="6" t="str">
        <f>_xll.BQL("NOW US Equity", "NUM_CSTMR_CNTRCT_OVER_1_MILLN", "FPR=2021Y", "FPT=A", "FA_ACT_EST_DATA=E, EST_SOURCE=BAM", "ACT_EST_MAPPING=PRECISE", "FS=MRC", "CURRENCY=USD", "XLFILL=b")</f>
        <v>#N/A Requesting Data...</v>
      </c>
      <c r="AE50" s="6" t="str">
        <f>_xll.BQL("NOW US Equity", "NUM_CSTMR_CNTRCT_OVER_1_MILLN", "FPR=2021Y", "FPT=A", "FA_ACT_EST_DATA=E, EST_SOURCE=GSR", "ACT_EST_MAPPING=PRECISE", "FS=MRC", "CURRENCY=USD", "XLFILL=b")</f>
        <v>#N/A Requesting Data...</v>
      </c>
      <c r="AF50" s="6" t="str">
        <f>_xll.BQL("NOW US Equity", "NUM_CSTMR_CNTRCT_OVER_1_MILLN", "FPR=2021Y", "FPT=A", "FA_ACT_EST_DATA=E, EST_SOURCE=FBC", "ACT_EST_MAPPING=PRECISE", "FS=MRC", "CURRENCY=USD", "XLFILL=b")</f>
        <v>#N/A Requesting Data...</v>
      </c>
      <c r="AG50" s="6" t="str">
        <f>_xll.BQL("NOW US Equity", "NUM_CSTMR_CNTRCT_OVER_1_MILLN", "FPR=2021Y", "FPT=A", "FA_ACT_EST_DATA=E, EST_SOURCE=MAC", "ACT_EST_MAPPING=PRECISE", "FS=MRC", "CURRENCY=USD", "XLFILL=b")</f>
        <v>#N/A Requesting Data...</v>
      </c>
      <c r="AH50" s="6" t="str">
        <f>_xll.BQL("NOW US Equity", "NUM_CSTMR_CNTRCT_OVER_1_MILLN", "FPR=2021Y", "FPT=A", "FA_ACT_EST_DATA=E, EST_SOURCE=PSG", "ACT_EST_MAPPING=PRECISE", "FS=MRC", "CURRENCY=USD", "XLFILL=b")</f>
        <v>#N/A Requesting Data...</v>
      </c>
      <c r="AI50" s="6" t="str">
        <f>_xll.BQL("NOW US Equity", "NUM_CSTMR_CNTRCT_OVER_1_MILLN", "FPR=2021Y", "FPT=A", "FA_ACT_EST_DATA=E, EST_SOURCE=MSR", "ACT_EST_MAPPING=PRECISE", "FS=MRC", "CURRENCY=USD", "XLFILL=b")</f>
        <v>#N/A Requesting Data...</v>
      </c>
      <c r="AJ50" s="6" t="str">
        <f>_xll.BQL("NOW US Equity", "NUM_CSTMR_CNTRCT_OVER_1_MILLN", "FPR=2021Y", "FPT=A", "FA_ACT_EST_DATA=E, EST_SOURCE=JEF", "ACT_EST_MAPPING=PRECISE", "FS=MRC", "CURRENCY=USD", "XLFILL=b")</f>
        <v>#N/A Requesting Data...</v>
      </c>
      <c r="AK50" s="6" t="str">
        <f>_xll.BQL("NOW US Equity", "NUM_CSTMR_CNTRCT_OVER_1_MILLN", "FPR=2021Y", "FPT=A", "FA_ACT_EST_DATA=E, EST_SOURCE=TTC", "ACT_EST_MAPPING=PRECISE", "FS=MRC", "CURRENCY=USD", "XLFILL=b")</f>
        <v>#N/A Requesting Data...</v>
      </c>
      <c r="AL50" s="6" t="str">
        <f>_xll.BQL("NOW US Equity", "NUM_CSTMR_CNTRCT_OVER_1_MILLN", "FPR=2021Y", "FPT=A", "FA_ACT_EST_DATA=E, EST_SOURCE=RWB", "ACT_EST_MAPPING=PRECISE", "FS=MRC", "CURRENCY=USD", "XLFILL=b")</f>
        <v>#N/A Requesting Data...</v>
      </c>
      <c r="AM50" s="6" t="str">
        <f>_xll.BQL("NOW US Equity", "NUM_CSTMR_CNTRCT_OVER_1_MILLN", "FPR=2021Y", "FPT=A", "FA_ACT_EST_DATA=E, EST_SOURCE=DZB", "ACT_EST_MAPPING=PRECISE", "FS=MRC", "CURRENCY=USD", "XLFILL=b")</f>
        <v>#N/A Requesting Data...</v>
      </c>
      <c r="AN50" s="6" t="str">
        <f>_xll.BQL("NOW US Equity", "NUM_CSTMR_CNTRCT_OVER_1_MILLN", "FPR=2021Y", "FPT=A", "FA_ACT_EST_DATA=E, EST_SOURCE=DWI", "ACT_EST_MAPPING=PRECISE", "FS=MRC", "CURRENCY=USD", "XLFILL=b")</f>
        <v>#N/A Requesting Data...</v>
      </c>
      <c r="AO50" s="6" t="str">
        <f>_xll.BQL("NOW US Equity", "NUM_CSTMR_CNTRCT_OVER_1_MILLN", "FPR=2021Y", "FPT=A", "FA_ACT_EST_DATA=E, EST_SOURCE=ARG", "ACT_EST_MAPPING=PRECISE", "FS=MRC", "CURRENCY=USD", "XLFILL=b")</f>
        <v>#N/A Requesting Data...</v>
      </c>
      <c r="AP50" s="6" t="str">
        <f>_xll.BQL("NOW US Equity", "NUM_CSTMR_CNTRCT_OVER_1_MILLN", "FPR=2021Y", "FPT=A", "FA_ACT_EST_DATA=E, EST_SOURCE=CTI", "ACT_EST_MAPPING=PRECISE", "FS=MRC", "CURRENCY=USD", "XLFILL=b")</f>
        <v>#N/A Requesting Data...</v>
      </c>
      <c r="AQ50" s="6" t="str">
        <f>_xll.BQL("NOW US Equity", "NUM_CSTMR_CNTRCT_OVER_1_MILLN", "FPR=2021Y", "FPT=A", "FA_ACT_EST_DATA=E, EST_SOURCE=WFT", "ACT_EST_MAPPING=PRECISE", "FS=MRC", "CURRENCY=USD", "XLFILL=b")</f>
        <v>#N/A Requesting Data...</v>
      </c>
      <c r="AR50" s="6" t="str">
        <f>_xll.BQL("NOW US Equity", "NUM_CSTMR_CNTRCT_OVER_1_MILLN", "FPR=2021Y", "FPT=A", "FA_ACT_EST_DATA=E, EST_SOURCE=ARE", "ACT_EST_MAPPING=PRECISE", "FS=MRC", "CURRENCY=USD", "XLFILL=b")</f>
        <v>#N/A Requesting Data...</v>
      </c>
      <c r="AS50" s="6" t="str">
        <f>_xll.BQL("NOW US Equity", "NUM_CSTMR_CNTRCT_OVER_1_MILLN", "FPR=2021Y", "FPT=A", "FA_ACT_EST_DATA=E, EST_SOURCE=PJE", "ACT_EST_MAPPING=PRECISE", "FS=MRC", "CURRENCY=USD", "XLFILL=b")</f>
        <v/>
      </c>
      <c r="AT50" s="6" t="str">
        <f>_xll.BQL("NOW US Equity", "NUM_CSTMR_CNTRCT_OVER_1_MILLN", "FPR=2021Y", "FPT=A", "FA_ACT_EST_DATA=E, EST_SOURCE=MZS", "ACT_EST_MAPPING=PRECISE", "FS=MRC", "CURRENCY=USD", "XLFILL=b")</f>
        <v>#N/A Requesting Data...</v>
      </c>
      <c r="AU50" s="6" t="str">
        <f>_xll.BQL("NOW US Equity", "NUM_CSTMR_CNTRCT_OVER_1_MILLN", "FPR=2021Y", "FPT=A", "FA_ACT_EST_DATA=E, EST_SOURCE=SUM", "ACT_EST_MAPPING=PRECISE", "FS=MRC", "CURRENCY=USD", "XLFILL=b")</f>
        <v>#N/A Requesting Data...</v>
      </c>
      <c r="AV50" s="6" t="str">
        <f>_xll.BQL("NOW US Equity", "NUM_CSTMR_CNTRCT_OVER_1_MILLN", "FPR=2021Y", "FPT=A", "FA_ACT_EST_DATA=E, EST_SOURCE=CRC", "ACT_EST_MAPPING=PRECISE", "FS=MRC", "CURRENCY=USD", "XLFILL=b")</f>
        <v>#N/A Requesting Data...</v>
      </c>
      <c r="AW50" s="6" t="str">
        <f>_xll.BQL("NOW US Equity", "NUM_CSTMR_CNTRCT_OVER_1_MILLN", "FPR=2021Y", "FPT=A", "FA_ACT_EST_DATA=E, EST_SOURCE=SCB", "ACT_EST_MAPPING=PRECISE", "FS=MRC", "CURRENCY=USD", "XLFILL=b")</f>
        <v>#N/A Requesting Data...</v>
      </c>
    </row>
    <row r="51" spans="1:49" x14ac:dyDescent="0.55000000000000004">
      <c r="A51" s="5" t="s">
        <v>91</v>
      </c>
      <c r="B51" s="2" t="s">
        <v>92</v>
      </c>
      <c r="C51" s="2" t="s">
        <v>93</v>
      </c>
      <c r="D51" s="2"/>
      <c r="E51" s="6" t="str">
        <f>_xll.BQL("NOW US Equity", "ACCOUNTS_PAYABLE_TURNOVER_DAYS", "FPR=2021Y", "FPT=A", "FA_ACT_EST_DATA=E", "ACT_EST_MAPPING=PRECISE", "FS=MRC", "CURRENCY=USD", "XLFILL=b")</f>
        <v>#N/A Requesting Data...</v>
      </c>
      <c r="F51" s="6" t="str">
        <f>_xll.BQL("NOW US Equity", "CONTRIBUTOR_STATS(ACCOUNTS_PAYABLE_TURNOVER_DAYS, MIN)", "FPR=2021Y", "FPT=A", "FA_ACT_EST_DATA=E", "ACT_EST_MAPPING=PRECISE", "FS=MRC", "CURRENCY=USD", "XLFILL=b")</f>
        <v>#N/A Requesting Data...</v>
      </c>
      <c r="G51" s="6" t="str">
        <f>_xll.BQL("NOW US Equity", "CONTRIBUTOR_STATS(ACCOUNTS_PAYABLE_TURNOVER_DAYS, MAX)", "FPR=2021Y", "FPT=A", "FA_ACT_EST_DATA=E", "ACT_EST_MAPPING=PRECISE", "FS=MRC", "CURRENCY=USD", "XLFILL=b")</f>
        <v>#N/A Requesting Data...</v>
      </c>
      <c r="H51" s="6" t="str">
        <f>_xll.BQL("NOW US Equity", "CONTRIBUTOR_STATS(ACCOUNTS_PAYABLE_TURNOVER_DAYS, STD)", "FPR=2021Y", "FPT=A", "FA_ACT_EST_DATA=E", "ACT_EST_MAPPING=PRECISE", "FS=MRC", "CURRENCY=USD", "XLFILL=b")</f>
        <v>#N/A Requesting Data...</v>
      </c>
      <c r="I51" s="6" t="str">
        <f>_xll.BQL("NOW US Equity", "CONTRIBUTOR_STATS(ACCOUNTS_PAYABLE_TURNOVER_DAYS, MEDIAN)", "FPR=2021Y", "FPT=A", "FA_ACT_EST_DATA=E", "ACT_EST_MAPPING=PRECISE", "FS=MRC", "CURRENCY=USD", "XLFILL=b")</f>
        <v>#N/A Requesting Data...</v>
      </c>
      <c r="J51" s="6" t="str">
        <f>_xll.BQL("NOW US Equity", "ACCOUNTS_PAYABLE_TURNOVER_DAYS", "FPR=2021Y", "FPT=A", "FA_ACT_EST_DATA=E, EST_SOURCE=CMPY", "ACT_EST_MAPPING=PRECISE", "FS=MRC", "CURRENCY=USD", "XLFILL=b")</f>
        <v>#N/A Requesting Data...</v>
      </c>
      <c r="K51" s="6" t="str">
        <f>_xll.BQL("NOW US Equity", "ACCOUNTS_PAYABLE_TURNOVER_DAYS", "FPR=2021Y", "FPT=A", "FA_ACT_EST_DATA=E, EST_SOURCE=JPM", "ACT_EST_MAPPING=PRECISE", "FS=MRC", "CURRENCY=USD", "XLFILL=b")</f>
        <v>#N/A Requesting Data...</v>
      </c>
      <c r="L51" s="6" t="str">
        <f>_xll.BQL("NOW US Equity", "ACCOUNTS_PAYABLE_TURNOVER_DAYS", "FPR=2021Y", "FPT=A", "FA_ACT_EST_DATA=E, EST_SOURCE=WBL", "ACT_EST_MAPPING=PRECISE", "FS=MRC", "CURRENCY=USD", "XLFILL=b")</f>
        <v>#N/A Requesting Data...</v>
      </c>
      <c r="M51" s="6" t="str">
        <f>_xll.BQL("NOW US Equity", "ACCOUNTS_PAYABLE_TURNOVER_DAYS", "FPR=2021Y", "FPT=A", "FA_ACT_EST_DATA=E, EST_SOURCE=KEY", "ACT_EST_MAPPING=PRECISE", "FS=MRC", "CURRENCY=USD", "XLFILL=b")</f>
        <v>#N/A Requesting Data...</v>
      </c>
      <c r="N51" s="6" t="str">
        <f>_xll.BQL("NOW US Equity", "ACCOUNTS_PAYABLE_TURNOVER_DAYS", "FPR=2021Y", "FPT=A", "FA_ACT_EST_DATA=E, EST_SOURCE=BMO", "ACT_EST_MAPPING=PRECISE", "FS=MRC", "CURRENCY=USD", "XLFILL=b")</f>
        <v>#N/A Requesting Data...</v>
      </c>
      <c r="O51" s="6" t="str">
        <f>_xll.BQL("NOW US Equity", "ACCOUNTS_PAYABLE_TURNOVER_DAYS", "FPR=2021Y", "FPT=A", "FA_ACT_EST_DATA=E, EST_SOURCE=OPY", "ACT_EST_MAPPING=PRECISE", "FS=MRC", "CURRENCY=USD", "XLFILL=b")</f>
        <v>#N/A Requesting Data...</v>
      </c>
      <c r="P51" s="6" t="str">
        <f>_xll.BQL("NOW US Equity", "ACCOUNTS_PAYABLE_TURNOVER_DAYS", "FPR=2021Y", "FPT=A", "FA_ACT_EST_DATA=E, EST_SOURCE=BCA", "ACT_EST_MAPPING=PRECISE", "FS=MRC", "CURRENCY=USD", "XLFILL=b")</f>
        <v>#N/A Requesting Data...</v>
      </c>
      <c r="Q51" s="6" t="str">
        <f>_xll.BQL("NOW US Equity", "ACCOUNTS_PAYABLE_TURNOVER_DAYS", "FPR=2021Y", "FPT=A", "FA_ACT_EST_DATA=E, EST_SOURCE=RHR", "ACT_EST_MAPPING=PRECISE", "FS=MRC", "CURRENCY=USD", "XLFILL=b")</f>
        <v>#N/A Requesting Data...</v>
      </c>
      <c r="R51" s="6" t="str">
        <f>_xll.BQL("NOW US Equity", "ACCOUNTS_PAYABLE_TURNOVER_DAYS", "FPR=2021Y", "FPT=A", "FA_ACT_EST_DATA=E, EST_SOURCE=SNR", "ACT_EST_MAPPING=PRECISE", "FS=MRC", "CURRENCY=USD", "XLFILL=b")</f>
        <v>#N/A Requesting Data...</v>
      </c>
      <c r="S51" s="6" t="str">
        <f>_xll.BQL("NOW US Equity", "ACCOUNTS_PAYABLE_TURNOVER_DAYS", "FPR=2021Y", "FPT=A", "FA_ACT_EST_DATA=E, EST_SOURCE=MSV", "ACT_EST_MAPPING=PRECISE", "FS=MRC", "CURRENCY=USD", "XLFILL=b")</f>
        <v>#N/A Requesting Data...</v>
      </c>
      <c r="T51" s="6" t="str">
        <f>_xll.BQL("NOW US Equity", "ACCOUNTS_PAYABLE_TURNOVER_DAYS", "FPR=2021Y", "FPT=A", "FA_ACT_EST_DATA=E, EST_SOURCE=CAN", "ACT_EST_MAPPING=PRECISE", "FS=MRC", "CURRENCY=USD", "XLFILL=b")</f>
        <v>#N/A Requesting Data...</v>
      </c>
      <c r="U51" s="6" t="str">
        <f>_xll.BQL("NOW US Equity", "ACCOUNTS_PAYABLE_TURNOVER_DAYS", "FPR=2021Y", "FPT=A", "FA_ACT_EST_DATA=E, EST_SOURCE=JMP", "ACT_EST_MAPPING=PRECISE", "FS=MRC", "CURRENCY=USD", "XLFILL=b")</f>
        <v>#N/A Requesting Data...</v>
      </c>
      <c r="V51" s="6" t="str">
        <f>_xll.BQL("NOW US Equity", "ACCOUNTS_PAYABLE_TURNOVER_DAYS", "FPR=2021Y", "FPT=A", "FA_ACT_EST_DATA=E, EST_SOURCE=NDH", "ACT_EST_MAPPING=PRECISE", "FS=MRC", "CURRENCY=USD", "XLFILL=b")</f>
        <v>#N/A Requesting Data...</v>
      </c>
      <c r="W51" s="6" t="str">
        <f>_xll.BQL("NOW US Equity", "ACCOUNTS_PAYABLE_TURNOVER_DAYS", "FPR=2021Y", "FPT=A", "FA_ACT_EST_DATA=E, EST_SOURCE=ZXS", "ACT_EST_MAPPING=PRECISE", "FS=MRC", "CURRENCY=USD", "XLFILL=b")</f>
        <v>#N/A Requesting Data...</v>
      </c>
      <c r="X51" s="6" t="str">
        <f>_xll.BQL("NOW US Equity", "ACCOUNTS_PAYABLE_TURNOVER_DAYS", "FPR=2021Y", "FPT=A", "FA_ACT_EST_DATA=E, EST_SOURCE=CWN", "ACT_EST_MAPPING=PRECISE", "FS=MRC", "CURRENCY=USD", "XLFILL=b")</f>
        <v>#N/A Requesting Data...</v>
      </c>
      <c r="Y51" s="6" t="str">
        <f>_xll.BQL("NOW US Equity", "ACCOUNTS_PAYABLE_TURNOVER_DAYS", "FPR=2021Y", "FPT=A", "FA_ACT_EST_DATA=E, EST_SOURCE=DBG", "ACT_EST_MAPPING=PRECISE", "FS=MRC", "CURRENCY=USD", "XLFILL=b")</f>
        <v>#N/A Requesting Data...</v>
      </c>
      <c r="Z51" s="6" t="str">
        <f>_xll.BQL("NOW US Equity", "ACCOUNTS_PAYABLE_TURNOVER_DAYS", "FPR=2021Y", "FPT=A", "FA_ACT_EST_DATA=E, EST_SOURCE=UBS", "ACT_EST_MAPPING=PRECISE", "FS=MRC", "CURRENCY=USD", "XLFILL=b")</f>
        <v>#N/A Requesting Data...</v>
      </c>
      <c r="AA51" s="6" t="str">
        <f>_xll.BQL("NOW US Equity", "ACCOUNTS_PAYABLE_TURNOVER_DAYS", "FPR=2021Y", "FPT=A", "FA_ACT_EST_DATA=E, EST_SOURCE=RBC", "ACT_EST_MAPPING=PRECISE", "FS=MRC", "CURRENCY=USD", "XLFILL=b")</f>
        <v>#N/A Requesting Data...</v>
      </c>
      <c r="AB51" s="6" t="str">
        <f>_xll.BQL("NOW US Equity", "ACCOUNTS_PAYABLE_TURNOVER_DAYS", "FPR=2021Y", "FPT=A", "FA_ACT_EST_DATA=E, EST_SOURCE=EVR", "ACT_EST_MAPPING=PRECISE", "FS=MRC", "CURRENCY=USD", "XLFILL=b")</f>
        <v>#N/A Requesting Data...</v>
      </c>
      <c r="AC51" s="6" t="str">
        <f>_xll.BQL("NOW US Equity", "ACCOUNTS_PAYABLE_TURNOVER_DAYS", "FPR=2021Y", "FPT=A", "FA_ACT_EST_DATA=E, EST_SOURCE=BNS", "ACT_EST_MAPPING=PRECISE", "FS=MRC", "CURRENCY=USD", "XLFILL=b")</f>
        <v>#N/A Requesting Data...</v>
      </c>
      <c r="AD51" s="6" t="str">
        <f>_xll.BQL("NOW US Equity", "ACCOUNTS_PAYABLE_TURNOVER_DAYS", "FPR=2021Y", "FPT=A", "FA_ACT_EST_DATA=E, EST_SOURCE=BAM", "ACT_EST_MAPPING=PRECISE", "FS=MRC", "CURRENCY=USD", "XLFILL=b")</f>
        <v>#N/A Requesting Data...</v>
      </c>
      <c r="AE51" s="6" t="str">
        <f>_xll.BQL("NOW US Equity", "ACCOUNTS_PAYABLE_TURNOVER_DAYS", "FPR=2021Y", "FPT=A", "FA_ACT_EST_DATA=E, EST_SOURCE=GSR", "ACT_EST_MAPPING=PRECISE", "FS=MRC", "CURRENCY=USD", "XLFILL=b")</f>
        <v>#N/A Requesting Data...</v>
      </c>
      <c r="AF51" s="6" t="str">
        <f>_xll.BQL("NOW US Equity", "ACCOUNTS_PAYABLE_TURNOVER_DAYS", "FPR=2021Y", "FPT=A", "FA_ACT_EST_DATA=E, EST_SOURCE=FBC", "ACT_EST_MAPPING=PRECISE", "FS=MRC", "CURRENCY=USD", "XLFILL=b")</f>
        <v>#N/A Requesting Data...</v>
      </c>
      <c r="AG51" s="6" t="str">
        <f>_xll.BQL("NOW US Equity", "ACCOUNTS_PAYABLE_TURNOVER_DAYS", "FPR=2021Y", "FPT=A", "FA_ACT_EST_DATA=E, EST_SOURCE=MAC", "ACT_EST_MAPPING=PRECISE", "FS=MRC", "CURRENCY=USD", "XLFILL=b")</f>
        <v>#N/A Requesting Data...</v>
      </c>
      <c r="AH51" s="6" t="str">
        <f>_xll.BQL("NOW US Equity", "ACCOUNTS_PAYABLE_TURNOVER_DAYS", "FPR=2021Y", "FPT=A", "FA_ACT_EST_DATA=E, EST_SOURCE=PSG", "ACT_EST_MAPPING=PRECISE", "FS=MRC", "CURRENCY=USD", "XLFILL=b")</f>
        <v>#N/A Requesting Data...</v>
      </c>
      <c r="AI51" s="6" t="str">
        <f>_xll.BQL("NOW US Equity", "ACCOUNTS_PAYABLE_TURNOVER_DAYS", "FPR=2021Y", "FPT=A", "FA_ACT_EST_DATA=E, EST_SOURCE=MSR", "ACT_EST_MAPPING=PRECISE", "FS=MRC", "CURRENCY=USD", "XLFILL=b")</f>
        <v>#N/A Requesting Data...</v>
      </c>
      <c r="AJ51" s="6" t="str">
        <f>_xll.BQL("NOW US Equity", "ACCOUNTS_PAYABLE_TURNOVER_DAYS", "FPR=2021Y", "FPT=A", "FA_ACT_EST_DATA=E, EST_SOURCE=JEF", "ACT_EST_MAPPING=PRECISE", "FS=MRC", "CURRENCY=USD", "XLFILL=b")</f>
        <v>#N/A Requesting Data...</v>
      </c>
      <c r="AK51" s="6" t="str">
        <f>_xll.BQL("NOW US Equity", "ACCOUNTS_PAYABLE_TURNOVER_DAYS", "FPR=2021Y", "FPT=A", "FA_ACT_EST_DATA=E, EST_SOURCE=TTC", "ACT_EST_MAPPING=PRECISE", "FS=MRC", "CURRENCY=USD", "XLFILL=b")</f>
        <v>#N/A Requesting Data...</v>
      </c>
      <c r="AL51" s="6" t="str">
        <f>_xll.BQL("NOW US Equity", "ACCOUNTS_PAYABLE_TURNOVER_DAYS", "FPR=2021Y", "FPT=A", "FA_ACT_EST_DATA=E, EST_SOURCE=RWB", "ACT_EST_MAPPING=PRECISE", "FS=MRC", "CURRENCY=USD", "XLFILL=b")</f>
        <v>#N/A Requesting Data...</v>
      </c>
      <c r="AM51" s="6" t="str">
        <f>_xll.BQL("NOW US Equity", "ACCOUNTS_PAYABLE_TURNOVER_DAYS", "FPR=2021Y", "FPT=A", "FA_ACT_EST_DATA=E, EST_SOURCE=DZB", "ACT_EST_MAPPING=PRECISE", "FS=MRC", "CURRENCY=USD", "XLFILL=b")</f>
        <v>#N/A Requesting Data...</v>
      </c>
      <c r="AN51" s="6" t="str">
        <f>_xll.BQL("NOW US Equity", "ACCOUNTS_PAYABLE_TURNOVER_DAYS", "FPR=2021Y", "FPT=A", "FA_ACT_EST_DATA=E, EST_SOURCE=DWI", "ACT_EST_MAPPING=PRECISE", "FS=MRC", "CURRENCY=USD", "XLFILL=b")</f>
        <v>#N/A Requesting Data...</v>
      </c>
      <c r="AO51" s="6" t="str">
        <f>_xll.BQL("NOW US Equity", "ACCOUNTS_PAYABLE_TURNOVER_DAYS", "FPR=2021Y", "FPT=A", "FA_ACT_EST_DATA=E, EST_SOURCE=ARG", "ACT_EST_MAPPING=PRECISE", "FS=MRC", "CURRENCY=USD", "XLFILL=b")</f>
        <v>#N/A Requesting Data...</v>
      </c>
      <c r="AP51" s="6" t="str">
        <f>_xll.BQL("NOW US Equity", "ACCOUNTS_PAYABLE_TURNOVER_DAYS", "FPR=2021Y", "FPT=A", "FA_ACT_EST_DATA=E, EST_SOURCE=CTI", "ACT_EST_MAPPING=PRECISE", "FS=MRC", "CURRENCY=USD", "XLFILL=b")</f>
        <v>#N/A Requesting Data...</v>
      </c>
      <c r="AQ51" s="6" t="str">
        <f>_xll.BQL("NOW US Equity", "ACCOUNTS_PAYABLE_TURNOVER_DAYS", "FPR=2021Y", "FPT=A", "FA_ACT_EST_DATA=E, EST_SOURCE=WFT", "ACT_EST_MAPPING=PRECISE", "FS=MRC", "CURRENCY=USD", "XLFILL=b")</f>
        <v>#N/A Requesting Data...</v>
      </c>
      <c r="AR51" s="6" t="str">
        <f>_xll.BQL("NOW US Equity", "ACCOUNTS_PAYABLE_TURNOVER_DAYS", "FPR=2021Y", "FPT=A", "FA_ACT_EST_DATA=E, EST_SOURCE=ARE", "ACT_EST_MAPPING=PRECISE", "FS=MRC", "CURRENCY=USD", "XLFILL=b")</f>
        <v>#N/A Requesting Data...</v>
      </c>
      <c r="AS51" s="6" t="str">
        <f>_xll.BQL("NOW US Equity", "ACCOUNTS_PAYABLE_TURNOVER_DAYS", "FPR=2021Y", "FPT=A", "FA_ACT_EST_DATA=E, EST_SOURCE=PJE", "ACT_EST_MAPPING=PRECISE", "FS=MRC", "CURRENCY=USD", "XLFILL=b")</f>
        <v>#N/A Requesting Data...</v>
      </c>
      <c r="AT51" s="6" t="str">
        <f>_xll.BQL("NOW US Equity", "ACCOUNTS_PAYABLE_TURNOVER_DAYS", "FPR=2021Y", "FPT=A", "FA_ACT_EST_DATA=E, EST_SOURCE=MZS", "ACT_EST_MAPPING=PRECISE", "FS=MRC", "CURRENCY=USD", "XLFILL=b")</f>
        <v>#N/A Requesting Data...</v>
      </c>
      <c r="AU51" s="6" t="str">
        <f>_xll.BQL("NOW US Equity", "ACCOUNTS_PAYABLE_TURNOVER_DAYS", "FPR=2021Y", "FPT=A", "FA_ACT_EST_DATA=E, EST_SOURCE=SUM", "ACT_EST_MAPPING=PRECISE", "FS=MRC", "CURRENCY=USD", "XLFILL=b")</f>
        <v>#N/A Requesting Data...</v>
      </c>
      <c r="AV51" s="6" t="str">
        <f>_xll.BQL("NOW US Equity", "ACCOUNTS_PAYABLE_TURNOVER_DAYS", "FPR=2021Y", "FPT=A", "FA_ACT_EST_DATA=E, EST_SOURCE=CRC", "ACT_EST_MAPPING=PRECISE", "FS=MRC", "CURRENCY=USD", "XLFILL=b")</f>
        <v>#N/A Requesting Data...</v>
      </c>
      <c r="AW51" s="6" t="str">
        <f>_xll.BQL("NOW US Equity", "ACCOUNTS_PAYABLE_TURNOVER_DAYS", "FPR=2021Y", "FPT=A", "FA_ACT_EST_DATA=E, EST_SOURCE=SCB", "ACT_EST_MAPPING=PRECISE", "FS=MRC", "CURRENCY=USD", "XLFILL=b")</f>
        <v>#N/A Requesting Data...</v>
      </c>
    </row>
    <row r="52" spans="1:49" x14ac:dyDescent="0.55000000000000004">
      <c r="A52" s="5" t="s">
        <v>94</v>
      </c>
      <c r="B52" s="2" t="s">
        <v>95</v>
      </c>
      <c r="C52" s="2" t="s">
        <v>96</v>
      </c>
      <c r="D52" s="2"/>
      <c r="E52" s="6" t="str">
        <f>_xll.BQL("NOW US Equity", "ACCT_RCV_DAYS", "FPR=2021Y", "FPT=A", "FA_ACT_EST_DATA=E", "ACT_EST_MAPPING=PRECISE", "FS=MRC", "CURRENCY=USD", "XLFILL=b")</f>
        <v>#N/A Requesting Data...</v>
      </c>
      <c r="F52" s="6" t="str">
        <f>_xll.BQL("NOW US Equity", "CONTRIBUTOR_STATS(ACCT_RCV_DAYS, MIN)", "FPR=2021Y", "FPT=A", "FA_ACT_EST_DATA=E", "ACT_EST_MAPPING=PRECISE", "FS=MRC", "CURRENCY=USD", "XLFILL=b")</f>
        <v>#N/A Requesting Data...</v>
      </c>
      <c r="G52" s="6" t="str">
        <f>_xll.BQL("NOW US Equity", "CONTRIBUTOR_STATS(ACCT_RCV_DAYS, MAX)", "FPR=2021Y", "FPT=A", "FA_ACT_EST_DATA=E", "ACT_EST_MAPPING=PRECISE", "FS=MRC", "CURRENCY=USD", "XLFILL=b")</f>
        <v>#N/A Requesting Data...</v>
      </c>
      <c r="H52" s="6" t="str">
        <f>_xll.BQL("NOW US Equity", "CONTRIBUTOR_STATS(ACCT_RCV_DAYS, STD)", "FPR=2021Y", "FPT=A", "FA_ACT_EST_DATA=E", "ACT_EST_MAPPING=PRECISE", "FS=MRC", "CURRENCY=USD", "XLFILL=b")</f>
        <v>#N/A Requesting Data...</v>
      </c>
      <c r="I52" s="6" t="str">
        <f>_xll.BQL("NOW US Equity", "CONTRIBUTOR_STATS(ACCT_RCV_DAYS, MEDIAN)", "FPR=2021Y", "FPT=A", "FA_ACT_EST_DATA=E", "ACT_EST_MAPPING=PRECISE", "FS=MRC", "CURRENCY=USD", "XLFILL=b")</f>
        <v>#N/A Requesting Data...</v>
      </c>
      <c r="J52" s="6" t="str">
        <f>_xll.BQL("NOW US Equity", "ACCT_RCV_DAYS", "FPR=2021Y", "FPT=A", "FA_ACT_EST_DATA=E, EST_SOURCE=CMPY", "ACT_EST_MAPPING=PRECISE", "FS=MRC", "CURRENCY=USD", "XLFILL=b")</f>
        <v>#N/A Requesting Data...</v>
      </c>
      <c r="K52" s="6" t="str">
        <f>_xll.BQL("NOW US Equity", "ACCT_RCV_DAYS", "FPR=2021Y", "FPT=A", "FA_ACT_EST_DATA=E, EST_SOURCE=JPM", "ACT_EST_MAPPING=PRECISE", "FS=MRC", "CURRENCY=USD", "XLFILL=b")</f>
        <v>#N/A Requesting Data...</v>
      </c>
      <c r="L52" s="6" t="str">
        <f>_xll.BQL("NOW US Equity", "ACCT_RCV_DAYS", "FPR=2021Y", "FPT=A", "FA_ACT_EST_DATA=E, EST_SOURCE=WBL", "ACT_EST_MAPPING=PRECISE", "FS=MRC", "CURRENCY=USD", "XLFILL=b")</f>
        <v>#N/A Requesting Data...</v>
      </c>
      <c r="M52" s="6" t="str">
        <f>_xll.BQL("NOW US Equity", "ACCT_RCV_DAYS", "FPR=2021Y", "FPT=A", "FA_ACT_EST_DATA=E, EST_SOURCE=KEY", "ACT_EST_MAPPING=PRECISE", "FS=MRC", "CURRENCY=USD", "XLFILL=b")</f>
        <v>#N/A Requesting Data...</v>
      </c>
      <c r="N52" s="6" t="str">
        <f>_xll.BQL("NOW US Equity", "ACCT_RCV_DAYS", "FPR=2021Y", "FPT=A", "FA_ACT_EST_DATA=E, EST_SOURCE=BMO", "ACT_EST_MAPPING=PRECISE", "FS=MRC", "CURRENCY=USD", "XLFILL=b")</f>
        <v>#N/A Requesting Data...</v>
      </c>
      <c r="O52" s="6" t="str">
        <f>_xll.BQL("NOW US Equity", "ACCT_RCV_DAYS", "FPR=2021Y", "FPT=A", "FA_ACT_EST_DATA=E, EST_SOURCE=OPY", "ACT_EST_MAPPING=PRECISE", "FS=MRC", "CURRENCY=USD", "XLFILL=b")</f>
        <v>#N/A Requesting Data...</v>
      </c>
      <c r="P52" s="6" t="str">
        <f>_xll.BQL("NOW US Equity", "ACCT_RCV_DAYS", "FPR=2021Y", "FPT=A", "FA_ACT_EST_DATA=E, EST_SOURCE=BCA", "ACT_EST_MAPPING=PRECISE", "FS=MRC", "CURRENCY=USD", "XLFILL=b")</f>
        <v>#N/A Requesting Data...</v>
      </c>
      <c r="Q52" s="6" t="str">
        <f>_xll.BQL("NOW US Equity", "ACCT_RCV_DAYS", "FPR=2021Y", "FPT=A", "FA_ACT_EST_DATA=E, EST_SOURCE=RHR", "ACT_EST_MAPPING=PRECISE", "FS=MRC", "CURRENCY=USD", "XLFILL=b")</f>
        <v/>
      </c>
      <c r="R52" s="6" t="str">
        <f>_xll.BQL("NOW US Equity", "ACCT_RCV_DAYS", "FPR=2021Y", "FPT=A", "FA_ACT_EST_DATA=E, EST_SOURCE=SNR", "ACT_EST_MAPPING=PRECISE", "FS=MRC", "CURRENCY=USD", "XLFILL=b")</f>
        <v/>
      </c>
      <c r="S52" s="6" t="str">
        <f>_xll.BQL("NOW US Equity", "ACCT_RCV_DAYS", "FPR=2021Y", "FPT=A", "FA_ACT_EST_DATA=E, EST_SOURCE=MSV", "ACT_EST_MAPPING=PRECISE", "FS=MRC", "CURRENCY=USD", "XLFILL=b")</f>
        <v>#N/A Requesting Data...</v>
      </c>
      <c r="T52" s="6" t="str">
        <f>_xll.BQL("NOW US Equity", "ACCT_RCV_DAYS", "FPR=2021Y", "FPT=A", "FA_ACT_EST_DATA=E, EST_SOURCE=CAN", "ACT_EST_MAPPING=PRECISE", "FS=MRC", "CURRENCY=USD", "XLFILL=b")</f>
        <v>#N/A Requesting Data...</v>
      </c>
      <c r="U52" s="6" t="str">
        <f>_xll.BQL("NOW US Equity", "ACCT_RCV_DAYS", "FPR=2021Y", "FPT=A", "FA_ACT_EST_DATA=E, EST_SOURCE=JMP", "ACT_EST_MAPPING=PRECISE", "FS=MRC", "CURRENCY=USD", "XLFILL=b")</f>
        <v>#N/A Requesting Data...</v>
      </c>
      <c r="V52" s="6" t="str">
        <f>_xll.BQL("NOW US Equity", "ACCT_RCV_DAYS", "FPR=2021Y", "FPT=A", "FA_ACT_EST_DATA=E, EST_SOURCE=NDH", "ACT_EST_MAPPING=PRECISE", "FS=MRC", "CURRENCY=USD", "XLFILL=b")</f>
        <v>#N/A Requesting Data...</v>
      </c>
      <c r="W52" s="6" t="str">
        <f>_xll.BQL("NOW US Equity", "ACCT_RCV_DAYS", "FPR=2021Y", "FPT=A", "FA_ACT_EST_DATA=E, EST_SOURCE=ZXS", "ACT_EST_MAPPING=PRECISE", "FS=MRC", "CURRENCY=USD", "XLFILL=b")</f>
        <v>#N/A Requesting Data...</v>
      </c>
      <c r="X52" s="6" t="str">
        <f>_xll.BQL("NOW US Equity", "ACCT_RCV_DAYS", "FPR=2021Y", "FPT=A", "FA_ACT_EST_DATA=E, EST_SOURCE=CWN", "ACT_EST_MAPPING=PRECISE", "FS=MRC", "CURRENCY=USD", "XLFILL=b")</f>
        <v>#N/A Requesting Data...</v>
      </c>
      <c r="Y52" s="6" t="str">
        <f>_xll.BQL("NOW US Equity", "ACCT_RCV_DAYS", "FPR=2021Y", "FPT=A", "FA_ACT_EST_DATA=E, EST_SOURCE=DBG", "ACT_EST_MAPPING=PRECISE", "FS=MRC", "CURRENCY=USD", "XLFILL=b")</f>
        <v>#N/A Requesting Data...</v>
      </c>
      <c r="Z52" s="6" t="str">
        <f>_xll.BQL("NOW US Equity", "ACCT_RCV_DAYS", "FPR=2021Y", "FPT=A", "FA_ACT_EST_DATA=E, EST_SOURCE=UBS", "ACT_EST_MAPPING=PRECISE", "FS=MRC", "CURRENCY=USD", "XLFILL=b")</f>
        <v>#N/A Requesting Data...</v>
      </c>
      <c r="AA52" s="6" t="str">
        <f>_xll.BQL("NOW US Equity", "ACCT_RCV_DAYS", "FPR=2021Y", "FPT=A", "FA_ACT_EST_DATA=E, EST_SOURCE=RBC", "ACT_EST_MAPPING=PRECISE", "FS=MRC", "CURRENCY=USD", "XLFILL=b")</f>
        <v>#N/A Requesting Data...</v>
      </c>
      <c r="AB52" s="6" t="str">
        <f>_xll.BQL("NOW US Equity", "ACCT_RCV_DAYS", "FPR=2021Y", "FPT=A", "FA_ACT_EST_DATA=E, EST_SOURCE=EVR", "ACT_EST_MAPPING=PRECISE", "FS=MRC", "CURRENCY=USD", "XLFILL=b")</f>
        <v>#N/A Requesting Data...</v>
      </c>
      <c r="AC52" s="6" t="str">
        <f>_xll.BQL("NOW US Equity", "ACCT_RCV_DAYS", "FPR=2021Y", "FPT=A", "FA_ACT_EST_DATA=E, EST_SOURCE=BNS", "ACT_EST_MAPPING=PRECISE", "FS=MRC", "CURRENCY=USD", "XLFILL=b")</f>
        <v/>
      </c>
      <c r="AD52" s="6" t="str">
        <f>_xll.BQL("NOW US Equity", "ACCT_RCV_DAYS", "FPR=2021Y", "FPT=A", "FA_ACT_EST_DATA=E, EST_SOURCE=BAM", "ACT_EST_MAPPING=PRECISE", "FS=MRC", "CURRENCY=USD", "XLFILL=b")</f>
        <v>#N/A Requesting Data...</v>
      </c>
      <c r="AE52" s="6" t="str">
        <f>_xll.BQL("NOW US Equity", "ACCT_RCV_DAYS", "FPR=2021Y", "FPT=A", "FA_ACT_EST_DATA=E, EST_SOURCE=GSR", "ACT_EST_MAPPING=PRECISE", "FS=MRC", "CURRENCY=USD", "XLFILL=b")</f>
        <v>#N/A Requesting Data...</v>
      </c>
      <c r="AF52" s="6" t="str">
        <f>_xll.BQL("NOW US Equity", "ACCT_RCV_DAYS", "FPR=2021Y", "FPT=A", "FA_ACT_EST_DATA=E, EST_SOURCE=FBC", "ACT_EST_MAPPING=PRECISE", "FS=MRC", "CURRENCY=USD", "XLFILL=b")</f>
        <v>#N/A Requesting Data...</v>
      </c>
      <c r="AG52" s="6" t="str">
        <f>_xll.BQL("NOW US Equity", "ACCT_RCV_DAYS", "FPR=2021Y", "FPT=A", "FA_ACT_EST_DATA=E, EST_SOURCE=MAC", "ACT_EST_MAPPING=PRECISE", "FS=MRC", "CURRENCY=USD", "XLFILL=b")</f>
        <v>#N/A Requesting Data...</v>
      </c>
      <c r="AH52" s="6" t="str">
        <f>_xll.BQL("NOW US Equity", "ACCT_RCV_DAYS", "FPR=2021Y", "FPT=A", "FA_ACT_EST_DATA=E, EST_SOURCE=PSG", "ACT_EST_MAPPING=PRECISE", "FS=MRC", "CURRENCY=USD", "XLFILL=b")</f>
        <v>#N/A Requesting Data...</v>
      </c>
      <c r="AI52" s="6" t="str">
        <f>_xll.BQL("NOW US Equity", "ACCT_RCV_DAYS", "FPR=2021Y", "FPT=A", "FA_ACT_EST_DATA=E, EST_SOURCE=MSR", "ACT_EST_MAPPING=PRECISE", "FS=MRC", "CURRENCY=USD", "XLFILL=b")</f>
        <v>#N/A Requesting Data...</v>
      </c>
      <c r="AJ52" s="6" t="str">
        <f>_xll.BQL("NOW US Equity", "ACCT_RCV_DAYS", "FPR=2021Y", "FPT=A", "FA_ACT_EST_DATA=E, EST_SOURCE=JEF", "ACT_EST_MAPPING=PRECISE", "FS=MRC", "CURRENCY=USD", "XLFILL=b")</f>
        <v>#N/A Requesting Data...</v>
      </c>
      <c r="AK52" s="6" t="str">
        <f>_xll.BQL("NOW US Equity", "ACCT_RCV_DAYS", "FPR=2021Y", "FPT=A", "FA_ACT_EST_DATA=E, EST_SOURCE=TTC", "ACT_EST_MAPPING=PRECISE", "FS=MRC", "CURRENCY=USD", "XLFILL=b")</f>
        <v>#N/A Requesting Data...</v>
      </c>
      <c r="AL52" s="6" t="str">
        <f>_xll.BQL("NOW US Equity", "ACCT_RCV_DAYS", "FPR=2021Y", "FPT=A", "FA_ACT_EST_DATA=E, EST_SOURCE=RWB", "ACT_EST_MAPPING=PRECISE", "FS=MRC", "CURRENCY=USD", "XLFILL=b")</f>
        <v>#N/A Requesting Data...</v>
      </c>
      <c r="AM52" s="6" t="str">
        <f>_xll.BQL("NOW US Equity", "ACCT_RCV_DAYS", "FPR=2021Y", "FPT=A", "FA_ACT_EST_DATA=E, EST_SOURCE=DZB", "ACT_EST_MAPPING=PRECISE", "FS=MRC", "CURRENCY=USD", "XLFILL=b")</f>
        <v>#N/A Requesting Data...</v>
      </c>
      <c r="AN52" s="6" t="str">
        <f>_xll.BQL("NOW US Equity", "ACCT_RCV_DAYS", "FPR=2021Y", "FPT=A", "FA_ACT_EST_DATA=E, EST_SOURCE=DWI", "ACT_EST_MAPPING=PRECISE", "FS=MRC", "CURRENCY=USD", "XLFILL=b")</f>
        <v>#N/A Requesting Data...</v>
      </c>
      <c r="AO52" s="6" t="str">
        <f>_xll.BQL("NOW US Equity", "ACCT_RCV_DAYS", "FPR=2021Y", "FPT=A", "FA_ACT_EST_DATA=E, EST_SOURCE=ARG", "ACT_EST_MAPPING=PRECISE", "FS=MRC", "CURRENCY=USD", "XLFILL=b")</f>
        <v>#N/A Requesting Data...</v>
      </c>
      <c r="AP52" s="6" t="str">
        <f>_xll.BQL("NOW US Equity", "ACCT_RCV_DAYS", "FPR=2021Y", "FPT=A", "FA_ACT_EST_DATA=E, EST_SOURCE=CTI", "ACT_EST_MAPPING=PRECISE", "FS=MRC", "CURRENCY=USD", "XLFILL=b")</f>
        <v>#N/A Requesting Data...</v>
      </c>
      <c r="AQ52" s="6" t="str">
        <f>_xll.BQL("NOW US Equity", "ACCT_RCV_DAYS", "FPR=2021Y", "FPT=A", "FA_ACT_EST_DATA=E, EST_SOURCE=WFT", "ACT_EST_MAPPING=PRECISE", "FS=MRC", "CURRENCY=USD", "XLFILL=b")</f>
        <v>#N/A Requesting Data...</v>
      </c>
      <c r="AR52" s="6" t="str">
        <f>_xll.BQL("NOW US Equity", "ACCT_RCV_DAYS", "FPR=2021Y", "FPT=A", "FA_ACT_EST_DATA=E, EST_SOURCE=ARE", "ACT_EST_MAPPING=PRECISE", "FS=MRC", "CURRENCY=USD", "XLFILL=b")</f>
        <v>#N/A Requesting Data...</v>
      </c>
      <c r="AS52" s="6" t="str">
        <f>_xll.BQL("NOW US Equity", "ACCT_RCV_DAYS", "FPR=2021Y", "FPT=A", "FA_ACT_EST_DATA=E, EST_SOURCE=PJE", "ACT_EST_MAPPING=PRECISE", "FS=MRC", "CURRENCY=USD", "XLFILL=b")</f>
        <v/>
      </c>
      <c r="AT52" s="6" t="str">
        <f>_xll.BQL("NOW US Equity", "ACCT_RCV_DAYS", "FPR=2021Y", "FPT=A", "FA_ACT_EST_DATA=E, EST_SOURCE=MZS", "ACT_EST_MAPPING=PRECISE", "FS=MRC", "CURRENCY=USD", "XLFILL=b")</f>
        <v>#N/A Requesting Data...</v>
      </c>
      <c r="AU52" s="6" t="str">
        <f>_xll.BQL("NOW US Equity", "ACCT_RCV_DAYS", "FPR=2021Y", "FPT=A", "FA_ACT_EST_DATA=E, EST_SOURCE=SUM", "ACT_EST_MAPPING=PRECISE", "FS=MRC", "CURRENCY=USD", "XLFILL=b")</f>
        <v>#N/A Requesting Data...</v>
      </c>
      <c r="AV52" s="6" t="str">
        <f>_xll.BQL("NOW US Equity", "ACCT_RCV_DAYS", "FPR=2021Y", "FPT=A", "FA_ACT_EST_DATA=E, EST_SOURCE=CRC", "ACT_EST_MAPPING=PRECISE", "FS=MRC", "CURRENCY=USD", "XLFILL=b")</f>
        <v>#N/A Requesting Data...</v>
      </c>
      <c r="AW52" s="6" t="str">
        <f>_xll.BQL("NOW US Equity", "ACCT_RCV_DAYS", "FPR=2021Y", "FPT=A", "FA_ACT_EST_DATA=E, EST_SOURCE=SCB", "ACT_EST_MAPPING=PRECISE", "FS=MRC", "CURRENCY=USD", "XLFILL=b")</f>
        <v>#N/A Requesting Data...</v>
      </c>
    </row>
    <row r="53" spans="1:49" x14ac:dyDescent="0.55000000000000004">
      <c r="A53" s="5" t="s">
        <v>97</v>
      </c>
      <c r="B53" s="2" t="s">
        <v>98</v>
      </c>
      <c r="C53" s="2" t="s">
        <v>99</v>
      </c>
      <c r="D53" s="2"/>
      <c r="E53" s="6" t="str">
        <f>_xll.BQL("NOW US Equity", "ANNUALIZED_DAYS_SALES_OUTSTDG", "FPR=2021Y", "FPT=A", "FA_ACT_EST_DATA=E", "ACT_EST_MAPPING=PRECISE", "FS=MRC", "CURRENCY=USD", "XLFILL=b")</f>
        <v>#N/A Requesting Data...</v>
      </c>
      <c r="F53" s="6" t="str">
        <f>_xll.BQL("NOW US Equity", "CONTRIBUTOR_STATS(ANNUALIZED_DAYS_SALES_OUTSTDG, MIN)", "FPR=2021Y", "FPT=A", "FA_ACT_EST_DATA=E", "ACT_EST_MAPPING=PRECISE", "FS=MRC", "CURRENCY=USD", "XLFILL=b")</f>
        <v>#N/A Requesting Data...</v>
      </c>
      <c r="G53" s="6" t="str">
        <f>_xll.BQL("NOW US Equity", "CONTRIBUTOR_STATS(ANNUALIZED_DAYS_SALES_OUTSTDG, MAX)", "FPR=2021Y", "FPT=A", "FA_ACT_EST_DATA=E", "ACT_EST_MAPPING=PRECISE", "FS=MRC", "CURRENCY=USD", "XLFILL=b")</f>
        <v>#N/A Requesting Data...</v>
      </c>
      <c r="H53" s="6" t="str">
        <f>_xll.BQL("NOW US Equity", "CONTRIBUTOR_STATS(ANNUALIZED_DAYS_SALES_OUTSTDG, STD)", "FPR=2021Y", "FPT=A", "FA_ACT_EST_DATA=E", "ACT_EST_MAPPING=PRECISE", "FS=MRC", "CURRENCY=USD", "XLFILL=b")</f>
        <v>#N/A Requesting Data...</v>
      </c>
      <c r="I53" s="6" t="str">
        <f>_xll.BQL("NOW US Equity", "CONTRIBUTOR_STATS(ANNUALIZED_DAYS_SALES_OUTSTDG, MEDIAN)", "FPR=2021Y", "FPT=A", "FA_ACT_EST_DATA=E", "ACT_EST_MAPPING=PRECISE", "FS=MRC", "CURRENCY=USD", "XLFILL=b")</f>
        <v>#N/A Requesting Data...</v>
      </c>
      <c r="J53" s="6" t="str">
        <f>_xll.BQL("NOW US Equity", "ANNUALIZED_DAYS_SALES_OUTSTDG", "FPR=2021Y", "FPT=A", "FA_ACT_EST_DATA=E, EST_SOURCE=CMPY", "ACT_EST_MAPPING=PRECISE", "FS=MRC", "CURRENCY=USD", "XLFILL=b")</f>
        <v>#N/A Requesting Data...</v>
      </c>
      <c r="K53" s="6" t="str">
        <f>_xll.BQL("NOW US Equity", "ANNUALIZED_DAYS_SALES_OUTSTDG", "FPR=2021Y", "FPT=A", "FA_ACT_EST_DATA=E, EST_SOURCE=JPM", "ACT_EST_MAPPING=PRECISE", "FS=MRC", "CURRENCY=USD", "XLFILL=b")</f>
        <v>#N/A Requesting Data...</v>
      </c>
      <c r="L53" s="6" t="str">
        <f>_xll.BQL("NOW US Equity", "ANNUALIZED_DAYS_SALES_OUTSTDG", "FPR=2021Y", "FPT=A", "FA_ACT_EST_DATA=E, EST_SOURCE=WBL", "ACT_EST_MAPPING=PRECISE", "FS=MRC", "CURRENCY=USD", "XLFILL=b")</f>
        <v>#N/A Requesting Data...</v>
      </c>
      <c r="M53" s="6" t="str">
        <f>_xll.BQL("NOW US Equity", "ANNUALIZED_DAYS_SALES_OUTSTDG", "FPR=2021Y", "FPT=A", "FA_ACT_EST_DATA=E, EST_SOURCE=KEY", "ACT_EST_MAPPING=PRECISE", "FS=MRC", "CURRENCY=USD", "XLFILL=b")</f>
        <v>#N/A Requesting Data...</v>
      </c>
      <c r="N53" s="6" t="str">
        <f>_xll.BQL("NOW US Equity", "ANNUALIZED_DAYS_SALES_OUTSTDG", "FPR=2021Y", "FPT=A", "FA_ACT_EST_DATA=E, EST_SOURCE=BMO", "ACT_EST_MAPPING=PRECISE", "FS=MRC", "CURRENCY=USD", "XLFILL=b")</f>
        <v/>
      </c>
      <c r="O53" s="6" t="str">
        <f>_xll.BQL("NOW US Equity", "ANNUALIZED_DAYS_SALES_OUTSTDG", "FPR=2021Y", "FPT=A", "FA_ACT_EST_DATA=E, EST_SOURCE=OPY", "ACT_EST_MAPPING=PRECISE", "FS=MRC", "CURRENCY=USD", "XLFILL=b")</f>
        <v>#N/A Requesting Data...</v>
      </c>
      <c r="P53" s="6" t="str">
        <f>_xll.BQL("NOW US Equity", "ANNUALIZED_DAYS_SALES_OUTSTDG", "FPR=2021Y", "FPT=A", "FA_ACT_EST_DATA=E, EST_SOURCE=BCA", "ACT_EST_MAPPING=PRECISE", "FS=MRC", "CURRENCY=USD", "XLFILL=b")</f>
        <v>#N/A Requesting Data...</v>
      </c>
      <c r="Q53" s="6" t="str">
        <f>_xll.BQL("NOW US Equity", "ANNUALIZED_DAYS_SALES_OUTSTDG", "FPR=2021Y", "FPT=A", "FA_ACT_EST_DATA=E, EST_SOURCE=RHR", "ACT_EST_MAPPING=PRECISE", "FS=MRC", "CURRENCY=USD", "XLFILL=b")</f>
        <v/>
      </c>
      <c r="R53" s="6" t="str">
        <f>_xll.BQL("NOW US Equity", "ANNUALIZED_DAYS_SALES_OUTSTDG", "FPR=2021Y", "FPT=A", "FA_ACT_EST_DATA=E, EST_SOURCE=SNR", "ACT_EST_MAPPING=PRECISE", "FS=MRC", "CURRENCY=USD", "XLFILL=b")</f>
        <v/>
      </c>
      <c r="S53" s="6" t="str">
        <f>_xll.BQL("NOW US Equity", "ANNUALIZED_DAYS_SALES_OUTSTDG", "FPR=2021Y", "FPT=A", "FA_ACT_EST_DATA=E, EST_SOURCE=MSV", "ACT_EST_MAPPING=PRECISE", "FS=MRC", "CURRENCY=USD", "XLFILL=b")</f>
        <v>#N/A Requesting Data...</v>
      </c>
      <c r="T53" s="6" t="str">
        <f>_xll.BQL("NOW US Equity", "ANNUALIZED_DAYS_SALES_OUTSTDG", "FPR=2021Y", "FPT=A", "FA_ACT_EST_DATA=E, EST_SOURCE=CAN", "ACT_EST_MAPPING=PRECISE", "FS=MRC", "CURRENCY=USD", "XLFILL=b")</f>
        <v>#N/A Requesting Data...</v>
      </c>
      <c r="U53" s="6" t="str">
        <f>_xll.BQL("NOW US Equity", "ANNUALIZED_DAYS_SALES_OUTSTDG", "FPR=2021Y", "FPT=A", "FA_ACT_EST_DATA=E, EST_SOURCE=JMP", "ACT_EST_MAPPING=PRECISE", "FS=MRC", "CURRENCY=USD", "XLFILL=b")</f>
        <v/>
      </c>
      <c r="V53" s="6" t="str">
        <f>_xll.BQL("NOW US Equity", "ANNUALIZED_DAYS_SALES_OUTSTDG", "FPR=2021Y", "FPT=A", "FA_ACT_EST_DATA=E, EST_SOURCE=NDH", "ACT_EST_MAPPING=PRECISE", "FS=MRC", "CURRENCY=USD", "XLFILL=b")</f>
        <v>#N/A Requesting Data...</v>
      </c>
      <c r="W53" s="6" t="str">
        <f>_xll.BQL("NOW US Equity", "ANNUALIZED_DAYS_SALES_OUTSTDG", "FPR=2021Y", "FPT=A", "FA_ACT_EST_DATA=E, EST_SOURCE=ZXS", "ACT_EST_MAPPING=PRECISE", "FS=MRC", "CURRENCY=USD", "XLFILL=b")</f>
        <v>#N/A Requesting Data...</v>
      </c>
      <c r="X53" s="6" t="str">
        <f>_xll.BQL("NOW US Equity", "ANNUALIZED_DAYS_SALES_OUTSTDG", "FPR=2021Y", "FPT=A", "FA_ACT_EST_DATA=E, EST_SOURCE=CWN", "ACT_EST_MAPPING=PRECISE", "FS=MRC", "CURRENCY=USD", "XLFILL=b")</f>
        <v>#N/A Requesting Data...</v>
      </c>
      <c r="Y53" s="6" t="str">
        <f>_xll.BQL("NOW US Equity", "ANNUALIZED_DAYS_SALES_OUTSTDG", "FPR=2021Y", "FPT=A", "FA_ACT_EST_DATA=E, EST_SOURCE=DBG", "ACT_EST_MAPPING=PRECISE", "FS=MRC", "CURRENCY=USD", "XLFILL=b")</f>
        <v>#N/A Requesting Data...</v>
      </c>
      <c r="Z53" s="6" t="str">
        <f>_xll.BQL("NOW US Equity", "ANNUALIZED_DAYS_SALES_OUTSTDG", "FPR=2021Y", "FPT=A", "FA_ACT_EST_DATA=E, EST_SOURCE=UBS", "ACT_EST_MAPPING=PRECISE", "FS=MRC", "CURRENCY=USD", "XLFILL=b")</f>
        <v>#N/A Requesting Data...</v>
      </c>
      <c r="AA53" s="6" t="str">
        <f>_xll.BQL("NOW US Equity", "ANNUALIZED_DAYS_SALES_OUTSTDG", "FPR=2021Y", "FPT=A", "FA_ACT_EST_DATA=E, EST_SOURCE=RBC", "ACT_EST_MAPPING=PRECISE", "FS=MRC", "CURRENCY=USD", "XLFILL=b")</f>
        <v>#N/A Requesting Data...</v>
      </c>
      <c r="AB53" s="6" t="str">
        <f>_xll.BQL("NOW US Equity", "ANNUALIZED_DAYS_SALES_OUTSTDG", "FPR=2021Y", "FPT=A", "FA_ACT_EST_DATA=E, EST_SOURCE=EVR", "ACT_EST_MAPPING=PRECISE", "FS=MRC", "CURRENCY=USD", "XLFILL=b")</f>
        <v>#N/A Requesting Data...</v>
      </c>
      <c r="AC53" s="6" t="str">
        <f>_xll.BQL("NOW US Equity", "ANNUALIZED_DAYS_SALES_OUTSTDG", "FPR=2021Y", "FPT=A", "FA_ACT_EST_DATA=E, EST_SOURCE=BNS", "ACT_EST_MAPPING=PRECISE", "FS=MRC", "CURRENCY=USD", "XLFILL=b")</f>
        <v/>
      </c>
      <c r="AD53" s="6" t="str">
        <f>_xll.BQL("NOW US Equity", "ANNUALIZED_DAYS_SALES_OUTSTDG", "FPR=2021Y", "FPT=A", "FA_ACT_EST_DATA=E, EST_SOURCE=BAM", "ACT_EST_MAPPING=PRECISE", "FS=MRC", "CURRENCY=USD", "XLFILL=b")</f>
        <v>#N/A Requesting Data...</v>
      </c>
      <c r="AE53" s="6" t="str">
        <f>_xll.BQL("NOW US Equity", "ANNUALIZED_DAYS_SALES_OUTSTDG", "FPR=2021Y", "FPT=A", "FA_ACT_EST_DATA=E, EST_SOURCE=GSR", "ACT_EST_MAPPING=PRECISE", "FS=MRC", "CURRENCY=USD", "XLFILL=b")</f>
        <v>#N/A Requesting Data...</v>
      </c>
      <c r="AF53" s="6" t="str">
        <f>_xll.BQL("NOW US Equity", "ANNUALIZED_DAYS_SALES_OUTSTDG", "FPR=2021Y", "FPT=A", "FA_ACT_EST_DATA=E, EST_SOURCE=FBC", "ACT_EST_MAPPING=PRECISE", "FS=MRC", "CURRENCY=USD", "XLFILL=b")</f>
        <v>#N/A Requesting Data...</v>
      </c>
      <c r="AG53" s="6" t="str">
        <f>_xll.BQL("NOW US Equity", "ANNUALIZED_DAYS_SALES_OUTSTDG", "FPR=2021Y", "FPT=A", "FA_ACT_EST_DATA=E, EST_SOURCE=MAC", "ACT_EST_MAPPING=PRECISE", "FS=MRC", "CURRENCY=USD", "XLFILL=b")</f>
        <v>#N/A Requesting Data...</v>
      </c>
      <c r="AH53" s="6" t="str">
        <f>_xll.BQL("NOW US Equity", "ANNUALIZED_DAYS_SALES_OUTSTDG", "FPR=2021Y", "FPT=A", "FA_ACT_EST_DATA=E, EST_SOURCE=PSG", "ACT_EST_MAPPING=PRECISE", "FS=MRC", "CURRENCY=USD", "XLFILL=b")</f>
        <v>#N/A Requesting Data...</v>
      </c>
      <c r="AI53" s="6" t="str">
        <f>_xll.BQL("NOW US Equity", "ANNUALIZED_DAYS_SALES_OUTSTDG", "FPR=2021Y", "FPT=A", "FA_ACT_EST_DATA=E, EST_SOURCE=MSR", "ACT_EST_MAPPING=PRECISE", "FS=MRC", "CURRENCY=USD", "XLFILL=b")</f>
        <v>#N/A Requesting Data...</v>
      </c>
      <c r="AJ53" s="6" t="str">
        <f>_xll.BQL("NOW US Equity", "ANNUALIZED_DAYS_SALES_OUTSTDG", "FPR=2021Y", "FPT=A", "FA_ACT_EST_DATA=E, EST_SOURCE=JEF", "ACT_EST_MAPPING=PRECISE", "FS=MRC", "CURRENCY=USD", "XLFILL=b")</f>
        <v>#N/A Requesting Data...</v>
      </c>
      <c r="AK53" s="6" t="str">
        <f>_xll.BQL("NOW US Equity", "ANNUALIZED_DAYS_SALES_OUTSTDG", "FPR=2021Y", "FPT=A", "FA_ACT_EST_DATA=E, EST_SOURCE=TTC", "ACT_EST_MAPPING=PRECISE", "FS=MRC", "CURRENCY=USD", "XLFILL=b")</f>
        <v>#N/A Requesting Data...</v>
      </c>
      <c r="AL53" s="6" t="str">
        <f>_xll.BQL("NOW US Equity", "ANNUALIZED_DAYS_SALES_OUTSTDG", "FPR=2021Y", "FPT=A", "FA_ACT_EST_DATA=E, EST_SOURCE=RWB", "ACT_EST_MAPPING=PRECISE", "FS=MRC", "CURRENCY=USD", "XLFILL=b")</f>
        <v>#N/A Requesting Data...</v>
      </c>
      <c r="AM53" s="6" t="str">
        <f>_xll.BQL("NOW US Equity", "ANNUALIZED_DAYS_SALES_OUTSTDG", "FPR=2021Y", "FPT=A", "FA_ACT_EST_DATA=E, EST_SOURCE=DZB", "ACT_EST_MAPPING=PRECISE", "FS=MRC", "CURRENCY=USD", "XLFILL=b")</f>
        <v>#N/A Requesting Data...</v>
      </c>
      <c r="AN53" s="6" t="str">
        <f>_xll.BQL("NOW US Equity", "ANNUALIZED_DAYS_SALES_OUTSTDG", "FPR=2021Y", "FPT=A", "FA_ACT_EST_DATA=E, EST_SOURCE=DWI", "ACT_EST_MAPPING=PRECISE", "FS=MRC", "CURRENCY=USD", "XLFILL=b")</f>
        <v>#N/A Requesting Data...</v>
      </c>
      <c r="AO53" s="6" t="str">
        <f>_xll.BQL("NOW US Equity", "ANNUALIZED_DAYS_SALES_OUTSTDG", "FPR=2021Y", "FPT=A", "FA_ACT_EST_DATA=E, EST_SOURCE=ARG", "ACT_EST_MAPPING=PRECISE", "FS=MRC", "CURRENCY=USD", "XLFILL=b")</f>
        <v>#N/A Requesting Data...</v>
      </c>
      <c r="AP53" s="6" t="str">
        <f>_xll.BQL("NOW US Equity", "ANNUALIZED_DAYS_SALES_OUTSTDG", "FPR=2021Y", "FPT=A", "FA_ACT_EST_DATA=E, EST_SOURCE=CTI", "ACT_EST_MAPPING=PRECISE", "FS=MRC", "CURRENCY=USD", "XLFILL=b")</f>
        <v>#N/A Requesting Data...</v>
      </c>
      <c r="AQ53" s="6" t="str">
        <f>_xll.BQL("NOW US Equity", "ANNUALIZED_DAYS_SALES_OUTSTDG", "FPR=2021Y", "FPT=A", "FA_ACT_EST_DATA=E, EST_SOURCE=WFT", "ACT_EST_MAPPING=PRECISE", "FS=MRC", "CURRENCY=USD", "XLFILL=b")</f>
        <v>#N/A Requesting Data...</v>
      </c>
      <c r="AR53" s="6" t="str">
        <f>_xll.BQL("NOW US Equity", "ANNUALIZED_DAYS_SALES_OUTSTDG", "FPR=2021Y", "FPT=A", "FA_ACT_EST_DATA=E, EST_SOURCE=ARE", "ACT_EST_MAPPING=PRECISE", "FS=MRC", "CURRENCY=USD", "XLFILL=b")</f>
        <v>#N/A Requesting Data...</v>
      </c>
      <c r="AS53" s="6" t="str">
        <f>_xll.BQL("NOW US Equity", "ANNUALIZED_DAYS_SALES_OUTSTDG", "FPR=2021Y", "FPT=A", "FA_ACT_EST_DATA=E, EST_SOURCE=PJE", "ACT_EST_MAPPING=PRECISE", "FS=MRC", "CURRENCY=USD", "XLFILL=b")</f>
        <v>#N/A Requesting Data...</v>
      </c>
      <c r="AT53" s="6" t="str">
        <f>_xll.BQL("NOW US Equity", "ANNUALIZED_DAYS_SALES_OUTSTDG", "FPR=2021Y", "FPT=A", "FA_ACT_EST_DATA=E, EST_SOURCE=MZS", "ACT_EST_MAPPING=PRECISE", "FS=MRC", "CURRENCY=USD", "XLFILL=b")</f>
        <v>#N/A Requesting Data...</v>
      </c>
      <c r="AU53" s="6" t="str">
        <f>_xll.BQL("NOW US Equity", "ANNUALIZED_DAYS_SALES_OUTSTDG", "FPR=2021Y", "FPT=A", "FA_ACT_EST_DATA=E, EST_SOURCE=SUM", "ACT_EST_MAPPING=PRECISE", "FS=MRC", "CURRENCY=USD", "XLFILL=b")</f>
        <v>#N/A Requesting Data...</v>
      </c>
      <c r="AV53" s="6" t="str">
        <f>_xll.BQL("NOW US Equity", "ANNUALIZED_DAYS_SALES_OUTSTDG", "FPR=2021Y", "FPT=A", "FA_ACT_EST_DATA=E, EST_SOURCE=CRC", "ACT_EST_MAPPING=PRECISE", "FS=MRC", "CURRENCY=USD", "XLFILL=b")</f>
        <v>#N/A Requesting Data...</v>
      </c>
      <c r="AW53" s="6" t="str">
        <f>_xll.BQL("NOW US Equity", "ANNUALIZED_DAYS_SALES_OUTSTDG", "FPR=2021Y", "FPT=A", "FA_ACT_EST_DATA=E, EST_SOURCE=SCB", "ACT_EST_MAPPING=PRECISE", "FS=MRC", "CURRENCY=USD", "XLFILL=b")</f>
        <v>#N/A Requesting Data...</v>
      </c>
    </row>
    <row r="54" spans="1:49" x14ac:dyDescent="0.55000000000000004">
      <c r="A54" s="5" t="s">
        <v>100</v>
      </c>
      <c r="B54" s="2" t="s">
        <v>86</v>
      </c>
      <c r="C54" s="2" t="s">
        <v>101</v>
      </c>
      <c r="D54" s="2"/>
      <c r="E54" s="6" t="str">
        <f>_xll.BQL("NOW US Equity", "IS_FOREIGN_CURRENCY_TURNOVER/1M", "FPR=2021Y", "FPT=A", "FA_ACT_EST_DATA=E", "ACT_EST_MAPPING=PRECISE", "FS=MRC", "CURRENCY=USD", "XLFILL=b")</f>
        <v>#N/A Requesting Data...</v>
      </c>
      <c r="F54" s="6" t="str">
        <f>_xll.BQL("NOW US Equity", "CONTRIBUTOR_STATS(IS_FOREIGN_CURRENCY_TURNOVER, MIN)/1M", "FPR=2021Y", "FPT=A", "FA_ACT_EST_DATA=E", "ACT_EST_MAPPING=PRECISE", "FS=MRC", "CURRENCY=USD", "XLFILL=b")</f>
        <v>#N/A Requesting Data...</v>
      </c>
      <c r="G54" s="6" t="str">
        <f>_xll.BQL("NOW US Equity", "CONTRIBUTOR_STATS(IS_FOREIGN_CURRENCY_TURNOVER, MAX)/1M", "FPR=2021Y", "FPT=A", "FA_ACT_EST_DATA=E", "ACT_EST_MAPPING=PRECISE", "FS=MRC", "CURRENCY=USD", "XLFILL=b")</f>
        <v>#N/A Requesting Data...</v>
      </c>
      <c r="H54" s="6" t="str">
        <f>_xll.BQL("NOW US Equity", "CONTRIBUTOR_STATS(IS_FOREIGN_CURRENCY_TURNOVER, STD)/1M", "FPR=2021Y", "FPT=A", "FA_ACT_EST_DATA=E", "ACT_EST_MAPPING=PRECISE", "FS=MRC", "CURRENCY=USD", "XLFILL=b")</f>
        <v>#N/A Requesting Data...</v>
      </c>
      <c r="I54" s="6" t="str">
        <f>_xll.BQL("NOW US Equity", "CONTRIBUTOR_STATS(IS_FOREIGN_CURRENCY_TURNOVER, MEDIAN)/1M", "FPR=2021Y", "FPT=A", "FA_ACT_EST_DATA=E", "ACT_EST_MAPPING=PRECISE", "FS=MRC", "CURRENCY=USD", "XLFILL=b")</f>
        <v>#N/A Requesting Data...</v>
      </c>
      <c r="J54" s="6" t="str">
        <f>_xll.BQL("NOW US Equity", "IS_FOREIGN_CURRENCY_TURNOVER/1M", "FPR=2021Y", "FPT=A", "FA_ACT_EST_DATA=E, EST_SOURCE=CMPY", "ACT_EST_MAPPING=PRECISE", "FS=MRC", "CURRENCY=USD", "XLFILL=b")</f>
        <v>#N/A Requesting Data...</v>
      </c>
      <c r="K54" s="6" t="str">
        <f>_xll.BQL("NOW US Equity", "IS_FOREIGN_CURRENCY_TURNOVER/1M", "FPR=2021Y", "FPT=A", "FA_ACT_EST_DATA=E, EST_SOURCE=JPM", "ACT_EST_MAPPING=PRECISE", "FS=MRC", "CURRENCY=USD", "XLFILL=b")</f>
        <v>#N/A Requesting Data...</v>
      </c>
      <c r="L54" s="6" t="str">
        <f>_xll.BQL("NOW US Equity", "IS_FOREIGN_CURRENCY_TURNOVER/1M", "FPR=2021Y", "FPT=A", "FA_ACT_EST_DATA=E, EST_SOURCE=WBL", "ACT_EST_MAPPING=PRECISE", "FS=MRC", "CURRENCY=USD", "XLFILL=b")</f>
        <v>#N/A Requesting Data...</v>
      </c>
      <c r="M54" s="6" t="str">
        <f>_xll.BQL("NOW US Equity", "IS_FOREIGN_CURRENCY_TURNOVER/1M", "FPR=2021Y", "FPT=A", "FA_ACT_EST_DATA=E, EST_SOURCE=KEY", "ACT_EST_MAPPING=PRECISE", "FS=MRC", "CURRENCY=USD", "XLFILL=b")</f>
        <v>#N/A Requesting Data...</v>
      </c>
      <c r="N54" s="6" t="str">
        <f>_xll.BQL("NOW US Equity", "IS_FOREIGN_CURRENCY_TURNOVER/1M", "FPR=2021Y", "FPT=A", "FA_ACT_EST_DATA=E, EST_SOURCE=BMO", "ACT_EST_MAPPING=PRECISE", "FS=MRC", "CURRENCY=USD", "XLFILL=b")</f>
        <v>#N/A Requesting Data...</v>
      </c>
      <c r="O54" s="6" t="str">
        <f>_xll.BQL("NOW US Equity", "IS_FOREIGN_CURRENCY_TURNOVER/1M", "FPR=2021Y", "FPT=A", "FA_ACT_EST_DATA=E, EST_SOURCE=OPY", "ACT_EST_MAPPING=PRECISE", "FS=MRC", "CURRENCY=USD", "XLFILL=b")</f>
        <v>#N/A Requesting Data...</v>
      </c>
      <c r="P54" s="6" t="str">
        <f>_xll.BQL("NOW US Equity", "IS_FOREIGN_CURRENCY_TURNOVER/1M", "FPR=2021Y", "FPT=A", "FA_ACT_EST_DATA=E, EST_SOURCE=BCA", "ACT_EST_MAPPING=PRECISE", "FS=MRC", "CURRENCY=USD", "XLFILL=b")</f>
        <v>#N/A Requesting Data...</v>
      </c>
      <c r="Q54" s="6" t="str">
        <f>_xll.BQL("NOW US Equity", "IS_FOREIGN_CURRENCY_TURNOVER/1M", "FPR=2021Y", "FPT=A", "FA_ACT_EST_DATA=E, EST_SOURCE=RHR", "ACT_EST_MAPPING=PRECISE", "FS=MRC", "CURRENCY=USD", "XLFILL=b")</f>
        <v>#N/A Requesting Data...</v>
      </c>
      <c r="R54" s="6" t="str">
        <f>_xll.BQL("NOW US Equity", "IS_FOREIGN_CURRENCY_TURNOVER/1M", "FPR=2021Y", "FPT=A", "FA_ACT_EST_DATA=E, EST_SOURCE=SNR", "ACT_EST_MAPPING=PRECISE", "FS=MRC", "CURRENCY=USD", "XLFILL=b")</f>
        <v>#N/A Requesting Data...</v>
      </c>
      <c r="S54" s="6" t="str">
        <f>_xll.BQL("NOW US Equity", "IS_FOREIGN_CURRENCY_TURNOVER/1M", "FPR=2021Y", "FPT=A", "FA_ACT_EST_DATA=E, EST_SOURCE=MSV", "ACT_EST_MAPPING=PRECISE", "FS=MRC", "CURRENCY=USD", "XLFILL=b")</f>
        <v>#N/A Requesting Data...</v>
      </c>
      <c r="T54" s="6" t="str">
        <f>_xll.BQL("NOW US Equity", "IS_FOREIGN_CURRENCY_TURNOVER/1M", "FPR=2021Y", "FPT=A", "FA_ACT_EST_DATA=E, EST_SOURCE=CAN", "ACT_EST_MAPPING=PRECISE", "FS=MRC", "CURRENCY=USD", "XLFILL=b")</f>
        <v>#N/A Requesting Data...</v>
      </c>
      <c r="U54" s="6" t="str">
        <f>_xll.BQL("NOW US Equity", "IS_FOREIGN_CURRENCY_TURNOVER/1M", "FPR=2021Y", "FPT=A", "FA_ACT_EST_DATA=E, EST_SOURCE=JMP", "ACT_EST_MAPPING=PRECISE", "FS=MRC", "CURRENCY=USD", "XLFILL=b")</f>
        <v>#N/A Requesting Data...</v>
      </c>
      <c r="V54" s="6" t="str">
        <f>_xll.BQL("NOW US Equity", "IS_FOREIGN_CURRENCY_TURNOVER/1M", "FPR=2021Y", "FPT=A", "FA_ACT_EST_DATA=E, EST_SOURCE=NDH", "ACT_EST_MAPPING=PRECISE", "FS=MRC", "CURRENCY=USD", "XLFILL=b")</f>
        <v>#N/A Requesting Data...</v>
      </c>
      <c r="W54" s="6" t="str">
        <f>_xll.BQL("NOW US Equity", "IS_FOREIGN_CURRENCY_TURNOVER/1M", "FPR=2021Y", "FPT=A", "FA_ACT_EST_DATA=E, EST_SOURCE=ZXS", "ACT_EST_MAPPING=PRECISE", "FS=MRC", "CURRENCY=USD", "XLFILL=b")</f>
        <v>#N/A Requesting Data...</v>
      </c>
      <c r="X54" s="6" t="str">
        <f>_xll.BQL("NOW US Equity", "IS_FOREIGN_CURRENCY_TURNOVER/1M", "FPR=2021Y", "FPT=A", "FA_ACT_EST_DATA=E, EST_SOURCE=CWN", "ACT_EST_MAPPING=PRECISE", "FS=MRC", "CURRENCY=USD", "XLFILL=b")</f>
        <v>#N/A Requesting Data...</v>
      </c>
      <c r="Y54" s="6" t="str">
        <f>_xll.BQL("NOW US Equity", "IS_FOREIGN_CURRENCY_TURNOVER/1M", "FPR=2021Y", "FPT=A", "FA_ACT_EST_DATA=E, EST_SOURCE=DBG", "ACT_EST_MAPPING=PRECISE", "FS=MRC", "CURRENCY=USD", "XLFILL=b")</f>
        <v>#N/A Requesting Data...</v>
      </c>
      <c r="Z54" s="6" t="str">
        <f>_xll.BQL("NOW US Equity", "IS_FOREIGN_CURRENCY_TURNOVER/1M", "FPR=2021Y", "FPT=A", "FA_ACT_EST_DATA=E, EST_SOURCE=UBS", "ACT_EST_MAPPING=PRECISE", "FS=MRC", "CURRENCY=USD", "XLFILL=b")</f>
        <v>#N/A Requesting Data...</v>
      </c>
      <c r="AA54" s="6" t="str">
        <f>_xll.BQL("NOW US Equity", "IS_FOREIGN_CURRENCY_TURNOVER/1M", "FPR=2021Y", "FPT=A", "FA_ACT_EST_DATA=E, EST_SOURCE=RBC", "ACT_EST_MAPPING=PRECISE", "FS=MRC", "CURRENCY=USD", "XLFILL=b")</f>
        <v>#N/A Requesting Data...</v>
      </c>
      <c r="AB54" s="6" t="str">
        <f>_xll.BQL("NOW US Equity", "IS_FOREIGN_CURRENCY_TURNOVER/1M", "FPR=2021Y", "FPT=A", "FA_ACT_EST_DATA=E, EST_SOURCE=EVR", "ACT_EST_MAPPING=PRECISE", "FS=MRC", "CURRENCY=USD", "XLFILL=b")</f>
        <v>#N/A Requesting Data...</v>
      </c>
      <c r="AC54" s="6" t="str">
        <f>_xll.BQL("NOW US Equity", "IS_FOREIGN_CURRENCY_TURNOVER/1M", "FPR=2021Y", "FPT=A", "FA_ACT_EST_DATA=E, EST_SOURCE=BNS", "ACT_EST_MAPPING=PRECISE", "FS=MRC", "CURRENCY=USD", "XLFILL=b")</f>
        <v>#N/A Requesting Data...</v>
      </c>
      <c r="AD54" s="6" t="str">
        <f>_xll.BQL("NOW US Equity", "IS_FOREIGN_CURRENCY_TURNOVER/1M", "FPR=2021Y", "FPT=A", "FA_ACT_EST_DATA=E, EST_SOURCE=BAM", "ACT_EST_MAPPING=PRECISE", "FS=MRC", "CURRENCY=USD", "XLFILL=b")</f>
        <v>#N/A Requesting Data...</v>
      </c>
      <c r="AE54" s="6" t="str">
        <f>_xll.BQL("NOW US Equity", "IS_FOREIGN_CURRENCY_TURNOVER/1M", "FPR=2021Y", "FPT=A", "FA_ACT_EST_DATA=E, EST_SOURCE=GSR", "ACT_EST_MAPPING=PRECISE", "FS=MRC", "CURRENCY=USD", "XLFILL=b")</f>
        <v>#N/A Requesting Data...</v>
      </c>
      <c r="AF54" s="6" t="str">
        <f>_xll.BQL("NOW US Equity", "IS_FOREIGN_CURRENCY_TURNOVER/1M", "FPR=2021Y", "FPT=A", "FA_ACT_EST_DATA=E, EST_SOURCE=FBC", "ACT_EST_MAPPING=PRECISE", "FS=MRC", "CURRENCY=USD", "XLFILL=b")</f>
        <v>#N/A Requesting Data...</v>
      </c>
      <c r="AG54" s="6" t="str">
        <f>_xll.BQL("NOW US Equity", "IS_FOREIGN_CURRENCY_TURNOVER/1M", "FPR=2021Y", "FPT=A", "FA_ACT_EST_DATA=E, EST_SOURCE=MAC", "ACT_EST_MAPPING=PRECISE", "FS=MRC", "CURRENCY=USD", "XLFILL=b")</f>
        <v>#N/A Requesting Data...</v>
      </c>
      <c r="AH54" s="6" t="str">
        <f>_xll.BQL("NOW US Equity", "IS_FOREIGN_CURRENCY_TURNOVER/1M", "FPR=2021Y", "FPT=A", "FA_ACT_EST_DATA=E, EST_SOURCE=PSG", "ACT_EST_MAPPING=PRECISE", "FS=MRC", "CURRENCY=USD", "XLFILL=b")</f>
        <v>#N/A Requesting Data...</v>
      </c>
      <c r="AI54" s="6" t="str">
        <f>_xll.BQL("NOW US Equity", "IS_FOREIGN_CURRENCY_TURNOVER/1M", "FPR=2021Y", "FPT=A", "FA_ACT_EST_DATA=E, EST_SOURCE=MSR", "ACT_EST_MAPPING=PRECISE", "FS=MRC", "CURRENCY=USD", "XLFILL=b")</f>
        <v>#N/A Requesting Data...</v>
      </c>
      <c r="AJ54" s="6" t="str">
        <f>_xll.BQL("NOW US Equity", "IS_FOREIGN_CURRENCY_TURNOVER/1M", "FPR=2021Y", "FPT=A", "FA_ACT_EST_DATA=E, EST_SOURCE=JEF", "ACT_EST_MAPPING=PRECISE", "FS=MRC", "CURRENCY=USD", "XLFILL=b")</f>
        <v>#N/A Requesting Data...</v>
      </c>
      <c r="AK54" s="6" t="str">
        <f>_xll.BQL("NOW US Equity", "IS_FOREIGN_CURRENCY_TURNOVER/1M", "FPR=2021Y", "FPT=A", "FA_ACT_EST_DATA=E, EST_SOURCE=TTC", "ACT_EST_MAPPING=PRECISE", "FS=MRC", "CURRENCY=USD", "XLFILL=b")</f>
        <v>#N/A Requesting Data...</v>
      </c>
      <c r="AL54" s="6" t="str">
        <f>_xll.BQL("NOW US Equity", "IS_FOREIGN_CURRENCY_TURNOVER/1M", "FPR=2021Y", "FPT=A", "FA_ACT_EST_DATA=E, EST_SOURCE=RWB", "ACT_EST_MAPPING=PRECISE", "FS=MRC", "CURRENCY=USD", "XLFILL=b")</f>
        <v>#N/A Requesting Data...</v>
      </c>
      <c r="AM54" s="6" t="str">
        <f>_xll.BQL("NOW US Equity", "IS_FOREIGN_CURRENCY_TURNOVER/1M", "FPR=2021Y", "FPT=A", "FA_ACT_EST_DATA=E, EST_SOURCE=DZB", "ACT_EST_MAPPING=PRECISE", "FS=MRC", "CURRENCY=USD", "XLFILL=b")</f>
        <v>#N/A Requesting Data...</v>
      </c>
      <c r="AN54" s="6" t="str">
        <f>_xll.BQL("NOW US Equity", "IS_FOREIGN_CURRENCY_TURNOVER/1M", "FPR=2021Y", "FPT=A", "FA_ACT_EST_DATA=E, EST_SOURCE=DWI", "ACT_EST_MAPPING=PRECISE", "FS=MRC", "CURRENCY=USD", "XLFILL=b")</f>
        <v>#N/A Requesting Data...</v>
      </c>
      <c r="AO54" s="6" t="str">
        <f>_xll.BQL("NOW US Equity", "IS_FOREIGN_CURRENCY_TURNOVER/1M", "FPR=2021Y", "FPT=A", "FA_ACT_EST_DATA=E, EST_SOURCE=ARG", "ACT_EST_MAPPING=PRECISE", "FS=MRC", "CURRENCY=USD", "XLFILL=b")</f>
        <v>#N/A Requesting Data...</v>
      </c>
      <c r="AP54" s="6" t="str">
        <f>_xll.BQL("NOW US Equity", "IS_FOREIGN_CURRENCY_TURNOVER/1M", "FPR=2021Y", "FPT=A", "FA_ACT_EST_DATA=E, EST_SOURCE=CTI", "ACT_EST_MAPPING=PRECISE", "FS=MRC", "CURRENCY=USD", "XLFILL=b")</f>
        <v>#N/A Requesting Data...</v>
      </c>
      <c r="AQ54" s="6" t="str">
        <f>_xll.BQL("NOW US Equity", "IS_FOREIGN_CURRENCY_TURNOVER/1M", "FPR=2021Y", "FPT=A", "FA_ACT_EST_DATA=E, EST_SOURCE=WFT", "ACT_EST_MAPPING=PRECISE", "FS=MRC", "CURRENCY=USD", "XLFILL=b")</f>
        <v>#N/A Requesting Data...</v>
      </c>
      <c r="AR54" s="6" t="str">
        <f>_xll.BQL("NOW US Equity", "IS_FOREIGN_CURRENCY_TURNOVER/1M", "FPR=2021Y", "FPT=A", "FA_ACT_EST_DATA=E, EST_SOURCE=ARE", "ACT_EST_MAPPING=PRECISE", "FS=MRC", "CURRENCY=USD", "XLFILL=b")</f>
        <v>#N/A Requesting Data...</v>
      </c>
      <c r="AS54" s="6" t="str">
        <f>_xll.BQL("NOW US Equity", "IS_FOREIGN_CURRENCY_TURNOVER/1M", "FPR=2021Y", "FPT=A", "FA_ACT_EST_DATA=E, EST_SOURCE=PJE", "ACT_EST_MAPPING=PRECISE", "FS=MRC", "CURRENCY=USD", "XLFILL=b")</f>
        <v>#N/A Requesting Data...</v>
      </c>
      <c r="AT54" s="6" t="str">
        <f>_xll.BQL("NOW US Equity", "IS_FOREIGN_CURRENCY_TURNOVER/1M", "FPR=2021Y", "FPT=A", "FA_ACT_EST_DATA=E, EST_SOURCE=MZS", "ACT_EST_MAPPING=PRECISE", "FS=MRC", "CURRENCY=USD", "XLFILL=b")</f>
        <v>#N/A Requesting Data...</v>
      </c>
      <c r="AU54" s="6" t="str">
        <f>_xll.BQL("NOW US Equity", "IS_FOREIGN_CURRENCY_TURNOVER/1M", "FPR=2021Y", "FPT=A", "FA_ACT_EST_DATA=E, EST_SOURCE=SUM", "ACT_EST_MAPPING=PRECISE", "FS=MRC", "CURRENCY=USD", "XLFILL=b")</f>
        <v>#N/A Requesting Data...</v>
      </c>
      <c r="AV54" s="6" t="str">
        <f>_xll.BQL("NOW US Equity", "IS_FOREIGN_CURRENCY_TURNOVER/1M", "FPR=2021Y", "FPT=A", "FA_ACT_EST_DATA=E, EST_SOURCE=CRC", "ACT_EST_MAPPING=PRECISE", "FS=MRC", "CURRENCY=USD", "XLFILL=b")</f>
        <v>#N/A Requesting Data...</v>
      </c>
      <c r="AW54" s="6" t="str">
        <f>_xll.BQL("NOW US Equity", "IS_FOREIGN_CURRENCY_TURNOVER/1M", "FPR=2021Y", "FPT=A", "FA_ACT_EST_DATA=E, EST_SOURCE=SCB", "ACT_EST_MAPPING=PRECISE", "FS=MRC", "CURRENCY=USD", "XLFILL=b")</f>
        <v>#N/A Requesting Data...</v>
      </c>
    </row>
    <row r="55" spans="1:49" x14ac:dyDescent="0.55000000000000004">
      <c r="A55" s="5" t="s">
        <v>23</v>
      </c>
      <c r="B55" s="2"/>
      <c r="C55" s="2"/>
      <c r="D55" s="2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</row>
    <row r="56" spans="1:49" x14ac:dyDescent="0.55000000000000004">
      <c r="A56" s="5" t="s">
        <v>102</v>
      </c>
      <c r="B56" s="2"/>
      <c r="C56" s="2" t="s">
        <v>103</v>
      </c>
      <c r="D56" s="2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</row>
    <row r="57" spans="1:49" x14ac:dyDescent="0.55000000000000004">
      <c r="A57" s="5" t="s">
        <v>33</v>
      </c>
      <c r="B57" s="2"/>
      <c r="C57" s="2" t="s">
        <v>34</v>
      </c>
      <c r="D57" s="2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</row>
    <row r="58" spans="1:49" x14ac:dyDescent="0.55000000000000004">
      <c r="A58" s="5" t="s">
        <v>35</v>
      </c>
      <c r="B58" s="2" t="s">
        <v>36</v>
      </c>
      <c r="C58" s="2" t="s">
        <v>0</v>
      </c>
      <c r="D58" s="2" t="s">
        <v>37</v>
      </c>
      <c r="E58" s="6" t="str">
        <f>_xll.BQL("SEG0000230975 Segment", "SALES_REV_TURN/1M", "FPR=2021Y", "FPT=A", "FA_ACT_EST_DATA=E", "ACT_EST_MAPPING=PRECISE", "FS=MRC", "CURRENCY=USD", "XLFILL=b")</f>
        <v>#N/A Requesting Data...</v>
      </c>
      <c r="F58" s="6" t="str">
        <f>_xll.BQL("SEG0000230975 Segment", "CONTRIBUTOR_STATS(SALES_REV_TURN, MIN)/1M", "FPR=2021Y", "FPT=A", "FA_ACT_EST_DATA=E", "ACT_EST_MAPPING=PRECISE", "FS=MRC", "CURRENCY=USD", "XLFILL=b")</f>
        <v>#N/A Requesting Data...</v>
      </c>
      <c r="G58" s="6" t="str">
        <f>_xll.BQL("SEG0000230975 Segment", "CONTRIBUTOR_STATS(SALES_REV_TURN, MAX)/1M", "FPR=2021Y", "FPT=A", "FA_ACT_EST_DATA=E", "ACT_EST_MAPPING=PRECISE", "FS=MRC", "CURRENCY=USD", "XLFILL=b")</f>
        <v>#N/A Requesting Data...</v>
      </c>
      <c r="H58" s="6" t="str">
        <f>_xll.BQL("SEG0000230975 Segment", "CONTRIBUTOR_STATS(SALES_REV_TURN, STD)/1M", "FPR=2021Y", "FPT=A", "FA_ACT_EST_DATA=E", "ACT_EST_MAPPING=PRECISE", "FS=MRC", "CURRENCY=USD", "XLFILL=b")</f>
        <v>#N/A Requesting Data...</v>
      </c>
      <c r="I58" s="6" t="str">
        <f>_xll.BQL("SEG0000230975 Segment", "CONTRIBUTOR_STATS(SALES_REV_TURN, MEDIAN)/1M", "FPR=2021Y", "FPT=A", "FA_ACT_EST_DATA=E", "ACT_EST_MAPPING=PRECISE", "FS=MRC", "CURRENCY=USD", "XLFILL=b")</f>
        <v>#N/A Requesting Data...</v>
      </c>
      <c r="J58" s="6" t="str">
        <f>_xll.BQL("SEG0000230975 Segment", "SALES_REV_TURN/1M", "FPR=2021Y", "FPT=A", "FA_ACT_EST_DATA=E, EST_SOURCE=CMPY", "ACT_EST_MAPPING=PRECISE", "FS=MRC", "CURRENCY=USD", "XLFILL=b")</f>
        <v>#N/A Requesting Data...</v>
      </c>
      <c r="K58" s="6" t="str">
        <f>_xll.BQL("SEG0000230975 Segment", "SALES_REV_TURN/1M", "FPR=2021Y", "FPT=A", "FA_ACT_EST_DATA=E, EST_SOURCE=JPM", "ACT_EST_MAPPING=PRECISE", "FS=MRC", "CURRENCY=USD", "XLFILL=b")</f>
        <v>#N/A Requesting Data...</v>
      </c>
      <c r="L58" s="6" t="str">
        <f>_xll.BQL("SEG0000230975 Segment", "SALES_REV_TURN/1M", "FPR=2021Y", "FPT=A", "FA_ACT_EST_DATA=E, EST_SOURCE=WBL", "ACT_EST_MAPPING=PRECISE", "FS=MRC", "CURRENCY=USD", "XLFILL=b")</f>
        <v>#N/A Requesting Data...</v>
      </c>
      <c r="M58" s="6" t="str">
        <f>_xll.BQL("SEG0000230975 Segment", "SALES_REV_TURN/1M", "FPR=2021Y", "FPT=A", "FA_ACT_EST_DATA=E, EST_SOURCE=KEY", "ACT_EST_MAPPING=PRECISE", "FS=MRC", "CURRENCY=USD", "XLFILL=b")</f>
        <v>#N/A Requesting Data...</v>
      </c>
      <c r="N58" s="6" t="str">
        <f>_xll.BQL("SEG0000230975 Segment", "SALES_REV_TURN/1M", "FPR=2021Y", "FPT=A", "FA_ACT_EST_DATA=E, EST_SOURCE=BMO", "ACT_EST_MAPPING=PRECISE", "FS=MRC", "CURRENCY=USD", "XLFILL=b")</f>
        <v>#N/A Requesting Data...</v>
      </c>
      <c r="O58" s="6" t="str">
        <f>_xll.BQL("SEG0000230975 Segment", "SALES_REV_TURN/1M", "FPR=2021Y", "FPT=A", "FA_ACT_EST_DATA=E, EST_SOURCE=OPY", "ACT_EST_MAPPING=PRECISE", "FS=MRC", "CURRENCY=USD", "XLFILL=b")</f>
        <v>#N/A Requesting Data...</v>
      </c>
      <c r="P58" s="6" t="str">
        <f>_xll.BQL("SEG0000230975 Segment", "SALES_REV_TURN/1M", "FPR=2021Y", "FPT=A", "FA_ACT_EST_DATA=E, EST_SOURCE=BCA", "ACT_EST_MAPPING=PRECISE", "FS=MRC", "CURRENCY=USD", "XLFILL=b")</f>
        <v>#N/A Requesting Data...</v>
      </c>
      <c r="Q58" s="6" t="str">
        <f>_xll.BQL("SEG0000230975 Segment", "SALES_REV_TURN/1M", "FPR=2021Y", "FPT=A", "FA_ACT_EST_DATA=E, EST_SOURCE=RHR", "ACT_EST_MAPPING=PRECISE", "FS=MRC", "CURRENCY=USD", "XLFILL=b")</f>
        <v>#N/A Requesting Data...</v>
      </c>
      <c r="R58" s="6" t="str">
        <f>_xll.BQL("SEG0000230975 Segment", "SALES_REV_TURN/1M", "FPR=2021Y", "FPT=A", "FA_ACT_EST_DATA=E, EST_SOURCE=SNR", "ACT_EST_MAPPING=PRECISE", "FS=MRC", "CURRENCY=USD", "XLFILL=b")</f>
        <v>#N/A Requesting Data...</v>
      </c>
      <c r="S58" s="6" t="str">
        <f>_xll.BQL("SEG0000230975 Segment", "SALES_REV_TURN/1M", "FPR=2021Y", "FPT=A", "FA_ACT_EST_DATA=E, EST_SOURCE=MSV", "ACT_EST_MAPPING=PRECISE", "FS=MRC", "CURRENCY=USD", "XLFILL=b")</f>
        <v>#N/A Requesting Data...</v>
      </c>
      <c r="T58" s="6" t="str">
        <f>_xll.BQL("SEG0000230975 Segment", "SALES_REV_TURN/1M", "FPR=2021Y", "FPT=A", "FA_ACT_EST_DATA=E, EST_SOURCE=CAN", "ACT_EST_MAPPING=PRECISE", "FS=MRC", "CURRENCY=USD", "XLFILL=b")</f>
        <v>#N/A Requesting Data...</v>
      </c>
      <c r="U58" s="6" t="str">
        <f>_xll.BQL("SEG0000230975 Segment", "SALES_REV_TURN/1M", "FPR=2021Y", "FPT=A", "FA_ACT_EST_DATA=E, EST_SOURCE=JMP", "ACT_EST_MAPPING=PRECISE", "FS=MRC", "CURRENCY=USD", "XLFILL=b")</f>
        <v>#N/A Requesting Data...</v>
      </c>
      <c r="V58" s="6" t="str">
        <f>_xll.BQL("SEG0000230975 Segment", "SALES_REV_TURN/1M", "FPR=2021Y", "FPT=A", "FA_ACT_EST_DATA=E, EST_SOURCE=NDH", "ACT_EST_MAPPING=PRECISE", "FS=MRC", "CURRENCY=USD", "XLFILL=b")</f>
        <v>#N/A Requesting Data...</v>
      </c>
      <c r="W58" s="6" t="str">
        <f>_xll.BQL("SEG0000230975 Segment", "SALES_REV_TURN/1M", "FPR=2021Y", "FPT=A", "FA_ACT_EST_DATA=E, EST_SOURCE=ZXS", "ACT_EST_MAPPING=PRECISE", "FS=MRC", "CURRENCY=USD", "XLFILL=b")</f>
        <v>#N/A Requesting Data...</v>
      </c>
      <c r="X58" s="6" t="str">
        <f>_xll.BQL("SEG0000230975 Segment", "SALES_REV_TURN/1M", "FPR=2021Y", "FPT=A", "FA_ACT_EST_DATA=E, EST_SOURCE=CWN", "ACT_EST_MAPPING=PRECISE", "FS=MRC", "CURRENCY=USD", "XLFILL=b")</f>
        <v>#N/A Requesting Data...</v>
      </c>
      <c r="Y58" s="6" t="str">
        <f>_xll.BQL("SEG0000230975 Segment", "SALES_REV_TURN/1M", "FPR=2021Y", "FPT=A", "FA_ACT_EST_DATA=E, EST_SOURCE=DBG", "ACT_EST_MAPPING=PRECISE", "FS=MRC", "CURRENCY=USD", "XLFILL=b")</f>
        <v>#N/A Requesting Data...</v>
      </c>
      <c r="Z58" s="6" t="str">
        <f>_xll.BQL("SEG0000230975 Segment", "SALES_REV_TURN/1M", "FPR=2021Y", "FPT=A", "FA_ACT_EST_DATA=E, EST_SOURCE=UBS", "ACT_EST_MAPPING=PRECISE", "FS=MRC", "CURRENCY=USD", "XLFILL=b")</f>
        <v>#N/A Requesting Data...</v>
      </c>
      <c r="AA58" s="6" t="str">
        <f>_xll.BQL("SEG0000230975 Segment", "SALES_REV_TURN/1M", "FPR=2021Y", "FPT=A", "FA_ACT_EST_DATA=E, EST_SOURCE=RBC", "ACT_EST_MAPPING=PRECISE", "FS=MRC", "CURRENCY=USD", "XLFILL=b")</f>
        <v>#N/A Requesting Data...</v>
      </c>
      <c r="AB58" s="6" t="str">
        <f>_xll.BQL("SEG0000230975 Segment", "SALES_REV_TURN/1M", "FPR=2021Y", "FPT=A", "FA_ACT_EST_DATA=E, EST_SOURCE=EVR", "ACT_EST_MAPPING=PRECISE", "FS=MRC", "CURRENCY=USD", "XLFILL=b")</f>
        <v>#N/A Requesting Data...</v>
      </c>
      <c r="AC58" s="6" t="str">
        <f>_xll.BQL("SEG0000230975 Segment", "SALES_REV_TURN/1M", "FPR=2021Y", "FPT=A", "FA_ACT_EST_DATA=E, EST_SOURCE=BNS", "ACT_EST_MAPPING=PRECISE", "FS=MRC", "CURRENCY=USD", "XLFILL=b")</f>
        <v>#N/A Requesting Data...</v>
      </c>
      <c r="AD58" s="6" t="str">
        <f>_xll.BQL("SEG0000230975 Segment", "SALES_REV_TURN/1M", "FPR=2021Y", "FPT=A", "FA_ACT_EST_DATA=E, EST_SOURCE=BAM", "ACT_EST_MAPPING=PRECISE", "FS=MRC", "CURRENCY=USD", "XLFILL=b")</f>
        <v>#N/A Requesting Data...</v>
      </c>
      <c r="AE58" s="6" t="str">
        <f>_xll.BQL("SEG0000230975 Segment", "SALES_REV_TURN/1M", "FPR=2021Y", "FPT=A", "FA_ACT_EST_DATA=E, EST_SOURCE=GSR", "ACT_EST_MAPPING=PRECISE", "FS=MRC", "CURRENCY=USD", "XLFILL=b")</f>
        <v>#N/A Requesting Data...</v>
      </c>
      <c r="AF58" s="6" t="str">
        <f>_xll.BQL("SEG0000230975 Segment", "SALES_REV_TURN/1M", "FPR=2021Y", "FPT=A", "FA_ACT_EST_DATA=E, EST_SOURCE=FBC", "ACT_EST_MAPPING=PRECISE", "FS=MRC", "CURRENCY=USD", "XLFILL=b")</f>
        <v>#N/A Requesting Data...</v>
      </c>
      <c r="AG58" s="6" t="str">
        <f>_xll.BQL("SEG0000230975 Segment", "SALES_REV_TURN/1M", "FPR=2021Y", "FPT=A", "FA_ACT_EST_DATA=E, EST_SOURCE=MAC", "ACT_EST_MAPPING=PRECISE", "FS=MRC", "CURRENCY=USD", "XLFILL=b")</f>
        <v>#N/A Requesting Data...</v>
      </c>
      <c r="AH58" s="6" t="str">
        <f>_xll.BQL("SEG0000230975 Segment", "SALES_REV_TURN/1M", "FPR=2021Y", "FPT=A", "FA_ACT_EST_DATA=E, EST_SOURCE=PSG", "ACT_EST_MAPPING=PRECISE", "FS=MRC", "CURRENCY=USD", "XLFILL=b")</f>
        <v>#N/A Requesting Data...</v>
      </c>
      <c r="AI58" s="6" t="str">
        <f>_xll.BQL("SEG0000230975 Segment", "SALES_REV_TURN/1M", "FPR=2021Y", "FPT=A", "FA_ACT_EST_DATA=E, EST_SOURCE=MSR", "ACT_EST_MAPPING=PRECISE", "FS=MRC", "CURRENCY=USD", "XLFILL=b")</f>
        <v>#N/A Requesting Data...</v>
      </c>
      <c r="AJ58" s="6" t="str">
        <f>_xll.BQL("SEG0000230975 Segment", "SALES_REV_TURN/1M", "FPR=2021Y", "FPT=A", "FA_ACT_EST_DATA=E, EST_SOURCE=JEF", "ACT_EST_MAPPING=PRECISE", "FS=MRC", "CURRENCY=USD", "XLFILL=b")</f>
        <v>#N/A Requesting Data...</v>
      </c>
      <c r="AK58" s="6" t="str">
        <f>_xll.BQL("SEG0000230975 Segment", "SALES_REV_TURN/1M", "FPR=2021Y", "FPT=A", "FA_ACT_EST_DATA=E, EST_SOURCE=TTC", "ACT_EST_MAPPING=PRECISE", "FS=MRC", "CURRENCY=USD", "XLFILL=b")</f>
        <v>#N/A Requesting Data...</v>
      </c>
      <c r="AL58" s="6" t="str">
        <f>_xll.BQL("SEG0000230975 Segment", "SALES_REV_TURN/1M", "FPR=2021Y", "FPT=A", "FA_ACT_EST_DATA=E, EST_SOURCE=RWB", "ACT_EST_MAPPING=PRECISE", "FS=MRC", "CURRENCY=USD", "XLFILL=b")</f>
        <v>#N/A Requesting Data...</v>
      </c>
      <c r="AM58" s="6" t="str">
        <f>_xll.BQL("SEG0000230975 Segment", "SALES_REV_TURN/1M", "FPR=2021Y", "FPT=A", "FA_ACT_EST_DATA=E, EST_SOURCE=DZB", "ACT_EST_MAPPING=PRECISE", "FS=MRC", "CURRENCY=USD", "XLFILL=b")</f>
        <v>#N/A Requesting Data...</v>
      </c>
      <c r="AN58" s="6" t="str">
        <f>_xll.BQL("SEG0000230975 Segment", "SALES_REV_TURN/1M", "FPR=2021Y", "FPT=A", "FA_ACT_EST_DATA=E, EST_SOURCE=DWI", "ACT_EST_MAPPING=PRECISE", "FS=MRC", "CURRENCY=USD", "XLFILL=b")</f>
        <v>#N/A Requesting Data...</v>
      </c>
      <c r="AO58" s="6" t="str">
        <f>_xll.BQL("SEG0000230975 Segment", "SALES_REV_TURN/1M", "FPR=2021Y", "FPT=A", "FA_ACT_EST_DATA=E, EST_SOURCE=ARG", "ACT_EST_MAPPING=PRECISE", "FS=MRC", "CURRENCY=USD", "XLFILL=b")</f>
        <v>#N/A Requesting Data...</v>
      </c>
      <c r="AP58" s="6" t="str">
        <f>_xll.BQL("SEG0000230975 Segment", "SALES_REV_TURN/1M", "FPR=2021Y", "FPT=A", "FA_ACT_EST_DATA=E, EST_SOURCE=CTI", "ACT_EST_MAPPING=PRECISE", "FS=MRC", "CURRENCY=USD", "XLFILL=b")</f>
        <v>#N/A Requesting Data...</v>
      </c>
      <c r="AQ58" s="6" t="str">
        <f>_xll.BQL("SEG0000230975 Segment", "SALES_REV_TURN/1M", "FPR=2021Y", "FPT=A", "FA_ACT_EST_DATA=E, EST_SOURCE=WFT", "ACT_EST_MAPPING=PRECISE", "FS=MRC", "CURRENCY=USD", "XLFILL=b")</f>
        <v>#N/A Requesting Data...</v>
      </c>
      <c r="AR58" s="6" t="str">
        <f>_xll.BQL("SEG0000230975 Segment", "SALES_REV_TURN/1M", "FPR=2021Y", "FPT=A", "FA_ACT_EST_DATA=E, EST_SOURCE=ARE", "ACT_EST_MAPPING=PRECISE", "FS=MRC", "CURRENCY=USD", "XLFILL=b")</f>
        <v>#N/A Requesting Data...</v>
      </c>
      <c r="AS58" s="6" t="str">
        <f>_xll.BQL("SEG0000230975 Segment", "SALES_REV_TURN/1M", "FPR=2021Y", "FPT=A", "FA_ACT_EST_DATA=E, EST_SOURCE=PJE", "ACT_EST_MAPPING=PRECISE", "FS=MRC", "CURRENCY=USD", "XLFILL=b")</f>
        <v>#N/A Requesting Data...</v>
      </c>
      <c r="AT58" s="6" t="str">
        <f>_xll.BQL("SEG0000230975 Segment", "SALES_REV_TURN/1M", "FPR=2021Y", "FPT=A", "FA_ACT_EST_DATA=E, EST_SOURCE=MZS", "ACT_EST_MAPPING=PRECISE", "FS=MRC", "CURRENCY=USD", "XLFILL=b")</f>
        <v>#N/A Requesting Data...</v>
      </c>
      <c r="AU58" s="6" t="str">
        <f>_xll.BQL("SEG0000230975 Segment", "SALES_REV_TURN/1M", "FPR=2021Y", "FPT=A", "FA_ACT_EST_DATA=E, EST_SOURCE=SUM", "ACT_EST_MAPPING=PRECISE", "FS=MRC", "CURRENCY=USD", "XLFILL=b")</f>
        <v>#N/A Requesting Data...</v>
      </c>
      <c r="AV58" s="6" t="str">
        <f>_xll.BQL("SEG0000230975 Segment", "SALES_REV_TURN/1M", "FPR=2021Y", "FPT=A", "FA_ACT_EST_DATA=E, EST_SOURCE=CRC", "ACT_EST_MAPPING=PRECISE", "FS=MRC", "CURRENCY=USD", "XLFILL=b")</f>
        <v>#N/A Requesting Data...</v>
      </c>
      <c r="AW58" s="6" t="str">
        <f>_xll.BQL("SEG0000230975 Segment", "SALES_REV_TURN/1M", "FPR=2021Y", "FPT=A", "FA_ACT_EST_DATA=E, EST_SOURCE=SCB", "ACT_EST_MAPPING=PRECISE", "FS=MRC", "CURRENCY=USD", "XLFILL=b")</f>
        <v>#N/A Requesting Data...</v>
      </c>
    </row>
    <row r="59" spans="1:49" x14ac:dyDescent="0.55000000000000004">
      <c r="A59" s="5" t="s">
        <v>104</v>
      </c>
      <c r="B59" s="2" t="s">
        <v>105</v>
      </c>
      <c r="C59" s="2" t="s">
        <v>63</v>
      </c>
      <c r="D59" s="2" t="s">
        <v>37</v>
      </c>
      <c r="E59" s="6" t="str">
        <f>_xll.BQL("SEG0000230975 Segment", "IS_PERCENTAGE_OF_REVENUE", "FPR=2021Y", "FPT=A", "FA_ACT_EST_DATA=E", "ACT_EST_MAPPING=PRECISE", "FS=MRC", "CURRENCY=USD", "XLFILL=b")</f>
        <v>#N/A Requesting Data...</v>
      </c>
      <c r="F59" s="6">
        <f>_xll.BQL("SEG0000230975 Segment", "CONTRIBUTOR_STATS(IS_PERCENTAGE_OF_REVENUE, MIN)", "FPR=2021Y", "FPT=A", "FA_ACT_EST_DATA=E", "ACT_EST_MAPPING=PRECISE", "FS=MRC", "CURRENCY=USD", "XLFILL=b")</f>
        <v>94.53326628191239</v>
      </c>
      <c r="G59" s="6">
        <f>_xll.BQL("SEG0000230975 Segment", "CONTRIBUTOR_STATS(IS_PERCENTAGE_OF_REVENUE, MAX)", "FPR=2021Y", "FPT=A", "FA_ACT_EST_DATA=E", "ACT_EST_MAPPING=PRECISE", "FS=MRC", "CURRENCY=USD", "XLFILL=b")</f>
        <v>94.847397742669941</v>
      </c>
      <c r="H59" s="6" t="str">
        <f>_xll.BQL("SEG0000230975 Segment", "CONTRIBUTOR_STATS(IS_PERCENTAGE_OF_REVENUE, STD)", "FPR=2021Y", "FPT=A", "FA_ACT_EST_DATA=E", "ACT_EST_MAPPING=PRECISE", "FS=MRC", "CURRENCY=USD", "XLFILL=b")</f>
        <v>#N/A Requesting Data...</v>
      </c>
      <c r="I59" s="6" t="str">
        <f>_xll.BQL("SEG0000230975 Segment", "CONTRIBUTOR_STATS(IS_PERCENTAGE_OF_REVENUE, MEDIAN)", "FPR=2021Y", "FPT=A", "FA_ACT_EST_DATA=E", "ACT_EST_MAPPING=PRECISE", "FS=MRC", "CURRENCY=USD", "XLFILL=b")</f>
        <v>#N/A Requesting Data...</v>
      </c>
      <c r="J59" s="6" t="str">
        <f>_xll.BQL("SEG0000230975 Segment", "IS_PERCENTAGE_OF_REVENUE", "FPR=2021Y", "FPT=A", "FA_ACT_EST_DATA=E, EST_SOURCE=CMPY", "ACT_EST_MAPPING=PRECISE", "FS=MRC", "CURRENCY=USD", "XLFILL=b")</f>
        <v>#N/A Requesting Data...</v>
      </c>
      <c r="K59" s="6" t="str">
        <f>_xll.BQL("SEG0000230975 Segment", "IS_PERCENTAGE_OF_REVENUE", "FPR=2021Y", "FPT=A", "FA_ACT_EST_DATA=E, EST_SOURCE=JPM", "ACT_EST_MAPPING=PRECISE", "FS=MRC", "CURRENCY=USD", "XLFILL=b")</f>
        <v>#N/A Requesting Data...</v>
      </c>
      <c r="L59" s="6" t="str">
        <f>_xll.BQL("SEG0000230975 Segment", "IS_PERCENTAGE_OF_REVENUE", "FPR=2021Y", "FPT=A", "FA_ACT_EST_DATA=E, EST_SOURCE=WBL", "ACT_EST_MAPPING=PRECISE", "FS=MRC", "CURRENCY=USD", "XLFILL=b")</f>
        <v>#N/A Requesting Data...</v>
      </c>
      <c r="M59" s="6" t="str">
        <f>_xll.BQL("SEG0000230975 Segment", "IS_PERCENTAGE_OF_REVENUE", "FPR=2021Y", "FPT=A", "FA_ACT_EST_DATA=E, EST_SOURCE=KEY", "ACT_EST_MAPPING=PRECISE", "FS=MRC", "CURRENCY=USD", "XLFILL=b")</f>
        <v>#N/A Requesting Data...</v>
      </c>
      <c r="N59" s="6" t="str">
        <f>_xll.BQL("SEG0000230975 Segment", "IS_PERCENTAGE_OF_REVENUE", "FPR=2021Y", "FPT=A", "FA_ACT_EST_DATA=E, EST_SOURCE=BMO", "ACT_EST_MAPPING=PRECISE", "FS=MRC", "CURRENCY=USD", "XLFILL=b")</f>
        <v/>
      </c>
      <c r="O59" s="6" t="str">
        <f>_xll.BQL("SEG0000230975 Segment", "IS_PERCENTAGE_OF_REVENUE", "FPR=2021Y", "FPT=A", "FA_ACT_EST_DATA=E, EST_SOURCE=OPY", "ACT_EST_MAPPING=PRECISE", "FS=MRC", "CURRENCY=USD", "XLFILL=b")</f>
        <v>#N/A Requesting Data...</v>
      </c>
      <c r="P59" s="6" t="str">
        <f>_xll.BQL("SEG0000230975 Segment", "IS_PERCENTAGE_OF_REVENUE", "FPR=2021Y", "FPT=A", "FA_ACT_EST_DATA=E, EST_SOURCE=BCA", "ACT_EST_MAPPING=PRECISE", "FS=MRC", "CURRENCY=USD", "XLFILL=b")</f>
        <v>#N/A Requesting Data...</v>
      </c>
      <c r="Q59" s="6" t="str">
        <f>_xll.BQL("SEG0000230975 Segment", "IS_PERCENTAGE_OF_REVENUE", "FPR=2021Y", "FPT=A", "FA_ACT_EST_DATA=E, EST_SOURCE=RHR", "ACT_EST_MAPPING=PRECISE", "FS=MRC", "CURRENCY=USD", "XLFILL=b")</f>
        <v/>
      </c>
      <c r="R59" s="6" t="str">
        <f>_xll.BQL("SEG0000230975 Segment", "IS_PERCENTAGE_OF_REVENUE", "FPR=2021Y", "FPT=A", "FA_ACT_EST_DATA=E, EST_SOURCE=SNR", "ACT_EST_MAPPING=PRECISE", "FS=MRC", "CURRENCY=USD", "XLFILL=b")</f>
        <v>#N/A Requesting Data...</v>
      </c>
      <c r="S59" s="6" t="str">
        <f>_xll.BQL("SEG0000230975 Segment", "IS_PERCENTAGE_OF_REVENUE", "FPR=2021Y", "FPT=A", "FA_ACT_EST_DATA=E, EST_SOURCE=MSV", "ACT_EST_MAPPING=PRECISE", "FS=MRC", "CURRENCY=USD", "XLFILL=b")</f>
        <v>#N/A Requesting Data...</v>
      </c>
      <c r="T59" s="6" t="str">
        <f>_xll.BQL("SEG0000230975 Segment", "IS_PERCENTAGE_OF_REVENUE", "FPR=2021Y", "FPT=A", "FA_ACT_EST_DATA=E, EST_SOURCE=CAN", "ACT_EST_MAPPING=PRECISE", "FS=MRC", "CURRENCY=USD", "XLFILL=b")</f>
        <v>#N/A Requesting Data...</v>
      </c>
      <c r="U59" s="6" t="str">
        <f>_xll.BQL("SEG0000230975 Segment", "IS_PERCENTAGE_OF_REVENUE", "FPR=2021Y", "FPT=A", "FA_ACT_EST_DATA=E, EST_SOURCE=JMP", "ACT_EST_MAPPING=PRECISE", "FS=MRC", "CURRENCY=USD", "XLFILL=b")</f>
        <v/>
      </c>
      <c r="V59" s="6" t="str">
        <f>_xll.BQL("SEG0000230975 Segment", "IS_PERCENTAGE_OF_REVENUE", "FPR=2021Y", "FPT=A", "FA_ACT_EST_DATA=E, EST_SOURCE=NDH", "ACT_EST_MAPPING=PRECISE", "FS=MRC", "CURRENCY=USD", "XLFILL=b")</f>
        <v>#N/A Requesting Data...</v>
      </c>
      <c r="W59" s="6" t="str">
        <f>_xll.BQL("SEG0000230975 Segment", "IS_PERCENTAGE_OF_REVENUE", "FPR=2021Y", "FPT=A", "FA_ACT_EST_DATA=E, EST_SOURCE=ZXS", "ACT_EST_MAPPING=PRECISE", "FS=MRC", "CURRENCY=USD", "XLFILL=b")</f>
        <v>#N/A Requesting Data...</v>
      </c>
      <c r="X59" s="6" t="str">
        <f>_xll.BQL("SEG0000230975 Segment", "IS_PERCENTAGE_OF_REVENUE", "FPR=2021Y", "FPT=A", "FA_ACT_EST_DATA=E, EST_SOURCE=CWN", "ACT_EST_MAPPING=PRECISE", "FS=MRC", "CURRENCY=USD", "XLFILL=b")</f>
        <v>#N/A Requesting Data...</v>
      </c>
      <c r="Y59" s="6" t="str">
        <f>_xll.BQL("SEG0000230975 Segment", "IS_PERCENTAGE_OF_REVENUE", "FPR=2021Y", "FPT=A", "FA_ACT_EST_DATA=E, EST_SOURCE=DBG", "ACT_EST_MAPPING=PRECISE", "FS=MRC", "CURRENCY=USD", "XLFILL=b")</f>
        <v>#N/A Requesting Data...</v>
      </c>
      <c r="Z59" s="6" t="str">
        <f>_xll.BQL("SEG0000230975 Segment", "IS_PERCENTAGE_OF_REVENUE", "FPR=2021Y", "FPT=A", "FA_ACT_EST_DATA=E, EST_SOURCE=UBS", "ACT_EST_MAPPING=PRECISE", "FS=MRC", "CURRENCY=USD", "XLFILL=b")</f>
        <v>#N/A Requesting Data...</v>
      </c>
      <c r="AA59" s="6" t="str">
        <f>_xll.BQL("SEG0000230975 Segment", "IS_PERCENTAGE_OF_REVENUE", "FPR=2021Y", "FPT=A", "FA_ACT_EST_DATA=E, EST_SOURCE=RBC", "ACT_EST_MAPPING=PRECISE", "FS=MRC", "CURRENCY=USD", "XLFILL=b")</f>
        <v>#N/A Requesting Data...</v>
      </c>
      <c r="AB59" s="6" t="str">
        <f>_xll.BQL("SEG0000230975 Segment", "IS_PERCENTAGE_OF_REVENUE", "FPR=2021Y", "FPT=A", "FA_ACT_EST_DATA=E, EST_SOURCE=EVR", "ACT_EST_MAPPING=PRECISE", "FS=MRC", "CURRENCY=USD", "XLFILL=b")</f>
        <v>#N/A Requesting Data...</v>
      </c>
      <c r="AC59" s="6" t="str">
        <f>_xll.BQL("SEG0000230975 Segment", "IS_PERCENTAGE_OF_REVENUE", "FPR=2021Y", "FPT=A", "FA_ACT_EST_DATA=E, EST_SOURCE=BNS", "ACT_EST_MAPPING=PRECISE", "FS=MRC", "CURRENCY=USD", "XLFILL=b")</f>
        <v>#N/A Requesting Data...</v>
      </c>
      <c r="AD59" s="6" t="str">
        <f>_xll.BQL("SEG0000230975 Segment", "IS_PERCENTAGE_OF_REVENUE", "FPR=2021Y", "FPT=A", "FA_ACT_EST_DATA=E, EST_SOURCE=BAM", "ACT_EST_MAPPING=PRECISE", "FS=MRC", "CURRENCY=USD", "XLFILL=b")</f>
        <v>#N/A Requesting Data...</v>
      </c>
      <c r="AE59" s="6" t="str">
        <f>_xll.BQL("SEG0000230975 Segment", "IS_PERCENTAGE_OF_REVENUE", "FPR=2021Y", "FPT=A", "FA_ACT_EST_DATA=E, EST_SOURCE=GSR", "ACT_EST_MAPPING=PRECISE", "FS=MRC", "CURRENCY=USD", "XLFILL=b")</f>
        <v>#N/A Requesting Data...</v>
      </c>
      <c r="AF59" s="6" t="str">
        <f>_xll.BQL("SEG0000230975 Segment", "IS_PERCENTAGE_OF_REVENUE", "FPR=2021Y", "FPT=A", "FA_ACT_EST_DATA=E, EST_SOURCE=FBC", "ACT_EST_MAPPING=PRECISE", "FS=MRC", "CURRENCY=USD", "XLFILL=b")</f>
        <v>#N/A Requesting Data...</v>
      </c>
      <c r="AG59" s="6" t="str">
        <f>_xll.BQL("SEG0000230975 Segment", "IS_PERCENTAGE_OF_REVENUE", "FPR=2021Y", "FPT=A", "FA_ACT_EST_DATA=E, EST_SOURCE=MAC", "ACT_EST_MAPPING=PRECISE", "FS=MRC", "CURRENCY=USD", "XLFILL=b")</f>
        <v>#N/A Requesting Data...</v>
      </c>
      <c r="AH59" s="6" t="str">
        <f>_xll.BQL("SEG0000230975 Segment", "IS_PERCENTAGE_OF_REVENUE", "FPR=2021Y", "FPT=A", "FA_ACT_EST_DATA=E, EST_SOURCE=PSG", "ACT_EST_MAPPING=PRECISE", "FS=MRC", "CURRENCY=USD", "XLFILL=b")</f>
        <v>#N/A Requesting Data...</v>
      </c>
      <c r="AI59" s="6" t="str">
        <f>_xll.BQL("SEG0000230975 Segment", "IS_PERCENTAGE_OF_REVENUE", "FPR=2021Y", "FPT=A", "FA_ACT_EST_DATA=E, EST_SOURCE=MSR", "ACT_EST_MAPPING=PRECISE", "FS=MRC", "CURRENCY=USD", "XLFILL=b")</f>
        <v>#N/A Requesting Data...</v>
      </c>
      <c r="AJ59" s="6" t="str">
        <f>_xll.BQL("SEG0000230975 Segment", "IS_PERCENTAGE_OF_REVENUE", "FPR=2021Y", "FPT=A", "FA_ACT_EST_DATA=E, EST_SOURCE=JEF", "ACT_EST_MAPPING=PRECISE", "FS=MRC", "CURRENCY=USD", "XLFILL=b")</f>
        <v>#N/A Requesting Data...</v>
      </c>
      <c r="AK59" s="6" t="str">
        <f>_xll.BQL("SEG0000230975 Segment", "IS_PERCENTAGE_OF_REVENUE", "FPR=2021Y", "FPT=A", "FA_ACT_EST_DATA=E, EST_SOURCE=TTC", "ACT_EST_MAPPING=PRECISE", "FS=MRC", "CURRENCY=USD", "XLFILL=b")</f>
        <v>#N/A Requesting Data...</v>
      </c>
      <c r="AL59" s="6" t="str">
        <f>_xll.BQL("SEG0000230975 Segment", "IS_PERCENTAGE_OF_REVENUE", "FPR=2021Y", "FPT=A", "FA_ACT_EST_DATA=E, EST_SOURCE=RWB", "ACT_EST_MAPPING=PRECISE", "FS=MRC", "CURRENCY=USD", "XLFILL=b")</f>
        <v>#N/A Requesting Data...</v>
      </c>
      <c r="AM59" s="6" t="str">
        <f>_xll.BQL("SEG0000230975 Segment", "IS_PERCENTAGE_OF_REVENUE", "FPR=2021Y", "FPT=A", "FA_ACT_EST_DATA=E, EST_SOURCE=DZB", "ACT_EST_MAPPING=PRECISE", "FS=MRC", "CURRENCY=USD", "XLFILL=b")</f>
        <v>#N/A Requesting Data...</v>
      </c>
      <c r="AN59" s="6" t="str">
        <f>_xll.BQL("SEG0000230975 Segment", "IS_PERCENTAGE_OF_REVENUE", "FPR=2021Y", "FPT=A", "FA_ACT_EST_DATA=E, EST_SOURCE=DWI", "ACT_EST_MAPPING=PRECISE", "FS=MRC", "CURRENCY=USD", "XLFILL=b")</f>
        <v>#N/A Requesting Data...</v>
      </c>
      <c r="AO59" s="6" t="str">
        <f>_xll.BQL("SEG0000230975 Segment", "IS_PERCENTAGE_OF_REVENUE", "FPR=2021Y", "FPT=A", "FA_ACT_EST_DATA=E, EST_SOURCE=ARG", "ACT_EST_MAPPING=PRECISE", "FS=MRC", "CURRENCY=USD", "XLFILL=b")</f>
        <v>#N/A Requesting Data...</v>
      </c>
      <c r="AP59" s="6" t="str">
        <f>_xll.BQL("SEG0000230975 Segment", "IS_PERCENTAGE_OF_REVENUE", "FPR=2021Y", "FPT=A", "FA_ACT_EST_DATA=E, EST_SOURCE=CTI", "ACT_EST_MAPPING=PRECISE", "FS=MRC", "CURRENCY=USD", "XLFILL=b")</f>
        <v>#N/A Requesting Data...</v>
      </c>
      <c r="AQ59" s="6" t="str">
        <f>_xll.BQL("SEG0000230975 Segment", "IS_PERCENTAGE_OF_REVENUE", "FPR=2021Y", "FPT=A", "FA_ACT_EST_DATA=E, EST_SOURCE=WFT", "ACT_EST_MAPPING=PRECISE", "FS=MRC", "CURRENCY=USD", "XLFILL=b")</f>
        <v>#N/A Requesting Data...</v>
      </c>
      <c r="AR59" s="6" t="str">
        <f>_xll.BQL("SEG0000230975 Segment", "IS_PERCENTAGE_OF_REVENUE", "FPR=2021Y", "FPT=A", "FA_ACT_EST_DATA=E, EST_SOURCE=ARE", "ACT_EST_MAPPING=PRECISE", "FS=MRC", "CURRENCY=USD", "XLFILL=b")</f>
        <v>#N/A Requesting Data...</v>
      </c>
      <c r="AS59" s="6" t="str">
        <f>_xll.BQL("SEG0000230975 Segment", "IS_PERCENTAGE_OF_REVENUE", "FPR=2021Y", "FPT=A", "FA_ACT_EST_DATA=E, EST_SOURCE=PJE", "ACT_EST_MAPPING=PRECISE", "FS=MRC", "CURRENCY=USD", "XLFILL=b")</f>
        <v/>
      </c>
      <c r="AT59" s="6" t="str">
        <f>_xll.BQL("SEG0000230975 Segment", "IS_PERCENTAGE_OF_REVENUE", "FPR=2021Y", "FPT=A", "FA_ACT_EST_DATA=E, EST_SOURCE=MZS", "ACT_EST_MAPPING=PRECISE", "FS=MRC", "CURRENCY=USD", "XLFILL=b")</f>
        <v>#N/A Requesting Data...</v>
      </c>
      <c r="AU59" s="6" t="str">
        <f>_xll.BQL("SEG0000230975 Segment", "IS_PERCENTAGE_OF_REVENUE", "FPR=2021Y", "FPT=A", "FA_ACT_EST_DATA=E, EST_SOURCE=SUM", "ACT_EST_MAPPING=PRECISE", "FS=MRC", "CURRENCY=USD", "XLFILL=b")</f>
        <v>#N/A Requesting Data...</v>
      </c>
      <c r="AV59" s="6" t="str">
        <f>_xll.BQL("SEG0000230975 Segment", "IS_PERCENTAGE_OF_REVENUE", "FPR=2021Y", "FPT=A", "FA_ACT_EST_DATA=E, EST_SOURCE=CRC", "ACT_EST_MAPPING=PRECISE", "FS=MRC", "CURRENCY=USD", "XLFILL=b")</f>
        <v>#N/A Requesting Data...</v>
      </c>
      <c r="AW59" s="6" t="str">
        <f>_xll.BQL("SEG0000230975 Segment", "IS_PERCENTAGE_OF_REVENUE", "FPR=2021Y", "FPT=A", "FA_ACT_EST_DATA=E, EST_SOURCE=SCB", "ACT_EST_MAPPING=PRECISE", "FS=MRC", "CURRENCY=USD", "XLFILL=b")</f>
        <v/>
      </c>
    </row>
    <row r="60" spans="1:49" x14ac:dyDescent="0.55000000000000004">
      <c r="A60" s="5" t="s">
        <v>106</v>
      </c>
      <c r="B60" s="2" t="s">
        <v>107</v>
      </c>
      <c r="C60" s="2" t="s">
        <v>108</v>
      </c>
      <c r="D60" s="2" t="s">
        <v>37</v>
      </c>
      <c r="E60" s="6" t="str">
        <f>_xll.BQL("SEG0000230975 Segment", "IS_ADJUSTED_COGS_AS_REPORTED/1M", "FPR=2021Y", "FPT=A", "FA_ACT_EST_DATA=E", "ACT_EST_MAPPING=PRECISE", "FS=MRC", "CURRENCY=USD", "XLFILL=b")</f>
        <v>#N/A Requesting Data...</v>
      </c>
      <c r="F60" s="6" t="str">
        <f>_xll.BQL("SEG0000230975 Segment", "CONTRIBUTOR_STATS(IS_ADJUSTED_COGS_AS_REPORTED, MIN)/1M", "FPR=2021Y", "FPT=A", "FA_ACT_EST_DATA=E", "ACT_EST_MAPPING=PRECISE", "FS=MRC", "CURRENCY=USD", "XLFILL=b")</f>
        <v>#N/A Requesting Data...</v>
      </c>
      <c r="G60" s="6" t="str">
        <f>_xll.BQL("SEG0000230975 Segment", "CONTRIBUTOR_STATS(IS_ADJUSTED_COGS_AS_REPORTED, MAX)/1M", "FPR=2021Y", "FPT=A", "FA_ACT_EST_DATA=E", "ACT_EST_MAPPING=PRECISE", "FS=MRC", "CURRENCY=USD", "XLFILL=b")</f>
        <v>#N/A Requesting Data...</v>
      </c>
      <c r="H60" s="6" t="str">
        <f>_xll.BQL("SEG0000230975 Segment", "CONTRIBUTOR_STATS(IS_ADJUSTED_COGS_AS_REPORTED, STD)/1M", "FPR=2021Y", "FPT=A", "FA_ACT_EST_DATA=E", "ACT_EST_MAPPING=PRECISE", "FS=MRC", "CURRENCY=USD", "XLFILL=b")</f>
        <v>#N/A Requesting Data...</v>
      </c>
      <c r="I60" s="6" t="str">
        <f>_xll.BQL("SEG0000230975 Segment", "CONTRIBUTOR_STATS(IS_ADJUSTED_COGS_AS_REPORTED, MEDIAN)/1M", "FPR=2021Y", "FPT=A", "FA_ACT_EST_DATA=E", "ACT_EST_MAPPING=PRECISE", "FS=MRC", "CURRENCY=USD", "XLFILL=b")</f>
        <v>#N/A Requesting Data...</v>
      </c>
      <c r="J60" s="6" t="str">
        <f>_xll.BQL("SEG0000230975 Segment", "IS_ADJUSTED_COGS_AS_REPORTED/1M", "FPR=2021Y", "FPT=A", "FA_ACT_EST_DATA=E, EST_SOURCE=CMPY", "ACT_EST_MAPPING=PRECISE", "FS=MRC", "CURRENCY=USD", "XLFILL=b")</f>
        <v>#N/A Requesting Data...</v>
      </c>
      <c r="K60" s="6" t="str">
        <f>_xll.BQL("SEG0000230975 Segment", "IS_ADJUSTED_COGS_AS_REPORTED/1M", "FPR=2021Y", "FPT=A", "FA_ACT_EST_DATA=E, EST_SOURCE=JPM", "ACT_EST_MAPPING=PRECISE", "FS=MRC", "CURRENCY=USD", "XLFILL=b")</f>
        <v>#N/A Requesting Data...</v>
      </c>
      <c r="L60" s="6" t="str">
        <f>_xll.BQL("SEG0000230975 Segment", "IS_ADJUSTED_COGS_AS_REPORTED/1M", "FPR=2021Y", "FPT=A", "FA_ACT_EST_DATA=E, EST_SOURCE=WBL", "ACT_EST_MAPPING=PRECISE", "FS=MRC", "CURRENCY=USD", "XLFILL=b")</f>
        <v>#N/A Requesting Data...</v>
      </c>
      <c r="M60" s="6" t="str">
        <f>_xll.BQL("SEG0000230975 Segment", "IS_ADJUSTED_COGS_AS_REPORTED/1M", "FPR=2021Y", "FPT=A", "FA_ACT_EST_DATA=E, EST_SOURCE=KEY", "ACT_EST_MAPPING=PRECISE", "FS=MRC", "CURRENCY=USD", "XLFILL=b")</f>
        <v>#N/A Requesting Data...</v>
      </c>
      <c r="N60" s="6" t="str">
        <f>_xll.BQL("SEG0000230975 Segment", "IS_ADJUSTED_COGS_AS_REPORTED/1M", "FPR=2021Y", "FPT=A", "FA_ACT_EST_DATA=E, EST_SOURCE=BMO", "ACT_EST_MAPPING=PRECISE", "FS=MRC", "CURRENCY=USD", "XLFILL=b")</f>
        <v/>
      </c>
      <c r="O60" s="6" t="str">
        <f>_xll.BQL("SEG0000230975 Segment", "IS_ADJUSTED_COGS_AS_REPORTED/1M", "FPR=2021Y", "FPT=A", "FA_ACT_EST_DATA=E, EST_SOURCE=OPY", "ACT_EST_MAPPING=PRECISE", "FS=MRC", "CURRENCY=USD", "XLFILL=b")</f>
        <v>#N/A Requesting Data...</v>
      </c>
      <c r="P60" s="6" t="str">
        <f>_xll.BQL("SEG0000230975 Segment", "IS_ADJUSTED_COGS_AS_REPORTED/1M", "FPR=2021Y", "FPT=A", "FA_ACT_EST_DATA=E, EST_SOURCE=BCA", "ACT_EST_MAPPING=PRECISE", "FS=MRC", "CURRENCY=USD", "XLFILL=b")</f>
        <v>#N/A Requesting Data...</v>
      </c>
      <c r="Q60" s="6" t="str">
        <f>_xll.BQL("SEG0000230975 Segment", "IS_ADJUSTED_COGS_AS_REPORTED/1M", "FPR=2021Y", "FPT=A", "FA_ACT_EST_DATA=E, EST_SOURCE=RHR", "ACT_EST_MAPPING=PRECISE", "FS=MRC", "CURRENCY=USD", "XLFILL=b")</f>
        <v/>
      </c>
      <c r="R60" s="6" t="str">
        <f>_xll.BQL("SEG0000230975 Segment", "IS_ADJUSTED_COGS_AS_REPORTED/1M", "FPR=2021Y", "FPT=A", "FA_ACT_EST_DATA=E, EST_SOURCE=SNR", "ACT_EST_MAPPING=PRECISE", "FS=MRC", "CURRENCY=USD", "XLFILL=b")</f>
        <v/>
      </c>
      <c r="S60" s="6" t="str">
        <f>_xll.BQL("SEG0000230975 Segment", "IS_ADJUSTED_COGS_AS_REPORTED/1M", "FPR=2021Y", "FPT=A", "FA_ACT_EST_DATA=E, EST_SOURCE=MSV", "ACT_EST_MAPPING=PRECISE", "FS=MRC", "CURRENCY=USD", "XLFILL=b")</f>
        <v>#N/A Requesting Data...</v>
      </c>
      <c r="T60" s="6" t="str">
        <f>_xll.BQL("SEG0000230975 Segment", "IS_ADJUSTED_COGS_AS_REPORTED/1M", "FPR=2021Y", "FPT=A", "FA_ACT_EST_DATA=E, EST_SOURCE=CAN", "ACT_EST_MAPPING=PRECISE", "FS=MRC", "CURRENCY=USD", "XLFILL=b")</f>
        <v>#N/A Requesting Data...</v>
      </c>
      <c r="U60" s="6">
        <f>_xll.BQL("SEG0000230975 Segment", "IS_ADJUSTED_COGS_AS_REPORTED/1M", "FPR=2021Y", "FPT=A", "FA_ACT_EST_DATA=E, EST_SOURCE=JMP", "ACT_EST_MAPPING=PRECISE", "FS=MRC", "CURRENCY=USD", "XLFILL=b")</f>
        <v>830</v>
      </c>
      <c r="V60" s="6" t="str">
        <f>_xll.BQL("SEG0000230975 Segment", "IS_ADJUSTED_COGS_AS_REPORTED/1M", "FPR=2021Y", "FPT=A", "FA_ACT_EST_DATA=E, EST_SOURCE=NDH", "ACT_EST_MAPPING=PRECISE", "FS=MRC", "CURRENCY=USD", "XLFILL=b")</f>
        <v>#N/A Requesting Data...</v>
      </c>
      <c r="W60" s="6" t="str">
        <f>_xll.BQL("SEG0000230975 Segment", "IS_ADJUSTED_COGS_AS_REPORTED/1M", "FPR=2021Y", "FPT=A", "FA_ACT_EST_DATA=E, EST_SOURCE=ZXS", "ACT_EST_MAPPING=PRECISE", "FS=MRC", "CURRENCY=USD", "XLFILL=b")</f>
        <v>#N/A Requesting Data...</v>
      </c>
      <c r="X60" s="6" t="str">
        <f>_xll.BQL("SEG0000230975 Segment", "IS_ADJUSTED_COGS_AS_REPORTED/1M", "FPR=2021Y", "FPT=A", "FA_ACT_EST_DATA=E, EST_SOURCE=CWN", "ACT_EST_MAPPING=PRECISE", "FS=MRC", "CURRENCY=USD", "XLFILL=b")</f>
        <v>#N/A Requesting Data...</v>
      </c>
      <c r="Y60" s="6" t="str">
        <f>_xll.BQL("SEG0000230975 Segment", "IS_ADJUSTED_COGS_AS_REPORTED/1M", "FPR=2021Y", "FPT=A", "FA_ACT_EST_DATA=E, EST_SOURCE=DBG", "ACT_EST_MAPPING=PRECISE", "FS=MRC", "CURRENCY=USD", "XLFILL=b")</f>
        <v>#N/A Requesting Data...</v>
      </c>
      <c r="Z60" s="6" t="str">
        <f>_xll.BQL("SEG0000230975 Segment", "IS_ADJUSTED_COGS_AS_REPORTED/1M", "FPR=2021Y", "FPT=A", "FA_ACT_EST_DATA=E, EST_SOURCE=UBS", "ACT_EST_MAPPING=PRECISE", "FS=MRC", "CURRENCY=USD", "XLFILL=b")</f>
        <v>#N/A Requesting Data...</v>
      </c>
      <c r="AA60" s="6" t="str">
        <f>_xll.BQL("SEG0000230975 Segment", "IS_ADJUSTED_COGS_AS_REPORTED/1M", "FPR=2021Y", "FPT=A", "FA_ACT_EST_DATA=E, EST_SOURCE=RBC", "ACT_EST_MAPPING=PRECISE", "FS=MRC", "CURRENCY=USD", "XLFILL=b")</f>
        <v>#N/A Requesting Data...</v>
      </c>
      <c r="AB60" s="6" t="str">
        <f>_xll.BQL("SEG0000230975 Segment", "IS_ADJUSTED_COGS_AS_REPORTED/1M", "FPR=2021Y", "FPT=A", "FA_ACT_EST_DATA=E, EST_SOURCE=EVR", "ACT_EST_MAPPING=PRECISE", "FS=MRC", "CURRENCY=USD", "XLFILL=b")</f>
        <v>#N/A Requesting Data...</v>
      </c>
      <c r="AC60" s="6" t="str">
        <f>_xll.BQL("SEG0000230975 Segment", "IS_ADJUSTED_COGS_AS_REPORTED/1M", "FPR=2021Y", "FPT=A", "FA_ACT_EST_DATA=E, EST_SOURCE=BNS", "ACT_EST_MAPPING=PRECISE", "FS=MRC", "CURRENCY=USD", "XLFILL=b")</f>
        <v/>
      </c>
      <c r="AD60" s="6" t="str">
        <f>_xll.BQL("SEG0000230975 Segment", "IS_ADJUSTED_COGS_AS_REPORTED/1M", "FPR=2021Y", "FPT=A", "FA_ACT_EST_DATA=E, EST_SOURCE=BAM", "ACT_EST_MAPPING=PRECISE", "FS=MRC", "CURRENCY=USD", "XLFILL=b")</f>
        <v>#N/A Requesting Data...</v>
      </c>
      <c r="AE60" s="6" t="str">
        <f>_xll.BQL("SEG0000230975 Segment", "IS_ADJUSTED_COGS_AS_REPORTED/1M", "FPR=2021Y", "FPT=A", "FA_ACT_EST_DATA=E, EST_SOURCE=GSR", "ACT_EST_MAPPING=PRECISE", "FS=MRC", "CURRENCY=USD", "XLFILL=b")</f>
        <v>#N/A Requesting Data...</v>
      </c>
      <c r="AF60" s="6" t="str">
        <f>_xll.BQL("SEG0000230975 Segment", "IS_ADJUSTED_COGS_AS_REPORTED/1M", "FPR=2021Y", "FPT=A", "FA_ACT_EST_DATA=E, EST_SOURCE=FBC", "ACT_EST_MAPPING=PRECISE", "FS=MRC", "CURRENCY=USD", "XLFILL=b")</f>
        <v>#N/A Requesting Data...</v>
      </c>
      <c r="AG60" s="6" t="str">
        <f>_xll.BQL("SEG0000230975 Segment", "IS_ADJUSTED_COGS_AS_REPORTED/1M", "FPR=2021Y", "FPT=A", "FA_ACT_EST_DATA=E, EST_SOURCE=MAC", "ACT_EST_MAPPING=PRECISE", "FS=MRC", "CURRENCY=USD", "XLFILL=b")</f>
        <v>#N/A Requesting Data...</v>
      </c>
      <c r="AH60" s="6" t="str">
        <f>_xll.BQL("SEG0000230975 Segment", "IS_ADJUSTED_COGS_AS_REPORTED/1M", "FPR=2021Y", "FPT=A", "FA_ACT_EST_DATA=E, EST_SOURCE=PSG", "ACT_EST_MAPPING=PRECISE", "FS=MRC", "CURRENCY=USD", "XLFILL=b")</f>
        <v>#N/A Requesting Data...</v>
      </c>
      <c r="AI60" s="6" t="str">
        <f>_xll.BQL("SEG0000230975 Segment", "IS_ADJUSTED_COGS_AS_REPORTED/1M", "FPR=2021Y", "FPT=A", "FA_ACT_EST_DATA=E, EST_SOURCE=MSR", "ACT_EST_MAPPING=PRECISE", "FS=MRC", "CURRENCY=USD", "XLFILL=b")</f>
        <v>#N/A Requesting Data...</v>
      </c>
      <c r="AJ60" s="6" t="str">
        <f>_xll.BQL("SEG0000230975 Segment", "IS_ADJUSTED_COGS_AS_REPORTED/1M", "FPR=2021Y", "FPT=A", "FA_ACT_EST_DATA=E, EST_SOURCE=JEF", "ACT_EST_MAPPING=PRECISE", "FS=MRC", "CURRENCY=USD", "XLFILL=b")</f>
        <v>#N/A Requesting Data...</v>
      </c>
      <c r="AK60" s="6" t="str">
        <f>_xll.BQL("SEG0000230975 Segment", "IS_ADJUSTED_COGS_AS_REPORTED/1M", "FPR=2021Y", "FPT=A", "FA_ACT_EST_DATA=E, EST_SOURCE=TTC", "ACT_EST_MAPPING=PRECISE", "FS=MRC", "CURRENCY=USD", "XLFILL=b")</f>
        <v>#N/A Requesting Data...</v>
      </c>
      <c r="AL60" s="6" t="str">
        <f>_xll.BQL("SEG0000230975 Segment", "IS_ADJUSTED_COGS_AS_REPORTED/1M", "FPR=2021Y", "FPT=A", "FA_ACT_EST_DATA=E, EST_SOURCE=RWB", "ACT_EST_MAPPING=PRECISE", "FS=MRC", "CURRENCY=USD", "XLFILL=b")</f>
        <v>#N/A Requesting Data...</v>
      </c>
      <c r="AM60" s="6" t="str">
        <f>_xll.BQL("SEG0000230975 Segment", "IS_ADJUSTED_COGS_AS_REPORTED/1M", "FPR=2021Y", "FPT=A", "FA_ACT_EST_DATA=E, EST_SOURCE=DZB", "ACT_EST_MAPPING=PRECISE", "FS=MRC", "CURRENCY=USD", "XLFILL=b")</f>
        <v>#N/A Requesting Data...</v>
      </c>
      <c r="AN60" s="6" t="str">
        <f>_xll.BQL("SEG0000230975 Segment", "IS_ADJUSTED_COGS_AS_REPORTED/1M", "FPR=2021Y", "FPT=A", "FA_ACT_EST_DATA=E, EST_SOURCE=DWI", "ACT_EST_MAPPING=PRECISE", "FS=MRC", "CURRENCY=USD", "XLFILL=b")</f>
        <v>#N/A Requesting Data...</v>
      </c>
      <c r="AO60" s="6" t="str">
        <f>_xll.BQL("SEG0000230975 Segment", "IS_ADJUSTED_COGS_AS_REPORTED/1M", "FPR=2021Y", "FPT=A", "FA_ACT_EST_DATA=E, EST_SOURCE=ARG", "ACT_EST_MAPPING=PRECISE", "FS=MRC", "CURRENCY=USD", "XLFILL=b")</f>
        <v>#N/A Requesting Data...</v>
      </c>
      <c r="AP60" s="6" t="str">
        <f>_xll.BQL("SEG0000230975 Segment", "IS_ADJUSTED_COGS_AS_REPORTED/1M", "FPR=2021Y", "FPT=A", "FA_ACT_EST_DATA=E, EST_SOURCE=CTI", "ACT_EST_MAPPING=PRECISE", "FS=MRC", "CURRENCY=USD", "XLFILL=b")</f>
        <v>#N/A Requesting Data...</v>
      </c>
      <c r="AQ60" s="6" t="str">
        <f>_xll.BQL("SEG0000230975 Segment", "IS_ADJUSTED_COGS_AS_REPORTED/1M", "FPR=2021Y", "FPT=A", "FA_ACT_EST_DATA=E, EST_SOURCE=WFT", "ACT_EST_MAPPING=PRECISE", "FS=MRC", "CURRENCY=USD", "XLFILL=b")</f>
        <v>#N/A Requesting Data...</v>
      </c>
      <c r="AR60" s="6" t="str">
        <f>_xll.BQL("SEG0000230975 Segment", "IS_ADJUSTED_COGS_AS_REPORTED/1M", "FPR=2021Y", "FPT=A", "FA_ACT_EST_DATA=E, EST_SOURCE=ARE", "ACT_EST_MAPPING=PRECISE", "FS=MRC", "CURRENCY=USD", "XLFILL=b")</f>
        <v>#N/A Requesting Data...</v>
      </c>
      <c r="AS60" s="6" t="str">
        <f>_xll.BQL("SEG0000230975 Segment", "IS_ADJUSTED_COGS_AS_REPORTED/1M", "FPR=2021Y", "FPT=A", "FA_ACT_EST_DATA=E, EST_SOURCE=PJE", "ACT_EST_MAPPING=PRECISE", "FS=MRC", "CURRENCY=USD", "XLFILL=b")</f>
        <v/>
      </c>
      <c r="AT60" s="6" t="str">
        <f>_xll.BQL("SEG0000230975 Segment", "IS_ADJUSTED_COGS_AS_REPORTED/1M", "FPR=2021Y", "FPT=A", "FA_ACT_EST_DATA=E, EST_SOURCE=MZS", "ACT_EST_MAPPING=PRECISE", "FS=MRC", "CURRENCY=USD", "XLFILL=b")</f>
        <v>#N/A Requesting Data...</v>
      </c>
      <c r="AU60" s="6" t="str">
        <f>_xll.BQL("SEG0000230975 Segment", "IS_ADJUSTED_COGS_AS_REPORTED/1M", "FPR=2021Y", "FPT=A", "FA_ACT_EST_DATA=E, EST_SOURCE=SUM", "ACT_EST_MAPPING=PRECISE", "FS=MRC", "CURRENCY=USD", "XLFILL=b")</f>
        <v>#N/A Requesting Data...</v>
      </c>
      <c r="AV60" s="6" t="str">
        <f>_xll.BQL("SEG0000230975 Segment", "IS_ADJUSTED_COGS_AS_REPORTED/1M", "FPR=2021Y", "FPT=A", "FA_ACT_EST_DATA=E, EST_SOURCE=CRC", "ACT_EST_MAPPING=PRECISE", "FS=MRC", "CURRENCY=USD", "XLFILL=b")</f>
        <v>#N/A Requesting Data...</v>
      </c>
      <c r="AW60" s="6" t="str">
        <f>_xll.BQL("SEG0000230975 Segment", "IS_ADJUSTED_COGS_AS_REPORTED/1M", "FPR=2021Y", "FPT=A", "FA_ACT_EST_DATA=E, EST_SOURCE=SCB", "ACT_EST_MAPPING=PRECISE", "FS=MRC", "CURRENCY=USD", "XLFILL=b")</f>
        <v>#N/A Requesting Data...</v>
      </c>
    </row>
    <row r="61" spans="1:49" x14ac:dyDescent="0.55000000000000004">
      <c r="A61" s="5" t="s">
        <v>109</v>
      </c>
      <c r="B61" s="2" t="s">
        <v>53</v>
      </c>
      <c r="C61" s="2" t="s">
        <v>2</v>
      </c>
      <c r="D61" s="2" t="s">
        <v>37</v>
      </c>
      <c r="E61" s="6" t="str">
        <f>_xll.BQL("SEG0000230975 Segment", "IS_ADJ_GROSS_PROFIT_AS_REPORTED/1M", "FPR=2021Y", "FPT=A", "FA_ACT_EST_DATA=E", "ACT_EST_MAPPING=PRECISE", "FS=MRC", "CURRENCY=USD", "XLFILL=b")</f>
        <v>#N/A Requesting Data...</v>
      </c>
      <c r="F61" s="6" t="str">
        <f>_xll.BQL("SEG0000230975 Segment", "CONTRIBUTOR_STATS(IS_ADJ_GROSS_PROFIT_AS_REPORTED, MIN)/1M", "FPR=2021Y", "FPT=A", "FA_ACT_EST_DATA=E", "ACT_EST_MAPPING=PRECISE", "FS=MRC", "CURRENCY=USD", "XLFILL=b")</f>
        <v>#N/A Requesting Data...</v>
      </c>
      <c r="G61" s="6" t="str">
        <f>_xll.BQL("SEG0000230975 Segment", "CONTRIBUTOR_STATS(IS_ADJ_GROSS_PROFIT_AS_REPORTED, MAX)/1M", "FPR=2021Y", "FPT=A", "FA_ACT_EST_DATA=E", "ACT_EST_MAPPING=PRECISE", "FS=MRC", "CURRENCY=USD", "XLFILL=b")</f>
        <v>#N/A Requesting Data...</v>
      </c>
      <c r="H61" s="6" t="str">
        <f>_xll.BQL("SEG0000230975 Segment", "CONTRIBUTOR_STATS(IS_ADJ_GROSS_PROFIT_AS_REPORTED, STD)/1M", "FPR=2021Y", "FPT=A", "FA_ACT_EST_DATA=E", "ACT_EST_MAPPING=PRECISE", "FS=MRC", "CURRENCY=USD", "XLFILL=b")</f>
        <v>#N/A Requesting Data...</v>
      </c>
      <c r="I61" s="6" t="str">
        <f>_xll.BQL("SEG0000230975 Segment", "CONTRIBUTOR_STATS(IS_ADJ_GROSS_PROFIT_AS_REPORTED, MEDIAN)/1M", "FPR=2021Y", "FPT=A", "FA_ACT_EST_DATA=E", "ACT_EST_MAPPING=PRECISE", "FS=MRC", "CURRENCY=USD", "XLFILL=b")</f>
        <v>#N/A Requesting Data...</v>
      </c>
      <c r="J61" s="6" t="str">
        <f>_xll.BQL("SEG0000230975 Segment", "IS_ADJ_GROSS_PROFIT_AS_REPORTED/1M", "FPR=2021Y", "FPT=A", "FA_ACT_EST_DATA=E, EST_SOURCE=CMPY", "ACT_EST_MAPPING=PRECISE", "FS=MRC", "CURRENCY=USD", "XLFILL=b")</f>
        <v>#N/A Requesting Data...</v>
      </c>
      <c r="K61" s="6" t="str">
        <f>_xll.BQL("SEG0000230975 Segment", "IS_ADJ_GROSS_PROFIT_AS_REPORTED/1M", "FPR=2021Y", "FPT=A", "FA_ACT_EST_DATA=E, EST_SOURCE=JPM", "ACT_EST_MAPPING=PRECISE", "FS=MRC", "CURRENCY=USD", "XLFILL=b")</f>
        <v>#N/A Requesting Data...</v>
      </c>
      <c r="L61" s="6" t="str">
        <f>_xll.BQL("SEG0000230975 Segment", "IS_ADJ_GROSS_PROFIT_AS_REPORTED/1M", "FPR=2021Y", "FPT=A", "FA_ACT_EST_DATA=E, EST_SOURCE=WBL", "ACT_EST_MAPPING=PRECISE", "FS=MRC", "CURRENCY=USD", "XLFILL=b")</f>
        <v>#N/A Requesting Data...</v>
      </c>
      <c r="M61" s="6" t="str">
        <f>_xll.BQL("SEG0000230975 Segment", "IS_ADJ_GROSS_PROFIT_AS_REPORTED/1M", "FPR=2021Y", "FPT=A", "FA_ACT_EST_DATA=E, EST_SOURCE=KEY", "ACT_EST_MAPPING=PRECISE", "FS=MRC", "CURRENCY=USD", "XLFILL=b")</f>
        <v>#N/A Requesting Data...</v>
      </c>
      <c r="N61" s="6" t="str">
        <f>_xll.BQL("SEG0000230975 Segment", "IS_ADJ_GROSS_PROFIT_AS_REPORTED/1M", "FPR=2021Y", "FPT=A", "FA_ACT_EST_DATA=E, EST_SOURCE=BMO", "ACT_EST_MAPPING=PRECISE", "FS=MRC", "CURRENCY=USD", "XLFILL=b")</f>
        <v>#N/A Requesting Data...</v>
      </c>
      <c r="O61" s="6" t="str">
        <f>_xll.BQL("SEG0000230975 Segment", "IS_ADJ_GROSS_PROFIT_AS_REPORTED/1M", "FPR=2021Y", "FPT=A", "FA_ACT_EST_DATA=E, EST_SOURCE=OPY", "ACT_EST_MAPPING=PRECISE", "FS=MRC", "CURRENCY=USD", "XLFILL=b")</f>
        <v>#N/A Requesting Data...</v>
      </c>
      <c r="P61" s="6" t="str">
        <f>_xll.BQL("SEG0000230975 Segment", "IS_ADJ_GROSS_PROFIT_AS_REPORTED/1M", "FPR=2021Y", "FPT=A", "FA_ACT_EST_DATA=E, EST_SOURCE=BCA", "ACT_EST_MAPPING=PRECISE", "FS=MRC", "CURRENCY=USD", "XLFILL=b")</f>
        <v>#N/A Requesting Data...</v>
      </c>
      <c r="Q61" s="6" t="str">
        <f>_xll.BQL("SEG0000230975 Segment", "IS_ADJ_GROSS_PROFIT_AS_REPORTED/1M", "FPR=2021Y", "FPT=A", "FA_ACT_EST_DATA=E, EST_SOURCE=RHR", "ACT_EST_MAPPING=PRECISE", "FS=MRC", "CURRENCY=USD", "XLFILL=b")</f>
        <v>#N/A Requesting Data...</v>
      </c>
      <c r="R61" s="6" t="str">
        <f>_xll.BQL("SEG0000230975 Segment", "IS_ADJ_GROSS_PROFIT_AS_REPORTED/1M", "FPR=2021Y", "FPT=A", "FA_ACT_EST_DATA=E, EST_SOURCE=SNR", "ACT_EST_MAPPING=PRECISE", "FS=MRC", "CURRENCY=USD", "XLFILL=b")</f>
        <v>#N/A Requesting Data...</v>
      </c>
      <c r="S61" s="6" t="str">
        <f>_xll.BQL("SEG0000230975 Segment", "IS_ADJ_GROSS_PROFIT_AS_REPORTED/1M", "FPR=2021Y", "FPT=A", "FA_ACT_EST_DATA=E, EST_SOURCE=MSV", "ACT_EST_MAPPING=PRECISE", "FS=MRC", "CURRENCY=USD", "XLFILL=b")</f>
        <v>#N/A Requesting Data...</v>
      </c>
      <c r="T61" s="6" t="str">
        <f>_xll.BQL("SEG0000230975 Segment", "IS_ADJ_GROSS_PROFIT_AS_REPORTED/1M", "FPR=2021Y", "FPT=A", "FA_ACT_EST_DATA=E, EST_SOURCE=CAN", "ACT_EST_MAPPING=PRECISE", "FS=MRC", "CURRENCY=USD", "XLFILL=b")</f>
        <v>#N/A Requesting Data...</v>
      </c>
      <c r="U61" s="6" t="str">
        <f>_xll.BQL("SEG0000230975 Segment", "IS_ADJ_GROSS_PROFIT_AS_REPORTED/1M", "FPR=2021Y", "FPT=A", "FA_ACT_EST_DATA=E, EST_SOURCE=JMP", "ACT_EST_MAPPING=PRECISE", "FS=MRC", "CURRENCY=USD", "XLFILL=b")</f>
        <v>#N/A Requesting Data...</v>
      </c>
      <c r="V61" s="6" t="str">
        <f>_xll.BQL("SEG0000230975 Segment", "IS_ADJ_GROSS_PROFIT_AS_REPORTED/1M", "FPR=2021Y", "FPT=A", "FA_ACT_EST_DATA=E, EST_SOURCE=NDH", "ACT_EST_MAPPING=PRECISE", "FS=MRC", "CURRENCY=USD", "XLFILL=b")</f>
        <v>#N/A Requesting Data...</v>
      </c>
      <c r="W61" s="6" t="str">
        <f>_xll.BQL("SEG0000230975 Segment", "IS_ADJ_GROSS_PROFIT_AS_REPORTED/1M", "FPR=2021Y", "FPT=A", "FA_ACT_EST_DATA=E, EST_SOURCE=ZXS", "ACT_EST_MAPPING=PRECISE", "FS=MRC", "CURRENCY=USD", "XLFILL=b")</f>
        <v>#N/A Requesting Data...</v>
      </c>
      <c r="X61" s="6" t="str">
        <f>_xll.BQL("SEG0000230975 Segment", "IS_ADJ_GROSS_PROFIT_AS_REPORTED/1M", "FPR=2021Y", "FPT=A", "FA_ACT_EST_DATA=E, EST_SOURCE=CWN", "ACT_EST_MAPPING=PRECISE", "FS=MRC", "CURRENCY=USD", "XLFILL=b")</f>
        <v>#N/A Requesting Data...</v>
      </c>
      <c r="Y61" s="6" t="str">
        <f>_xll.BQL("SEG0000230975 Segment", "IS_ADJ_GROSS_PROFIT_AS_REPORTED/1M", "FPR=2021Y", "FPT=A", "FA_ACT_EST_DATA=E, EST_SOURCE=DBG", "ACT_EST_MAPPING=PRECISE", "FS=MRC", "CURRENCY=USD", "XLFILL=b")</f>
        <v>#N/A Requesting Data...</v>
      </c>
      <c r="Z61" s="6" t="str">
        <f>_xll.BQL("SEG0000230975 Segment", "IS_ADJ_GROSS_PROFIT_AS_REPORTED/1M", "FPR=2021Y", "FPT=A", "FA_ACT_EST_DATA=E, EST_SOURCE=UBS", "ACT_EST_MAPPING=PRECISE", "FS=MRC", "CURRENCY=USD", "XLFILL=b")</f>
        <v>#N/A Requesting Data...</v>
      </c>
      <c r="AA61" s="6" t="str">
        <f>_xll.BQL("SEG0000230975 Segment", "IS_ADJ_GROSS_PROFIT_AS_REPORTED/1M", "FPR=2021Y", "FPT=A", "FA_ACT_EST_DATA=E, EST_SOURCE=RBC", "ACT_EST_MAPPING=PRECISE", "FS=MRC", "CURRENCY=USD", "XLFILL=b")</f>
        <v>#N/A Requesting Data...</v>
      </c>
      <c r="AB61" s="6" t="str">
        <f>_xll.BQL("SEG0000230975 Segment", "IS_ADJ_GROSS_PROFIT_AS_REPORTED/1M", "FPR=2021Y", "FPT=A", "FA_ACT_EST_DATA=E, EST_SOURCE=EVR", "ACT_EST_MAPPING=PRECISE", "FS=MRC", "CURRENCY=USD", "XLFILL=b")</f>
        <v>#N/A Requesting Data...</v>
      </c>
      <c r="AC61" s="6" t="str">
        <f>_xll.BQL("SEG0000230975 Segment", "IS_ADJ_GROSS_PROFIT_AS_REPORTED/1M", "FPR=2021Y", "FPT=A", "FA_ACT_EST_DATA=E, EST_SOURCE=BNS", "ACT_EST_MAPPING=PRECISE", "FS=MRC", "CURRENCY=USD", "XLFILL=b")</f>
        <v>#N/A Requesting Data...</v>
      </c>
      <c r="AD61" s="6" t="str">
        <f>_xll.BQL("SEG0000230975 Segment", "IS_ADJ_GROSS_PROFIT_AS_REPORTED/1M", "FPR=2021Y", "FPT=A", "FA_ACT_EST_DATA=E, EST_SOURCE=BAM", "ACT_EST_MAPPING=PRECISE", "FS=MRC", "CURRENCY=USD", "XLFILL=b")</f>
        <v>#N/A Requesting Data...</v>
      </c>
      <c r="AE61" s="6" t="str">
        <f>_xll.BQL("SEG0000230975 Segment", "IS_ADJ_GROSS_PROFIT_AS_REPORTED/1M", "FPR=2021Y", "FPT=A", "FA_ACT_EST_DATA=E, EST_SOURCE=GSR", "ACT_EST_MAPPING=PRECISE", "FS=MRC", "CURRENCY=USD", "XLFILL=b")</f>
        <v>#N/A Requesting Data...</v>
      </c>
      <c r="AF61" s="6" t="str">
        <f>_xll.BQL("SEG0000230975 Segment", "IS_ADJ_GROSS_PROFIT_AS_REPORTED/1M", "FPR=2021Y", "FPT=A", "FA_ACT_EST_DATA=E, EST_SOURCE=FBC", "ACT_EST_MAPPING=PRECISE", "FS=MRC", "CURRENCY=USD", "XLFILL=b")</f>
        <v>#N/A Requesting Data...</v>
      </c>
      <c r="AG61" s="6" t="str">
        <f>_xll.BQL("SEG0000230975 Segment", "IS_ADJ_GROSS_PROFIT_AS_REPORTED/1M", "FPR=2021Y", "FPT=A", "FA_ACT_EST_DATA=E, EST_SOURCE=MAC", "ACT_EST_MAPPING=PRECISE", "FS=MRC", "CURRENCY=USD", "XLFILL=b")</f>
        <v>#N/A Requesting Data...</v>
      </c>
      <c r="AH61" s="6" t="str">
        <f>_xll.BQL("SEG0000230975 Segment", "IS_ADJ_GROSS_PROFIT_AS_REPORTED/1M", "FPR=2021Y", "FPT=A", "FA_ACT_EST_DATA=E, EST_SOURCE=PSG", "ACT_EST_MAPPING=PRECISE", "FS=MRC", "CURRENCY=USD", "XLFILL=b")</f>
        <v>#N/A Requesting Data...</v>
      </c>
      <c r="AI61" s="6" t="str">
        <f>_xll.BQL("SEG0000230975 Segment", "IS_ADJ_GROSS_PROFIT_AS_REPORTED/1M", "FPR=2021Y", "FPT=A", "FA_ACT_EST_DATA=E, EST_SOURCE=MSR", "ACT_EST_MAPPING=PRECISE", "FS=MRC", "CURRENCY=USD", "XLFILL=b")</f>
        <v>#N/A Requesting Data...</v>
      </c>
      <c r="AJ61" s="6" t="str">
        <f>_xll.BQL("SEG0000230975 Segment", "IS_ADJ_GROSS_PROFIT_AS_REPORTED/1M", "FPR=2021Y", "FPT=A", "FA_ACT_EST_DATA=E, EST_SOURCE=JEF", "ACT_EST_MAPPING=PRECISE", "FS=MRC", "CURRENCY=USD", "XLFILL=b")</f>
        <v>#N/A Requesting Data...</v>
      </c>
      <c r="AK61" s="6" t="str">
        <f>_xll.BQL("SEG0000230975 Segment", "IS_ADJ_GROSS_PROFIT_AS_REPORTED/1M", "FPR=2021Y", "FPT=A", "FA_ACT_EST_DATA=E, EST_SOURCE=TTC", "ACT_EST_MAPPING=PRECISE", "FS=MRC", "CURRENCY=USD", "XLFILL=b")</f>
        <v>#N/A Requesting Data...</v>
      </c>
      <c r="AL61" s="6" t="str">
        <f>_xll.BQL("SEG0000230975 Segment", "IS_ADJ_GROSS_PROFIT_AS_REPORTED/1M", "FPR=2021Y", "FPT=A", "FA_ACT_EST_DATA=E, EST_SOURCE=RWB", "ACT_EST_MAPPING=PRECISE", "FS=MRC", "CURRENCY=USD", "XLFILL=b")</f>
        <v>#N/A Requesting Data...</v>
      </c>
      <c r="AM61" s="6" t="str">
        <f>_xll.BQL("SEG0000230975 Segment", "IS_ADJ_GROSS_PROFIT_AS_REPORTED/1M", "FPR=2021Y", "FPT=A", "FA_ACT_EST_DATA=E, EST_SOURCE=DZB", "ACT_EST_MAPPING=PRECISE", "FS=MRC", "CURRENCY=USD", "XLFILL=b")</f>
        <v>#N/A Requesting Data...</v>
      </c>
      <c r="AN61" s="6" t="str">
        <f>_xll.BQL("SEG0000230975 Segment", "IS_ADJ_GROSS_PROFIT_AS_REPORTED/1M", "FPR=2021Y", "FPT=A", "FA_ACT_EST_DATA=E, EST_SOURCE=DWI", "ACT_EST_MAPPING=PRECISE", "FS=MRC", "CURRENCY=USD", "XLFILL=b")</f>
        <v>#N/A Requesting Data...</v>
      </c>
      <c r="AO61" s="6" t="str">
        <f>_xll.BQL("SEG0000230975 Segment", "IS_ADJ_GROSS_PROFIT_AS_REPORTED/1M", "FPR=2021Y", "FPT=A", "FA_ACT_EST_DATA=E, EST_SOURCE=ARG", "ACT_EST_MAPPING=PRECISE", "FS=MRC", "CURRENCY=USD", "XLFILL=b")</f>
        <v>#N/A Requesting Data...</v>
      </c>
      <c r="AP61" s="6" t="str">
        <f>_xll.BQL("SEG0000230975 Segment", "IS_ADJ_GROSS_PROFIT_AS_REPORTED/1M", "FPR=2021Y", "FPT=A", "FA_ACT_EST_DATA=E, EST_SOURCE=CTI", "ACT_EST_MAPPING=PRECISE", "FS=MRC", "CURRENCY=USD", "XLFILL=b")</f>
        <v>#N/A Requesting Data...</v>
      </c>
      <c r="AQ61" s="6" t="str">
        <f>_xll.BQL("SEG0000230975 Segment", "IS_ADJ_GROSS_PROFIT_AS_REPORTED/1M", "FPR=2021Y", "FPT=A", "FA_ACT_EST_DATA=E, EST_SOURCE=WFT", "ACT_EST_MAPPING=PRECISE", "FS=MRC", "CURRENCY=USD", "XLFILL=b")</f>
        <v>#N/A Requesting Data...</v>
      </c>
      <c r="AR61" s="6" t="str">
        <f>_xll.BQL("SEG0000230975 Segment", "IS_ADJ_GROSS_PROFIT_AS_REPORTED/1M", "FPR=2021Y", "FPT=A", "FA_ACT_EST_DATA=E, EST_SOURCE=ARE", "ACT_EST_MAPPING=PRECISE", "FS=MRC", "CURRENCY=USD", "XLFILL=b")</f>
        <v>#N/A Requesting Data...</v>
      </c>
      <c r="AS61" s="6" t="str">
        <f>_xll.BQL("SEG0000230975 Segment", "IS_ADJ_GROSS_PROFIT_AS_REPORTED/1M", "FPR=2021Y", "FPT=A", "FA_ACT_EST_DATA=E, EST_SOURCE=PJE", "ACT_EST_MAPPING=PRECISE", "FS=MRC", "CURRENCY=USD", "XLFILL=b")</f>
        <v>#N/A Requesting Data...</v>
      </c>
      <c r="AT61" s="6" t="str">
        <f>_xll.BQL("SEG0000230975 Segment", "IS_ADJ_GROSS_PROFIT_AS_REPORTED/1M", "FPR=2021Y", "FPT=A", "FA_ACT_EST_DATA=E, EST_SOURCE=MZS", "ACT_EST_MAPPING=PRECISE", "FS=MRC", "CURRENCY=USD", "XLFILL=b")</f>
        <v>#N/A Requesting Data...</v>
      </c>
      <c r="AU61" s="6" t="str">
        <f>_xll.BQL("SEG0000230975 Segment", "IS_ADJ_GROSS_PROFIT_AS_REPORTED/1M", "FPR=2021Y", "FPT=A", "FA_ACT_EST_DATA=E, EST_SOURCE=SUM", "ACT_EST_MAPPING=PRECISE", "FS=MRC", "CURRENCY=USD", "XLFILL=b")</f>
        <v>#N/A Requesting Data...</v>
      </c>
      <c r="AV61" s="6" t="str">
        <f>_xll.BQL("SEG0000230975 Segment", "IS_ADJ_GROSS_PROFIT_AS_REPORTED/1M", "FPR=2021Y", "FPT=A", "FA_ACT_EST_DATA=E, EST_SOURCE=CRC", "ACT_EST_MAPPING=PRECISE", "FS=MRC", "CURRENCY=USD", "XLFILL=b")</f>
        <v>#N/A Requesting Data...</v>
      </c>
      <c r="AW61" s="6" t="str">
        <f>_xll.BQL("SEG0000230975 Segment", "IS_ADJ_GROSS_PROFIT_AS_REPORTED/1M", "FPR=2021Y", "FPT=A", "FA_ACT_EST_DATA=E, EST_SOURCE=SCB", "ACT_EST_MAPPING=PRECISE", "FS=MRC", "CURRENCY=USD", "XLFILL=b")</f>
        <v>#N/A Requesting Data...</v>
      </c>
    </row>
    <row r="62" spans="1:49" x14ac:dyDescent="0.55000000000000004">
      <c r="A62" s="5" t="s">
        <v>110</v>
      </c>
      <c r="B62" s="2" t="s">
        <v>47</v>
      </c>
      <c r="C62" s="2" t="s">
        <v>48</v>
      </c>
      <c r="D62" s="2" t="s">
        <v>37</v>
      </c>
      <c r="E62" s="6" t="str">
        <f>_xll.BQL("SEG0000230975 Segment", "IS_ADJ_GROSS_MARGIN_PCT_AR", "FPR=2021Y", "FPT=A", "FA_ACT_EST_DATA=E", "ACT_EST_MAPPING=PRECISE", "FS=MRC", "CURRENCY=USD", "XLFILL=b")</f>
        <v>#N/A Requesting Data...</v>
      </c>
      <c r="F62" s="6" t="str">
        <f>_xll.BQL("SEG0000230975 Segment", "CONTRIBUTOR_STATS(IS_ADJ_GROSS_MARGIN_PCT_AR, MIN)", "FPR=2021Y", "FPT=A", "FA_ACT_EST_DATA=E", "ACT_EST_MAPPING=PRECISE", "FS=MRC", "CURRENCY=USD", "XLFILL=b")</f>
        <v>#N/A Requesting Data...</v>
      </c>
      <c r="G62" s="6" t="str">
        <f>_xll.BQL("SEG0000230975 Segment", "CONTRIBUTOR_STATS(IS_ADJ_GROSS_MARGIN_PCT_AR, MAX)", "FPR=2021Y", "FPT=A", "FA_ACT_EST_DATA=E", "ACT_EST_MAPPING=PRECISE", "FS=MRC", "CURRENCY=USD", "XLFILL=b")</f>
        <v>#N/A Requesting Data...</v>
      </c>
      <c r="H62" s="6" t="str">
        <f>_xll.BQL("SEG0000230975 Segment", "CONTRIBUTOR_STATS(IS_ADJ_GROSS_MARGIN_PCT_AR, STD)", "FPR=2021Y", "FPT=A", "FA_ACT_EST_DATA=E", "ACT_EST_MAPPING=PRECISE", "FS=MRC", "CURRENCY=USD", "XLFILL=b")</f>
        <v>#N/A Requesting Data...</v>
      </c>
      <c r="I62" s="6" t="str">
        <f>_xll.BQL("SEG0000230975 Segment", "CONTRIBUTOR_STATS(IS_ADJ_GROSS_MARGIN_PCT_AR, MEDIAN)", "FPR=2021Y", "FPT=A", "FA_ACT_EST_DATA=E", "ACT_EST_MAPPING=PRECISE", "FS=MRC", "CURRENCY=USD", "XLFILL=b")</f>
        <v>#N/A Requesting Data...</v>
      </c>
      <c r="J62" s="6" t="str">
        <f>_xll.BQL("SEG0000230975 Segment", "IS_ADJ_GROSS_MARGIN_PCT_AR", "FPR=2021Y", "FPT=A", "FA_ACT_EST_DATA=E, EST_SOURCE=CMPY", "ACT_EST_MAPPING=PRECISE", "FS=MRC", "CURRENCY=USD", "XLFILL=b")</f>
        <v>#N/A Requesting Data...</v>
      </c>
      <c r="K62" s="6" t="str">
        <f>_xll.BQL("SEG0000230975 Segment", "IS_ADJ_GROSS_MARGIN_PCT_AR", "FPR=2021Y", "FPT=A", "FA_ACT_EST_DATA=E, EST_SOURCE=JPM", "ACT_EST_MAPPING=PRECISE", "FS=MRC", "CURRENCY=USD", "XLFILL=b")</f>
        <v>#N/A Requesting Data...</v>
      </c>
      <c r="L62" s="6" t="str">
        <f>_xll.BQL("SEG0000230975 Segment", "IS_ADJ_GROSS_MARGIN_PCT_AR", "FPR=2021Y", "FPT=A", "FA_ACT_EST_DATA=E, EST_SOURCE=WBL", "ACT_EST_MAPPING=PRECISE", "FS=MRC", "CURRENCY=USD", "XLFILL=b")</f>
        <v>#N/A Requesting Data...</v>
      </c>
      <c r="M62" s="6" t="str">
        <f>_xll.BQL("SEG0000230975 Segment", "IS_ADJ_GROSS_MARGIN_PCT_AR", "FPR=2021Y", "FPT=A", "FA_ACT_EST_DATA=E, EST_SOURCE=KEY", "ACT_EST_MAPPING=PRECISE", "FS=MRC", "CURRENCY=USD", "XLFILL=b")</f>
        <v>#N/A Requesting Data...</v>
      </c>
      <c r="N62" s="6" t="str">
        <f>_xll.BQL("SEG0000230975 Segment", "IS_ADJ_GROSS_MARGIN_PCT_AR", "FPR=2021Y", "FPT=A", "FA_ACT_EST_DATA=E, EST_SOURCE=BMO", "ACT_EST_MAPPING=PRECISE", "FS=MRC", "CURRENCY=USD", "XLFILL=b")</f>
        <v>#N/A Requesting Data...</v>
      </c>
      <c r="O62" s="6" t="str">
        <f>_xll.BQL("SEG0000230975 Segment", "IS_ADJ_GROSS_MARGIN_PCT_AR", "FPR=2021Y", "FPT=A", "FA_ACT_EST_DATA=E, EST_SOURCE=OPY", "ACT_EST_MAPPING=PRECISE", "FS=MRC", "CURRENCY=USD", "XLFILL=b")</f>
        <v>#N/A Requesting Data...</v>
      </c>
      <c r="P62" s="6" t="str">
        <f>_xll.BQL("SEG0000230975 Segment", "IS_ADJ_GROSS_MARGIN_PCT_AR", "FPR=2021Y", "FPT=A", "FA_ACT_EST_DATA=E, EST_SOURCE=BCA", "ACT_EST_MAPPING=PRECISE", "FS=MRC", "CURRENCY=USD", "XLFILL=b")</f>
        <v>#N/A Requesting Data...</v>
      </c>
      <c r="Q62" s="6" t="str">
        <f>_xll.BQL("SEG0000230975 Segment", "IS_ADJ_GROSS_MARGIN_PCT_AR", "FPR=2021Y", "FPT=A", "FA_ACT_EST_DATA=E, EST_SOURCE=RHR", "ACT_EST_MAPPING=PRECISE", "FS=MRC", "CURRENCY=USD", "XLFILL=b")</f>
        <v>#N/A Requesting Data...</v>
      </c>
      <c r="R62" s="6" t="str">
        <f>_xll.BQL("SEG0000230975 Segment", "IS_ADJ_GROSS_MARGIN_PCT_AR", "FPR=2021Y", "FPT=A", "FA_ACT_EST_DATA=E, EST_SOURCE=SNR", "ACT_EST_MAPPING=PRECISE", "FS=MRC", "CURRENCY=USD", "XLFILL=b")</f>
        <v>#N/A Requesting Data...</v>
      </c>
      <c r="S62" s="6" t="str">
        <f>_xll.BQL("SEG0000230975 Segment", "IS_ADJ_GROSS_MARGIN_PCT_AR", "FPR=2021Y", "FPT=A", "FA_ACT_EST_DATA=E, EST_SOURCE=MSV", "ACT_EST_MAPPING=PRECISE", "FS=MRC", "CURRENCY=USD", "XLFILL=b")</f>
        <v>#N/A Requesting Data...</v>
      </c>
      <c r="T62" s="6" t="str">
        <f>_xll.BQL("SEG0000230975 Segment", "IS_ADJ_GROSS_MARGIN_PCT_AR", "FPR=2021Y", "FPT=A", "FA_ACT_EST_DATA=E, EST_SOURCE=CAN", "ACT_EST_MAPPING=PRECISE", "FS=MRC", "CURRENCY=USD", "XLFILL=b")</f>
        <v>#N/A Requesting Data...</v>
      </c>
      <c r="U62" s="6" t="str">
        <f>_xll.BQL("SEG0000230975 Segment", "IS_ADJ_GROSS_MARGIN_PCT_AR", "FPR=2021Y", "FPT=A", "FA_ACT_EST_DATA=E, EST_SOURCE=JMP", "ACT_EST_MAPPING=PRECISE", "FS=MRC", "CURRENCY=USD", "XLFILL=b")</f>
        <v>#N/A Requesting Data...</v>
      </c>
      <c r="V62" s="6" t="str">
        <f>_xll.BQL("SEG0000230975 Segment", "IS_ADJ_GROSS_MARGIN_PCT_AR", "FPR=2021Y", "FPT=A", "FA_ACT_EST_DATA=E, EST_SOURCE=NDH", "ACT_EST_MAPPING=PRECISE", "FS=MRC", "CURRENCY=USD", "XLFILL=b")</f>
        <v>#N/A Requesting Data...</v>
      </c>
      <c r="W62" s="6" t="str">
        <f>_xll.BQL("SEG0000230975 Segment", "IS_ADJ_GROSS_MARGIN_PCT_AR", "FPR=2021Y", "FPT=A", "FA_ACT_EST_DATA=E, EST_SOURCE=ZXS", "ACT_EST_MAPPING=PRECISE", "FS=MRC", "CURRENCY=USD", "XLFILL=b")</f>
        <v>#N/A Requesting Data...</v>
      </c>
      <c r="X62" s="6" t="str">
        <f>_xll.BQL("SEG0000230975 Segment", "IS_ADJ_GROSS_MARGIN_PCT_AR", "FPR=2021Y", "FPT=A", "FA_ACT_EST_DATA=E, EST_SOURCE=CWN", "ACT_EST_MAPPING=PRECISE", "FS=MRC", "CURRENCY=USD", "XLFILL=b")</f>
        <v>#N/A Requesting Data...</v>
      </c>
      <c r="Y62" s="6" t="str">
        <f>_xll.BQL("SEG0000230975 Segment", "IS_ADJ_GROSS_MARGIN_PCT_AR", "FPR=2021Y", "FPT=A", "FA_ACT_EST_DATA=E, EST_SOURCE=DBG", "ACT_EST_MAPPING=PRECISE", "FS=MRC", "CURRENCY=USD", "XLFILL=b")</f>
        <v>#N/A Requesting Data...</v>
      </c>
      <c r="Z62" s="6" t="str">
        <f>_xll.BQL("SEG0000230975 Segment", "IS_ADJ_GROSS_MARGIN_PCT_AR", "FPR=2021Y", "FPT=A", "FA_ACT_EST_DATA=E, EST_SOURCE=UBS", "ACT_EST_MAPPING=PRECISE", "FS=MRC", "CURRENCY=USD", "XLFILL=b")</f>
        <v>#N/A Requesting Data...</v>
      </c>
      <c r="AA62" s="6" t="str">
        <f>_xll.BQL("SEG0000230975 Segment", "IS_ADJ_GROSS_MARGIN_PCT_AR", "FPR=2021Y", "FPT=A", "FA_ACT_EST_DATA=E, EST_SOURCE=RBC", "ACT_EST_MAPPING=PRECISE", "FS=MRC", "CURRENCY=USD", "XLFILL=b")</f>
        <v>#N/A Requesting Data...</v>
      </c>
      <c r="AB62" s="6" t="str">
        <f>_xll.BQL("SEG0000230975 Segment", "IS_ADJ_GROSS_MARGIN_PCT_AR", "FPR=2021Y", "FPT=A", "FA_ACT_EST_DATA=E, EST_SOURCE=EVR", "ACT_EST_MAPPING=PRECISE", "FS=MRC", "CURRENCY=USD", "XLFILL=b")</f>
        <v>#N/A Requesting Data...</v>
      </c>
      <c r="AC62" s="6" t="str">
        <f>_xll.BQL("SEG0000230975 Segment", "IS_ADJ_GROSS_MARGIN_PCT_AR", "FPR=2021Y", "FPT=A", "FA_ACT_EST_DATA=E, EST_SOURCE=BNS", "ACT_EST_MAPPING=PRECISE", "FS=MRC", "CURRENCY=USD", "XLFILL=b")</f>
        <v>#N/A Requesting Data...</v>
      </c>
      <c r="AD62" s="6" t="str">
        <f>_xll.BQL("SEG0000230975 Segment", "IS_ADJ_GROSS_MARGIN_PCT_AR", "FPR=2021Y", "FPT=A", "FA_ACT_EST_DATA=E, EST_SOURCE=BAM", "ACT_EST_MAPPING=PRECISE", "FS=MRC", "CURRENCY=USD", "XLFILL=b")</f>
        <v>#N/A Requesting Data...</v>
      </c>
      <c r="AE62" s="6" t="str">
        <f>_xll.BQL("SEG0000230975 Segment", "IS_ADJ_GROSS_MARGIN_PCT_AR", "FPR=2021Y", "FPT=A", "FA_ACT_EST_DATA=E, EST_SOURCE=GSR", "ACT_EST_MAPPING=PRECISE", "FS=MRC", "CURRENCY=USD", "XLFILL=b")</f>
        <v>#N/A Requesting Data...</v>
      </c>
      <c r="AF62" s="6" t="str">
        <f>_xll.BQL("SEG0000230975 Segment", "IS_ADJ_GROSS_MARGIN_PCT_AR", "FPR=2021Y", "FPT=A", "FA_ACT_EST_DATA=E, EST_SOURCE=FBC", "ACT_EST_MAPPING=PRECISE", "FS=MRC", "CURRENCY=USD", "XLFILL=b")</f>
        <v>#N/A Requesting Data...</v>
      </c>
      <c r="AG62" s="6" t="str">
        <f>_xll.BQL("SEG0000230975 Segment", "IS_ADJ_GROSS_MARGIN_PCT_AR", "FPR=2021Y", "FPT=A", "FA_ACT_EST_DATA=E, EST_SOURCE=MAC", "ACT_EST_MAPPING=PRECISE", "FS=MRC", "CURRENCY=USD", "XLFILL=b")</f>
        <v>#N/A Requesting Data...</v>
      </c>
      <c r="AH62" s="6" t="str">
        <f>_xll.BQL("SEG0000230975 Segment", "IS_ADJ_GROSS_MARGIN_PCT_AR", "FPR=2021Y", "FPT=A", "FA_ACT_EST_DATA=E, EST_SOURCE=PSG", "ACT_EST_MAPPING=PRECISE", "FS=MRC", "CURRENCY=USD", "XLFILL=b")</f>
        <v>#N/A Requesting Data...</v>
      </c>
      <c r="AI62" s="6" t="str">
        <f>_xll.BQL("SEG0000230975 Segment", "IS_ADJ_GROSS_MARGIN_PCT_AR", "FPR=2021Y", "FPT=A", "FA_ACT_EST_DATA=E, EST_SOURCE=MSR", "ACT_EST_MAPPING=PRECISE", "FS=MRC", "CURRENCY=USD", "XLFILL=b")</f>
        <v>#N/A Requesting Data...</v>
      </c>
      <c r="AJ62" s="6" t="str">
        <f>_xll.BQL("SEG0000230975 Segment", "IS_ADJ_GROSS_MARGIN_PCT_AR", "FPR=2021Y", "FPT=A", "FA_ACT_EST_DATA=E, EST_SOURCE=JEF", "ACT_EST_MAPPING=PRECISE", "FS=MRC", "CURRENCY=USD", "XLFILL=b")</f>
        <v>#N/A Requesting Data...</v>
      </c>
      <c r="AK62" s="6" t="str">
        <f>_xll.BQL("SEG0000230975 Segment", "IS_ADJ_GROSS_MARGIN_PCT_AR", "FPR=2021Y", "FPT=A", "FA_ACT_EST_DATA=E, EST_SOURCE=TTC", "ACT_EST_MAPPING=PRECISE", "FS=MRC", "CURRENCY=USD", "XLFILL=b")</f>
        <v>#N/A Requesting Data...</v>
      </c>
      <c r="AL62" s="6" t="str">
        <f>_xll.BQL("SEG0000230975 Segment", "IS_ADJ_GROSS_MARGIN_PCT_AR", "FPR=2021Y", "FPT=A", "FA_ACT_EST_DATA=E, EST_SOURCE=RWB", "ACT_EST_MAPPING=PRECISE", "FS=MRC", "CURRENCY=USD", "XLFILL=b")</f>
        <v>#N/A Requesting Data...</v>
      </c>
      <c r="AM62" s="6" t="str">
        <f>_xll.BQL("SEG0000230975 Segment", "IS_ADJ_GROSS_MARGIN_PCT_AR", "FPR=2021Y", "FPT=A", "FA_ACT_EST_DATA=E, EST_SOURCE=DZB", "ACT_EST_MAPPING=PRECISE", "FS=MRC", "CURRENCY=USD", "XLFILL=b")</f>
        <v>#N/A Requesting Data...</v>
      </c>
      <c r="AN62" s="6" t="str">
        <f>_xll.BQL("SEG0000230975 Segment", "IS_ADJ_GROSS_MARGIN_PCT_AR", "FPR=2021Y", "FPT=A", "FA_ACT_EST_DATA=E, EST_SOURCE=DWI", "ACT_EST_MAPPING=PRECISE", "FS=MRC", "CURRENCY=USD", "XLFILL=b")</f>
        <v>#N/A Requesting Data...</v>
      </c>
      <c r="AO62" s="6" t="str">
        <f>_xll.BQL("SEG0000230975 Segment", "IS_ADJ_GROSS_MARGIN_PCT_AR", "FPR=2021Y", "FPT=A", "FA_ACT_EST_DATA=E, EST_SOURCE=ARG", "ACT_EST_MAPPING=PRECISE", "FS=MRC", "CURRENCY=USD", "XLFILL=b")</f>
        <v>#N/A Requesting Data...</v>
      </c>
      <c r="AP62" s="6" t="str">
        <f>_xll.BQL("SEG0000230975 Segment", "IS_ADJ_GROSS_MARGIN_PCT_AR", "FPR=2021Y", "FPT=A", "FA_ACT_EST_DATA=E, EST_SOURCE=CTI", "ACT_EST_MAPPING=PRECISE", "FS=MRC", "CURRENCY=USD", "XLFILL=b")</f>
        <v>#N/A Requesting Data...</v>
      </c>
      <c r="AQ62" s="6" t="str">
        <f>_xll.BQL("SEG0000230975 Segment", "IS_ADJ_GROSS_MARGIN_PCT_AR", "FPR=2021Y", "FPT=A", "FA_ACT_EST_DATA=E, EST_SOURCE=WFT", "ACT_EST_MAPPING=PRECISE", "FS=MRC", "CURRENCY=USD", "XLFILL=b")</f>
        <v>#N/A Requesting Data...</v>
      </c>
      <c r="AR62" s="6" t="str">
        <f>_xll.BQL("SEG0000230975 Segment", "IS_ADJ_GROSS_MARGIN_PCT_AR", "FPR=2021Y", "FPT=A", "FA_ACT_EST_DATA=E, EST_SOURCE=ARE", "ACT_EST_MAPPING=PRECISE", "FS=MRC", "CURRENCY=USD", "XLFILL=b")</f>
        <v>#N/A Requesting Data...</v>
      </c>
      <c r="AS62" s="6" t="str">
        <f>_xll.BQL("SEG0000230975 Segment", "IS_ADJ_GROSS_MARGIN_PCT_AR", "FPR=2021Y", "FPT=A", "FA_ACT_EST_DATA=E, EST_SOURCE=PJE", "ACT_EST_MAPPING=PRECISE", "FS=MRC", "CURRENCY=USD", "XLFILL=b")</f>
        <v>#N/A Requesting Data...</v>
      </c>
      <c r="AT62" s="6" t="str">
        <f>_xll.BQL("SEG0000230975 Segment", "IS_ADJ_GROSS_MARGIN_PCT_AR", "FPR=2021Y", "FPT=A", "FA_ACT_EST_DATA=E, EST_SOURCE=MZS", "ACT_EST_MAPPING=PRECISE", "FS=MRC", "CURRENCY=USD", "XLFILL=b")</f>
        <v>#N/A Requesting Data...</v>
      </c>
      <c r="AU62" s="6" t="str">
        <f>_xll.BQL("SEG0000230975 Segment", "IS_ADJ_GROSS_MARGIN_PCT_AR", "FPR=2021Y", "FPT=A", "FA_ACT_EST_DATA=E, EST_SOURCE=SUM", "ACT_EST_MAPPING=PRECISE", "FS=MRC", "CURRENCY=USD", "XLFILL=b")</f>
        <v>#N/A Requesting Data...</v>
      </c>
      <c r="AV62" s="6" t="str">
        <f>_xll.BQL("SEG0000230975 Segment", "IS_ADJ_GROSS_MARGIN_PCT_AR", "FPR=2021Y", "FPT=A", "FA_ACT_EST_DATA=E, EST_SOURCE=CRC", "ACT_EST_MAPPING=PRECISE", "FS=MRC", "CURRENCY=USD", "XLFILL=b")</f>
        <v>#N/A Requesting Data...</v>
      </c>
      <c r="AW62" s="6" t="str">
        <f>_xll.BQL("SEG0000230975 Segment", "IS_ADJ_GROSS_MARGIN_PCT_AR", "FPR=2021Y", "FPT=A", "FA_ACT_EST_DATA=E, EST_SOURCE=SCB", "ACT_EST_MAPPING=PRECISE", "FS=MRC", "CURRENCY=USD", "XLFILL=b")</f>
        <v>#N/A Requesting Data...</v>
      </c>
    </row>
    <row r="63" spans="1:49" x14ac:dyDescent="0.55000000000000004">
      <c r="A63" s="5" t="s">
        <v>111</v>
      </c>
      <c r="B63" s="2" t="s">
        <v>112</v>
      </c>
      <c r="C63" s="2" t="s">
        <v>113</v>
      </c>
      <c r="D63" s="2" t="s">
        <v>37</v>
      </c>
      <c r="E63" s="6" t="str">
        <f>_xll.BQL("SEG0000230975 Segment", "CB_IS_GROSS_PROFIT/1M", "FPR=2021Y", "FPT=A", "FA_ACT_EST_DATA=E", "ACT_EST_MAPPING=PRECISE", "FS=MRC", "CURRENCY=USD", "XLFILL=b")</f>
        <v>#N/A Requesting Data...</v>
      </c>
      <c r="F63" s="6" t="str">
        <f>_xll.BQL("SEG0000230975 Segment", "CONTRIBUTOR_STATS(CB_IS_GROSS_PROFIT, MIN)/1M", "FPR=2021Y", "FPT=A", "FA_ACT_EST_DATA=E", "ACT_EST_MAPPING=PRECISE", "FS=MRC", "CURRENCY=USD", "XLFILL=b")</f>
        <v>#N/A Requesting Data...</v>
      </c>
      <c r="G63" s="6" t="str">
        <f>_xll.BQL("SEG0000230975 Segment", "CONTRIBUTOR_STATS(CB_IS_GROSS_PROFIT, MAX)/1M", "FPR=2021Y", "FPT=A", "FA_ACT_EST_DATA=E", "ACT_EST_MAPPING=PRECISE", "FS=MRC", "CURRENCY=USD", "XLFILL=b")</f>
        <v>#N/A Requesting Data...</v>
      </c>
      <c r="H63" s="6" t="str">
        <f>_xll.BQL("SEG0000230975 Segment", "CONTRIBUTOR_STATS(CB_IS_GROSS_PROFIT, STD)/1M", "FPR=2021Y", "FPT=A", "FA_ACT_EST_DATA=E", "ACT_EST_MAPPING=PRECISE", "FS=MRC", "CURRENCY=USD", "XLFILL=b")</f>
        <v>#N/A Requesting Data...</v>
      </c>
      <c r="I63" s="6" t="str">
        <f>_xll.BQL("SEG0000230975 Segment", "CONTRIBUTOR_STATS(CB_IS_GROSS_PROFIT, MEDIAN)/1M", "FPR=2021Y", "FPT=A", "FA_ACT_EST_DATA=E", "ACT_EST_MAPPING=PRECISE", "FS=MRC", "CURRENCY=USD", "XLFILL=b")</f>
        <v>#N/A Requesting Data...</v>
      </c>
      <c r="J63" s="6" t="str">
        <f>_xll.BQL("SEG0000230975 Segment", "CB_IS_GROSS_PROFIT/1M", "FPR=2021Y", "FPT=A", "FA_ACT_EST_DATA=E, EST_SOURCE=CMPY", "ACT_EST_MAPPING=PRECISE", "FS=MRC", "CURRENCY=USD", "XLFILL=b")</f>
        <v>#N/A Requesting Data...</v>
      </c>
      <c r="K63" s="6" t="str">
        <f>_xll.BQL("SEG0000230975 Segment", "CB_IS_GROSS_PROFIT/1M", "FPR=2021Y", "FPT=A", "FA_ACT_EST_DATA=E, EST_SOURCE=JPM", "ACT_EST_MAPPING=PRECISE", "FS=MRC", "CURRENCY=USD", "XLFILL=b")</f>
        <v>#N/A Requesting Data...</v>
      </c>
      <c r="L63" s="6" t="str">
        <f>_xll.BQL("SEG0000230975 Segment", "CB_IS_GROSS_PROFIT/1M", "FPR=2021Y", "FPT=A", "FA_ACT_EST_DATA=E, EST_SOURCE=WBL", "ACT_EST_MAPPING=PRECISE", "FS=MRC", "CURRENCY=USD", "XLFILL=b")</f>
        <v>#N/A Requesting Data...</v>
      </c>
      <c r="M63" s="6" t="str">
        <f>_xll.BQL("SEG0000230975 Segment", "CB_IS_GROSS_PROFIT/1M", "FPR=2021Y", "FPT=A", "FA_ACT_EST_DATA=E, EST_SOURCE=KEY", "ACT_EST_MAPPING=PRECISE", "FS=MRC", "CURRENCY=USD", "XLFILL=b")</f>
        <v>#N/A Requesting Data...</v>
      </c>
      <c r="N63" s="6" t="str">
        <f>_xll.BQL("SEG0000230975 Segment", "CB_IS_GROSS_PROFIT/1M", "FPR=2021Y", "FPT=A", "FA_ACT_EST_DATA=E, EST_SOURCE=BMO", "ACT_EST_MAPPING=PRECISE", "FS=MRC", "CURRENCY=USD", "XLFILL=b")</f>
        <v>#N/A Requesting Data...</v>
      </c>
      <c r="O63" s="6" t="str">
        <f>_xll.BQL("SEG0000230975 Segment", "CB_IS_GROSS_PROFIT/1M", "FPR=2021Y", "FPT=A", "FA_ACT_EST_DATA=E, EST_SOURCE=OPY", "ACT_EST_MAPPING=PRECISE", "FS=MRC", "CURRENCY=USD", "XLFILL=b")</f>
        <v>#N/A Requesting Data...</v>
      </c>
      <c r="P63" s="6" t="str">
        <f>_xll.BQL("SEG0000230975 Segment", "CB_IS_GROSS_PROFIT/1M", "FPR=2021Y", "FPT=A", "FA_ACT_EST_DATA=E, EST_SOURCE=BCA", "ACT_EST_MAPPING=PRECISE", "FS=MRC", "CURRENCY=USD", "XLFILL=b")</f>
        <v>#N/A Requesting Data...</v>
      </c>
      <c r="Q63" s="6" t="str">
        <f>_xll.BQL("SEG0000230975 Segment", "CB_IS_GROSS_PROFIT/1M", "FPR=2021Y", "FPT=A", "FA_ACT_EST_DATA=E, EST_SOURCE=RHR", "ACT_EST_MAPPING=PRECISE", "FS=MRC", "CURRENCY=USD", "XLFILL=b")</f>
        <v>#N/A Requesting Data...</v>
      </c>
      <c r="R63" s="6" t="str">
        <f>_xll.BQL("SEG0000230975 Segment", "CB_IS_GROSS_PROFIT/1M", "FPR=2021Y", "FPT=A", "FA_ACT_EST_DATA=E, EST_SOURCE=SNR", "ACT_EST_MAPPING=PRECISE", "FS=MRC", "CURRENCY=USD", "XLFILL=b")</f>
        <v>#N/A Requesting Data...</v>
      </c>
      <c r="S63" s="6" t="str">
        <f>_xll.BQL("SEG0000230975 Segment", "CB_IS_GROSS_PROFIT/1M", "FPR=2021Y", "FPT=A", "FA_ACT_EST_DATA=E, EST_SOURCE=MSV", "ACT_EST_MAPPING=PRECISE", "FS=MRC", "CURRENCY=USD", "XLFILL=b")</f>
        <v>#N/A Requesting Data...</v>
      </c>
      <c r="T63" s="6" t="str">
        <f>_xll.BQL("SEG0000230975 Segment", "CB_IS_GROSS_PROFIT/1M", "FPR=2021Y", "FPT=A", "FA_ACT_EST_DATA=E, EST_SOURCE=CAN", "ACT_EST_MAPPING=PRECISE", "FS=MRC", "CURRENCY=USD", "XLFILL=b")</f>
        <v>#N/A Requesting Data...</v>
      </c>
      <c r="U63" s="6" t="str">
        <f>_xll.BQL("SEG0000230975 Segment", "CB_IS_GROSS_PROFIT/1M", "FPR=2021Y", "FPT=A", "FA_ACT_EST_DATA=E, EST_SOURCE=JMP", "ACT_EST_MAPPING=PRECISE", "FS=MRC", "CURRENCY=USD", "XLFILL=b")</f>
        <v>#N/A Requesting Data...</v>
      </c>
      <c r="V63" s="6" t="str">
        <f>_xll.BQL("SEG0000230975 Segment", "CB_IS_GROSS_PROFIT/1M", "FPR=2021Y", "FPT=A", "FA_ACT_EST_DATA=E, EST_SOURCE=NDH", "ACT_EST_MAPPING=PRECISE", "FS=MRC", "CURRENCY=USD", "XLFILL=b")</f>
        <v>#N/A Requesting Data...</v>
      </c>
      <c r="W63" s="6" t="str">
        <f>_xll.BQL("SEG0000230975 Segment", "CB_IS_GROSS_PROFIT/1M", "FPR=2021Y", "FPT=A", "FA_ACT_EST_DATA=E, EST_SOURCE=ZXS", "ACT_EST_MAPPING=PRECISE", "FS=MRC", "CURRENCY=USD", "XLFILL=b")</f>
        <v>#N/A Requesting Data...</v>
      </c>
      <c r="X63" s="6" t="str">
        <f>_xll.BQL("SEG0000230975 Segment", "CB_IS_GROSS_PROFIT/1M", "FPR=2021Y", "FPT=A", "FA_ACT_EST_DATA=E, EST_SOURCE=CWN", "ACT_EST_MAPPING=PRECISE", "FS=MRC", "CURRENCY=USD", "XLFILL=b")</f>
        <v>#N/A Requesting Data...</v>
      </c>
      <c r="Y63" s="6" t="str">
        <f>_xll.BQL("SEG0000230975 Segment", "CB_IS_GROSS_PROFIT/1M", "FPR=2021Y", "FPT=A", "FA_ACT_EST_DATA=E, EST_SOURCE=DBG", "ACT_EST_MAPPING=PRECISE", "FS=MRC", "CURRENCY=USD", "XLFILL=b")</f>
        <v>#N/A Requesting Data...</v>
      </c>
      <c r="Z63" s="6" t="str">
        <f>_xll.BQL("SEG0000230975 Segment", "CB_IS_GROSS_PROFIT/1M", "FPR=2021Y", "FPT=A", "FA_ACT_EST_DATA=E, EST_SOURCE=UBS", "ACT_EST_MAPPING=PRECISE", "FS=MRC", "CURRENCY=USD", "XLFILL=b")</f>
        <v>#N/A Requesting Data...</v>
      </c>
      <c r="AA63" s="6" t="str">
        <f>_xll.BQL("SEG0000230975 Segment", "CB_IS_GROSS_PROFIT/1M", "FPR=2021Y", "FPT=A", "FA_ACT_EST_DATA=E, EST_SOURCE=RBC", "ACT_EST_MAPPING=PRECISE", "FS=MRC", "CURRENCY=USD", "XLFILL=b")</f>
        <v>#N/A Requesting Data...</v>
      </c>
      <c r="AB63" s="6" t="str">
        <f>_xll.BQL("SEG0000230975 Segment", "CB_IS_GROSS_PROFIT/1M", "FPR=2021Y", "FPT=A", "FA_ACT_EST_DATA=E, EST_SOURCE=EVR", "ACT_EST_MAPPING=PRECISE", "FS=MRC", "CURRENCY=USD", "XLFILL=b")</f>
        <v>#N/A Requesting Data...</v>
      </c>
      <c r="AC63" s="6" t="str">
        <f>_xll.BQL("SEG0000230975 Segment", "CB_IS_GROSS_PROFIT/1M", "FPR=2021Y", "FPT=A", "FA_ACT_EST_DATA=E, EST_SOURCE=BNS", "ACT_EST_MAPPING=PRECISE", "FS=MRC", "CURRENCY=USD", "XLFILL=b")</f>
        <v>#N/A Requesting Data...</v>
      </c>
      <c r="AD63" s="6" t="str">
        <f>_xll.BQL("SEG0000230975 Segment", "CB_IS_GROSS_PROFIT/1M", "FPR=2021Y", "FPT=A", "FA_ACT_EST_DATA=E, EST_SOURCE=BAM", "ACT_EST_MAPPING=PRECISE", "FS=MRC", "CURRENCY=USD", "XLFILL=b")</f>
        <v>#N/A Requesting Data...</v>
      </c>
      <c r="AE63" s="6" t="str">
        <f>_xll.BQL("SEG0000230975 Segment", "CB_IS_GROSS_PROFIT/1M", "FPR=2021Y", "FPT=A", "FA_ACT_EST_DATA=E, EST_SOURCE=GSR", "ACT_EST_MAPPING=PRECISE", "FS=MRC", "CURRENCY=USD", "XLFILL=b")</f>
        <v>#N/A Requesting Data...</v>
      </c>
      <c r="AF63" s="6" t="str">
        <f>_xll.BQL("SEG0000230975 Segment", "CB_IS_GROSS_PROFIT/1M", "FPR=2021Y", "FPT=A", "FA_ACT_EST_DATA=E, EST_SOURCE=FBC", "ACT_EST_MAPPING=PRECISE", "FS=MRC", "CURRENCY=USD", "XLFILL=b")</f>
        <v>#N/A Requesting Data...</v>
      </c>
      <c r="AG63" s="6" t="str">
        <f>_xll.BQL("SEG0000230975 Segment", "CB_IS_GROSS_PROFIT/1M", "FPR=2021Y", "FPT=A", "FA_ACT_EST_DATA=E, EST_SOURCE=MAC", "ACT_EST_MAPPING=PRECISE", "FS=MRC", "CURRENCY=USD", "XLFILL=b")</f>
        <v>#N/A Requesting Data...</v>
      </c>
      <c r="AH63" s="6" t="str">
        <f>_xll.BQL("SEG0000230975 Segment", "CB_IS_GROSS_PROFIT/1M", "FPR=2021Y", "FPT=A", "FA_ACT_EST_DATA=E, EST_SOURCE=PSG", "ACT_EST_MAPPING=PRECISE", "FS=MRC", "CURRENCY=USD", "XLFILL=b")</f>
        <v>#N/A Requesting Data...</v>
      </c>
      <c r="AI63" s="6" t="str">
        <f>_xll.BQL("SEG0000230975 Segment", "CB_IS_GROSS_PROFIT/1M", "FPR=2021Y", "FPT=A", "FA_ACT_EST_DATA=E, EST_SOURCE=MSR", "ACT_EST_MAPPING=PRECISE", "FS=MRC", "CURRENCY=USD", "XLFILL=b")</f>
        <v>#N/A Requesting Data...</v>
      </c>
      <c r="AJ63" s="6" t="str">
        <f>_xll.BQL("SEG0000230975 Segment", "CB_IS_GROSS_PROFIT/1M", "FPR=2021Y", "FPT=A", "FA_ACT_EST_DATA=E, EST_SOURCE=JEF", "ACT_EST_MAPPING=PRECISE", "FS=MRC", "CURRENCY=USD", "XLFILL=b")</f>
        <v>#N/A Requesting Data...</v>
      </c>
      <c r="AK63" s="6" t="str">
        <f>_xll.BQL("SEG0000230975 Segment", "CB_IS_GROSS_PROFIT/1M", "FPR=2021Y", "FPT=A", "FA_ACT_EST_DATA=E, EST_SOURCE=TTC", "ACT_EST_MAPPING=PRECISE", "FS=MRC", "CURRENCY=USD", "XLFILL=b")</f>
        <v>#N/A Requesting Data...</v>
      </c>
      <c r="AL63" s="6" t="str">
        <f>_xll.BQL("SEG0000230975 Segment", "CB_IS_GROSS_PROFIT/1M", "FPR=2021Y", "FPT=A", "FA_ACT_EST_DATA=E, EST_SOURCE=RWB", "ACT_EST_MAPPING=PRECISE", "FS=MRC", "CURRENCY=USD", "XLFILL=b")</f>
        <v>#N/A Requesting Data...</v>
      </c>
      <c r="AM63" s="6" t="str">
        <f>_xll.BQL("SEG0000230975 Segment", "CB_IS_GROSS_PROFIT/1M", "FPR=2021Y", "FPT=A", "FA_ACT_EST_DATA=E, EST_SOURCE=DZB", "ACT_EST_MAPPING=PRECISE", "FS=MRC", "CURRENCY=USD", "XLFILL=b")</f>
        <v>#N/A Requesting Data...</v>
      </c>
      <c r="AN63" s="6" t="str">
        <f>_xll.BQL("SEG0000230975 Segment", "CB_IS_GROSS_PROFIT/1M", "FPR=2021Y", "FPT=A", "FA_ACT_EST_DATA=E, EST_SOURCE=DWI", "ACT_EST_MAPPING=PRECISE", "FS=MRC", "CURRENCY=USD", "XLFILL=b")</f>
        <v>#N/A Requesting Data...</v>
      </c>
      <c r="AO63" s="6" t="str">
        <f>_xll.BQL("SEG0000230975 Segment", "CB_IS_GROSS_PROFIT/1M", "FPR=2021Y", "FPT=A", "FA_ACT_EST_DATA=E, EST_SOURCE=ARG", "ACT_EST_MAPPING=PRECISE", "FS=MRC", "CURRENCY=USD", "XLFILL=b")</f>
        <v>#N/A Requesting Data...</v>
      </c>
      <c r="AP63" s="6" t="str">
        <f>_xll.BQL("SEG0000230975 Segment", "CB_IS_GROSS_PROFIT/1M", "FPR=2021Y", "FPT=A", "FA_ACT_EST_DATA=E, EST_SOURCE=CTI", "ACT_EST_MAPPING=PRECISE", "FS=MRC", "CURRENCY=USD", "XLFILL=b")</f>
        <v>#N/A Requesting Data...</v>
      </c>
      <c r="AQ63" s="6" t="str">
        <f>_xll.BQL("SEG0000230975 Segment", "CB_IS_GROSS_PROFIT/1M", "FPR=2021Y", "FPT=A", "FA_ACT_EST_DATA=E, EST_SOURCE=WFT", "ACT_EST_MAPPING=PRECISE", "FS=MRC", "CURRENCY=USD", "XLFILL=b")</f>
        <v>#N/A Requesting Data...</v>
      </c>
      <c r="AR63" s="6" t="str">
        <f>_xll.BQL("SEG0000230975 Segment", "CB_IS_GROSS_PROFIT/1M", "FPR=2021Y", "FPT=A", "FA_ACT_EST_DATA=E, EST_SOURCE=ARE", "ACT_EST_MAPPING=PRECISE", "FS=MRC", "CURRENCY=USD", "XLFILL=b")</f>
        <v>#N/A Requesting Data...</v>
      </c>
      <c r="AS63" s="6" t="str">
        <f>_xll.BQL("SEG0000230975 Segment", "CB_IS_GROSS_PROFIT/1M", "FPR=2021Y", "FPT=A", "FA_ACT_EST_DATA=E, EST_SOURCE=PJE", "ACT_EST_MAPPING=PRECISE", "FS=MRC", "CURRENCY=USD", "XLFILL=b")</f>
        <v>#N/A Requesting Data...</v>
      </c>
      <c r="AT63" s="6" t="str">
        <f>_xll.BQL("SEG0000230975 Segment", "CB_IS_GROSS_PROFIT/1M", "FPR=2021Y", "FPT=A", "FA_ACT_EST_DATA=E, EST_SOURCE=MZS", "ACT_EST_MAPPING=PRECISE", "FS=MRC", "CURRENCY=USD", "XLFILL=b")</f>
        <v>#N/A Requesting Data...</v>
      </c>
      <c r="AU63" s="6" t="str">
        <f>_xll.BQL("SEG0000230975 Segment", "CB_IS_GROSS_PROFIT/1M", "FPR=2021Y", "FPT=A", "FA_ACT_EST_DATA=E, EST_SOURCE=SUM", "ACT_EST_MAPPING=PRECISE", "FS=MRC", "CURRENCY=USD", "XLFILL=b")</f>
        <v>#N/A Requesting Data...</v>
      </c>
      <c r="AV63" s="6" t="str">
        <f>_xll.BQL("SEG0000230975 Segment", "CB_IS_GROSS_PROFIT/1M", "FPR=2021Y", "FPT=A", "FA_ACT_EST_DATA=E, EST_SOURCE=CRC", "ACT_EST_MAPPING=PRECISE", "FS=MRC", "CURRENCY=USD", "XLFILL=b")</f>
        <v>#N/A Requesting Data...</v>
      </c>
      <c r="AW63" s="6" t="str">
        <f>_xll.BQL("SEG0000230975 Segment", "CB_IS_GROSS_PROFIT/1M", "FPR=2021Y", "FPT=A", "FA_ACT_EST_DATA=E, EST_SOURCE=SCB", "ACT_EST_MAPPING=PRECISE", "FS=MRC", "CURRENCY=USD", "XLFILL=b")</f>
        <v>#N/A Requesting Data...</v>
      </c>
    </row>
    <row r="64" spans="1:49" x14ac:dyDescent="0.55000000000000004">
      <c r="A64" s="5" t="s">
        <v>110</v>
      </c>
      <c r="B64" s="2" t="s">
        <v>114</v>
      </c>
      <c r="C64" s="2" t="s">
        <v>48</v>
      </c>
      <c r="D64" s="2" t="s">
        <v>37</v>
      </c>
      <c r="E64" s="6" t="str">
        <f>_xll.BQL("SEG0000230975 Segment", "CB_IS_GROSS_MARGIN", "FPR=2021Y", "FPT=A", "FA_ACT_EST_DATA=E", "ACT_EST_MAPPING=PRECISE", "FS=MRC", "CURRENCY=USD", "XLFILL=b")</f>
        <v>#N/A Requesting Data...</v>
      </c>
      <c r="F64" s="6" t="str">
        <f>_xll.BQL("SEG0000230975 Segment", "CONTRIBUTOR_STATS(CB_IS_GROSS_MARGIN, MIN)", "FPR=2021Y", "FPT=A", "FA_ACT_EST_DATA=E", "ACT_EST_MAPPING=PRECISE", "FS=MRC", "CURRENCY=USD", "XLFILL=b")</f>
        <v>#N/A Requesting Data...</v>
      </c>
      <c r="G64" s="6" t="str">
        <f>_xll.BQL("SEG0000230975 Segment", "CONTRIBUTOR_STATS(CB_IS_GROSS_MARGIN, MAX)", "FPR=2021Y", "FPT=A", "FA_ACT_EST_DATA=E", "ACT_EST_MAPPING=PRECISE", "FS=MRC", "CURRENCY=USD", "XLFILL=b")</f>
        <v>#N/A Requesting Data...</v>
      </c>
      <c r="H64" s="6">
        <f>_xll.BQL("SEG0000230975 Segment", "CONTRIBUTOR_STATS(CB_IS_GROSS_MARGIN, STD)", "FPR=2021Y", "FPT=A", "FA_ACT_EST_DATA=E", "ACT_EST_MAPPING=PRECISE", "FS=MRC", "CURRENCY=USD", "XLFILL=b")</f>
        <v>9.1002575428021634E-2</v>
      </c>
      <c r="I64" s="6" t="str">
        <f>_xll.BQL("SEG0000230975 Segment", "CONTRIBUTOR_STATS(CB_IS_GROSS_MARGIN, MEDIAN)", "FPR=2021Y", "FPT=A", "FA_ACT_EST_DATA=E", "ACT_EST_MAPPING=PRECISE", "FS=MRC", "CURRENCY=USD", "XLFILL=b")</f>
        <v>#N/A Requesting Data...</v>
      </c>
      <c r="J64" s="6" t="str">
        <f>_xll.BQL("SEG0000230975 Segment", "CB_IS_GROSS_MARGIN", "FPR=2021Y", "FPT=A", "FA_ACT_EST_DATA=E, EST_SOURCE=CMPY", "ACT_EST_MAPPING=PRECISE", "FS=MRC", "CURRENCY=USD", "XLFILL=b")</f>
        <v>#N/A Requesting Data...</v>
      </c>
      <c r="K64" s="6" t="str">
        <f>_xll.BQL("SEG0000230975 Segment", "CB_IS_GROSS_MARGIN", "FPR=2021Y", "FPT=A", "FA_ACT_EST_DATA=E, EST_SOURCE=JPM", "ACT_EST_MAPPING=PRECISE", "FS=MRC", "CURRENCY=USD", "XLFILL=b")</f>
        <v>#N/A Requesting Data...</v>
      </c>
      <c r="L64" s="6" t="str">
        <f>_xll.BQL("SEG0000230975 Segment", "CB_IS_GROSS_MARGIN", "FPR=2021Y", "FPT=A", "FA_ACT_EST_DATA=E, EST_SOURCE=WBL", "ACT_EST_MAPPING=PRECISE", "FS=MRC", "CURRENCY=USD", "XLFILL=b")</f>
        <v>#N/A Requesting Data...</v>
      </c>
      <c r="M64" s="6" t="str">
        <f>_xll.BQL("SEG0000230975 Segment", "CB_IS_GROSS_MARGIN", "FPR=2021Y", "FPT=A", "FA_ACT_EST_DATA=E, EST_SOURCE=KEY", "ACT_EST_MAPPING=PRECISE", "FS=MRC", "CURRENCY=USD", "XLFILL=b")</f>
        <v>#N/A Requesting Data...</v>
      </c>
      <c r="N64" s="6" t="str">
        <f>_xll.BQL("SEG0000230975 Segment", "CB_IS_GROSS_MARGIN", "FPR=2021Y", "FPT=A", "FA_ACT_EST_DATA=E, EST_SOURCE=BMO", "ACT_EST_MAPPING=PRECISE", "FS=MRC", "CURRENCY=USD", "XLFILL=b")</f>
        <v>#N/A Requesting Data...</v>
      </c>
      <c r="O64" s="6" t="str">
        <f>_xll.BQL("SEG0000230975 Segment", "CB_IS_GROSS_MARGIN", "FPR=2021Y", "FPT=A", "FA_ACT_EST_DATA=E, EST_SOURCE=OPY", "ACT_EST_MAPPING=PRECISE", "FS=MRC", "CURRENCY=USD", "XLFILL=b")</f>
        <v>#N/A Requesting Data...</v>
      </c>
      <c r="P64" s="6" t="str">
        <f>_xll.BQL("SEG0000230975 Segment", "CB_IS_GROSS_MARGIN", "FPR=2021Y", "FPT=A", "FA_ACT_EST_DATA=E, EST_SOURCE=BCA", "ACT_EST_MAPPING=PRECISE", "FS=MRC", "CURRENCY=USD", "XLFILL=b")</f>
        <v>#N/A Requesting Data...</v>
      </c>
      <c r="Q64" s="6" t="str">
        <f>_xll.BQL("SEG0000230975 Segment", "CB_IS_GROSS_MARGIN", "FPR=2021Y", "FPT=A", "FA_ACT_EST_DATA=E, EST_SOURCE=RHR", "ACT_EST_MAPPING=PRECISE", "FS=MRC", "CURRENCY=USD", "XLFILL=b")</f>
        <v>#N/A Requesting Data...</v>
      </c>
      <c r="R64" s="6" t="str">
        <f>_xll.BQL("SEG0000230975 Segment", "CB_IS_GROSS_MARGIN", "FPR=2021Y", "FPT=A", "FA_ACT_EST_DATA=E, EST_SOURCE=SNR", "ACT_EST_MAPPING=PRECISE", "FS=MRC", "CURRENCY=USD", "XLFILL=b")</f>
        <v>#N/A Requesting Data...</v>
      </c>
      <c r="S64" s="6" t="str">
        <f>_xll.BQL("SEG0000230975 Segment", "CB_IS_GROSS_MARGIN", "FPR=2021Y", "FPT=A", "FA_ACT_EST_DATA=E, EST_SOURCE=MSV", "ACT_EST_MAPPING=PRECISE", "FS=MRC", "CURRENCY=USD", "XLFILL=b")</f>
        <v>#N/A Requesting Data...</v>
      </c>
      <c r="T64" s="6" t="str">
        <f>_xll.BQL("SEG0000230975 Segment", "CB_IS_GROSS_MARGIN", "FPR=2021Y", "FPT=A", "FA_ACT_EST_DATA=E, EST_SOURCE=CAN", "ACT_EST_MAPPING=PRECISE", "FS=MRC", "CURRENCY=USD", "XLFILL=b")</f>
        <v>#N/A Requesting Data...</v>
      </c>
      <c r="U64" s="6" t="str">
        <f>_xll.BQL("SEG0000230975 Segment", "CB_IS_GROSS_MARGIN", "FPR=2021Y", "FPT=A", "FA_ACT_EST_DATA=E, EST_SOURCE=JMP", "ACT_EST_MAPPING=PRECISE", "FS=MRC", "CURRENCY=USD", "XLFILL=b")</f>
        <v>#N/A Requesting Data...</v>
      </c>
      <c r="V64" s="6" t="str">
        <f>_xll.BQL("SEG0000230975 Segment", "CB_IS_GROSS_MARGIN", "FPR=2021Y", "FPT=A", "FA_ACT_EST_DATA=E, EST_SOURCE=NDH", "ACT_EST_MAPPING=PRECISE", "FS=MRC", "CURRENCY=USD", "XLFILL=b")</f>
        <v>#N/A Requesting Data...</v>
      </c>
      <c r="W64" s="6" t="str">
        <f>_xll.BQL("SEG0000230975 Segment", "CB_IS_GROSS_MARGIN", "FPR=2021Y", "FPT=A", "FA_ACT_EST_DATA=E, EST_SOURCE=ZXS", "ACT_EST_MAPPING=PRECISE", "FS=MRC", "CURRENCY=USD", "XLFILL=b")</f>
        <v>#N/A Requesting Data...</v>
      </c>
      <c r="X64" s="6" t="str">
        <f>_xll.BQL("SEG0000230975 Segment", "CB_IS_GROSS_MARGIN", "FPR=2021Y", "FPT=A", "FA_ACT_EST_DATA=E, EST_SOURCE=CWN", "ACT_EST_MAPPING=PRECISE", "FS=MRC", "CURRENCY=USD", "XLFILL=b")</f>
        <v>#N/A Requesting Data...</v>
      </c>
      <c r="Y64" s="6" t="str">
        <f>_xll.BQL("SEG0000230975 Segment", "CB_IS_GROSS_MARGIN", "FPR=2021Y", "FPT=A", "FA_ACT_EST_DATA=E, EST_SOURCE=DBG", "ACT_EST_MAPPING=PRECISE", "FS=MRC", "CURRENCY=USD", "XLFILL=b")</f>
        <v>#N/A Requesting Data...</v>
      </c>
      <c r="Z64" s="6" t="str">
        <f>_xll.BQL("SEG0000230975 Segment", "CB_IS_GROSS_MARGIN", "FPR=2021Y", "FPT=A", "FA_ACT_EST_DATA=E, EST_SOURCE=UBS", "ACT_EST_MAPPING=PRECISE", "FS=MRC", "CURRENCY=USD", "XLFILL=b")</f>
        <v>#N/A Requesting Data...</v>
      </c>
      <c r="AA64" s="6" t="str">
        <f>_xll.BQL("SEG0000230975 Segment", "CB_IS_GROSS_MARGIN", "FPR=2021Y", "FPT=A", "FA_ACT_EST_DATA=E, EST_SOURCE=RBC", "ACT_EST_MAPPING=PRECISE", "FS=MRC", "CURRENCY=USD", "XLFILL=b")</f>
        <v>#N/A Requesting Data...</v>
      </c>
      <c r="AB64" s="6" t="str">
        <f>_xll.BQL("SEG0000230975 Segment", "CB_IS_GROSS_MARGIN", "FPR=2021Y", "FPT=A", "FA_ACT_EST_DATA=E, EST_SOURCE=EVR", "ACT_EST_MAPPING=PRECISE", "FS=MRC", "CURRENCY=USD", "XLFILL=b")</f>
        <v>#N/A Requesting Data...</v>
      </c>
      <c r="AC64" s="6" t="str">
        <f>_xll.BQL("SEG0000230975 Segment", "CB_IS_GROSS_MARGIN", "FPR=2021Y", "FPT=A", "FA_ACT_EST_DATA=E, EST_SOURCE=BNS", "ACT_EST_MAPPING=PRECISE", "FS=MRC", "CURRENCY=USD", "XLFILL=b")</f>
        <v>#N/A Requesting Data...</v>
      </c>
      <c r="AD64" s="6" t="str">
        <f>_xll.BQL("SEG0000230975 Segment", "CB_IS_GROSS_MARGIN", "FPR=2021Y", "FPT=A", "FA_ACT_EST_DATA=E, EST_SOURCE=BAM", "ACT_EST_MAPPING=PRECISE", "FS=MRC", "CURRENCY=USD", "XLFILL=b")</f>
        <v>#N/A Requesting Data...</v>
      </c>
      <c r="AE64" s="6" t="str">
        <f>_xll.BQL("SEG0000230975 Segment", "CB_IS_GROSS_MARGIN", "FPR=2021Y", "FPT=A", "FA_ACT_EST_DATA=E, EST_SOURCE=GSR", "ACT_EST_MAPPING=PRECISE", "FS=MRC", "CURRENCY=USD", "XLFILL=b")</f>
        <v>#N/A Requesting Data...</v>
      </c>
      <c r="AF64" s="6" t="str">
        <f>_xll.BQL("SEG0000230975 Segment", "CB_IS_GROSS_MARGIN", "FPR=2021Y", "FPT=A", "FA_ACT_EST_DATA=E, EST_SOURCE=FBC", "ACT_EST_MAPPING=PRECISE", "FS=MRC", "CURRENCY=USD", "XLFILL=b")</f>
        <v>#N/A Requesting Data...</v>
      </c>
      <c r="AG64" s="6" t="str">
        <f>_xll.BQL("SEG0000230975 Segment", "CB_IS_GROSS_MARGIN", "FPR=2021Y", "FPT=A", "FA_ACT_EST_DATA=E, EST_SOURCE=MAC", "ACT_EST_MAPPING=PRECISE", "FS=MRC", "CURRENCY=USD", "XLFILL=b")</f>
        <v>#N/A Requesting Data...</v>
      </c>
      <c r="AH64" s="6" t="str">
        <f>_xll.BQL("SEG0000230975 Segment", "CB_IS_GROSS_MARGIN", "FPR=2021Y", "FPT=A", "FA_ACT_EST_DATA=E, EST_SOURCE=PSG", "ACT_EST_MAPPING=PRECISE", "FS=MRC", "CURRENCY=USD", "XLFILL=b")</f>
        <v>#N/A Requesting Data...</v>
      </c>
      <c r="AI64" s="6" t="str">
        <f>_xll.BQL("SEG0000230975 Segment", "CB_IS_GROSS_MARGIN", "FPR=2021Y", "FPT=A", "FA_ACT_EST_DATA=E, EST_SOURCE=MSR", "ACT_EST_MAPPING=PRECISE", "FS=MRC", "CURRENCY=USD", "XLFILL=b")</f>
        <v>#N/A Requesting Data...</v>
      </c>
      <c r="AJ64" s="6" t="str">
        <f>_xll.BQL("SEG0000230975 Segment", "CB_IS_GROSS_MARGIN", "FPR=2021Y", "FPT=A", "FA_ACT_EST_DATA=E, EST_SOURCE=JEF", "ACT_EST_MAPPING=PRECISE", "FS=MRC", "CURRENCY=USD", "XLFILL=b")</f>
        <v>#N/A Requesting Data...</v>
      </c>
      <c r="AK64" s="6" t="str">
        <f>_xll.BQL("SEG0000230975 Segment", "CB_IS_GROSS_MARGIN", "FPR=2021Y", "FPT=A", "FA_ACT_EST_DATA=E, EST_SOURCE=TTC", "ACT_EST_MAPPING=PRECISE", "FS=MRC", "CURRENCY=USD", "XLFILL=b")</f>
        <v>#N/A Requesting Data...</v>
      </c>
      <c r="AL64" s="6" t="str">
        <f>_xll.BQL("SEG0000230975 Segment", "CB_IS_GROSS_MARGIN", "FPR=2021Y", "FPT=A", "FA_ACT_EST_DATA=E, EST_SOURCE=RWB", "ACT_EST_MAPPING=PRECISE", "FS=MRC", "CURRENCY=USD", "XLFILL=b")</f>
        <v>#N/A Requesting Data...</v>
      </c>
      <c r="AM64" s="6" t="str">
        <f>_xll.BQL("SEG0000230975 Segment", "CB_IS_GROSS_MARGIN", "FPR=2021Y", "FPT=A", "FA_ACT_EST_DATA=E, EST_SOURCE=DZB", "ACT_EST_MAPPING=PRECISE", "FS=MRC", "CURRENCY=USD", "XLFILL=b")</f>
        <v>#N/A Requesting Data...</v>
      </c>
      <c r="AN64" s="6" t="str">
        <f>_xll.BQL("SEG0000230975 Segment", "CB_IS_GROSS_MARGIN", "FPR=2021Y", "FPT=A", "FA_ACT_EST_DATA=E, EST_SOURCE=DWI", "ACT_EST_MAPPING=PRECISE", "FS=MRC", "CURRENCY=USD", "XLFILL=b")</f>
        <v>#N/A Requesting Data...</v>
      </c>
      <c r="AO64" s="6" t="str">
        <f>_xll.BQL("SEG0000230975 Segment", "CB_IS_GROSS_MARGIN", "FPR=2021Y", "FPT=A", "FA_ACT_EST_DATA=E, EST_SOURCE=ARG", "ACT_EST_MAPPING=PRECISE", "FS=MRC", "CURRENCY=USD", "XLFILL=b")</f>
        <v>#N/A Requesting Data...</v>
      </c>
      <c r="AP64" s="6" t="str">
        <f>_xll.BQL("SEG0000230975 Segment", "CB_IS_GROSS_MARGIN", "FPR=2021Y", "FPT=A", "FA_ACT_EST_DATA=E, EST_SOURCE=CTI", "ACT_EST_MAPPING=PRECISE", "FS=MRC", "CURRENCY=USD", "XLFILL=b")</f>
        <v>#N/A Requesting Data...</v>
      </c>
      <c r="AQ64" s="6" t="str">
        <f>_xll.BQL("SEG0000230975 Segment", "CB_IS_GROSS_MARGIN", "FPR=2021Y", "FPT=A", "FA_ACT_EST_DATA=E, EST_SOURCE=WFT", "ACT_EST_MAPPING=PRECISE", "FS=MRC", "CURRENCY=USD", "XLFILL=b")</f>
        <v>#N/A Requesting Data...</v>
      </c>
      <c r="AR64" s="6" t="str">
        <f>_xll.BQL("SEG0000230975 Segment", "CB_IS_GROSS_MARGIN", "FPR=2021Y", "FPT=A", "FA_ACT_EST_DATA=E, EST_SOURCE=ARE", "ACT_EST_MAPPING=PRECISE", "FS=MRC", "CURRENCY=USD", "XLFILL=b")</f>
        <v>#N/A Requesting Data...</v>
      </c>
      <c r="AS64" s="6" t="str">
        <f>_xll.BQL("SEG0000230975 Segment", "CB_IS_GROSS_MARGIN", "FPR=2021Y", "FPT=A", "FA_ACT_EST_DATA=E, EST_SOURCE=PJE", "ACT_EST_MAPPING=PRECISE", "FS=MRC", "CURRENCY=USD", "XLFILL=b")</f>
        <v>#N/A Requesting Data...</v>
      </c>
      <c r="AT64" s="6" t="str">
        <f>_xll.BQL("SEG0000230975 Segment", "CB_IS_GROSS_MARGIN", "FPR=2021Y", "FPT=A", "FA_ACT_EST_DATA=E, EST_SOURCE=MZS", "ACT_EST_MAPPING=PRECISE", "FS=MRC", "CURRENCY=USD", "XLFILL=b")</f>
        <v>#N/A Requesting Data...</v>
      </c>
      <c r="AU64" s="6" t="str">
        <f>_xll.BQL("SEG0000230975 Segment", "CB_IS_GROSS_MARGIN", "FPR=2021Y", "FPT=A", "FA_ACT_EST_DATA=E, EST_SOURCE=SUM", "ACT_EST_MAPPING=PRECISE", "FS=MRC", "CURRENCY=USD", "XLFILL=b")</f>
        <v>#N/A Requesting Data...</v>
      </c>
      <c r="AV64" s="6" t="str">
        <f>_xll.BQL("SEG0000230975 Segment", "CB_IS_GROSS_MARGIN", "FPR=2021Y", "FPT=A", "FA_ACT_EST_DATA=E, EST_SOURCE=CRC", "ACT_EST_MAPPING=PRECISE", "FS=MRC", "CURRENCY=USD", "XLFILL=b")</f>
        <v>#N/A Requesting Data...</v>
      </c>
      <c r="AW64" s="6" t="str">
        <f>_xll.BQL("SEG0000230975 Segment", "CB_IS_GROSS_MARGIN", "FPR=2021Y", "FPT=A", "FA_ACT_EST_DATA=E, EST_SOURCE=SCB", "ACT_EST_MAPPING=PRECISE", "FS=MRC", "CURRENCY=USD", "XLFILL=b")</f>
        <v>#N/A Requesting Data...</v>
      </c>
    </row>
    <row r="65" spans="1:49" x14ac:dyDescent="0.55000000000000004">
      <c r="A65" s="5" t="s">
        <v>49</v>
      </c>
      <c r="B65" s="2"/>
      <c r="C65" s="2" t="s">
        <v>50</v>
      </c>
      <c r="D65" s="2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</row>
    <row r="66" spans="1:49" x14ac:dyDescent="0.55000000000000004">
      <c r="A66" s="5" t="s">
        <v>35</v>
      </c>
      <c r="B66" s="2" t="s">
        <v>36</v>
      </c>
      <c r="C66" s="2" t="s">
        <v>0</v>
      </c>
      <c r="D66" s="2" t="s">
        <v>51</v>
      </c>
      <c r="E66" s="6" t="str">
        <f>_xll.BQL("SEG0000230986 Segment", "SALES_REV_TURN/1M", "FPR=2021Y", "FPT=A", "FA_ACT_EST_DATA=E", "ACT_EST_MAPPING=PRECISE", "FS=MRC", "CURRENCY=USD", "XLFILL=b")</f>
        <v>#N/A Requesting Data...</v>
      </c>
      <c r="F66" s="6" t="str">
        <f>_xll.BQL("SEG0000230986 Segment", "CONTRIBUTOR_STATS(SALES_REV_TURN, MIN)/1M", "FPR=2021Y", "FPT=A", "FA_ACT_EST_DATA=E", "ACT_EST_MAPPING=PRECISE", "FS=MRC", "CURRENCY=USD", "XLFILL=b")</f>
        <v>#N/A Requesting Data...</v>
      </c>
      <c r="G66" s="6" t="str">
        <f>_xll.BQL("SEG0000230986 Segment", "CONTRIBUTOR_STATS(SALES_REV_TURN, MAX)/1M", "FPR=2021Y", "FPT=A", "FA_ACT_EST_DATA=E", "ACT_EST_MAPPING=PRECISE", "FS=MRC", "CURRENCY=USD", "XLFILL=b")</f>
        <v>#N/A Requesting Data...</v>
      </c>
      <c r="H66" s="6" t="str">
        <f>_xll.BQL("SEG0000230986 Segment", "CONTRIBUTOR_STATS(SALES_REV_TURN, STD)/1M", "FPR=2021Y", "FPT=A", "FA_ACT_EST_DATA=E", "ACT_EST_MAPPING=PRECISE", "FS=MRC", "CURRENCY=USD", "XLFILL=b")</f>
        <v>#N/A Requesting Data...</v>
      </c>
      <c r="I66" s="6" t="str">
        <f>_xll.BQL("SEG0000230986 Segment", "CONTRIBUTOR_STATS(SALES_REV_TURN, MEDIAN)/1M", "FPR=2021Y", "FPT=A", "FA_ACT_EST_DATA=E", "ACT_EST_MAPPING=PRECISE", "FS=MRC", "CURRENCY=USD", "XLFILL=b")</f>
        <v>#N/A Requesting Data...</v>
      </c>
      <c r="J66" s="6" t="str">
        <f>_xll.BQL("SEG0000230986 Segment", "SALES_REV_TURN/1M", "FPR=2021Y", "FPT=A", "FA_ACT_EST_DATA=E, EST_SOURCE=CMPY", "ACT_EST_MAPPING=PRECISE", "FS=MRC", "CURRENCY=USD", "XLFILL=b")</f>
        <v>#N/A Requesting Data...</v>
      </c>
      <c r="K66" s="6" t="str">
        <f>_xll.BQL("SEG0000230986 Segment", "SALES_REV_TURN/1M", "FPR=2021Y", "FPT=A", "FA_ACT_EST_DATA=E, EST_SOURCE=JPM", "ACT_EST_MAPPING=PRECISE", "FS=MRC", "CURRENCY=USD", "XLFILL=b")</f>
        <v>#N/A Requesting Data...</v>
      </c>
      <c r="L66" s="6" t="str">
        <f>_xll.BQL("SEG0000230986 Segment", "SALES_REV_TURN/1M", "FPR=2021Y", "FPT=A", "FA_ACT_EST_DATA=E, EST_SOURCE=WBL", "ACT_EST_MAPPING=PRECISE", "FS=MRC", "CURRENCY=USD", "XLFILL=b")</f>
        <v>#N/A Requesting Data...</v>
      </c>
      <c r="M66" s="6" t="str">
        <f>_xll.BQL("SEG0000230986 Segment", "SALES_REV_TURN/1M", "FPR=2021Y", "FPT=A", "FA_ACT_EST_DATA=E, EST_SOURCE=KEY", "ACT_EST_MAPPING=PRECISE", "FS=MRC", "CURRENCY=USD", "XLFILL=b")</f>
        <v>#N/A Requesting Data...</v>
      </c>
      <c r="N66" s="6" t="str">
        <f>_xll.BQL("SEG0000230986 Segment", "SALES_REV_TURN/1M", "FPR=2021Y", "FPT=A", "FA_ACT_EST_DATA=E, EST_SOURCE=BMO", "ACT_EST_MAPPING=PRECISE", "FS=MRC", "CURRENCY=USD", "XLFILL=b")</f>
        <v>#N/A Requesting Data...</v>
      </c>
      <c r="O66" s="6" t="str">
        <f>_xll.BQL("SEG0000230986 Segment", "SALES_REV_TURN/1M", "FPR=2021Y", "FPT=A", "FA_ACT_EST_DATA=E, EST_SOURCE=OPY", "ACT_EST_MAPPING=PRECISE", "FS=MRC", "CURRENCY=USD", "XLFILL=b")</f>
        <v>#N/A Requesting Data...</v>
      </c>
      <c r="P66" s="6" t="str">
        <f>_xll.BQL("SEG0000230986 Segment", "SALES_REV_TURN/1M", "FPR=2021Y", "FPT=A", "FA_ACT_EST_DATA=E, EST_SOURCE=BCA", "ACT_EST_MAPPING=PRECISE", "FS=MRC", "CURRENCY=USD", "XLFILL=b")</f>
        <v>#N/A Requesting Data...</v>
      </c>
      <c r="Q66" s="6" t="str">
        <f>_xll.BQL("SEG0000230986 Segment", "SALES_REV_TURN/1M", "FPR=2021Y", "FPT=A", "FA_ACT_EST_DATA=E, EST_SOURCE=RHR", "ACT_EST_MAPPING=PRECISE", "FS=MRC", "CURRENCY=USD", "XLFILL=b")</f>
        <v>#N/A Requesting Data...</v>
      </c>
      <c r="R66" s="6" t="str">
        <f>_xll.BQL("SEG0000230986 Segment", "SALES_REV_TURN/1M", "FPR=2021Y", "FPT=A", "FA_ACT_EST_DATA=E, EST_SOURCE=SNR", "ACT_EST_MAPPING=PRECISE", "FS=MRC", "CURRENCY=USD", "XLFILL=b")</f>
        <v>#N/A Requesting Data...</v>
      </c>
      <c r="S66" s="6" t="str">
        <f>_xll.BQL("SEG0000230986 Segment", "SALES_REV_TURN/1M", "FPR=2021Y", "FPT=A", "FA_ACT_EST_DATA=E, EST_SOURCE=MSV", "ACT_EST_MAPPING=PRECISE", "FS=MRC", "CURRENCY=USD", "XLFILL=b")</f>
        <v>#N/A Requesting Data...</v>
      </c>
      <c r="T66" s="6" t="str">
        <f>_xll.BQL("SEG0000230986 Segment", "SALES_REV_TURN/1M", "FPR=2021Y", "FPT=A", "FA_ACT_EST_DATA=E, EST_SOURCE=CAN", "ACT_EST_MAPPING=PRECISE", "FS=MRC", "CURRENCY=USD", "XLFILL=b")</f>
        <v>#N/A Requesting Data...</v>
      </c>
      <c r="U66" s="6" t="str">
        <f>_xll.BQL("SEG0000230986 Segment", "SALES_REV_TURN/1M", "FPR=2021Y", "FPT=A", "FA_ACT_EST_DATA=E, EST_SOURCE=JMP", "ACT_EST_MAPPING=PRECISE", "FS=MRC", "CURRENCY=USD", "XLFILL=b")</f>
        <v>#N/A Requesting Data...</v>
      </c>
      <c r="V66" s="6" t="str">
        <f>_xll.BQL("SEG0000230986 Segment", "SALES_REV_TURN/1M", "FPR=2021Y", "FPT=A", "FA_ACT_EST_DATA=E, EST_SOURCE=NDH", "ACT_EST_MAPPING=PRECISE", "FS=MRC", "CURRENCY=USD", "XLFILL=b")</f>
        <v>#N/A Requesting Data...</v>
      </c>
      <c r="W66" s="6" t="str">
        <f>_xll.BQL("SEG0000230986 Segment", "SALES_REV_TURN/1M", "FPR=2021Y", "FPT=A", "FA_ACT_EST_DATA=E, EST_SOURCE=ZXS", "ACT_EST_MAPPING=PRECISE", "FS=MRC", "CURRENCY=USD", "XLFILL=b")</f>
        <v>#N/A Requesting Data...</v>
      </c>
      <c r="X66" s="6" t="str">
        <f>_xll.BQL("SEG0000230986 Segment", "SALES_REV_TURN/1M", "FPR=2021Y", "FPT=A", "FA_ACT_EST_DATA=E, EST_SOURCE=CWN", "ACT_EST_MAPPING=PRECISE", "FS=MRC", "CURRENCY=USD", "XLFILL=b")</f>
        <v>#N/A Requesting Data...</v>
      </c>
      <c r="Y66" s="6" t="str">
        <f>_xll.BQL("SEG0000230986 Segment", "SALES_REV_TURN/1M", "FPR=2021Y", "FPT=A", "FA_ACT_EST_DATA=E, EST_SOURCE=DBG", "ACT_EST_MAPPING=PRECISE", "FS=MRC", "CURRENCY=USD", "XLFILL=b")</f>
        <v>#N/A Requesting Data...</v>
      </c>
      <c r="Z66" s="6" t="str">
        <f>_xll.BQL("SEG0000230986 Segment", "SALES_REV_TURN/1M", "FPR=2021Y", "FPT=A", "FA_ACT_EST_DATA=E, EST_SOURCE=UBS", "ACT_EST_MAPPING=PRECISE", "FS=MRC", "CURRENCY=USD", "XLFILL=b")</f>
        <v>#N/A Requesting Data...</v>
      </c>
      <c r="AA66" s="6" t="str">
        <f>_xll.BQL("SEG0000230986 Segment", "SALES_REV_TURN/1M", "FPR=2021Y", "FPT=A", "FA_ACT_EST_DATA=E, EST_SOURCE=RBC", "ACT_EST_MAPPING=PRECISE", "FS=MRC", "CURRENCY=USD", "XLFILL=b")</f>
        <v>#N/A Requesting Data...</v>
      </c>
      <c r="AB66" s="6" t="str">
        <f>_xll.BQL("SEG0000230986 Segment", "SALES_REV_TURN/1M", "FPR=2021Y", "FPT=A", "FA_ACT_EST_DATA=E, EST_SOURCE=EVR", "ACT_EST_MAPPING=PRECISE", "FS=MRC", "CURRENCY=USD", "XLFILL=b")</f>
        <v>#N/A Requesting Data...</v>
      </c>
      <c r="AC66" s="6" t="str">
        <f>_xll.BQL("SEG0000230986 Segment", "SALES_REV_TURN/1M", "FPR=2021Y", "FPT=A", "FA_ACT_EST_DATA=E, EST_SOURCE=BNS", "ACT_EST_MAPPING=PRECISE", "FS=MRC", "CURRENCY=USD", "XLFILL=b")</f>
        <v>#N/A Requesting Data...</v>
      </c>
      <c r="AD66" s="6" t="str">
        <f>_xll.BQL("SEG0000230986 Segment", "SALES_REV_TURN/1M", "FPR=2021Y", "FPT=A", "FA_ACT_EST_DATA=E, EST_SOURCE=BAM", "ACT_EST_MAPPING=PRECISE", "FS=MRC", "CURRENCY=USD", "XLFILL=b")</f>
        <v>#N/A Requesting Data...</v>
      </c>
      <c r="AE66" s="6" t="str">
        <f>_xll.BQL("SEG0000230986 Segment", "SALES_REV_TURN/1M", "FPR=2021Y", "FPT=A", "FA_ACT_EST_DATA=E, EST_SOURCE=GSR", "ACT_EST_MAPPING=PRECISE", "FS=MRC", "CURRENCY=USD", "XLFILL=b")</f>
        <v>#N/A Requesting Data...</v>
      </c>
      <c r="AF66" s="6" t="str">
        <f>_xll.BQL("SEG0000230986 Segment", "SALES_REV_TURN/1M", "FPR=2021Y", "FPT=A", "FA_ACT_EST_DATA=E, EST_SOURCE=FBC", "ACT_EST_MAPPING=PRECISE", "FS=MRC", "CURRENCY=USD", "XLFILL=b")</f>
        <v>#N/A Requesting Data...</v>
      </c>
      <c r="AG66" s="6" t="str">
        <f>_xll.BQL("SEG0000230986 Segment", "SALES_REV_TURN/1M", "FPR=2021Y", "FPT=A", "FA_ACT_EST_DATA=E, EST_SOURCE=MAC", "ACT_EST_MAPPING=PRECISE", "FS=MRC", "CURRENCY=USD", "XLFILL=b")</f>
        <v>#N/A Requesting Data...</v>
      </c>
      <c r="AH66" s="6" t="str">
        <f>_xll.BQL("SEG0000230986 Segment", "SALES_REV_TURN/1M", "FPR=2021Y", "FPT=A", "FA_ACT_EST_DATA=E, EST_SOURCE=PSG", "ACT_EST_MAPPING=PRECISE", "FS=MRC", "CURRENCY=USD", "XLFILL=b")</f>
        <v>#N/A Requesting Data...</v>
      </c>
      <c r="AI66" s="6" t="str">
        <f>_xll.BQL("SEG0000230986 Segment", "SALES_REV_TURN/1M", "FPR=2021Y", "FPT=A", "FA_ACT_EST_DATA=E, EST_SOURCE=MSR", "ACT_EST_MAPPING=PRECISE", "FS=MRC", "CURRENCY=USD", "XLFILL=b")</f>
        <v>#N/A Requesting Data...</v>
      </c>
      <c r="AJ66" s="6" t="str">
        <f>_xll.BQL("SEG0000230986 Segment", "SALES_REV_TURN/1M", "FPR=2021Y", "FPT=A", "FA_ACT_EST_DATA=E, EST_SOURCE=JEF", "ACT_EST_MAPPING=PRECISE", "FS=MRC", "CURRENCY=USD", "XLFILL=b")</f>
        <v>#N/A Requesting Data...</v>
      </c>
      <c r="AK66" s="6" t="str">
        <f>_xll.BQL("SEG0000230986 Segment", "SALES_REV_TURN/1M", "FPR=2021Y", "FPT=A", "FA_ACT_EST_DATA=E, EST_SOURCE=TTC", "ACT_EST_MAPPING=PRECISE", "FS=MRC", "CURRENCY=USD", "XLFILL=b")</f>
        <v>#N/A Requesting Data...</v>
      </c>
      <c r="AL66" s="6" t="str">
        <f>_xll.BQL("SEG0000230986 Segment", "SALES_REV_TURN/1M", "FPR=2021Y", "FPT=A", "FA_ACT_EST_DATA=E, EST_SOURCE=RWB", "ACT_EST_MAPPING=PRECISE", "FS=MRC", "CURRENCY=USD", "XLFILL=b")</f>
        <v>#N/A Requesting Data...</v>
      </c>
      <c r="AM66" s="6" t="str">
        <f>_xll.BQL("SEG0000230986 Segment", "SALES_REV_TURN/1M", "FPR=2021Y", "FPT=A", "FA_ACT_EST_DATA=E, EST_SOURCE=DZB", "ACT_EST_MAPPING=PRECISE", "FS=MRC", "CURRENCY=USD", "XLFILL=b")</f>
        <v>#N/A Requesting Data...</v>
      </c>
      <c r="AN66" s="6" t="str">
        <f>_xll.BQL("SEG0000230986 Segment", "SALES_REV_TURN/1M", "FPR=2021Y", "FPT=A", "FA_ACT_EST_DATA=E, EST_SOURCE=DWI", "ACT_EST_MAPPING=PRECISE", "FS=MRC", "CURRENCY=USD", "XLFILL=b")</f>
        <v>#N/A Requesting Data...</v>
      </c>
      <c r="AO66" s="6" t="str">
        <f>_xll.BQL("SEG0000230986 Segment", "SALES_REV_TURN/1M", "FPR=2021Y", "FPT=A", "FA_ACT_EST_DATA=E, EST_SOURCE=ARG", "ACT_EST_MAPPING=PRECISE", "FS=MRC", "CURRENCY=USD", "XLFILL=b")</f>
        <v>#N/A Requesting Data...</v>
      </c>
      <c r="AP66" s="6" t="str">
        <f>_xll.BQL("SEG0000230986 Segment", "SALES_REV_TURN/1M", "FPR=2021Y", "FPT=A", "FA_ACT_EST_DATA=E, EST_SOURCE=CTI", "ACT_EST_MAPPING=PRECISE", "FS=MRC", "CURRENCY=USD", "XLFILL=b")</f>
        <v>#N/A Requesting Data...</v>
      </c>
      <c r="AQ66" s="6" t="str">
        <f>_xll.BQL("SEG0000230986 Segment", "SALES_REV_TURN/1M", "FPR=2021Y", "FPT=A", "FA_ACT_EST_DATA=E, EST_SOURCE=WFT", "ACT_EST_MAPPING=PRECISE", "FS=MRC", "CURRENCY=USD", "XLFILL=b")</f>
        <v>#N/A Requesting Data...</v>
      </c>
      <c r="AR66" s="6" t="str">
        <f>_xll.BQL("SEG0000230986 Segment", "SALES_REV_TURN/1M", "FPR=2021Y", "FPT=A", "FA_ACT_EST_DATA=E, EST_SOURCE=ARE", "ACT_EST_MAPPING=PRECISE", "FS=MRC", "CURRENCY=USD", "XLFILL=b")</f>
        <v>#N/A Requesting Data...</v>
      </c>
      <c r="AS66" s="6" t="str">
        <f>_xll.BQL("SEG0000230986 Segment", "SALES_REV_TURN/1M", "FPR=2021Y", "FPT=A", "FA_ACT_EST_DATA=E, EST_SOURCE=PJE", "ACT_EST_MAPPING=PRECISE", "FS=MRC", "CURRENCY=USD", "XLFILL=b")</f>
        <v>#N/A Requesting Data...</v>
      </c>
      <c r="AT66" s="6" t="str">
        <f>_xll.BQL("SEG0000230986 Segment", "SALES_REV_TURN/1M", "FPR=2021Y", "FPT=A", "FA_ACT_EST_DATA=E, EST_SOURCE=MZS", "ACT_EST_MAPPING=PRECISE", "FS=MRC", "CURRENCY=USD", "XLFILL=b")</f>
        <v>#N/A Requesting Data...</v>
      </c>
      <c r="AU66" s="6" t="str">
        <f>_xll.BQL("SEG0000230986 Segment", "SALES_REV_TURN/1M", "FPR=2021Y", "FPT=A", "FA_ACT_EST_DATA=E, EST_SOURCE=SUM", "ACT_EST_MAPPING=PRECISE", "FS=MRC", "CURRENCY=USD", "XLFILL=b")</f>
        <v>#N/A Requesting Data...</v>
      </c>
      <c r="AV66" s="6" t="str">
        <f>_xll.BQL("SEG0000230986 Segment", "SALES_REV_TURN/1M", "FPR=2021Y", "FPT=A", "FA_ACT_EST_DATA=E, EST_SOURCE=CRC", "ACT_EST_MAPPING=PRECISE", "FS=MRC", "CURRENCY=USD", "XLFILL=b")</f>
        <v>#N/A Requesting Data...</v>
      </c>
      <c r="AW66" s="6" t="str">
        <f>_xll.BQL("SEG0000230986 Segment", "SALES_REV_TURN/1M", "FPR=2021Y", "FPT=A", "FA_ACT_EST_DATA=E, EST_SOURCE=SCB", "ACT_EST_MAPPING=PRECISE", "FS=MRC", "CURRENCY=USD", "XLFILL=b")</f>
        <v>#N/A Requesting Data...</v>
      </c>
    </row>
    <row r="67" spans="1:49" x14ac:dyDescent="0.55000000000000004">
      <c r="A67" s="5" t="s">
        <v>104</v>
      </c>
      <c r="B67" s="2" t="s">
        <v>105</v>
      </c>
      <c r="C67" s="2" t="s">
        <v>63</v>
      </c>
      <c r="D67" s="2" t="s">
        <v>51</v>
      </c>
      <c r="E67" s="6" t="str">
        <f>_xll.BQL("SEG0000230986 Segment", "IS_PERCENTAGE_OF_REVENUE", "FPR=2021Y", "FPT=A", "FA_ACT_EST_DATA=E", "ACT_EST_MAPPING=PRECISE", "FS=MRC", "CURRENCY=USD", "XLFILL=b")</f>
        <v>#N/A Requesting Data...</v>
      </c>
      <c r="F67" s="6">
        <f>_xll.BQL("SEG0000230986 Segment", "CONTRIBUTOR_STATS(IS_PERCENTAGE_OF_REVENUE, MIN)", "FPR=2021Y", "FPT=A", "FA_ACT_EST_DATA=E", "ACT_EST_MAPPING=PRECISE", "FS=MRC", "CURRENCY=USD", "XLFILL=b")</f>
        <v>5.1526022573300585</v>
      </c>
      <c r="G67" s="6">
        <f>_xll.BQL("SEG0000230986 Segment", "CONTRIBUTOR_STATS(IS_PERCENTAGE_OF_REVENUE, MAX)", "FPR=2021Y", "FPT=A", "FA_ACT_EST_DATA=E", "ACT_EST_MAPPING=PRECISE", "FS=MRC", "CURRENCY=USD", "XLFILL=b")</f>
        <v>5.43622840844181</v>
      </c>
      <c r="H67" s="6" t="str">
        <f>_xll.BQL("SEG0000230986 Segment", "CONTRIBUTOR_STATS(IS_PERCENTAGE_OF_REVENUE, STD)", "FPR=2021Y", "FPT=A", "FA_ACT_EST_DATA=E", "ACT_EST_MAPPING=PRECISE", "FS=MRC", "CURRENCY=USD", "XLFILL=b")</f>
        <v>#N/A Requesting Data...</v>
      </c>
      <c r="I67" s="6" t="str">
        <f>_xll.BQL("SEG0000230986 Segment", "CONTRIBUTOR_STATS(IS_PERCENTAGE_OF_REVENUE, MEDIAN)", "FPR=2021Y", "FPT=A", "FA_ACT_EST_DATA=E", "ACT_EST_MAPPING=PRECISE", "FS=MRC", "CURRENCY=USD", "XLFILL=b")</f>
        <v>#N/A Requesting Data...</v>
      </c>
      <c r="J67" s="6" t="str">
        <f>_xll.BQL("SEG0000230986 Segment", "IS_PERCENTAGE_OF_REVENUE", "FPR=2021Y", "FPT=A", "FA_ACT_EST_DATA=E, EST_SOURCE=CMPY", "ACT_EST_MAPPING=PRECISE", "FS=MRC", "CURRENCY=USD", "XLFILL=b")</f>
        <v>#N/A Requesting Data...</v>
      </c>
      <c r="K67" s="6" t="str">
        <f>_xll.BQL("SEG0000230986 Segment", "IS_PERCENTAGE_OF_REVENUE", "FPR=2021Y", "FPT=A", "FA_ACT_EST_DATA=E, EST_SOURCE=JPM", "ACT_EST_MAPPING=PRECISE", "FS=MRC", "CURRENCY=USD", "XLFILL=b")</f>
        <v>#N/A Requesting Data...</v>
      </c>
      <c r="L67" s="6" t="str">
        <f>_xll.BQL("SEG0000230986 Segment", "IS_PERCENTAGE_OF_REVENUE", "FPR=2021Y", "FPT=A", "FA_ACT_EST_DATA=E, EST_SOURCE=WBL", "ACT_EST_MAPPING=PRECISE", "FS=MRC", "CURRENCY=USD", "XLFILL=b")</f>
        <v>#N/A Requesting Data...</v>
      </c>
      <c r="M67" s="6" t="str">
        <f>_xll.BQL("SEG0000230986 Segment", "IS_PERCENTAGE_OF_REVENUE", "FPR=2021Y", "FPT=A", "FA_ACT_EST_DATA=E, EST_SOURCE=KEY", "ACT_EST_MAPPING=PRECISE", "FS=MRC", "CURRENCY=USD", "XLFILL=b")</f>
        <v>#N/A Requesting Data...</v>
      </c>
      <c r="N67" s="6" t="str">
        <f>_xll.BQL("SEG0000230986 Segment", "IS_PERCENTAGE_OF_REVENUE", "FPR=2021Y", "FPT=A", "FA_ACT_EST_DATA=E, EST_SOURCE=BMO", "ACT_EST_MAPPING=PRECISE", "FS=MRC", "CURRENCY=USD", "XLFILL=b")</f>
        <v/>
      </c>
      <c r="O67" s="6" t="str">
        <f>_xll.BQL("SEG0000230986 Segment", "IS_PERCENTAGE_OF_REVENUE", "FPR=2021Y", "FPT=A", "FA_ACT_EST_DATA=E, EST_SOURCE=OPY", "ACT_EST_MAPPING=PRECISE", "FS=MRC", "CURRENCY=USD", "XLFILL=b")</f>
        <v>#N/A Requesting Data...</v>
      </c>
      <c r="P67" s="6" t="str">
        <f>_xll.BQL("SEG0000230986 Segment", "IS_PERCENTAGE_OF_REVENUE", "FPR=2021Y", "FPT=A", "FA_ACT_EST_DATA=E, EST_SOURCE=BCA", "ACT_EST_MAPPING=PRECISE", "FS=MRC", "CURRENCY=USD", "XLFILL=b")</f>
        <v>#N/A Requesting Data...</v>
      </c>
      <c r="Q67" s="6" t="str">
        <f>_xll.BQL("SEG0000230986 Segment", "IS_PERCENTAGE_OF_REVENUE", "FPR=2021Y", "FPT=A", "FA_ACT_EST_DATA=E, EST_SOURCE=RHR", "ACT_EST_MAPPING=PRECISE", "FS=MRC", "CURRENCY=USD", "XLFILL=b")</f>
        <v/>
      </c>
      <c r="R67" s="6" t="str">
        <f>_xll.BQL("SEG0000230986 Segment", "IS_PERCENTAGE_OF_REVENUE", "FPR=2021Y", "FPT=A", "FA_ACT_EST_DATA=E, EST_SOURCE=SNR", "ACT_EST_MAPPING=PRECISE", "FS=MRC", "CURRENCY=USD", "XLFILL=b")</f>
        <v>#N/A Requesting Data...</v>
      </c>
      <c r="S67" s="6" t="str">
        <f>_xll.BQL("SEG0000230986 Segment", "IS_PERCENTAGE_OF_REVENUE", "FPR=2021Y", "FPT=A", "FA_ACT_EST_DATA=E, EST_SOURCE=MSV", "ACT_EST_MAPPING=PRECISE", "FS=MRC", "CURRENCY=USD", "XLFILL=b")</f>
        <v>#N/A Requesting Data...</v>
      </c>
      <c r="T67" s="6" t="str">
        <f>_xll.BQL("SEG0000230986 Segment", "IS_PERCENTAGE_OF_REVENUE", "FPR=2021Y", "FPT=A", "FA_ACT_EST_DATA=E, EST_SOURCE=CAN", "ACT_EST_MAPPING=PRECISE", "FS=MRC", "CURRENCY=USD", "XLFILL=b")</f>
        <v>#N/A Requesting Data...</v>
      </c>
      <c r="U67" s="6" t="str">
        <f>_xll.BQL("SEG0000230986 Segment", "IS_PERCENTAGE_OF_REVENUE", "FPR=2021Y", "FPT=A", "FA_ACT_EST_DATA=E, EST_SOURCE=JMP", "ACT_EST_MAPPING=PRECISE", "FS=MRC", "CURRENCY=USD", "XLFILL=b")</f>
        <v/>
      </c>
      <c r="V67" s="6" t="str">
        <f>_xll.BQL("SEG0000230986 Segment", "IS_PERCENTAGE_OF_REVENUE", "FPR=2021Y", "FPT=A", "FA_ACT_EST_DATA=E, EST_SOURCE=NDH", "ACT_EST_MAPPING=PRECISE", "FS=MRC", "CURRENCY=USD", "XLFILL=b")</f>
        <v>#N/A Requesting Data...</v>
      </c>
      <c r="W67" s="6" t="str">
        <f>_xll.BQL("SEG0000230986 Segment", "IS_PERCENTAGE_OF_REVENUE", "FPR=2021Y", "FPT=A", "FA_ACT_EST_DATA=E, EST_SOURCE=ZXS", "ACT_EST_MAPPING=PRECISE", "FS=MRC", "CURRENCY=USD", "XLFILL=b")</f>
        <v>#N/A Requesting Data...</v>
      </c>
      <c r="X67" s="6" t="str">
        <f>_xll.BQL("SEG0000230986 Segment", "IS_PERCENTAGE_OF_REVENUE", "FPR=2021Y", "FPT=A", "FA_ACT_EST_DATA=E, EST_SOURCE=CWN", "ACT_EST_MAPPING=PRECISE", "FS=MRC", "CURRENCY=USD", "XLFILL=b")</f>
        <v>#N/A Requesting Data...</v>
      </c>
      <c r="Y67" s="6" t="str">
        <f>_xll.BQL("SEG0000230986 Segment", "IS_PERCENTAGE_OF_REVENUE", "FPR=2021Y", "FPT=A", "FA_ACT_EST_DATA=E, EST_SOURCE=DBG", "ACT_EST_MAPPING=PRECISE", "FS=MRC", "CURRENCY=USD", "XLFILL=b")</f>
        <v>#N/A Requesting Data...</v>
      </c>
      <c r="Z67" s="6" t="str">
        <f>_xll.BQL("SEG0000230986 Segment", "IS_PERCENTAGE_OF_REVENUE", "FPR=2021Y", "FPT=A", "FA_ACT_EST_DATA=E, EST_SOURCE=UBS", "ACT_EST_MAPPING=PRECISE", "FS=MRC", "CURRENCY=USD", "XLFILL=b")</f>
        <v>#N/A Requesting Data...</v>
      </c>
      <c r="AA67" s="6" t="str">
        <f>_xll.BQL("SEG0000230986 Segment", "IS_PERCENTAGE_OF_REVENUE", "FPR=2021Y", "FPT=A", "FA_ACT_EST_DATA=E, EST_SOURCE=RBC", "ACT_EST_MAPPING=PRECISE", "FS=MRC", "CURRENCY=USD", "XLFILL=b")</f>
        <v>#N/A Requesting Data...</v>
      </c>
      <c r="AB67" s="6" t="str">
        <f>_xll.BQL("SEG0000230986 Segment", "IS_PERCENTAGE_OF_REVENUE", "FPR=2021Y", "FPT=A", "FA_ACT_EST_DATA=E, EST_SOURCE=EVR", "ACT_EST_MAPPING=PRECISE", "FS=MRC", "CURRENCY=USD", "XLFILL=b")</f>
        <v>#N/A Requesting Data...</v>
      </c>
      <c r="AC67" s="6" t="str">
        <f>_xll.BQL("SEG0000230986 Segment", "IS_PERCENTAGE_OF_REVENUE", "FPR=2021Y", "FPT=A", "FA_ACT_EST_DATA=E, EST_SOURCE=BNS", "ACT_EST_MAPPING=PRECISE", "FS=MRC", "CURRENCY=USD", "XLFILL=b")</f>
        <v>#N/A Requesting Data...</v>
      </c>
      <c r="AD67" s="6" t="str">
        <f>_xll.BQL("SEG0000230986 Segment", "IS_PERCENTAGE_OF_REVENUE", "FPR=2021Y", "FPT=A", "FA_ACT_EST_DATA=E, EST_SOURCE=BAM", "ACT_EST_MAPPING=PRECISE", "FS=MRC", "CURRENCY=USD", "XLFILL=b")</f>
        <v>#N/A Requesting Data...</v>
      </c>
      <c r="AE67" s="6" t="str">
        <f>_xll.BQL("SEG0000230986 Segment", "IS_PERCENTAGE_OF_REVENUE", "FPR=2021Y", "FPT=A", "FA_ACT_EST_DATA=E, EST_SOURCE=GSR", "ACT_EST_MAPPING=PRECISE", "FS=MRC", "CURRENCY=USD", "XLFILL=b")</f>
        <v>#N/A Requesting Data...</v>
      </c>
      <c r="AF67" s="6" t="str">
        <f>_xll.BQL("SEG0000230986 Segment", "IS_PERCENTAGE_OF_REVENUE", "FPR=2021Y", "FPT=A", "FA_ACT_EST_DATA=E, EST_SOURCE=FBC", "ACT_EST_MAPPING=PRECISE", "FS=MRC", "CURRENCY=USD", "XLFILL=b")</f>
        <v>#N/A Requesting Data...</v>
      </c>
      <c r="AG67" s="6" t="str">
        <f>_xll.BQL("SEG0000230986 Segment", "IS_PERCENTAGE_OF_REVENUE", "FPR=2021Y", "FPT=A", "FA_ACT_EST_DATA=E, EST_SOURCE=MAC", "ACT_EST_MAPPING=PRECISE", "FS=MRC", "CURRENCY=USD", "XLFILL=b")</f>
        <v>#N/A Requesting Data...</v>
      </c>
      <c r="AH67" s="6" t="str">
        <f>_xll.BQL("SEG0000230986 Segment", "IS_PERCENTAGE_OF_REVENUE", "FPR=2021Y", "FPT=A", "FA_ACT_EST_DATA=E, EST_SOURCE=PSG", "ACT_EST_MAPPING=PRECISE", "FS=MRC", "CURRENCY=USD", "XLFILL=b")</f>
        <v>#N/A Requesting Data...</v>
      </c>
      <c r="AI67" s="6" t="str">
        <f>_xll.BQL("SEG0000230986 Segment", "IS_PERCENTAGE_OF_REVENUE", "FPR=2021Y", "FPT=A", "FA_ACT_EST_DATA=E, EST_SOURCE=MSR", "ACT_EST_MAPPING=PRECISE", "FS=MRC", "CURRENCY=USD", "XLFILL=b")</f>
        <v>#N/A Requesting Data...</v>
      </c>
      <c r="AJ67" s="6" t="str">
        <f>_xll.BQL("SEG0000230986 Segment", "IS_PERCENTAGE_OF_REVENUE", "FPR=2021Y", "FPT=A", "FA_ACT_EST_DATA=E, EST_SOURCE=JEF", "ACT_EST_MAPPING=PRECISE", "FS=MRC", "CURRENCY=USD", "XLFILL=b")</f>
        <v>#N/A Requesting Data...</v>
      </c>
      <c r="AK67" s="6" t="str">
        <f>_xll.BQL("SEG0000230986 Segment", "IS_PERCENTAGE_OF_REVENUE", "FPR=2021Y", "FPT=A", "FA_ACT_EST_DATA=E, EST_SOURCE=TTC", "ACT_EST_MAPPING=PRECISE", "FS=MRC", "CURRENCY=USD", "XLFILL=b")</f>
        <v>#N/A Requesting Data...</v>
      </c>
      <c r="AL67" s="6" t="str">
        <f>_xll.BQL("SEG0000230986 Segment", "IS_PERCENTAGE_OF_REVENUE", "FPR=2021Y", "FPT=A", "FA_ACT_EST_DATA=E, EST_SOURCE=RWB", "ACT_EST_MAPPING=PRECISE", "FS=MRC", "CURRENCY=USD", "XLFILL=b")</f>
        <v>#N/A Requesting Data...</v>
      </c>
      <c r="AM67" s="6" t="str">
        <f>_xll.BQL("SEG0000230986 Segment", "IS_PERCENTAGE_OF_REVENUE", "FPR=2021Y", "FPT=A", "FA_ACT_EST_DATA=E, EST_SOURCE=DZB", "ACT_EST_MAPPING=PRECISE", "FS=MRC", "CURRENCY=USD", "XLFILL=b")</f>
        <v>#N/A Requesting Data...</v>
      </c>
      <c r="AN67" s="6" t="str">
        <f>_xll.BQL("SEG0000230986 Segment", "IS_PERCENTAGE_OF_REVENUE", "FPR=2021Y", "FPT=A", "FA_ACT_EST_DATA=E, EST_SOURCE=DWI", "ACT_EST_MAPPING=PRECISE", "FS=MRC", "CURRENCY=USD", "XLFILL=b")</f>
        <v>#N/A Requesting Data...</v>
      </c>
      <c r="AO67" s="6" t="str">
        <f>_xll.BQL("SEG0000230986 Segment", "IS_PERCENTAGE_OF_REVENUE", "FPR=2021Y", "FPT=A", "FA_ACT_EST_DATA=E, EST_SOURCE=ARG", "ACT_EST_MAPPING=PRECISE", "FS=MRC", "CURRENCY=USD", "XLFILL=b")</f>
        <v>#N/A Requesting Data...</v>
      </c>
      <c r="AP67" s="6" t="str">
        <f>_xll.BQL("SEG0000230986 Segment", "IS_PERCENTAGE_OF_REVENUE", "FPR=2021Y", "FPT=A", "FA_ACT_EST_DATA=E, EST_SOURCE=CTI", "ACT_EST_MAPPING=PRECISE", "FS=MRC", "CURRENCY=USD", "XLFILL=b")</f>
        <v>#N/A Requesting Data...</v>
      </c>
      <c r="AQ67" s="6" t="str">
        <f>_xll.BQL("SEG0000230986 Segment", "IS_PERCENTAGE_OF_REVENUE", "FPR=2021Y", "FPT=A", "FA_ACT_EST_DATA=E, EST_SOURCE=WFT", "ACT_EST_MAPPING=PRECISE", "FS=MRC", "CURRENCY=USD", "XLFILL=b")</f>
        <v>#N/A Requesting Data...</v>
      </c>
      <c r="AR67" s="6" t="str">
        <f>_xll.BQL("SEG0000230986 Segment", "IS_PERCENTAGE_OF_REVENUE", "FPR=2021Y", "FPT=A", "FA_ACT_EST_DATA=E, EST_SOURCE=ARE", "ACT_EST_MAPPING=PRECISE", "FS=MRC", "CURRENCY=USD", "XLFILL=b")</f>
        <v>#N/A Requesting Data...</v>
      </c>
      <c r="AS67" s="6" t="str">
        <f>_xll.BQL("SEG0000230986 Segment", "IS_PERCENTAGE_OF_REVENUE", "FPR=2021Y", "FPT=A", "FA_ACT_EST_DATA=E, EST_SOURCE=PJE", "ACT_EST_MAPPING=PRECISE", "FS=MRC", "CURRENCY=USD", "XLFILL=b")</f>
        <v/>
      </c>
      <c r="AT67" s="6" t="str">
        <f>_xll.BQL("SEG0000230986 Segment", "IS_PERCENTAGE_OF_REVENUE", "FPR=2021Y", "FPT=A", "FA_ACT_EST_DATA=E, EST_SOURCE=MZS", "ACT_EST_MAPPING=PRECISE", "FS=MRC", "CURRENCY=USD", "XLFILL=b")</f>
        <v>#N/A Requesting Data...</v>
      </c>
      <c r="AU67" s="6" t="str">
        <f>_xll.BQL("SEG0000230986 Segment", "IS_PERCENTAGE_OF_REVENUE", "FPR=2021Y", "FPT=A", "FA_ACT_EST_DATA=E, EST_SOURCE=SUM", "ACT_EST_MAPPING=PRECISE", "FS=MRC", "CURRENCY=USD", "XLFILL=b")</f>
        <v>#N/A Requesting Data...</v>
      </c>
      <c r="AV67" s="6" t="str">
        <f>_xll.BQL("SEG0000230986 Segment", "IS_PERCENTAGE_OF_REVENUE", "FPR=2021Y", "FPT=A", "FA_ACT_EST_DATA=E, EST_SOURCE=CRC", "ACT_EST_MAPPING=PRECISE", "FS=MRC", "CURRENCY=USD", "XLFILL=b")</f>
        <v>#N/A Requesting Data...</v>
      </c>
      <c r="AW67" s="6" t="str">
        <f>_xll.BQL("SEG0000230986 Segment", "IS_PERCENTAGE_OF_REVENUE", "FPR=2021Y", "FPT=A", "FA_ACT_EST_DATA=E, EST_SOURCE=SCB", "ACT_EST_MAPPING=PRECISE", "FS=MRC", "CURRENCY=USD", "XLFILL=b")</f>
        <v/>
      </c>
    </row>
    <row r="68" spans="1:49" x14ac:dyDescent="0.55000000000000004">
      <c r="A68" s="5" t="s">
        <v>106</v>
      </c>
      <c r="B68" s="2" t="s">
        <v>107</v>
      </c>
      <c r="C68" s="2" t="s">
        <v>108</v>
      </c>
      <c r="D68" s="2" t="s">
        <v>51</v>
      </c>
      <c r="E68" s="6" t="str">
        <f>_xll.BQL("SEG0000230986 Segment", "IS_ADJUSTED_COGS_AS_REPORTED/1M", "FPR=2021Y", "FPT=A", "FA_ACT_EST_DATA=E", "ACT_EST_MAPPING=PRECISE", "FS=MRC", "CURRENCY=USD", "XLFILL=b")</f>
        <v>#N/A Requesting Data...</v>
      </c>
      <c r="F68" s="6" t="str">
        <f>_xll.BQL("SEG0000230986 Segment", "CONTRIBUTOR_STATS(IS_ADJUSTED_COGS_AS_REPORTED, MIN)/1M", "FPR=2021Y", "FPT=A", "FA_ACT_EST_DATA=E", "ACT_EST_MAPPING=PRECISE", "FS=MRC", "CURRENCY=USD", "XLFILL=b")</f>
        <v>#N/A Requesting Data...</v>
      </c>
      <c r="G68" s="6" t="str">
        <f>_xll.BQL("SEG0000230986 Segment", "CONTRIBUTOR_STATS(IS_ADJUSTED_COGS_AS_REPORTED, MAX)/1M", "FPR=2021Y", "FPT=A", "FA_ACT_EST_DATA=E", "ACT_EST_MAPPING=PRECISE", "FS=MRC", "CURRENCY=USD", "XLFILL=b")</f>
        <v>#N/A Requesting Data...</v>
      </c>
      <c r="H68" s="6" t="str">
        <f>_xll.BQL("SEG0000230986 Segment", "CONTRIBUTOR_STATS(IS_ADJUSTED_COGS_AS_REPORTED, STD)/1M", "FPR=2021Y", "FPT=A", "FA_ACT_EST_DATA=E", "ACT_EST_MAPPING=PRECISE", "FS=MRC", "CURRENCY=USD", "XLFILL=b")</f>
        <v>#N/A Requesting Data...</v>
      </c>
      <c r="I68" s="6">
        <f>_xll.BQL("SEG0000230986 Segment", "CONTRIBUTOR_STATS(IS_ADJUSTED_COGS_AS_REPORTED, MEDIAN)/1M", "FPR=2021Y", "FPT=A", "FA_ACT_EST_DATA=E", "ACT_EST_MAPPING=PRECISE", "FS=MRC", "CURRENCY=USD", "XLFILL=b")</f>
        <v>267.5408000246224</v>
      </c>
      <c r="J68" s="6" t="str">
        <f>_xll.BQL("SEG0000230986 Segment", "IS_ADJUSTED_COGS_AS_REPORTED/1M", "FPR=2021Y", "FPT=A", "FA_ACT_EST_DATA=E, EST_SOURCE=CMPY", "ACT_EST_MAPPING=PRECISE", "FS=MRC", "CURRENCY=USD", "XLFILL=b")</f>
        <v>#N/A Requesting Data...</v>
      </c>
      <c r="K68" s="6" t="str">
        <f>_xll.BQL("SEG0000230986 Segment", "IS_ADJUSTED_COGS_AS_REPORTED/1M", "FPR=2021Y", "FPT=A", "FA_ACT_EST_DATA=E, EST_SOURCE=JPM", "ACT_EST_MAPPING=PRECISE", "FS=MRC", "CURRENCY=USD", "XLFILL=b")</f>
        <v>#N/A Requesting Data...</v>
      </c>
      <c r="L68" s="6" t="str">
        <f>_xll.BQL("SEG0000230986 Segment", "IS_ADJUSTED_COGS_AS_REPORTED/1M", "FPR=2021Y", "FPT=A", "FA_ACT_EST_DATA=E, EST_SOURCE=WBL", "ACT_EST_MAPPING=PRECISE", "FS=MRC", "CURRENCY=USD", "XLFILL=b")</f>
        <v>#N/A Requesting Data...</v>
      </c>
      <c r="M68" s="6" t="str">
        <f>_xll.BQL("SEG0000230986 Segment", "IS_ADJUSTED_COGS_AS_REPORTED/1M", "FPR=2021Y", "FPT=A", "FA_ACT_EST_DATA=E, EST_SOURCE=KEY", "ACT_EST_MAPPING=PRECISE", "FS=MRC", "CURRENCY=USD", "XLFILL=b")</f>
        <v>#N/A Requesting Data...</v>
      </c>
      <c r="N68" s="6" t="str">
        <f>_xll.BQL("SEG0000230986 Segment", "IS_ADJUSTED_COGS_AS_REPORTED/1M", "FPR=2021Y", "FPT=A", "FA_ACT_EST_DATA=E, EST_SOURCE=BMO", "ACT_EST_MAPPING=PRECISE", "FS=MRC", "CURRENCY=USD", "XLFILL=b")</f>
        <v/>
      </c>
      <c r="O68" s="6" t="str">
        <f>_xll.BQL("SEG0000230986 Segment", "IS_ADJUSTED_COGS_AS_REPORTED/1M", "FPR=2021Y", "FPT=A", "FA_ACT_EST_DATA=E, EST_SOURCE=OPY", "ACT_EST_MAPPING=PRECISE", "FS=MRC", "CURRENCY=USD", "XLFILL=b")</f>
        <v>#N/A Requesting Data...</v>
      </c>
      <c r="P68" s="6" t="str">
        <f>_xll.BQL("SEG0000230986 Segment", "IS_ADJUSTED_COGS_AS_REPORTED/1M", "FPR=2021Y", "FPT=A", "FA_ACT_EST_DATA=E, EST_SOURCE=BCA", "ACT_EST_MAPPING=PRECISE", "FS=MRC", "CURRENCY=USD", "XLFILL=b")</f>
        <v>#N/A Requesting Data...</v>
      </c>
      <c r="Q68" s="6" t="str">
        <f>_xll.BQL("SEG0000230986 Segment", "IS_ADJUSTED_COGS_AS_REPORTED/1M", "FPR=2021Y", "FPT=A", "FA_ACT_EST_DATA=E, EST_SOURCE=RHR", "ACT_EST_MAPPING=PRECISE", "FS=MRC", "CURRENCY=USD", "XLFILL=b")</f>
        <v/>
      </c>
      <c r="R68" s="6" t="str">
        <f>_xll.BQL("SEG0000230986 Segment", "IS_ADJUSTED_COGS_AS_REPORTED/1M", "FPR=2021Y", "FPT=A", "FA_ACT_EST_DATA=E, EST_SOURCE=SNR", "ACT_EST_MAPPING=PRECISE", "FS=MRC", "CURRENCY=USD", "XLFILL=b")</f>
        <v/>
      </c>
      <c r="S68" s="6" t="str">
        <f>_xll.BQL("SEG0000230986 Segment", "IS_ADJUSTED_COGS_AS_REPORTED/1M", "FPR=2021Y", "FPT=A", "FA_ACT_EST_DATA=E, EST_SOURCE=MSV", "ACT_EST_MAPPING=PRECISE", "FS=MRC", "CURRENCY=USD", "XLFILL=b")</f>
        <v>#N/A Requesting Data...</v>
      </c>
      <c r="T68" s="6" t="str">
        <f>_xll.BQL("SEG0000230986 Segment", "IS_ADJUSTED_COGS_AS_REPORTED/1M", "FPR=2021Y", "FPT=A", "FA_ACT_EST_DATA=E, EST_SOURCE=CAN", "ACT_EST_MAPPING=PRECISE", "FS=MRC", "CURRENCY=USD", "XLFILL=b")</f>
        <v>#N/A Requesting Data...</v>
      </c>
      <c r="U68" s="6">
        <f>_xll.BQL("SEG0000230986 Segment", "IS_ADJUSTED_COGS_AS_REPORTED/1M", "FPR=2021Y", "FPT=A", "FA_ACT_EST_DATA=E, EST_SOURCE=JMP", "ACT_EST_MAPPING=PRECISE", "FS=MRC", "CURRENCY=USD", "XLFILL=b")</f>
        <v>267.26778250000001</v>
      </c>
      <c r="V68" s="6" t="str">
        <f>_xll.BQL("SEG0000230986 Segment", "IS_ADJUSTED_COGS_AS_REPORTED/1M", "FPR=2021Y", "FPT=A", "FA_ACT_EST_DATA=E, EST_SOURCE=NDH", "ACT_EST_MAPPING=PRECISE", "FS=MRC", "CURRENCY=USD", "XLFILL=b")</f>
        <v>#N/A Requesting Data...</v>
      </c>
      <c r="W68" s="6" t="str">
        <f>_xll.BQL("SEG0000230986 Segment", "IS_ADJUSTED_COGS_AS_REPORTED/1M", "FPR=2021Y", "FPT=A", "FA_ACT_EST_DATA=E, EST_SOURCE=ZXS", "ACT_EST_MAPPING=PRECISE", "FS=MRC", "CURRENCY=USD", "XLFILL=b")</f>
        <v>#N/A Requesting Data...</v>
      </c>
      <c r="X68" s="6" t="str">
        <f>_xll.BQL("SEG0000230986 Segment", "IS_ADJUSTED_COGS_AS_REPORTED/1M", "FPR=2021Y", "FPT=A", "FA_ACT_EST_DATA=E, EST_SOURCE=CWN", "ACT_EST_MAPPING=PRECISE", "FS=MRC", "CURRENCY=USD", "XLFILL=b")</f>
        <v>#N/A Requesting Data...</v>
      </c>
      <c r="Y68" s="6" t="str">
        <f>_xll.BQL("SEG0000230986 Segment", "IS_ADJUSTED_COGS_AS_REPORTED/1M", "FPR=2021Y", "FPT=A", "FA_ACT_EST_DATA=E, EST_SOURCE=DBG", "ACT_EST_MAPPING=PRECISE", "FS=MRC", "CURRENCY=USD", "XLFILL=b")</f>
        <v>#N/A Requesting Data...</v>
      </c>
      <c r="Z68" s="6" t="str">
        <f>_xll.BQL("SEG0000230986 Segment", "IS_ADJUSTED_COGS_AS_REPORTED/1M", "FPR=2021Y", "FPT=A", "FA_ACT_EST_DATA=E, EST_SOURCE=UBS", "ACT_EST_MAPPING=PRECISE", "FS=MRC", "CURRENCY=USD", "XLFILL=b")</f>
        <v>#N/A Requesting Data...</v>
      </c>
      <c r="AA68" s="6" t="str">
        <f>_xll.BQL("SEG0000230986 Segment", "IS_ADJUSTED_COGS_AS_REPORTED/1M", "FPR=2021Y", "FPT=A", "FA_ACT_EST_DATA=E, EST_SOURCE=RBC", "ACT_EST_MAPPING=PRECISE", "FS=MRC", "CURRENCY=USD", "XLFILL=b")</f>
        <v>#N/A Requesting Data...</v>
      </c>
      <c r="AB68" s="6" t="str">
        <f>_xll.BQL("SEG0000230986 Segment", "IS_ADJUSTED_COGS_AS_REPORTED/1M", "FPR=2021Y", "FPT=A", "FA_ACT_EST_DATA=E, EST_SOURCE=EVR", "ACT_EST_MAPPING=PRECISE", "FS=MRC", "CURRENCY=USD", "XLFILL=b")</f>
        <v>#N/A Requesting Data...</v>
      </c>
      <c r="AC68" s="6" t="str">
        <f>_xll.BQL("SEG0000230986 Segment", "IS_ADJUSTED_COGS_AS_REPORTED/1M", "FPR=2021Y", "FPT=A", "FA_ACT_EST_DATA=E, EST_SOURCE=BNS", "ACT_EST_MAPPING=PRECISE", "FS=MRC", "CURRENCY=USD", "XLFILL=b")</f>
        <v/>
      </c>
      <c r="AD68" s="6" t="str">
        <f>_xll.BQL("SEG0000230986 Segment", "IS_ADJUSTED_COGS_AS_REPORTED/1M", "FPR=2021Y", "FPT=A", "FA_ACT_EST_DATA=E, EST_SOURCE=BAM", "ACT_EST_MAPPING=PRECISE", "FS=MRC", "CURRENCY=USD", "XLFILL=b")</f>
        <v>#N/A Requesting Data...</v>
      </c>
      <c r="AE68" s="6" t="str">
        <f>_xll.BQL("SEG0000230986 Segment", "IS_ADJUSTED_COGS_AS_REPORTED/1M", "FPR=2021Y", "FPT=A", "FA_ACT_EST_DATA=E, EST_SOURCE=GSR", "ACT_EST_MAPPING=PRECISE", "FS=MRC", "CURRENCY=USD", "XLFILL=b")</f>
        <v>#N/A Requesting Data...</v>
      </c>
      <c r="AF68" s="6" t="str">
        <f>_xll.BQL("SEG0000230986 Segment", "IS_ADJUSTED_COGS_AS_REPORTED/1M", "FPR=2021Y", "FPT=A", "FA_ACT_EST_DATA=E, EST_SOURCE=FBC", "ACT_EST_MAPPING=PRECISE", "FS=MRC", "CURRENCY=USD", "XLFILL=b")</f>
        <v>#N/A Requesting Data...</v>
      </c>
      <c r="AG68" s="6" t="str">
        <f>_xll.BQL("SEG0000230986 Segment", "IS_ADJUSTED_COGS_AS_REPORTED/1M", "FPR=2021Y", "FPT=A", "FA_ACT_EST_DATA=E, EST_SOURCE=MAC", "ACT_EST_MAPPING=PRECISE", "FS=MRC", "CURRENCY=USD", "XLFILL=b")</f>
        <v>#N/A Requesting Data...</v>
      </c>
      <c r="AH68" s="6" t="str">
        <f>_xll.BQL("SEG0000230986 Segment", "IS_ADJUSTED_COGS_AS_REPORTED/1M", "FPR=2021Y", "FPT=A", "FA_ACT_EST_DATA=E, EST_SOURCE=PSG", "ACT_EST_MAPPING=PRECISE", "FS=MRC", "CURRENCY=USD", "XLFILL=b")</f>
        <v>#N/A Requesting Data...</v>
      </c>
      <c r="AI68" s="6" t="str">
        <f>_xll.BQL("SEG0000230986 Segment", "IS_ADJUSTED_COGS_AS_REPORTED/1M", "FPR=2021Y", "FPT=A", "FA_ACT_EST_DATA=E, EST_SOURCE=MSR", "ACT_EST_MAPPING=PRECISE", "FS=MRC", "CURRENCY=USD", "XLFILL=b")</f>
        <v>#N/A Requesting Data...</v>
      </c>
      <c r="AJ68" s="6" t="str">
        <f>_xll.BQL("SEG0000230986 Segment", "IS_ADJUSTED_COGS_AS_REPORTED/1M", "FPR=2021Y", "FPT=A", "FA_ACT_EST_DATA=E, EST_SOURCE=JEF", "ACT_EST_MAPPING=PRECISE", "FS=MRC", "CURRENCY=USD", "XLFILL=b")</f>
        <v>#N/A Requesting Data...</v>
      </c>
      <c r="AK68" s="6" t="str">
        <f>_xll.BQL("SEG0000230986 Segment", "IS_ADJUSTED_COGS_AS_REPORTED/1M", "FPR=2021Y", "FPT=A", "FA_ACT_EST_DATA=E, EST_SOURCE=TTC", "ACT_EST_MAPPING=PRECISE", "FS=MRC", "CURRENCY=USD", "XLFILL=b")</f>
        <v>#N/A Requesting Data...</v>
      </c>
      <c r="AL68" s="6" t="str">
        <f>_xll.BQL("SEG0000230986 Segment", "IS_ADJUSTED_COGS_AS_REPORTED/1M", "FPR=2021Y", "FPT=A", "FA_ACT_EST_DATA=E, EST_SOURCE=RWB", "ACT_EST_MAPPING=PRECISE", "FS=MRC", "CURRENCY=USD", "XLFILL=b")</f>
        <v>#N/A Requesting Data...</v>
      </c>
      <c r="AM68" s="6" t="str">
        <f>_xll.BQL("SEG0000230986 Segment", "IS_ADJUSTED_COGS_AS_REPORTED/1M", "FPR=2021Y", "FPT=A", "FA_ACT_EST_DATA=E, EST_SOURCE=DZB", "ACT_EST_MAPPING=PRECISE", "FS=MRC", "CURRENCY=USD", "XLFILL=b")</f>
        <v>#N/A Requesting Data...</v>
      </c>
      <c r="AN68" s="6" t="str">
        <f>_xll.BQL("SEG0000230986 Segment", "IS_ADJUSTED_COGS_AS_REPORTED/1M", "FPR=2021Y", "FPT=A", "FA_ACT_EST_DATA=E, EST_SOURCE=DWI", "ACT_EST_MAPPING=PRECISE", "FS=MRC", "CURRENCY=USD", "XLFILL=b")</f>
        <v>#N/A Requesting Data...</v>
      </c>
      <c r="AO68" s="6" t="str">
        <f>_xll.BQL("SEG0000230986 Segment", "IS_ADJUSTED_COGS_AS_REPORTED/1M", "FPR=2021Y", "FPT=A", "FA_ACT_EST_DATA=E, EST_SOURCE=ARG", "ACT_EST_MAPPING=PRECISE", "FS=MRC", "CURRENCY=USD", "XLFILL=b")</f>
        <v>#N/A Requesting Data...</v>
      </c>
      <c r="AP68" s="6" t="str">
        <f>_xll.BQL("SEG0000230986 Segment", "IS_ADJUSTED_COGS_AS_REPORTED/1M", "FPR=2021Y", "FPT=A", "FA_ACT_EST_DATA=E, EST_SOURCE=CTI", "ACT_EST_MAPPING=PRECISE", "FS=MRC", "CURRENCY=USD", "XLFILL=b")</f>
        <v>#N/A Requesting Data...</v>
      </c>
      <c r="AQ68" s="6" t="str">
        <f>_xll.BQL("SEG0000230986 Segment", "IS_ADJUSTED_COGS_AS_REPORTED/1M", "FPR=2021Y", "FPT=A", "FA_ACT_EST_DATA=E, EST_SOURCE=WFT", "ACT_EST_MAPPING=PRECISE", "FS=MRC", "CURRENCY=USD", "XLFILL=b")</f>
        <v>#N/A Requesting Data...</v>
      </c>
      <c r="AR68" s="6" t="str">
        <f>_xll.BQL("SEG0000230986 Segment", "IS_ADJUSTED_COGS_AS_REPORTED/1M", "FPR=2021Y", "FPT=A", "FA_ACT_EST_DATA=E, EST_SOURCE=ARE", "ACT_EST_MAPPING=PRECISE", "FS=MRC", "CURRENCY=USD", "XLFILL=b")</f>
        <v>#N/A Requesting Data...</v>
      </c>
      <c r="AS68" s="6" t="str">
        <f>_xll.BQL("SEG0000230986 Segment", "IS_ADJUSTED_COGS_AS_REPORTED/1M", "FPR=2021Y", "FPT=A", "FA_ACT_EST_DATA=E, EST_SOURCE=PJE", "ACT_EST_MAPPING=PRECISE", "FS=MRC", "CURRENCY=USD", "XLFILL=b")</f>
        <v/>
      </c>
      <c r="AT68" s="6" t="str">
        <f>_xll.BQL("SEG0000230986 Segment", "IS_ADJUSTED_COGS_AS_REPORTED/1M", "FPR=2021Y", "FPT=A", "FA_ACT_EST_DATA=E, EST_SOURCE=MZS", "ACT_EST_MAPPING=PRECISE", "FS=MRC", "CURRENCY=USD", "XLFILL=b")</f>
        <v>#N/A Requesting Data...</v>
      </c>
      <c r="AU68" s="6" t="str">
        <f>_xll.BQL("SEG0000230986 Segment", "IS_ADJUSTED_COGS_AS_REPORTED/1M", "FPR=2021Y", "FPT=A", "FA_ACT_EST_DATA=E, EST_SOURCE=SUM", "ACT_EST_MAPPING=PRECISE", "FS=MRC", "CURRENCY=USD", "XLFILL=b")</f>
        <v>#N/A Requesting Data...</v>
      </c>
      <c r="AV68" s="6" t="str">
        <f>_xll.BQL("SEG0000230986 Segment", "IS_ADJUSTED_COGS_AS_REPORTED/1M", "FPR=2021Y", "FPT=A", "FA_ACT_EST_DATA=E, EST_SOURCE=CRC", "ACT_EST_MAPPING=PRECISE", "FS=MRC", "CURRENCY=USD", "XLFILL=b")</f>
        <v>#N/A Requesting Data...</v>
      </c>
      <c r="AW68" s="6" t="str">
        <f>_xll.BQL("SEG0000230986 Segment", "IS_ADJUSTED_COGS_AS_REPORTED/1M", "FPR=2021Y", "FPT=A", "FA_ACT_EST_DATA=E, EST_SOURCE=SCB", "ACT_EST_MAPPING=PRECISE", "FS=MRC", "CURRENCY=USD", "XLFILL=b")</f>
        <v>#N/A Requesting Data...</v>
      </c>
    </row>
    <row r="69" spans="1:49" x14ac:dyDescent="0.55000000000000004">
      <c r="A69" s="5" t="s">
        <v>109</v>
      </c>
      <c r="B69" s="2" t="s">
        <v>53</v>
      </c>
      <c r="C69" s="2" t="s">
        <v>2</v>
      </c>
      <c r="D69" s="2" t="s">
        <v>51</v>
      </c>
      <c r="E69" s="6" t="str">
        <f>_xll.BQL("SEG0000230986 Segment", "IS_ADJ_GROSS_PROFIT_AS_REPORTED/1M", "FPR=2021Y", "FPT=A", "FA_ACT_EST_DATA=E", "ACT_EST_MAPPING=PRECISE", "FS=MRC", "CURRENCY=USD", "XLFILL=b")</f>
        <v>#N/A Requesting Data...</v>
      </c>
      <c r="F69" s="6" t="str">
        <f>_xll.BQL("SEG0000230986 Segment", "CONTRIBUTOR_STATS(IS_ADJ_GROSS_PROFIT_AS_REPORTED, MIN)/1M", "FPR=2021Y", "FPT=A", "FA_ACT_EST_DATA=E", "ACT_EST_MAPPING=PRECISE", "FS=MRC", "CURRENCY=USD", "XLFILL=b")</f>
        <v>#N/A Requesting Data...</v>
      </c>
      <c r="G69" s="6" t="str">
        <f>_xll.BQL("SEG0000230986 Segment", "CONTRIBUTOR_STATS(IS_ADJ_GROSS_PROFIT_AS_REPORTED, MAX)/1M", "FPR=2021Y", "FPT=A", "FA_ACT_EST_DATA=E", "ACT_EST_MAPPING=PRECISE", "FS=MRC", "CURRENCY=USD", "XLFILL=b")</f>
        <v>#N/A Requesting Data...</v>
      </c>
      <c r="H69" s="6" t="str">
        <f>_xll.BQL("SEG0000230986 Segment", "CONTRIBUTOR_STATS(IS_ADJ_GROSS_PROFIT_AS_REPORTED, STD)/1M", "FPR=2021Y", "FPT=A", "FA_ACT_EST_DATA=E", "ACT_EST_MAPPING=PRECISE", "FS=MRC", "CURRENCY=USD", "XLFILL=b")</f>
        <v>#N/A Requesting Data...</v>
      </c>
      <c r="I69" s="6" t="str">
        <f>_xll.BQL("SEG0000230986 Segment", "CONTRIBUTOR_STATS(IS_ADJ_GROSS_PROFIT_AS_REPORTED, MEDIAN)/1M", "FPR=2021Y", "FPT=A", "FA_ACT_EST_DATA=E", "ACT_EST_MAPPING=PRECISE", "FS=MRC", "CURRENCY=USD", "XLFILL=b")</f>
        <v>#N/A Requesting Data...</v>
      </c>
      <c r="J69" s="6" t="str">
        <f>_xll.BQL("SEG0000230986 Segment", "IS_ADJ_GROSS_PROFIT_AS_REPORTED/1M", "FPR=2021Y", "FPT=A", "FA_ACT_EST_DATA=E, EST_SOURCE=CMPY", "ACT_EST_MAPPING=PRECISE", "FS=MRC", "CURRENCY=USD", "XLFILL=b")</f>
        <v>#N/A Requesting Data...</v>
      </c>
      <c r="K69" s="6" t="str">
        <f>_xll.BQL("SEG0000230986 Segment", "IS_ADJ_GROSS_PROFIT_AS_REPORTED/1M", "FPR=2021Y", "FPT=A", "FA_ACT_EST_DATA=E, EST_SOURCE=JPM", "ACT_EST_MAPPING=PRECISE", "FS=MRC", "CURRENCY=USD", "XLFILL=b")</f>
        <v>#N/A Requesting Data...</v>
      </c>
      <c r="L69" s="6" t="str">
        <f>_xll.BQL("SEG0000230986 Segment", "IS_ADJ_GROSS_PROFIT_AS_REPORTED/1M", "FPR=2021Y", "FPT=A", "FA_ACT_EST_DATA=E, EST_SOURCE=WBL", "ACT_EST_MAPPING=PRECISE", "FS=MRC", "CURRENCY=USD", "XLFILL=b")</f>
        <v>#N/A Requesting Data...</v>
      </c>
      <c r="M69" s="6" t="str">
        <f>_xll.BQL("SEG0000230986 Segment", "IS_ADJ_GROSS_PROFIT_AS_REPORTED/1M", "FPR=2021Y", "FPT=A", "FA_ACT_EST_DATA=E, EST_SOURCE=KEY", "ACT_EST_MAPPING=PRECISE", "FS=MRC", "CURRENCY=USD", "XLFILL=b")</f>
        <v>#N/A Requesting Data...</v>
      </c>
      <c r="N69" s="6" t="str">
        <f>_xll.BQL("SEG0000230986 Segment", "IS_ADJ_GROSS_PROFIT_AS_REPORTED/1M", "FPR=2021Y", "FPT=A", "FA_ACT_EST_DATA=E, EST_SOURCE=BMO", "ACT_EST_MAPPING=PRECISE", "FS=MRC", "CURRENCY=USD", "XLFILL=b")</f>
        <v>#N/A Requesting Data...</v>
      </c>
      <c r="O69" s="6" t="str">
        <f>_xll.BQL("SEG0000230986 Segment", "IS_ADJ_GROSS_PROFIT_AS_REPORTED/1M", "FPR=2021Y", "FPT=A", "FA_ACT_EST_DATA=E, EST_SOURCE=OPY", "ACT_EST_MAPPING=PRECISE", "FS=MRC", "CURRENCY=USD", "XLFILL=b")</f>
        <v>#N/A Requesting Data...</v>
      </c>
      <c r="P69" s="6" t="str">
        <f>_xll.BQL("SEG0000230986 Segment", "IS_ADJ_GROSS_PROFIT_AS_REPORTED/1M", "FPR=2021Y", "FPT=A", "FA_ACT_EST_DATA=E, EST_SOURCE=BCA", "ACT_EST_MAPPING=PRECISE", "FS=MRC", "CURRENCY=USD", "XLFILL=b")</f>
        <v>#N/A Requesting Data...</v>
      </c>
      <c r="Q69" s="6" t="str">
        <f>_xll.BQL("SEG0000230986 Segment", "IS_ADJ_GROSS_PROFIT_AS_REPORTED/1M", "FPR=2021Y", "FPT=A", "FA_ACT_EST_DATA=E, EST_SOURCE=RHR", "ACT_EST_MAPPING=PRECISE", "FS=MRC", "CURRENCY=USD", "XLFILL=b")</f>
        <v>#N/A Requesting Data...</v>
      </c>
      <c r="R69" s="6" t="str">
        <f>_xll.BQL("SEG0000230986 Segment", "IS_ADJ_GROSS_PROFIT_AS_REPORTED/1M", "FPR=2021Y", "FPT=A", "FA_ACT_EST_DATA=E, EST_SOURCE=SNR", "ACT_EST_MAPPING=PRECISE", "FS=MRC", "CURRENCY=USD", "XLFILL=b")</f>
        <v>#N/A Requesting Data...</v>
      </c>
      <c r="S69" s="6" t="str">
        <f>_xll.BQL("SEG0000230986 Segment", "IS_ADJ_GROSS_PROFIT_AS_REPORTED/1M", "FPR=2021Y", "FPT=A", "FA_ACT_EST_DATA=E, EST_SOURCE=MSV", "ACT_EST_MAPPING=PRECISE", "FS=MRC", "CURRENCY=USD", "XLFILL=b")</f>
        <v>#N/A Requesting Data...</v>
      </c>
      <c r="T69" s="6" t="str">
        <f>_xll.BQL("SEG0000230986 Segment", "IS_ADJ_GROSS_PROFIT_AS_REPORTED/1M", "FPR=2021Y", "FPT=A", "FA_ACT_EST_DATA=E, EST_SOURCE=CAN", "ACT_EST_MAPPING=PRECISE", "FS=MRC", "CURRENCY=USD", "XLFILL=b")</f>
        <v>#N/A Requesting Data...</v>
      </c>
      <c r="U69" s="6" t="str">
        <f>_xll.BQL("SEG0000230986 Segment", "IS_ADJ_GROSS_PROFIT_AS_REPORTED/1M", "FPR=2021Y", "FPT=A", "FA_ACT_EST_DATA=E, EST_SOURCE=JMP", "ACT_EST_MAPPING=PRECISE", "FS=MRC", "CURRENCY=USD", "XLFILL=b")</f>
        <v>#N/A Requesting Data...</v>
      </c>
      <c r="V69" s="6" t="str">
        <f>_xll.BQL("SEG0000230986 Segment", "IS_ADJ_GROSS_PROFIT_AS_REPORTED/1M", "FPR=2021Y", "FPT=A", "FA_ACT_EST_DATA=E, EST_SOURCE=NDH", "ACT_EST_MAPPING=PRECISE", "FS=MRC", "CURRENCY=USD", "XLFILL=b")</f>
        <v>#N/A Requesting Data...</v>
      </c>
      <c r="W69" s="6" t="str">
        <f>_xll.BQL("SEG0000230986 Segment", "IS_ADJ_GROSS_PROFIT_AS_REPORTED/1M", "FPR=2021Y", "FPT=A", "FA_ACT_EST_DATA=E, EST_SOURCE=ZXS", "ACT_EST_MAPPING=PRECISE", "FS=MRC", "CURRENCY=USD", "XLFILL=b")</f>
        <v>#N/A Requesting Data...</v>
      </c>
      <c r="X69" s="6" t="str">
        <f>_xll.BQL("SEG0000230986 Segment", "IS_ADJ_GROSS_PROFIT_AS_REPORTED/1M", "FPR=2021Y", "FPT=A", "FA_ACT_EST_DATA=E, EST_SOURCE=CWN", "ACT_EST_MAPPING=PRECISE", "FS=MRC", "CURRENCY=USD", "XLFILL=b")</f>
        <v>#N/A Requesting Data...</v>
      </c>
      <c r="Y69" s="6" t="str">
        <f>_xll.BQL("SEG0000230986 Segment", "IS_ADJ_GROSS_PROFIT_AS_REPORTED/1M", "FPR=2021Y", "FPT=A", "FA_ACT_EST_DATA=E, EST_SOURCE=DBG", "ACT_EST_MAPPING=PRECISE", "FS=MRC", "CURRENCY=USD", "XLFILL=b")</f>
        <v>#N/A Requesting Data...</v>
      </c>
      <c r="Z69" s="6" t="str">
        <f>_xll.BQL("SEG0000230986 Segment", "IS_ADJ_GROSS_PROFIT_AS_REPORTED/1M", "FPR=2021Y", "FPT=A", "FA_ACT_EST_DATA=E, EST_SOURCE=UBS", "ACT_EST_MAPPING=PRECISE", "FS=MRC", "CURRENCY=USD", "XLFILL=b")</f>
        <v>#N/A Requesting Data...</v>
      </c>
      <c r="AA69" s="6" t="str">
        <f>_xll.BQL("SEG0000230986 Segment", "IS_ADJ_GROSS_PROFIT_AS_REPORTED/1M", "FPR=2021Y", "FPT=A", "FA_ACT_EST_DATA=E, EST_SOURCE=RBC", "ACT_EST_MAPPING=PRECISE", "FS=MRC", "CURRENCY=USD", "XLFILL=b")</f>
        <v>#N/A Requesting Data...</v>
      </c>
      <c r="AB69" s="6" t="str">
        <f>_xll.BQL("SEG0000230986 Segment", "IS_ADJ_GROSS_PROFIT_AS_REPORTED/1M", "FPR=2021Y", "FPT=A", "FA_ACT_EST_DATA=E, EST_SOURCE=EVR", "ACT_EST_MAPPING=PRECISE", "FS=MRC", "CURRENCY=USD", "XLFILL=b")</f>
        <v>#N/A Requesting Data...</v>
      </c>
      <c r="AC69" s="6" t="str">
        <f>_xll.BQL("SEG0000230986 Segment", "IS_ADJ_GROSS_PROFIT_AS_REPORTED/1M", "FPR=2021Y", "FPT=A", "FA_ACT_EST_DATA=E, EST_SOURCE=BNS", "ACT_EST_MAPPING=PRECISE", "FS=MRC", "CURRENCY=USD", "XLFILL=b")</f>
        <v>#N/A Requesting Data...</v>
      </c>
      <c r="AD69" s="6" t="str">
        <f>_xll.BQL("SEG0000230986 Segment", "IS_ADJ_GROSS_PROFIT_AS_REPORTED/1M", "FPR=2021Y", "FPT=A", "FA_ACT_EST_DATA=E, EST_SOURCE=BAM", "ACT_EST_MAPPING=PRECISE", "FS=MRC", "CURRENCY=USD", "XLFILL=b")</f>
        <v>#N/A Requesting Data...</v>
      </c>
      <c r="AE69" s="6" t="str">
        <f>_xll.BQL("SEG0000230986 Segment", "IS_ADJ_GROSS_PROFIT_AS_REPORTED/1M", "FPR=2021Y", "FPT=A", "FA_ACT_EST_DATA=E, EST_SOURCE=GSR", "ACT_EST_MAPPING=PRECISE", "FS=MRC", "CURRENCY=USD", "XLFILL=b")</f>
        <v>#N/A Requesting Data...</v>
      </c>
      <c r="AF69" s="6" t="str">
        <f>_xll.BQL("SEG0000230986 Segment", "IS_ADJ_GROSS_PROFIT_AS_REPORTED/1M", "FPR=2021Y", "FPT=A", "FA_ACT_EST_DATA=E, EST_SOURCE=FBC", "ACT_EST_MAPPING=PRECISE", "FS=MRC", "CURRENCY=USD", "XLFILL=b")</f>
        <v>#N/A Requesting Data...</v>
      </c>
      <c r="AG69" s="6" t="str">
        <f>_xll.BQL("SEG0000230986 Segment", "IS_ADJ_GROSS_PROFIT_AS_REPORTED/1M", "FPR=2021Y", "FPT=A", "FA_ACT_EST_DATA=E, EST_SOURCE=MAC", "ACT_EST_MAPPING=PRECISE", "FS=MRC", "CURRENCY=USD", "XLFILL=b")</f>
        <v>#N/A Requesting Data...</v>
      </c>
      <c r="AH69" s="6" t="str">
        <f>_xll.BQL("SEG0000230986 Segment", "IS_ADJ_GROSS_PROFIT_AS_REPORTED/1M", "FPR=2021Y", "FPT=A", "FA_ACT_EST_DATA=E, EST_SOURCE=PSG", "ACT_EST_MAPPING=PRECISE", "FS=MRC", "CURRENCY=USD", "XLFILL=b")</f>
        <v>#N/A Requesting Data...</v>
      </c>
      <c r="AI69" s="6" t="str">
        <f>_xll.BQL("SEG0000230986 Segment", "IS_ADJ_GROSS_PROFIT_AS_REPORTED/1M", "FPR=2021Y", "FPT=A", "FA_ACT_EST_DATA=E, EST_SOURCE=MSR", "ACT_EST_MAPPING=PRECISE", "FS=MRC", "CURRENCY=USD", "XLFILL=b")</f>
        <v>#N/A Requesting Data...</v>
      </c>
      <c r="AJ69" s="6" t="str">
        <f>_xll.BQL("SEG0000230986 Segment", "IS_ADJ_GROSS_PROFIT_AS_REPORTED/1M", "FPR=2021Y", "FPT=A", "FA_ACT_EST_DATA=E, EST_SOURCE=JEF", "ACT_EST_MAPPING=PRECISE", "FS=MRC", "CURRENCY=USD", "XLFILL=b")</f>
        <v>#N/A Requesting Data...</v>
      </c>
      <c r="AK69" s="6" t="str">
        <f>_xll.BQL("SEG0000230986 Segment", "IS_ADJ_GROSS_PROFIT_AS_REPORTED/1M", "FPR=2021Y", "FPT=A", "FA_ACT_EST_DATA=E, EST_SOURCE=TTC", "ACT_EST_MAPPING=PRECISE", "FS=MRC", "CURRENCY=USD", "XLFILL=b")</f>
        <v>#N/A Requesting Data...</v>
      </c>
      <c r="AL69" s="6" t="str">
        <f>_xll.BQL("SEG0000230986 Segment", "IS_ADJ_GROSS_PROFIT_AS_REPORTED/1M", "FPR=2021Y", "FPT=A", "FA_ACT_EST_DATA=E, EST_SOURCE=RWB", "ACT_EST_MAPPING=PRECISE", "FS=MRC", "CURRENCY=USD", "XLFILL=b")</f>
        <v>#N/A Requesting Data...</v>
      </c>
      <c r="AM69" s="6" t="str">
        <f>_xll.BQL("SEG0000230986 Segment", "IS_ADJ_GROSS_PROFIT_AS_REPORTED/1M", "FPR=2021Y", "FPT=A", "FA_ACT_EST_DATA=E, EST_SOURCE=DZB", "ACT_EST_MAPPING=PRECISE", "FS=MRC", "CURRENCY=USD", "XLFILL=b")</f>
        <v>#N/A Requesting Data...</v>
      </c>
      <c r="AN69" s="6" t="str">
        <f>_xll.BQL("SEG0000230986 Segment", "IS_ADJ_GROSS_PROFIT_AS_REPORTED/1M", "FPR=2021Y", "FPT=A", "FA_ACT_EST_DATA=E, EST_SOURCE=DWI", "ACT_EST_MAPPING=PRECISE", "FS=MRC", "CURRENCY=USD", "XLFILL=b")</f>
        <v>#N/A Requesting Data...</v>
      </c>
      <c r="AO69" s="6" t="str">
        <f>_xll.BQL("SEG0000230986 Segment", "IS_ADJ_GROSS_PROFIT_AS_REPORTED/1M", "FPR=2021Y", "FPT=A", "FA_ACT_EST_DATA=E, EST_SOURCE=ARG", "ACT_EST_MAPPING=PRECISE", "FS=MRC", "CURRENCY=USD", "XLFILL=b")</f>
        <v>#N/A Requesting Data...</v>
      </c>
      <c r="AP69" s="6" t="str">
        <f>_xll.BQL("SEG0000230986 Segment", "IS_ADJ_GROSS_PROFIT_AS_REPORTED/1M", "FPR=2021Y", "FPT=A", "FA_ACT_EST_DATA=E, EST_SOURCE=CTI", "ACT_EST_MAPPING=PRECISE", "FS=MRC", "CURRENCY=USD", "XLFILL=b")</f>
        <v>#N/A Requesting Data...</v>
      </c>
      <c r="AQ69" s="6" t="str">
        <f>_xll.BQL("SEG0000230986 Segment", "IS_ADJ_GROSS_PROFIT_AS_REPORTED/1M", "FPR=2021Y", "FPT=A", "FA_ACT_EST_DATA=E, EST_SOURCE=WFT", "ACT_EST_MAPPING=PRECISE", "FS=MRC", "CURRENCY=USD", "XLFILL=b")</f>
        <v>#N/A Requesting Data...</v>
      </c>
      <c r="AR69" s="6" t="str">
        <f>_xll.BQL("SEG0000230986 Segment", "IS_ADJ_GROSS_PROFIT_AS_REPORTED/1M", "FPR=2021Y", "FPT=A", "FA_ACT_EST_DATA=E, EST_SOURCE=ARE", "ACT_EST_MAPPING=PRECISE", "FS=MRC", "CURRENCY=USD", "XLFILL=b")</f>
        <v>#N/A Requesting Data...</v>
      </c>
      <c r="AS69" s="6" t="str">
        <f>_xll.BQL("SEG0000230986 Segment", "IS_ADJ_GROSS_PROFIT_AS_REPORTED/1M", "FPR=2021Y", "FPT=A", "FA_ACT_EST_DATA=E, EST_SOURCE=PJE", "ACT_EST_MAPPING=PRECISE", "FS=MRC", "CURRENCY=USD", "XLFILL=b")</f>
        <v>#N/A Requesting Data...</v>
      </c>
      <c r="AT69" s="6" t="str">
        <f>_xll.BQL("SEG0000230986 Segment", "IS_ADJ_GROSS_PROFIT_AS_REPORTED/1M", "FPR=2021Y", "FPT=A", "FA_ACT_EST_DATA=E, EST_SOURCE=MZS", "ACT_EST_MAPPING=PRECISE", "FS=MRC", "CURRENCY=USD", "XLFILL=b")</f>
        <v>#N/A Requesting Data...</v>
      </c>
      <c r="AU69" s="6" t="str">
        <f>_xll.BQL("SEG0000230986 Segment", "IS_ADJ_GROSS_PROFIT_AS_REPORTED/1M", "FPR=2021Y", "FPT=A", "FA_ACT_EST_DATA=E, EST_SOURCE=SUM", "ACT_EST_MAPPING=PRECISE", "FS=MRC", "CURRENCY=USD", "XLFILL=b")</f>
        <v>#N/A Requesting Data...</v>
      </c>
      <c r="AV69" s="6" t="str">
        <f>_xll.BQL("SEG0000230986 Segment", "IS_ADJ_GROSS_PROFIT_AS_REPORTED/1M", "FPR=2021Y", "FPT=A", "FA_ACT_EST_DATA=E, EST_SOURCE=CRC", "ACT_EST_MAPPING=PRECISE", "FS=MRC", "CURRENCY=USD", "XLFILL=b")</f>
        <v>#N/A Requesting Data...</v>
      </c>
      <c r="AW69" s="6" t="str">
        <f>_xll.BQL("SEG0000230986 Segment", "IS_ADJ_GROSS_PROFIT_AS_REPORTED/1M", "FPR=2021Y", "FPT=A", "FA_ACT_EST_DATA=E, EST_SOURCE=SCB", "ACT_EST_MAPPING=PRECISE", "FS=MRC", "CURRENCY=USD", "XLFILL=b")</f>
        <v>#N/A Requesting Data...</v>
      </c>
    </row>
    <row r="70" spans="1:49" x14ac:dyDescent="0.55000000000000004">
      <c r="A70" s="5" t="s">
        <v>110</v>
      </c>
      <c r="B70" s="2" t="s">
        <v>47</v>
      </c>
      <c r="C70" s="2" t="s">
        <v>48</v>
      </c>
      <c r="D70" s="2" t="s">
        <v>51</v>
      </c>
      <c r="E70" s="6" t="str">
        <f>_xll.BQL("SEG0000230986 Segment", "IS_ADJ_GROSS_MARGIN_PCT_AR", "FPR=2021Y", "FPT=A", "FA_ACT_EST_DATA=E", "ACT_EST_MAPPING=PRECISE", "FS=MRC", "CURRENCY=USD", "XLFILL=b")</f>
        <v>#N/A Requesting Data...</v>
      </c>
      <c r="F70" s="6" t="str">
        <f>_xll.BQL("SEG0000230986 Segment", "CONTRIBUTOR_STATS(IS_ADJ_GROSS_MARGIN_PCT_AR, MIN)", "FPR=2021Y", "FPT=A", "FA_ACT_EST_DATA=E", "ACT_EST_MAPPING=PRECISE", "FS=MRC", "CURRENCY=USD", "XLFILL=b")</f>
        <v>#N/A Requesting Data...</v>
      </c>
      <c r="G70" s="6" t="str">
        <f>_xll.BQL("SEG0000230986 Segment", "CONTRIBUTOR_STATS(IS_ADJ_GROSS_MARGIN_PCT_AR, MAX)", "FPR=2021Y", "FPT=A", "FA_ACT_EST_DATA=E", "ACT_EST_MAPPING=PRECISE", "FS=MRC", "CURRENCY=USD", "XLFILL=b")</f>
        <v>#N/A Requesting Data...</v>
      </c>
      <c r="H70" s="6" t="str">
        <f>_xll.BQL("SEG0000230986 Segment", "CONTRIBUTOR_STATS(IS_ADJ_GROSS_MARGIN_PCT_AR, STD)", "FPR=2021Y", "FPT=A", "FA_ACT_EST_DATA=E", "ACT_EST_MAPPING=PRECISE", "FS=MRC", "CURRENCY=USD", "XLFILL=b")</f>
        <v>#N/A Requesting Data...</v>
      </c>
      <c r="I70" s="6">
        <f>_xll.BQL("SEG0000230986 Segment", "CONTRIBUTOR_STATS(IS_ADJ_GROSS_MARGIN_PCT_AR, MEDIAN)", "FPR=2021Y", "FPT=A", "FA_ACT_EST_DATA=E", "ACT_EST_MAPPING=PRECISE", "FS=MRC", "CURRENCY=USD", "XLFILL=b")</f>
        <v>14.259312688340669</v>
      </c>
      <c r="J70" s="6" t="str">
        <f>_xll.BQL("SEG0000230986 Segment", "IS_ADJ_GROSS_MARGIN_PCT_AR", "FPR=2021Y", "FPT=A", "FA_ACT_EST_DATA=E, EST_SOURCE=CMPY", "ACT_EST_MAPPING=PRECISE", "FS=MRC", "CURRENCY=USD", "XLFILL=b")</f>
        <v>#N/A Requesting Data...</v>
      </c>
      <c r="K70" s="6" t="str">
        <f>_xll.BQL("SEG0000230986 Segment", "IS_ADJ_GROSS_MARGIN_PCT_AR", "FPR=2021Y", "FPT=A", "FA_ACT_EST_DATA=E, EST_SOURCE=JPM", "ACT_EST_MAPPING=PRECISE", "FS=MRC", "CURRENCY=USD", "XLFILL=b")</f>
        <v>#N/A Requesting Data...</v>
      </c>
      <c r="L70" s="6" t="str">
        <f>_xll.BQL("SEG0000230986 Segment", "IS_ADJ_GROSS_MARGIN_PCT_AR", "FPR=2021Y", "FPT=A", "FA_ACT_EST_DATA=E, EST_SOURCE=WBL", "ACT_EST_MAPPING=PRECISE", "FS=MRC", "CURRENCY=USD", "XLFILL=b")</f>
        <v>#N/A Requesting Data...</v>
      </c>
      <c r="M70" s="6" t="str">
        <f>_xll.BQL("SEG0000230986 Segment", "IS_ADJ_GROSS_MARGIN_PCT_AR", "FPR=2021Y", "FPT=A", "FA_ACT_EST_DATA=E, EST_SOURCE=KEY", "ACT_EST_MAPPING=PRECISE", "FS=MRC", "CURRENCY=USD", "XLFILL=b")</f>
        <v>#N/A Requesting Data...</v>
      </c>
      <c r="N70" s="6" t="str">
        <f>_xll.BQL("SEG0000230986 Segment", "IS_ADJ_GROSS_MARGIN_PCT_AR", "FPR=2021Y", "FPT=A", "FA_ACT_EST_DATA=E, EST_SOURCE=BMO", "ACT_EST_MAPPING=PRECISE", "FS=MRC", "CURRENCY=USD", "XLFILL=b")</f>
        <v>#N/A Requesting Data...</v>
      </c>
      <c r="O70" s="6" t="str">
        <f>_xll.BQL("SEG0000230986 Segment", "IS_ADJ_GROSS_MARGIN_PCT_AR", "FPR=2021Y", "FPT=A", "FA_ACT_EST_DATA=E, EST_SOURCE=OPY", "ACT_EST_MAPPING=PRECISE", "FS=MRC", "CURRENCY=USD", "XLFILL=b")</f>
        <v>#N/A Requesting Data...</v>
      </c>
      <c r="P70" s="6" t="str">
        <f>_xll.BQL("SEG0000230986 Segment", "IS_ADJ_GROSS_MARGIN_PCT_AR", "FPR=2021Y", "FPT=A", "FA_ACT_EST_DATA=E, EST_SOURCE=BCA", "ACT_EST_MAPPING=PRECISE", "FS=MRC", "CURRENCY=USD", "XLFILL=b")</f>
        <v>#N/A Requesting Data...</v>
      </c>
      <c r="Q70" s="6" t="str">
        <f>_xll.BQL("SEG0000230986 Segment", "IS_ADJ_GROSS_MARGIN_PCT_AR", "FPR=2021Y", "FPT=A", "FA_ACT_EST_DATA=E, EST_SOURCE=RHR", "ACT_EST_MAPPING=PRECISE", "FS=MRC", "CURRENCY=USD", "XLFILL=b")</f>
        <v>#N/A Requesting Data...</v>
      </c>
      <c r="R70" s="6" t="str">
        <f>_xll.BQL("SEG0000230986 Segment", "IS_ADJ_GROSS_MARGIN_PCT_AR", "FPR=2021Y", "FPT=A", "FA_ACT_EST_DATA=E, EST_SOURCE=SNR", "ACT_EST_MAPPING=PRECISE", "FS=MRC", "CURRENCY=USD", "XLFILL=b")</f>
        <v>#N/A Requesting Data...</v>
      </c>
      <c r="S70" s="6" t="str">
        <f>_xll.BQL("SEG0000230986 Segment", "IS_ADJ_GROSS_MARGIN_PCT_AR", "FPR=2021Y", "FPT=A", "FA_ACT_EST_DATA=E, EST_SOURCE=MSV", "ACT_EST_MAPPING=PRECISE", "FS=MRC", "CURRENCY=USD", "XLFILL=b")</f>
        <v>#N/A Requesting Data...</v>
      </c>
      <c r="T70" s="6" t="str">
        <f>_xll.BQL("SEG0000230986 Segment", "IS_ADJ_GROSS_MARGIN_PCT_AR", "FPR=2021Y", "FPT=A", "FA_ACT_EST_DATA=E, EST_SOURCE=CAN", "ACT_EST_MAPPING=PRECISE", "FS=MRC", "CURRENCY=USD", "XLFILL=b")</f>
        <v>#N/A Requesting Data...</v>
      </c>
      <c r="U70" s="6" t="str">
        <f>_xll.BQL("SEG0000230986 Segment", "IS_ADJ_GROSS_MARGIN_PCT_AR", "FPR=2021Y", "FPT=A", "FA_ACT_EST_DATA=E, EST_SOURCE=JMP", "ACT_EST_MAPPING=PRECISE", "FS=MRC", "CURRENCY=USD", "XLFILL=b")</f>
        <v>#N/A Requesting Data...</v>
      </c>
      <c r="V70" s="6" t="str">
        <f>_xll.BQL("SEG0000230986 Segment", "IS_ADJ_GROSS_MARGIN_PCT_AR", "FPR=2021Y", "FPT=A", "FA_ACT_EST_DATA=E, EST_SOURCE=NDH", "ACT_EST_MAPPING=PRECISE", "FS=MRC", "CURRENCY=USD", "XLFILL=b")</f>
        <v>#N/A Requesting Data...</v>
      </c>
      <c r="W70" s="6" t="str">
        <f>_xll.BQL("SEG0000230986 Segment", "IS_ADJ_GROSS_MARGIN_PCT_AR", "FPR=2021Y", "FPT=A", "FA_ACT_EST_DATA=E, EST_SOURCE=ZXS", "ACT_EST_MAPPING=PRECISE", "FS=MRC", "CURRENCY=USD", "XLFILL=b")</f>
        <v>#N/A Requesting Data...</v>
      </c>
      <c r="X70" s="6" t="str">
        <f>_xll.BQL("SEG0000230986 Segment", "IS_ADJ_GROSS_MARGIN_PCT_AR", "FPR=2021Y", "FPT=A", "FA_ACT_EST_DATA=E, EST_SOURCE=CWN", "ACT_EST_MAPPING=PRECISE", "FS=MRC", "CURRENCY=USD", "XLFILL=b")</f>
        <v>#N/A Requesting Data...</v>
      </c>
      <c r="Y70" s="6" t="str">
        <f>_xll.BQL("SEG0000230986 Segment", "IS_ADJ_GROSS_MARGIN_PCT_AR", "FPR=2021Y", "FPT=A", "FA_ACT_EST_DATA=E, EST_SOURCE=DBG", "ACT_EST_MAPPING=PRECISE", "FS=MRC", "CURRENCY=USD", "XLFILL=b")</f>
        <v>#N/A Requesting Data...</v>
      </c>
      <c r="Z70" s="6" t="str">
        <f>_xll.BQL("SEG0000230986 Segment", "IS_ADJ_GROSS_MARGIN_PCT_AR", "FPR=2021Y", "FPT=A", "FA_ACT_EST_DATA=E, EST_SOURCE=UBS", "ACT_EST_MAPPING=PRECISE", "FS=MRC", "CURRENCY=USD", "XLFILL=b")</f>
        <v>#N/A Requesting Data...</v>
      </c>
      <c r="AA70" s="6" t="str">
        <f>_xll.BQL("SEG0000230986 Segment", "IS_ADJ_GROSS_MARGIN_PCT_AR", "FPR=2021Y", "FPT=A", "FA_ACT_EST_DATA=E, EST_SOURCE=RBC", "ACT_EST_MAPPING=PRECISE", "FS=MRC", "CURRENCY=USD", "XLFILL=b")</f>
        <v>#N/A Requesting Data...</v>
      </c>
      <c r="AB70" s="6" t="str">
        <f>_xll.BQL("SEG0000230986 Segment", "IS_ADJ_GROSS_MARGIN_PCT_AR", "FPR=2021Y", "FPT=A", "FA_ACT_EST_DATA=E, EST_SOURCE=EVR", "ACT_EST_MAPPING=PRECISE", "FS=MRC", "CURRENCY=USD", "XLFILL=b")</f>
        <v>#N/A Requesting Data...</v>
      </c>
      <c r="AC70" s="6" t="str">
        <f>_xll.BQL("SEG0000230986 Segment", "IS_ADJ_GROSS_MARGIN_PCT_AR", "FPR=2021Y", "FPT=A", "FA_ACT_EST_DATA=E, EST_SOURCE=BNS", "ACT_EST_MAPPING=PRECISE", "FS=MRC", "CURRENCY=USD", "XLFILL=b")</f>
        <v>#N/A Requesting Data...</v>
      </c>
      <c r="AD70" s="6" t="str">
        <f>_xll.BQL("SEG0000230986 Segment", "IS_ADJ_GROSS_MARGIN_PCT_AR", "FPR=2021Y", "FPT=A", "FA_ACT_EST_DATA=E, EST_SOURCE=BAM", "ACT_EST_MAPPING=PRECISE", "FS=MRC", "CURRENCY=USD", "XLFILL=b")</f>
        <v>#N/A Requesting Data...</v>
      </c>
      <c r="AE70" s="6" t="str">
        <f>_xll.BQL("SEG0000230986 Segment", "IS_ADJ_GROSS_MARGIN_PCT_AR", "FPR=2021Y", "FPT=A", "FA_ACT_EST_DATA=E, EST_SOURCE=GSR", "ACT_EST_MAPPING=PRECISE", "FS=MRC", "CURRENCY=USD", "XLFILL=b")</f>
        <v>#N/A Requesting Data...</v>
      </c>
      <c r="AF70" s="6" t="str">
        <f>_xll.BQL("SEG0000230986 Segment", "IS_ADJ_GROSS_MARGIN_PCT_AR", "FPR=2021Y", "FPT=A", "FA_ACT_EST_DATA=E, EST_SOURCE=FBC", "ACT_EST_MAPPING=PRECISE", "FS=MRC", "CURRENCY=USD", "XLFILL=b")</f>
        <v>#N/A Requesting Data...</v>
      </c>
      <c r="AG70" s="6" t="str">
        <f>_xll.BQL("SEG0000230986 Segment", "IS_ADJ_GROSS_MARGIN_PCT_AR", "FPR=2021Y", "FPT=A", "FA_ACT_EST_DATA=E, EST_SOURCE=MAC", "ACT_EST_MAPPING=PRECISE", "FS=MRC", "CURRENCY=USD", "XLFILL=b")</f>
        <v>#N/A Requesting Data...</v>
      </c>
      <c r="AH70" s="6" t="str">
        <f>_xll.BQL("SEG0000230986 Segment", "IS_ADJ_GROSS_MARGIN_PCT_AR", "FPR=2021Y", "FPT=A", "FA_ACT_EST_DATA=E, EST_SOURCE=PSG", "ACT_EST_MAPPING=PRECISE", "FS=MRC", "CURRENCY=USD", "XLFILL=b")</f>
        <v>#N/A Requesting Data...</v>
      </c>
      <c r="AI70" s="6" t="str">
        <f>_xll.BQL("SEG0000230986 Segment", "IS_ADJ_GROSS_MARGIN_PCT_AR", "FPR=2021Y", "FPT=A", "FA_ACT_EST_DATA=E, EST_SOURCE=MSR", "ACT_EST_MAPPING=PRECISE", "FS=MRC", "CURRENCY=USD", "XLFILL=b")</f>
        <v>#N/A Requesting Data...</v>
      </c>
      <c r="AJ70" s="6" t="str">
        <f>_xll.BQL("SEG0000230986 Segment", "IS_ADJ_GROSS_MARGIN_PCT_AR", "FPR=2021Y", "FPT=A", "FA_ACT_EST_DATA=E, EST_SOURCE=JEF", "ACT_EST_MAPPING=PRECISE", "FS=MRC", "CURRENCY=USD", "XLFILL=b")</f>
        <v>#N/A Requesting Data...</v>
      </c>
      <c r="AK70" s="6" t="str">
        <f>_xll.BQL("SEG0000230986 Segment", "IS_ADJ_GROSS_MARGIN_PCT_AR", "FPR=2021Y", "FPT=A", "FA_ACT_EST_DATA=E, EST_SOURCE=TTC", "ACT_EST_MAPPING=PRECISE", "FS=MRC", "CURRENCY=USD", "XLFILL=b")</f>
        <v>#N/A Requesting Data...</v>
      </c>
      <c r="AL70" s="6" t="str">
        <f>_xll.BQL("SEG0000230986 Segment", "IS_ADJ_GROSS_MARGIN_PCT_AR", "FPR=2021Y", "FPT=A", "FA_ACT_EST_DATA=E, EST_SOURCE=RWB", "ACT_EST_MAPPING=PRECISE", "FS=MRC", "CURRENCY=USD", "XLFILL=b")</f>
        <v>#N/A Requesting Data...</v>
      </c>
      <c r="AM70" s="6" t="str">
        <f>_xll.BQL("SEG0000230986 Segment", "IS_ADJ_GROSS_MARGIN_PCT_AR", "FPR=2021Y", "FPT=A", "FA_ACT_EST_DATA=E, EST_SOURCE=DZB", "ACT_EST_MAPPING=PRECISE", "FS=MRC", "CURRENCY=USD", "XLFILL=b")</f>
        <v>#N/A Requesting Data...</v>
      </c>
      <c r="AN70" s="6" t="str">
        <f>_xll.BQL("SEG0000230986 Segment", "IS_ADJ_GROSS_MARGIN_PCT_AR", "FPR=2021Y", "FPT=A", "FA_ACT_EST_DATA=E, EST_SOURCE=DWI", "ACT_EST_MAPPING=PRECISE", "FS=MRC", "CURRENCY=USD", "XLFILL=b")</f>
        <v>#N/A Requesting Data...</v>
      </c>
      <c r="AO70" s="6" t="str">
        <f>_xll.BQL("SEG0000230986 Segment", "IS_ADJ_GROSS_MARGIN_PCT_AR", "FPR=2021Y", "FPT=A", "FA_ACT_EST_DATA=E, EST_SOURCE=ARG", "ACT_EST_MAPPING=PRECISE", "FS=MRC", "CURRENCY=USD", "XLFILL=b")</f>
        <v>#N/A Requesting Data...</v>
      </c>
      <c r="AP70" s="6" t="str">
        <f>_xll.BQL("SEG0000230986 Segment", "IS_ADJ_GROSS_MARGIN_PCT_AR", "FPR=2021Y", "FPT=A", "FA_ACT_EST_DATA=E, EST_SOURCE=CTI", "ACT_EST_MAPPING=PRECISE", "FS=MRC", "CURRENCY=USD", "XLFILL=b")</f>
        <v>#N/A Requesting Data...</v>
      </c>
      <c r="AQ70" s="6" t="str">
        <f>_xll.BQL("SEG0000230986 Segment", "IS_ADJ_GROSS_MARGIN_PCT_AR", "FPR=2021Y", "FPT=A", "FA_ACT_EST_DATA=E, EST_SOURCE=WFT", "ACT_EST_MAPPING=PRECISE", "FS=MRC", "CURRENCY=USD", "XLFILL=b")</f>
        <v>#N/A Requesting Data...</v>
      </c>
      <c r="AR70" s="6" t="str">
        <f>_xll.BQL("SEG0000230986 Segment", "IS_ADJ_GROSS_MARGIN_PCT_AR", "FPR=2021Y", "FPT=A", "FA_ACT_EST_DATA=E, EST_SOURCE=ARE", "ACT_EST_MAPPING=PRECISE", "FS=MRC", "CURRENCY=USD", "XLFILL=b")</f>
        <v>#N/A Requesting Data...</v>
      </c>
      <c r="AS70" s="6" t="str">
        <f>_xll.BQL("SEG0000230986 Segment", "IS_ADJ_GROSS_MARGIN_PCT_AR", "FPR=2021Y", "FPT=A", "FA_ACT_EST_DATA=E, EST_SOURCE=PJE", "ACT_EST_MAPPING=PRECISE", "FS=MRC", "CURRENCY=USD", "XLFILL=b")</f>
        <v>#N/A Requesting Data...</v>
      </c>
      <c r="AT70" s="6" t="str">
        <f>_xll.BQL("SEG0000230986 Segment", "IS_ADJ_GROSS_MARGIN_PCT_AR", "FPR=2021Y", "FPT=A", "FA_ACT_EST_DATA=E, EST_SOURCE=MZS", "ACT_EST_MAPPING=PRECISE", "FS=MRC", "CURRENCY=USD", "XLFILL=b")</f>
        <v>#N/A Requesting Data...</v>
      </c>
      <c r="AU70" s="6" t="str">
        <f>_xll.BQL("SEG0000230986 Segment", "IS_ADJ_GROSS_MARGIN_PCT_AR", "FPR=2021Y", "FPT=A", "FA_ACT_EST_DATA=E, EST_SOURCE=SUM", "ACT_EST_MAPPING=PRECISE", "FS=MRC", "CURRENCY=USD", "XLFILL=b")</f>
        <v>#N/A Requesting Data...</v>
      </c>
      <c r="AV70" s="6" t="str">
        <f>_xll.BQL("SEG0000230986 Segment", "IS_ADJ_GROSS_MARGIN_PCT_AR", "FPR=2021Y", "FPT=A", "FA_ACT_EST_DATA=E, EST_SOURCE=CRC", "ACT_EST_MAPPING=PRECISE", "FS=MRC", "CURRENCY=USD", "XLFILL=b")</f>
        <v>#N/A Requesting Data...</v>
      </c>
      <c r="AW70" s="6" t="str">
        <f>_xll.BQL("SEG0000230986 Segment", "IS_ADJ_GROSS_MARGIN_PCT_AR", "FPR=2021Y", "FPT=A", "FA_ACT_EST_DATA=E, EST_SOURCE=SCB", "ACT_EST_MAPPING=PRECISE", "FS=MRC", "CURRENCY=USD", "XLFILL=b")</f>
        <v>#N/A Requesting Data...</v>
      </c>
    </row>
    <row r="71" spans="1:49" x14ac:dyDescent="0.55000000000000004">
      <c r="A71" s="5" t="s">
        <v>111</v>
      </c>
      <c r="B71" s="2" t="s">
        <v>112</v>
      </c>
      <c r="C71" s="2" t="s">
        <v>113</v>
      </c>
      <c r="D71" s="2" t="s">
        <v>51</v>
      </c>
      <c r="E71" s="6" t="str">
        <f>_xll.BQL("SEG0000230986 Segment", "CB_IS_GROSS_PROFIT/1M", "FPR=2021Y", "FPT=A", "FA_ACT_EST_DATA=E", "ACT_EST_MAPPING=PRECISE", "FS=MRC", "CURRENCY=USD", "XLFILL=b")</f>
        <v>#N/A Requesting Data...</v>
      </c>
      <c r="F71" s="6" t="str">
        <f>_xll.BQL("SEG0000230986 Segment", "CONTRIBUTOR_STATS(CB_IS_GROSS_PROFIT, MIN)/1M", "FPR=2021Y", "FPT=A", "FA_ACT_EST_DATA=E", "ACT_EST_MAPPING=PRECISE", "FS=MRC", "CURRENCY=USD", "XLFILL=b")</f>
        <v>#N/A Requesting Data...</v>
      </c>
      <c r="G71" s="6" t="str">
        <f>_xll.BQL("SEG0000230986 Segment", "CONTRIBUTOR_STATS(CB_IS_GROSS_PROFIT, MAX)/1M", "FPR=2021Y", "FPT=A", "FA_ACT_EST_DATA=E", "ACT_EST_MAPPING=PRECISE", "FS=MRC", "CURRENCY=USD", "XLFILL=b")</f>
        <v>#N/A Requesting Data...</v>
      </c>
      <c r="H71" s="6" t="str">
        <f>_xll.BQL("SEG0000230986 Segment", "CONTRIBUTOR_STATS(CB_IS_GROSS_PROFIT, STD)/1M", "FPR=2021Y", "FPT=A", "FA_ACT_EST_DATA=E", "ACT_EST_MAPPING=PRECISE", "FS=MRC", "CURRENCY=USD", "XLFILL=b")</f>
        <v>#N/A Requesting Data...</v>
      </c>
      <c r="I71" s="6" t="str">
        <f>_xll.BQL("SEG0000230986 Segment", "CONTRIBUTOR_STATS(CB_IS_GROSS_PROFIT, MEDIAN)/1M", "FPR=2021Y", "FPT=A", "FA_ACT_EST_DATA=E", "ACT_EST_MAPPING=PRECISE", "FS=MRC", "CURRENCY=USD", "XLFILL=b")</f>
        <v>#N/A Requesting Data...</v>
      </c>
      <c r="J71" s="6" t="str">
        <f>_xll.BQL("SEG0000230986 Segment", "CB_IS_GROSS_PROFIT/1M", "FPR=2021Y", "FPT=A", "FA_ACT_EST_DATA=E, EST_SOURCE=CMPY", "ACT_EST_MAPPING=PRECISE", "FS=MRC", "CURRENCY=USD", "XLFILL=b")</f>
        <v>#N/A Requesting Data...</v>
      </c>
      <c r="K71" s="6" t="str">
        <f>_xll.BQL("SEG0000230986 Segment", "CB_IS_GROSS_PROFIT/1M", "FPR=2021Y", "FPT=A", "FA_ACT_EST_DATA=E, EST_SOURCE=JPM", "ACT_EST_MAPPING=PRECISE", "FS=MRC", "CURRENCY=USD", "XLFILL=b")</f>
        <v>#N/A Requesting Data...</v>
      </c>
      <c r="L71" s="6" t="str">
        <f>_xll.BQL("SEG0000230986 Segment", "CB_IS_GROSS_PROFIT/1M", "FPR=2021Y", "FPT=A", "FA_ACT_EST_DATA=E, EST_SOURCE=WBL", "ACT_EST_MAPPING=PRECISE", "FS=MRC", "CURRENCY=USD", "XLFILL=b")</f>
        <v>#N/A Requesting Data...</v>
      </c>
      <c r="M71" s="6" t="str">
        <f>_xll.BQL("SEG0000230986 Segment", "CB_IS_GROSS_PROFIT/1M", "FPR=2021Y", "FPT=A", "FA_ACT_EST_DATA=E, EST_SOURCE=KEY", "ACT_EST_MAPPING=PRECISE", "FS=MRC", "CURRENCY=USD", "XLFILL=b")</f>
        <v>#N/A Requesting Data...</v>
      </c>
      <c r="N71" s="6" t="str">
        <f>_xll.BQL("SEG0000230986 Segment", "CB_IS_GROSS_PROFIT/1M", "FPR=2021Y", "FPT=A", "FA_ACT_EST_DATA=E, EST_SOURCE=BMO", "ACT_EST_MAPPING=PRECISE", "FS=MRC", "CURRENCY=USD", "XLFILL=b")</f>
        <v>#N/A Requesting Data...</v>
      </c>
      <c r="O71" s="6" t="str">
        <f>_xll.BQL("SEG0000230986 Segment", "CB_IS_GROSS_PROFIT/1M", "FPR=2021Y", "FPT=A", "FA_ACT_EST_DATA=E, EST_SOURCE=OPY", "ACT_EST_MAPPING=PRECISE", "FS=MRC", "CURRENCY=USD", "XLFILL=b")</f>
        <v>#N/A Requesting Data...</v>
      </c>
      <c r="P71" s="6" t="str">
        <f>_xll.BQL("SEG0000230986 Segment", "CB_IS_GROSS_PROFIT/1M", "FPR=2021Y", "FPT=A", "FA_ACT_EST_DATA=E, EST_SOURCE=BCA", "ACT_EST_MAPPING=PRECISE", "FS=MRC", "CURRENCY=USD", "XLFILL=b")</f>
        <v>#N/A Requesting Data...</v>
      </c>
      <c r="Q71" s="6" t="str">
        <f>_xll.BQL("SEG0000230986 Segment", "CB_IS_GROSS_PROFIT/1M", "FPR=2021Y", "FPT=A", "FA_ACT_EST_DATA=E, EST_SOURCE=RHR", "ACT_EST_MAPPING=PRECISE", "FS=MRC", "CURRENCY=USD", "XLFILL=b")</f>
        <v>#N/A Requesting Data...</v>
      </c>
      <c r="R71" s="6" t="str">
        <f>_xll.BQL("SEG0000230986 Segment", "CB_IS_GROSS_PROFIT/1M", "FPR=2021Y", "FPT=A", "FA_ACT_EST_DATA=E, EST_SOURCE=SNR", "ACT_EST_MAPPING=PRECISE", "FS=MRC", "CURRENCY=USD", "XLFILL=b")</f>
        <v>#N/A Requesting Data...</v>
      </c>
      <c r="S71" s="6" t="str">
        <f>_xll.BQL("SEG0000230986 Segment", "CB_IS_GROSS_PROFIT/1M", "FPR=2021Y", "FPT=A", "FA_ACT_EST_DATA=E, EST_SOURCE=MSV", "ACT_EST_MAPPING=PRECISE", "FS=MRC", "CURRENCY=USD", "XLFILL=b")</f>
        <v>#N/A Requesting Data...</v>
      </c>
      <c r="T71" s="6" t="str">
        <f>_xll.BQL("SEG0000230986 Segment", "CB_IS_GROSS_PROFIT/1M", "FPR=2021Y", "FPT=A", "FA_ACT_EST_DATA=E, EST_SOURCE=CAN", "ACT_EST_MAPPING=PRECISE", "FS=MRC", "CURRENCY=USD", "XLFILL=b")</f>
        <v>#N/A Requesting Data...</v>
      </c>
      <c r="U71" s="6" t="str">
        <f>_xll.BQL("SEG0000230986 Segment", "CB_IS_GROSS_PROFIT/1M", "FPR=2021Y", "FPT=A", "FA_ACT_EST_DATA=E, EST_SOURCE=JMP", "ACT_EST_MAPPING=PRECISE", "FS=MRC", "CURRENCY=USD", "XLFILL=b")</f>
        <v>#N/A Requesting Data...</v>
      </c>
      <c r="V71" s="6" t="str">
        <f>_xll.BQL("SEG0000230986 Segment", "CB_IS_GROSS_PROFIT/1M", "FPR=2021Y", "FPT=A", "FA_ACT_EST_DATA=E, EST_SOURCE=NDH", "ACT_EST_MAPPING=PRECISE", "FS=MRC", "CURRENCY=USD", "XLFILL=b")</f>
        <v>#N/A Requesting Data...</v>
      </c>
      <c r="W71" s="6" t="str">
        <f>_xll.BQL("SEG0000230986 Segment", "CB_IS_GROSS_PROFIT/1M", "FPR=2021Y", "FPT=A", "FA_ACT_EST_DATA=E, EST_SOURCE=ZXS", "ACT_EST_MAPPING=PRECISE", "FS=MRC", "CURRENCY=USD", "XLFILL=b")</f>
        <v>#N/A Requesting Data...</v>
      </c>
      <c r="X71" s="6" t="str">
        <f>_xll.BQL("SEG0000230986 Segment", "CB_IS_GROSS_PROFIT/1M", "FPR=2021Y", "FPT=A", "FA_ACT_EST_DATA=E, EST_SOURCE=CWN", "ACT_EST_MAPPING=PRECISE", "FS=MRC", "CURRENCY=USD", "XLFILL=b")</f>
        <v>#N/A Requesting Data...</v>
      </c>
      <c r="Y71" s="6" t="str">
        <f>_xll.BQL("SEG0000230986 Segment", "CB_IS_GROSS_PROFIT/1M", "FPR=2021Y", "FPT=A", "FA_ACT_EST_DATA=E, EST_SOURCE=DBG", "ACT_EST_MAPPING=PRECISE", "FS=MRC", "CURRENCY=USD", "XLFILL=b")</f>
        <v>#N/A Requesting Data...</v>
      </c>
      <c r="Z71" s="6" t="str">
        <f>_xll.BQL("SEG0000230986 Segment", "CB_IS_GROSS_PROFIT/1M", "FPR=2021Y", "FPT=A", "FA_ACT_EST_DATA=E, EST_SOURCE=UBS", "ACT_EST_MAPPING=PRECISE", "FS=MRC", "CURRENCY=USD", "XLFILL=b")</f>
        <v>#N/A Requesting Data...</v>
      </c>
      <c r="AA71" s="6" t="str">
        <f>_xll.BQL("SEG0000230986 Segment", "CB_IS_GROSS_PROFIT/1M", "FPR=2021Y", "FPT=A", "FA_ACT_EST_DATA=E, EST_SOURCE=RBC", "ACT_EST_MAPPING=PRECISE", "FS=MRC", "CURRENCY=USD", "XLFILL=b")</f>
        <v>#N/A Requesting Data...</v>
      </c>
      <c r="AB71" s="6" t="str">
        <f>_xll.BQL("SEG0000230986 Segment", "CB_IS_GROSS_PROFIT/1M", "FPR=2021Y", "FPT=A", "FA_ACT_EST_DATA=E, EST_SOURCE=EVR", "ACT_EST_MAPPING=PRECISE", "FS=MRC", "CURRENCY=USD", "XLFILL=b")</f>
        <v>#N/A Requesting Data...</v>
      </c>
      <c r="AC71" s="6" t="str">
        <f>_xll.BQL("SEG0000230986 Segment", "CB_IS_GROSS_PROFIT/1M", "FPR=2021Y", "FPT=A", "FA_ACT_EST_DATA=E, EST_SOURCE=BNS", "ACT_EST_MAPPING=PRECISE", "FS=MRC", "CURRENCY=USD", "XLFILL=b")</f>
        <v>#N/A Requesting Data...</v>
      </c>
      <c r="AD71" s="6" t="str">
        <f>_xll.BQL("SEG0000230986 Segment", "CB_IS_GROSS_PROFIT/1M", "FPR=2021Y", "FPT=A", "FA_ACT_EST_DATA=E, EST_SOURCE=BAM", "ACT_EST_MAPPING=PRECISE", "FS=MRC", "CURRENCY=USD", "XLFILL=b")</f>
        <v>#N/A Requesting Data...</v>
      </c>
      <c r="AE71" s="6" t="str">
        <f>_xll.BQL("SEG0000230986 Segment", "CB_IS_GROSS_PROFIT/1M", "FPR=2021Y", "FPT=A", "FA_ACT_EST_DATA=E, EST_SOURCE=GSR", "ACT_EST_MAPPING=PRECISE", "FS=MRC", "CURRENCY=USD", "XLFILL=b")</f>
        <v>#N/A Requesting Data...</v>
      </c>
      <c r="AF71" s="6" t="str">
        <f>_xll.BQL("SEG0000230986 Segment", "CB_IS_GROSS_PROFIT/1M", "FPR=2021Y", "FPT=A", "FA_ACT_EST_DATA=E, EST_SOURCE=FBC", "ACT_EST_MAPPING=PRECISE", "FS=MRC", "CURRENCY=USD", "XLFILL=b")</f>
        <v>#N/A Requesting Data...</v>
      </c>
      <c r="AG71" s="6" t="str">
        <f>_xll.BQL("SEG0000230986 Segment", "CB_IS_GROSS_PROFIT/1M", "FPR=2021Y", "FPT=A", "FA_ACT_EST_DATA=E, EST_SOURCE=MAC", "ACT_EST_MAPPING=PRECISE", "FS=MRC", "CURRENCY=USD", "XLFILL=b")</f>
        <v>#N/A Requesting Data...</v>
      </c>
      <c r="AH71" s="6" t="str">
        <f>_xll.BQL("SEG0000230986 Segment", "CB_IS_GROSS_PROFIT/1M", "FPR=2021Y", "FPT=A", "FA_ACT_EST_DATA=E, EST_SOURCE=PSG", "ACT_EST_MAPPING=PRECISE", "FS=MRC", "CURRENCY=USD", "XLFILL=b")</f>
        <v>#N/A Requesting Data...</v>
      </c>
      <c r="AI71" s="6" t="str">
        <f>_xll.BQL("SEG0000230986 Segment", "CB_IS_GROSS_PROFIT/1M", "FPR=2021Y", "FPT=A", "FA_ACT_EST_DATA=E, EST_SOURCE=MSR", "ACT_EST_MAPPING=PRECISE", "FS=MRC", "CURRENCY=USD", "XLFILL=b")</f>
        <v>#N/A Requesting Data...</v>
      </c>
      <c r="AJ71" s="6" t="str">
        <f>_xll.BQL("SEG0000230986 Segment", "CB_IS_GROSS_PROFIT/1M", "FPR=2021Y", "FPT=A", "FA_ACT_EST_DATA=E, EST_SOURCE=JEF", "ACT_EST_MAPPING=PRECISE", "FS=MRC", "CURRENCY=USD", "XLFILL=b")</f>
        <v>#N/A Requesting Data...</v>
      </c>
      <c r="AK71" s="6" t="str">
        <f>_xll.BQL("SEG0000230986 Segment", "CB_IS_GROSS_PROFIT/1M", "FPR=2021Y", "FPT=A", "FA_ACT_EST_DATA=E, EST_SOURCE=TTC", "ACT_EST_MAPPING=PRECISE", "FS=MRC", "CURRENCY=USD", "XLFILL=b")</f>
        <v>#N/A Requesting Data...</v>
      </c>
      <c r="AL71" s="6" t="str">
        <f>_xll.BQL("SEG0000230986 Segment", "CB_IS_GROSS_PROFIT/1M", "FPR=2021Y", "FPT=A", "FA_ACT_EST_DATA=E, EST_SOURCE=RWB", "ACT_EST_MAPPING=PRECISE", "FS=MRC", "CURRENCY=USD", "XLFILL=b")</f>
        <v>#N/A Requesting Data...</v>
      </c>
      <c r="AM71" s="6" t="str">
        <f>_xll.BQL("SEG0000230986 Segment", "CB_IS_GROSS_PROFIT/1M", "FPR=2021Y", "FPT=A", "FA_ACT_EST_DATA=E, EST_SOURCE=DZB", "ACT_EST_MAPPING=PRECISE", "FS=MRC", "CURRENCY=USD", "XLFILL=b")</f>
        <v>#N/A Requesting Data...</v>
      </c>
      <c r="AN71" s="6" t="str">
        <f>_xll.BQL("SEG0000230986 Segment", "CB_IS_GROSS_PROFIT/1M", "FPR=2021Y", "FPT=A", "FA_ACT_EST_DATA=E, EST_SOURCE=DWI", "ACT_EST_MAPPING=PRECISE", "FS=MRC", "CURRENCY=USD", "XLFILL=b")</f>
        <v>#N/A Requesting Data...</v>
      </c>
      <c r="AO71" s="6" t="str">
        <f>_xll.BQL("SEG0000230986 Segment", "CB_IS_GROSS_PROFIT/1M", "FPR=2021Y", "FPT=A", "FA_ACT_EST_DATA=E, EST_SOURCE=ARG", "ACT_EST_MAPPING=PRECISE", "FS=MRC", "CURRENCY=USD", "XLFILL=b")</f>
        <v>#N/A Requesting Data...</v>
      </c>
      <c r="AP71" s="6" t="str">
        <f>_xll.BQL("SEG0000230986 Segment", "CB_IS_GROSS_PROFIT/1M", "FPR=2021Y", "FPT=A", "FA_ACT_EST_DATA=E, EST_SOURCE=CTI", "ACT_EST_MAPPING=PRECISE", "FS=MRC", "CURRENCY=USD", "XLFILL=b")</f>
        <v>#N/A Requesting Data...</v>
      </c>
      <c r="AQ71" s="6" t="str">
        <f>_xll.BQL("SEG0000230986 Segment", "CB_IS_GROSS_PROFIT/1M", "FPR=2021Y", "FPT=A", "FA_ACT_EST_DATA=E, EST_SOURCE=WFT", "ACT_EST_MAPPING=PRECISE", "FS=MRC", "CURRENCY=USD", "XLFILL=b")</f>
        <v>#N/A Requesting Data...</v>
      </c>
      <c r="AR71" s="6" t="str">
        <f>_xll.BQL("SEG0000230986 Segment", "CB_IS_GROSS_PROFIT/1M", "FPR=2021Y", "FPT=A", "FA_ACT_EST_DATA=E, EST_SOURCE=ARE", "ACT_EST_MAPPING=PRECISE", "FS=MRC", "CURRENCY=USD", "XLFILL=b")</f>
        <v>#N/A Requesting Data...</v>
      </c>
      <c r="AS71" s="6" t="str">
        <f>_xll.BQL("SEG0000230986 Segment", "CB_IS_GROSS_PROFIT/1M", "FPR=2021Y", "FPT=A", "FA_ACT_EST_DATA=E, EST_SOURCE=PJE", "ACT_EST_MAPPING=PRECISE", "FS=MRC", "CURRENCY=USD", "XLFILL=b")</f>
        <v>#N/A Requesting Data...</v>
      </c>
      <c r="AT71" s="6" t="str">
        <f>_xll.BQL("SEG0000230986 Segment", "CB_IS_GROSS_PROFIT/1M", "FPR=2021Y", "FPT=A", "FA_ACT_EST_DATA=E, EST_SOURCE=MZS", "ACT_EST_MAPPING=PRECISE", "FS=MRC", "CURRENCY=USD", "XLFILL=b")</f>
        <v>#N/A Requesting Data...</v>
      </c>
      <c r="AU71" s="6" t="str">
        <f>_xll.BQL("SEG0000230986 Segment", "CB_IS_GROSS_PROFIT/1M", "FPR=2021Y", "FPT=A", "FA_ACT_EST_DATA=E, EST_SOURCE=SUM", "ACT_EST_MAPPING=PRECISE", "FS=MRC", "CURRENCY=USD", "XLFILL=b")</f>
        <v>#N/A Requesting Data...</v>
      </c>
      <c r="AV71" s="6" t="str">
        <f>_xll.BQL("SEG0000230986 Segment", "CB_IS_GROSS_PROFIT/1M", "FPR=2021Y", "FPT=A", "FA_ACT_EST_DATA=E, EST_SOURCE=CRC", "ACT_EST_MAPPING=PRECISE", "FS=MRC", "CURRENCY=USD", "XLFILL=b")</f>
        <v>#N/A Requesting Data...</v>
      </c>
      <c r="AW71" s="6" t="str">
        <f>_xll.BQL("SEG0000230986 Segment", "CB_IS_GROSS_PROFIT/1M", "FPR=2021Y", "FPT=A", "FA_ACT_EST_DATA=E, EST_SOURCE=SCB", "ACT_EST_MAPPING=PRECISE", "FS=MRC", "CURRENCY=USD", "XLFILL=b")</f>
        <v>#N/A Requesting Data...</v>
      </c>
    </row>
    <row r="72" spans="1:49" x14ac:dyDescent="0.55000000000000004">
      <c r="A72" s="5" t="s">
        <v>23</v>
      </c>
      <c r="B72" s="2"/>
      <c r="C72" s="2"/>
      <c r="D72" s="2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</row>
    <row r="73" spans="1:49" x14ac:dyDescent="0.55000000000000004">
      <c r="A73" s="5" t="s">
        <v>115</v>
      </c>
      <c r="B73" s="2"/>
      <c r="C73" s="2" t="s">
        <v>116</v>
      </c>
      <c r="D73" s="2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</row>
    <row r="74" spans="1:49" x14ac:dyDescent="0.55000000000000004">
      <c r="A74" s="5" t="s">
        <v>117</v>
      </c>
      <c r="B74" s="2"/>
      <c r="C74" s="2" t="s">
        <v>118</v>
      </c>
      <c r="D74" s="2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</row>
    <row r="75" spans="1:49" x14ac:dyDescent="0.55000000000000004">
      <c r="A75" s="5" t="s">
        <v>35</v>
      </c>
      <c r="B75" s="2" t="s">
        <v>36</v>
      </c>
      <c r="C75" s="2" t="s">
        <v>0</v>
      </c>
      <c r="D75" s="2" t="s">
        <v>40</v>
      </c>
      <c r="E75" s="6" t="str">
        <f>_xll.BQL("SEG0000230992 Segment", "SALES_REV_TURN/1M", "FPR=2021Y", "FPT=A", "FA_ACT_EST_DATA=E", "ACT_EST_MAPPING=PRECISE", "FS=MRC", "CURRENCY=USD", "XLFILL=b")</f>
        <v>#N/A Requesting Data...</v>
      </c>
      <c r="F75" s="6" t="str">
        <f>_xll.BQL("SEG0000230992 Segment", "CONTRIBUTOR_STATS(SALES_REV_TURN, MIN)/1M", "FPR=2021Y", "FPT=A", "FA_ACT_EST_DATA=E", "ACT_EST_MAPPING=PRECISE", "FS=MRC", "CURRENCY=USD", "XLFILL=b")</f>
        <v>#N/A Requesting Data...</v>
      </c>
      <c r="G75" s="6" t="str">
        <f>_xll.BQL("SEG0000230992 Segment", "CONTRIBUTOR_STATS(SALES_REV_TURN, MAX)/1M", "FPR=2021Y", "FPT=A", "FA_ACT_EST_DATA=E", "ACT_EST_MAPPING=PRECISE", "FS=MRC", "CURRENCY=USD", "XLFILL=b")</f>
        <v>#N/A Requesting Data...</v>
      </c>
      <c r="H75" s="6" t="str">
        <f>_xll.BQL("SEG0000230992 Segment", "CONTRIBUTOR_STATS(SALES_REV_TURN, STD)/1M", "FPR=2021Y", "FPT=A", "FA_ACT_EST_DATA=E", "ACT_EST_MAPPING=PRECISE", "FS=MRC", "CURRENCY=USD", "XLFILL=b")</f>
        <v>#N/A Requesting Data...</v>
      </c>
      <c r="I75" s="6" t="str">
        <f>_xll.BQL("SEG0000230992 Segment", "CONTRIBUTOR_STATS(SALES_REV_TURN, MEDIAN)/1M", "FPR=2021Y", "FPT=A", "FA_ACT_EST_DATA=E", "ACT_EST_MAPPING=PRECISE", "FS=MRC", "CURRENCY=USD", "XLFILL=b")</f>
        <v>#N/A Requesting Data...</v>
      </c>
      <c r="J75" s="6" t="str">
        <f>_xll.BQL("SEG0000230992 Segment", "SALES_REV_TURN/1M", "FPR=2021Y", "FPT=A", "FA_ACT_EST_DATA=E, EST_SOURCE=CMPY", "ACT_EST_MAPPING=PRECISE", "FS=MRC", "CURRENCY=USD", "XLFILL=b")</f>
        <v>#N/A Requesting Data...</v>
      </c>
      <c r="K75" s="6" t="str">
        <f>_xll.BQL("SEG0000230992 Segment", "SALES_REV_TURN/1M", "FPR=2021Y", "FPT=A", "FA_ACT_EST_DATA=E, EST_SOURCE=JPM", "ACT_EST_MAPPING=PRECISE", "FS=MRC", "CURRENCY=USD", "XLFILL=b")</f>
        <v>#N/A Requesting Data...</v>
      </c>
      <c r="L75" s="6" t="str">
        <f>_xll.BQL("SEG0000230992 Segment", "SALES_REV_TURN/1M", "FPR=2021Y", "FPT=A", "FA_ACT_EST_DATA=E, EST_SOURCE=WBL", "ACT_EST_MAPPING=PRECISE", "FS=MRC", "CURRENCY=USD", "XLFILL=b")</f>
        <v>#N/A Requesting Data...</v>
      </c>
      <c r="M75" s="6" t="str">
        <f>_xll.BQL("SEG0000230992 Segment", "SALES_REV_TURN/1M", "FPR=2021Y", "FPT=A", "FA_ACT_EST_DATA=E, EST_SOURCE=KEY", "ACT_EST_MAPPING=PRECISE", "FS=MRC", "CURRENCY=USD", "XLFILL=b")</f>
        <v>#N/A Requesting Data...</v>
      </c>
      <c r="N75" s="6" t="str">
        <f>_xll.BQL("SEG0000230992 Segment", "SALES_REV_TURN/1M", "FPR=2021Y", "FPT=A", "FA_ACT_EST_DATA=E, EST_SOURCE=BMO", "ACT_EST_MAPPING=PRECISE", "FS=MRC", "CURRENCY=USD", "XLFILL=b")</f>
        <v>#N/A Requesting Data...</v>
      </c>
      <c r="O75" s="6" t="str">
        <f>_xll.BQL("SEG0000230992 Segment", "SALES_REV_TURN/1M", "FPR=2021Y", "FPT=A", "FA_ACT_EST_DATA=E, EST_SOURCE=OPY", "ACT_EST_MAPPING=PRECISE", "FS=MRC", "CURRENCY=USD", "XLFILL=b")</f>
        <v>#N/A Requesting Data...</v>
      </c>
      <c r="P75" s="6" t="str">
        <f>_xll.BQL("SEG0000230992 Segment", "SALES_REV_TURN/1M", "FPR=2021Y", "FPT=A", "FA_ACT_EST_DATA=E, EST_SOURCE=BCA", "ACT_EST_MAPPING=PRECISE", "FS=MRC", "CURRENCY=USD", "XLFILL=b")</f>
        <v>#N/A Requesting Data...</v>
      </c>
      <c r="Q75" s="6" t="str">
        <f>_xll.BQL("SEG0000230992 Segment", "SALES_REV_TURN/1M", "FPR=2021Y", "FPT=A", "FA_ACT_EST_DATA=E, EST_SOURCE=RHR", "ACT_EST_MAPPING=PRECISE", "FS=MRC", "CURRENCY=USD", "XLFILL=b")</f>
        <v>#N/A Requesting Data...</v>
      </c>
      <c r="R75" s="6" t="str">
        <f>_xll.BQL("SEG0000230992 Segment", "SALES_REV_TURN/1M", "FPR=2021Y", "FPT=A", "FA_ACT_EST_DATA=E, EST_SOURCE=SNR", "ACT_EST_MAPPING=PRECISE", "FS=MRC", "CURRENCY=USD", "XLFILL=b")</f>
        <v>#N/A Requesting Data...</v>
      </c>
      <c r="S75" s="6" t="str">
        <f>_xll.BQL("SEG0000230992 Segment", "SALES_REV_TURN/1M", "FPR=2021Y", "FPT=A", "FA_ACT_EST_DATA=E, EST_SOURCE=MSV", "ACT_EST_MAPPING=PRECISE", "FS=MRC", "CURRENCY=USD", "XLFILL=b")</f>
        <v>#N/A Requesting Data...</v>
      </c>
      <c r="T75" s="6" t="str">
        <f>_xll.BQL("SEG0000230992 Segment", "SALES_REV_TURN/1M", "FPR=2021Y", "FPT=A", "FA_ACT_EST_DATA=E, EST_SOURCE=CAN", "ACT_EST_MAPPING=PRECISE", "FS=MRC", "CURRENCY=USD", "XLFILL=b")</f>
        <v>#N/A Requesting Data...</v>
      </c>
      <c r="U75" s="6" t="str">
        <f>_xll.BQL("SEG0000230992 Segment", "SALES_REV_TURN/1M", "FPR=2021Y", "FPT=A", "FA_ACT_EST_DATA=E, EST_SOURCE=JMP", "ACT_EST_MAPPING=PRECISE", "FS=MRC", "CURRENCY=USD", "XLFILL=b")</f>
        <v>#N/A Requesting Data...</v>
      </c>
      <c r="V75" s="6" t="str">
        <f>_xll.BQL("SEG0000230992 Segment", "SALES_REV_TURN/1M", "FPR=2021Y", "FPT=A", "FA_ACT_EST_DATA=E, EST_SOURCE=NDH", "ACT_EST_MAPPING=PRECISE", "FS=MRC", "CURRENCY=USD", "XLFILL=b")</f>
        <v>#N/A Requesting Data...</v>
      </c>
      <c r="W75" s="6" t="str">
        <f>_xll.BQL("SEG0000230992 Segment", "SALES_REV_TURN/1M", "FPR=2021Y", "FPT=A", "FA_ACT_EST_DATA=E, EST_SOURCE=ZXS", "ACT_EST_MAPPING=PRECISE", "FS=MRC", "CURRENCY=USD", "XLFILL=b")</f>
        <v>#N/A Requesting Data...</v>
      </c>
      <c r="X75" s="6" t="str">
        <f>_xll.BQL("SEG0000230992 Segment", "SALES_REV_TURN/1M", "FPR=2021Y", "FPT=A", "FA_ACT_EST_DATA=E, EST_SOURCE=CWN", "ACT_EST_MAPPING=PRECISE", "FS=MRC", "CURRENCY=USD", "XLFILL=b")</f>
        <v>#N/A Requesting Data...</v>
      </c>
      <c r="Y75" s="6" t="str">
        <f>_xll.BQL("SEG0000230992 Segment", "SALES_REV_TURN/1M", "FPR=2021Y", "FPT=A", "FA_ACT_EST_DATA=E, EST_SOURCE=DBG", "ACT_EST_MAPPING=PRECISE", "FS=MRC", "CURRENCY=USD", "XLFILL=b")</f>
        <v>#N/A Requesting Data...</v>
      </c>
      <c r="Z75" s="6" t="str">
        <f>_xll.BQL("SEG0000230992 Segment", "SALES_REV_TURN/1M", "FPR=2021Y", "FPT=A", "FA_ACT_EST_DATA=E, EST_SOURCE=UBS", "ACT_EST_MAPPING=PRECISE", "FS=MRC", "CURRENCY=USD", "XLFILL=b")</f>
        <v>#N/A Requesting Data...</v>
      </c>
      <c r="AA75" s="6" t="str">
        <f>_xll.BQL("SEG0000230992 Segment", "SALES_REV_TURN/1M", "FPR=2021Y", "FPT=A", "FA_ACT_EST_DATA=E, EST_SOURCE=RBC", "ACT_EST_MAPPING=PRECISE", "FS=MRC", "CURRENCY=USD", "XLFILL=b")</f>
        <v>#N/A Requesting Data...</v>
      </c>
      <c r="AB75" s="6" t="str">
        <f>_xll.BQL("SEG0000230992 Segment", "SALES_REV_TURN/1M", "FPR=2021Y", "FPT=A", "FA_ACT_EST_DATA=E, EST_SOURCE=EVR", "ACT_EST_MAPPING=PRECISE", "FS=MRC", "CURRENCY=USD", "XLFILL=b")</f>
        <v>#N/A Requesting Data...</v>
      </c>
      <c r="AC75" s="6" t="str">
        <f>_xll.BQL("SEG0000230992 Segment", "SALES_REV_TURN/1M", "FPR=2021Y", "FPT=A", "FA_ACT_EST_DATA=E, EST_SOURCE=BNS", "ACT_EST_MAPPING=PRECISE", "FS=MRC", "CURRENCY=USD", "XLFILL=b")</f>
        <v>#N/A Requesting Data...</v>
      </c>
      <c r="AD75" s="6" t="str">
        <f>_xll.BQL("SEG0000230992 Segment", "SALES_REV_TURN/1M", "FPR=2021Y", "FPT=A", "FA_ACT_EST_DATA=E, EST_SOURCE=BAM", "ACT_EST_MAPPING=PRECISE", "FS=MRC", "CURRENCY=USD", "XLFILL=b")</f>
        <v>#N/A Requesting Data...</v>
      </c>
      <c r="AE75" s="6" t="str">
        <f>_xll.BQL("SEG0000230992 Segment", "SALES_REV_TURN/1M", "FPR=2021Y", "FPT=A", "FA_ACT_EST_DATA=E, EST_SOURCE=GSR", "ACT_EST_MAPPING=PRECISE", "FS=MRC", "CURRENCY=USD", "XLFILL=b")</f>
        <v>#N/A Requesting Data...</v>
      </c>
      <c r="AF75" s="6" t="str">
        <f>_xll.BQL("SEG0000230992 Segment", "SALES_REV_TURN/1M", "FPR=2021Y", "FPT=A", "FA_ACT_EST_DATA=E, EST_SOURCE=FBC", "ACT_EST_MAPPING=PRECISE", "FS=MRC", "CURRENCY=USD", "XLFILL=b")</f>
        <v>#N/A Requesting Data...</v>
      </c>
      <c r="AG75" s="6" t="str">
        <f>_xll.BQL("SEG0000230992 Segment", "SALES_REV_TURN/1M", "FPR=2021Y", "FPT=A", "FA_ACT_EST_DATA=E, EST_SOURCE=MAC", "ACT_EST_MAPPING=PRECISE", "FS=MRC", "CURRENCY=USD", "XLFILL=b")</f>
        <v>#N/A Requesting Data...</v>
      </c>
      <c r="AH75" s="6" t="str">
        <f>_xll.BQL("SEG0000230992 Segment", "SALES_REV_TURN/1M", "FPR=2021Y", "FPT=A", "FA_ACT_EST_DATA=E, EST_SOURCE=PSG", "ACT_EST_MAPPING=PRECISE", "FS=MRC", "CURRENCY=USD", "XLFILL=b")</f>
        <v>#N/A Requesting Data...</v>
      </c>
      <c r="AI75" s="6" t="str">
        <f>_xll.BQL("SEG0000230992 Segment", "SALES_REV_TURN/1M", "FPR=2021Y", "FPT=A", "FA_ACT_EST_DATA=E, EST_SOURCE=MSR", "ACT_EST_MAPPING=PRECISE", "FS=MRC", "CURRENCY=USD", "XLFILL=b")</f>
        <v>#N/A Requesting Data...</v>
      </c>
      <c r="AJ75" s="6" t="str">
        <f>_xll.BQL("SEG0000230992 Segment", "SALES_REV_TURN/1M", "FPR=2021Y", "FPT=A", "FA_ACT_EST_DATA=E, EST_SOURCE=JEF", "ACT_EST_MAPPING=PRECISE", "FS=MRC", "CURRENCY=USD", "XLFILL=b")</f>
        <v>#N/A Requesting Data...</v>
      </c>
      <c r="AK75" s="6" t="str">
        <f>_xll.BQL("SEG0000230992 Segment", "SALES_REV_TURN/1M", "FPR=2021Y", "FPT=A", "FA_ACT_EST_DATA=E, EST_SOURCE=TTC", "ACT_EST_MAPPING=PRECISE", "FS=MRC", "CURRENCY=USD", "XLFILL=b")</f>
        <v>#N/A Requesting Data...</v>
      </c>
      <c r="AL75" s="6" t="str">
        <f>_xll.BQL("SEG0000230992 Segment", "SALES_REV_TURN/1M", "FPR=2021Y", "FPT=A", "FA_ACT_EST_DATA=E, EST_SOURCE=RWB", "ACT_EST_MAPPING=PRECISE", "FS=MRC", "CURRENCY=USD", "XLFILL=b")</f>
        <v>#N/A Requesting Data...</v>
      </c>
      <c r="AM75" s="6" t="str">
        <f>_xll.BQL("SEG0000230992 Segment", "SALES_REV_TURN/1M", "FPR=2021Y", "FPT=A", "FA_ACT_EST_DATA=E, EST_SOURCE=DZB", "ACT_EST_MAPPING=PRECISE", "FS=MRC", "CURRENCY=USD", "XLFILL=b")</f>
        <v>#N/A Requesting Data...</v>
      </c>
      <c r="AN75" s="6" t="str">
        <f>_xll.BQL("SEG0000230992 Segment", "SALES_REV_TURN/1M", "FPR=2021Y", "FPT=A", "FA_ACT_EST_DATA=E, EST_SOURCE=DWI", "ACT_EST_MAPPING=PRECISE", "FS=MRC", "CURRENCY=USD", "XLFILL=b")</f>
        <v>#N/A Requesting Data...</v>
      </c>
      <c r="AO75" s="6" t="str">
        <f>_xll.BQL("SEG0000230992 Segment", "SALES_REV_TURN/1M", "FPR=2021Y", "FPT=A", "FA_ACT_EST_DATA=E, EST_SOURCE=ARG", "ACT_EST_MAPPING=PRECISE", "FS=MRC", "CURRENCY=USD", "XLFILL=b")</f>
        <v>#N/A Requesting Data...</v>
      </c>
      <c r="AP75" s="6" t="str">
        <f>_xll.BQL("SEG0000230992 Segment", "SALES_REV_TURN/1M", "FPR=2021Y", "FPT=A", "FA_ACT_EST_DATA=E, EST_SOURCE=CTI", "ACT_EST_MAPPING=PRECISE", "FS=MRC", "CURRENCY=USD", "XLFILL=b")</f>
        <v>#N/A Requesting Data...</v>
      </c>
      <c r="AQ75" s="6" t="str">
        <f>_xll.BQL("SEG0000230992 Segment", "SALES_REV_TURN/1M", "FPR=2021Y", "FPT=A", "FA_ACT_EST_DATA=E, EST_SOURCE=WFT", "ACT_EST_MAPPING=PRECISE", "FS=MRC", "CURRENCY=USD", "XLFILL=b")</f>
        <v>#N/A Requesting Data...</v>
      </c>
      <c r="AR75" s="6" t="str">
        <f>_xll.BQL("SEG0000230992 Segment", "SALES_REV_TURN/1M", "FPR=2021Y", "FPT=A", "FA_ACT_EST_DATA=E, EST_SOURCE=ARE", "ACT_EST_MAPPING=PRECISE", "FS=MRC", "CURRENCY=USD", "XLFILL=b")</f>
        <v>#N/A Requesting Data...</v>
      </c>
      <c r="AS75" s="6" t="str">
        <f>_xll.BQL("SEG0000230992 Segment", "SALES_REV_TURN/1M", "FPR=2021Y", "FPT=A", "FA_ACT_EST_DATA=E, EST_SOURCE=PJE", "ACT_EST_MAPPING=PRECISE", "FS=MRC", "CURRENCY=USD", "XLFILL=b")</f>
        <v>#N/A Requesting Data...</v>
      </c>
      <c r="AT75" s="6" t="str">
        <f>_xll.BQL("SEG0000230992 Segment", "SALES_REV_TURN/1M", "FPR=2021Y", "FPT=A", "FA_ACT_EST_DATA=E, EST_SOURCE=MZS", "ACT_EST_MAPPING=PRECISE", "FS=MRC", "CURRENCY=USD", "XLFILL=b")</f>
        <v>#N/A Requesting Data...</v>
      </c>
      <c r="AU75" s="6" t="str">
        <f>_xll.BQL("SEG0000230992 Segment", "SALES_REV_TURN/1M", "FPR=2021Y", "FPT=A", "FA_ACT_EST_DATA=E, EST_SOURCE=SUM", "ACT_EST_MAPPING=PRECISE", "FS=MRC", "CURRENCY=USD", "XLFILL=b")</f>
        <v>#N/A Requesting Data...</v>
      </c>
      <c r="AV75" s="6" t="str">
        <f>_xll.BQL("SEG0000230992 Segment", "SALES_REV_TURN/1M", "FPR=2021Y", "FPT=A", "FA_ACT_EST_DATA=E, EST_SOURCE=CRC", "ACT_EST_MAPPING=PRECISE", "FS=MRC", "CURRENCY=USD", "XLFILL=b")</f>
        <v>#N/A Requesting Data...</v>
      </c>
      <c r="AW75" s="6" t="str">
        <f>_xll.BQL("SEG0000230992 Segment", "SALES_REV_TURN/1M", "FPR=2021Y", "FPT=A", "FA_ACT_EST_DATA=E, EST_SOURCE=SCB", "ACT_EST_MAPPING=PRECISE", "FS=MRC", "CURRENCY=USD", "XLFILL=b")</f>
        <v>#N/A Requesting Data...</v>
      </c>
    </row>
    <row r="76" spans="1:49" x14ac:dyDescent="0.55000000000000004">
      <c r="A76" s="5" t="s">
        <v>119</v>
      </c>
      <c r="B76" s="2"/>
      <c r="C76" s="2" t="s">
        <v>120</v>
      </c>
      <c r="D76" s="2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</row>
    <row r="77" spans="1:49" x14ac:dyDescent="0.55000000000000004">
      <c r="A77" s="5" t="s">
        <v>35</v>
      </c>
      <c r="B77" s="2" t="s">
        <v>36</v>
      </c>
      <c r="C77" s="2" t="s">
        <v>0</v>
      </c>
      <c r="D77" s="2" t="s">
        <v>43</v>
      </c>
      <c r="E77" s="6" t="str">
        <f>_xll.BQL("SEG0000230969 Segment", "SALES_REV_TURN/1M", "FPR=2021Y", "FPT=A", "FA_ACT_EST_DATA=E", "ACT_EST_MAPPING=PRECISE", "FS=MRC", "CURRENCY=USD", "XLFILL=b")</f>
        <v>#N/A Requesting Data...</v>
      </c>
      <c r="F77" s="6" t="str">
        <f>_xll.BQL("SEG0000230969 Segment", "CONTRIBUTOR_STATS(SALES_REV_TURN, MIN)/1M", "FPR=2021Y", "FPT=A", "FA_ACT_EST_DATA=E", "ACT_EST_MAPPING=PRECISE", "FS=MRC", "CURRENCY=USD", "XLFILL=b")</f>
        <v>#N/A Requesting Data...</v>
      </c>
      <c r="G77" s="6" t="str">
        <f>_xll.BQL("SEG0000230969 Segment", "CONTRIBUTOR_STATS(SALES_REV_TURN, MAX)/1M", "FPR=2021Y", "FPT=A", "FA_ACT_EST_DATA=E", "ACT_EST_MAPPING=PRECISE", "FS=MRC", "CURRENCY=USD", "XLFILL=b")</f>
        <v>#N/A Requesting Data...</v>
      </c>
      <c r="H77" s="6" t="str">
        <f>_xll.BQL("SEG0000230969 Segment", "CONTRIBUTOR_STATS(SALES_REV_TURN, STD)/1M", "FPR=2021Y", "FPT=A", "FA_ACT_EST_DATA=E", "ACT_EST_MAPPING=PRECISE", "FS=MRC", "CURRENCY=USD", "XLFILL=b")</f>
        <v>#N/A Requesting Data...</v>
      </c>
      <c r="I77" s="6" t="str">
        <f>_xll.BQL("SEG0000230969 Segment", "CONTRIBUTOR_STATS(SALES_REV_TURN, MEDIAN)/1M", "FPR=2021Y", "FPT=A", "FA_ACT_EST_DATA=E", "ACT_EST_MAPPING=PRECISE", "FS=MRC", "CURRENCY=USD", "XLFILL=b")</f>
        <v>#N/A Requesting Data...</v>
      </c>
      <c r="J77" s="6" t="str">
        <f>_xll.BQL("SEG0000230969 Segment", "SALES_REV_TURN/1M", "FPR=2021Y", "FPT=A", "FA_ACT_EST_DATA=E, EST_SOURCE=CMPY", "ACT_EST_MAPPING=PRECISE", "FS=MRC", "CURRENCY=USD", "XLFILL=b")</f>
        <v>#N/A Requesting Data...</v>
      </c>
      <c r="K77" s="6" t="str">
        <f>_xll.BQL("SEG0000230969 Segment", "SALES_REV_TURN/1M", "FPR=2021Y", "FPT=A", "FA_ACT_EST_DATA=E, EST_SOURCE=JPM", "ACT_EST_MAPPING=PRECISE", "FS=MRC", "CURRENCY=USD", "XLFILL=b")</f>
        <v>#N/A Requesting Data...</v>
      </c>
      <c r="L77" s="6" t="str">
        <f>_xll.BQL("SEG0000230969 Segment", "SALES_REV_TURN/1M", "FPR=2021Y", "FPT=A", "FA_ACT_EST_DATA=E, EST_SOURCE=WBL", "ACT_EST_MAPPING=PRECISE", "FS=MRC", "CURRENCY=USD", "XLFILL=b")</f>
        <v>#N/A Requesting Data...</v>
      </c>
      <c r="M77" s="6" t="str">
        <f>_xll.BQL("SEG0000230969 Segment", "SALES_REV_TURN/1M", "FPR=2021Y", "FPT=A", "FA_ACT_EST_DATA=E, EST_SOURCE=KEY", "ACT_EST_MAPPING=PRECISE", "FS=MRC", "CURRENCY=USD", "XLFILL=b")</f>
        <v>#N/A Requesting Data...</v>
      </c>
      <c r="N77" s="6" t="str">
        <f>_xll.BQL("SEG0000230969 Segment", "SALES_REV_TURN/1M", "FPR=2021Y", "FPT=A", "FA_ACT_EST_DATA=E, EST_SOURCE=BMO", "ACT_EST_MAPPING=PRECISE", "FS=MRC", "CURRENCY=USD", "XLFILL=b")</f>
        <v>#N/A Requesting Data...</v>
      </c>
      <c r="O77" s="6" t="str">
        <f>_xll.BQL("SEG0000230969 Segment", "SALES_REV_TURN/1M", "FPR=2021Y", "FPT=A", "FA_ACT_EST_DATA=E, EST_SOURCE=OPY", "ACT_EST_MAPPING=PRECISE", "FS=MRC", "CURRENCY=USD", "XLFILL=b")</f>
        <v>#N/A Requesting Data...</v>
      </c>
      <c r="P77" s="6" t="str">
        <f>_xll.BQL("SEG0000230969 Segment", "SALES_REV_TURN/1M", "FPR=2021Y", "FPT=A", "FA_ACT_EST_DATA=E, EST_SOURCE=BCA", "ACT_EST_MAPPING=PRECISE", "FS=MRC", "CURRENCY=USD", "XLFILL=b")</f>
        <v>#N/A Requesting Data...</v>
      </c>
      <c r="Q77" s="6" t="str">
        <f>_xll.BQL("SEG0000230969 Segment", "SALES_REV_TURN/1M", "FPR=2021Y", "FPT=A", "FA_ACT_EST_DATA=E, EST_SOURCE=RHR", "ACT_EST_MAPPING=PRECISE", "FS=MRC", "CURRENCY=USD", "XLFILL=b")</f>
        <v>#N/A Requesting Data...</v>
      </c>
      <c r="R77" s="6" t="str">
        <f>_xll.BQL("SEG0000230969 Segment", "SALES_REV_TURN/1M", "FPR=2021Y", "FPT=A", "FA_ACT_EST_DATA=E, EST_SOURCE=SNR", "ACT_EST_MAPPING=PRECISE", "FS=MRC", "CURRENCY=USD", "XLFILL=b")</f>
        <v>#N/A Requesting Data...</v>
      </c>
      <c r="S77" s="6" t="str">
        <f>_xll.BQL("SEG0000230969 Segment", "SALES_REV_TURN/1M", "FPR=2021Y", "FPT=A", "FA_ACT_EST_DATA=E, EST_SOURCE=MSV", "ACT_EST_MAPPING=PRECISE", "FS=MRC", "CURRENCY=USD", "XLFILL=b")</f>
        <v>#N/A Requesting Data...</v>
      </c>
      <c r="T77" s="6" t="str">
        <f>_xll.BQL("SEG0000230969 Segment", "SALES_REV_TURN/1M", "FPR=2021Y", "FPT=A", "FA_ACT_EST_DATA=E, EST_SOURCE=CAN", "ACT_EST_MAPPING=PRECISE", "FS=MRC", "CURRENCY=USD", "XLFILL=b")</f>
        <v>#N/A Requesting Data...</v>
      </c>
      <c r="U77" s="6" t="str">
        <f>_xll.BQL("SEG0000230969 Segment", "SALES_REV_TURN/1M", "FPR=2021Y", "FPT=A", "FA_ACT_EST_DATA=E, EST_SOURCE=JMP", "ACT_EST_MAPPING=PRECISE", "FS=MRC", "CURRENCY=USD", "XLFILL=b")</f>
        <v>#N/A Requesting Data...</v>
      </c>
      <c r="V77" s="6" t="str">
        <f>_xll.BQL("SEG0000230969 Segment", "SALES_REV_TURN/1M", "FPR=2021Y", "FPT=A", "FA_ACT_EST_DATA=E, EST_SOURCE=NDH", "ACT_EST_MAPPING=PRECISE", "FS=MRC", "CURRENCY=USD", "XLFILL=b")</f>
        <v>#N/A Requesting Data...</v>
      </c>
      <c r="W77" s="6" t="str">
        <f>_xll.BQL("SEG0000230969 Segment", "SALES_REV_TURN/1M", "FPR=2021Y", "FPT=A", "FA_ACT_EST_DATA=E, EST_SOURCE=ZXS", "ACT_EST_MAPPING=PRECISE", "FS=MRC", "CURRENCY=USD", "XLFILL=b")</f>
        <v>#N/A Requesting Data...</v>
      </c>
      <c r="X77" s="6" t="str">
        <f>_xll.BQL("SEG0000230969 Segment", "SALES_REV_TURN/1M", "FPR=2021Y", "FPT=A", "FA_ACT_EST_DATA=E, EST_SOURCE=CWN", "ACT_EST_MAPPING=PRECISE", "FS=MRC", "CURRENCY=USD", "XLFILL=b")</f>
        <v>#N/A Requesting Data...</v>
      </c>
      <c r="Y77" s="6" t="str">
        <f>_xll.BQL("SEG0000230969 Segment", "SALES_REV_TURN/1M", "FPR=2021Y", "FPT=A", "FA_ACT_EST_DATA=E, EST_SOURCE=DBG", "ACT_EST_MAPPING=PRECISE", "FS=MRC", "CURRENCY=USD", "XLFILL=b")</f>
        <v>#N/A Requesting Data...</v>
      </c>
      <c r="Z77" s="6" t="str">
        <f>_xll.BQL("SEG0000230969 Segment", "SALES_REV_TURN/1M", "FPR=2021Y", "FPT=A", "FA_ACT_EST_DATA=E, EST_SOURCE=UBS", "ACT_EST_MAPPING=PRECISE", "FS=MRC", "CURRENCY=USD", "XLFILL=b")</f>
        <v>#N/A Requesting Data...</v>
      </c>
      <c r="AA77" s="6" t="str">
        <f>_xll.BQL("SEG0000230969 Segment", "SALES_REV_TURN/1M", "FPR=2021Y", "FPT=A", "FA_ACT_EST_DATA=E, EST_SOURCE=RBC", "ACT_EST_MAPPING=PRECISE", "FS=MRC", "CURRENCY=USD", "XLFILL=b")</f>
        <v>#N/A Requesting Data...</v>
      </c>
      <c r="AB77" s="6" t="str">
        <f>_xll.BQL("SEG0000230969 Segment", "SALES_REV_TURN/1M", "FPR=2021Y", "FPT=A", "FA_ACT_EST_DATA=E, EST_SOURCE=EVR", "ACT_EST_MAPPING=PRECISE", "FS=MRC", "CURRENCY=USD", "XLFILL=b")</f>
        <v>#N/A Requesting Data...</v>
      </c>
      <c r="AC77" s="6" t="str">
        <f>_xll.BQL("SEG0000230969 Segment", "SALES_REV_TURN/1M", "FPR=2021Y", "FPT=A", "FA_ACT_EST_DATA=E, EST_SOURCE=BNS", "ACT_EST_MAPPING=PRECISE", "FS=MRC", "CURRENCY=USD", "XLFILL=b")</f>
        <v>#N/A Requesting Data...</v>
      </c>
      <c r="AD77" s="6" t="str">
        <f>_xll.BQL("SEG0000230969 Segment", "SALES_REV_TURN/1M", "FPR=2021Y", "FPT=A", "FA_ACT_EST_DATA=E, EST_SOURCE=BAM", "ACT_EST_MAPPING=PRECISE", "FS=MRC", "CURRENCY=USD", "XLFILL=b")</f>
        <v>#N/A Requesting Data...</v>
      </c>
      <c r="AE77" s="6" t="str">
        <f>_xll.BQL("SEG0000230969 Segment", "SALES_REV_TURN/1M", "FPR=2021Y", "FPT=A", "FA_ACT_EST_DATA=E, EST_SOURCE=GSR", "ACT_EST_MAPPING=PRECISE", "FS=MRC", "CURRENCY=USD", "XLFILL=b")</f>
        <v>#N/A Requesting Data...</v>
      </c>
      <c r="AF77" s="6" t="str">
        <f>_xll.BQL("SEG0000230969 Segment", "SALES_REV_TURN/1M", "FPR=2021Y", "FPT=A", "FA_ACT_EST_DATA=E, EST_SOURCE=FBC", "ACT_EST_MAPPING=PRECISE", "FS=MRC", "CURRENCY=USD", "XLFILL=b")</f>
        <v>#N/A Requesting Data...</v>
      </c>
      <c r="AG77" s="6" t="str">
        <f>_xll.BQL("SEG0000230969 Segment", "SALES_REV_TURN/1M", "FPR=2021Y", "FPT=A", "FA_ACT_EST_DATA=E, EST_SOURCE=MAC", "ACT_EST_MAPPING=PRECISE", "FS=MRC", "CURRENCY=USD", "XLFILL=b")</f>
        <v>#N/A Requesting Data...</v>
      </c>
      <c r="AH77" s="6" t="str">
        <f>_xll.BQL("SEG0000230969 Segment", "SALES_REV_TURN/1M", "FPR=2021Y", "FPT=A", "FA_ACT_EST_DATA=E, EST_SOURCE=PSG", "ACT_EST_MAPPING=PRECISE", "FS=MRC", "CURRENCY=USD", "XLFILL=b")</f>
        <v>#N/A Requesting Data...</v>
      </c>
      <c r="AI77" s="6" t="str">
        <f>_xll.BQL("SEG0000230969 Segment", "SALES_REV_TURN/1M", "FPR=2021Y", "FPT=A", "FA_ACT_EST_DATA=E, EST_SOURCE=MSR", "ACT_EST_MAPPING=PRECISE", "FS=MRC", "CURRENCY=USD", "XLFILL=b")</f>
        <v>#N/A Requesting Data...</v>
      </c>
      <c r="AJ77" s="6" t="str">
        <f>_xll.BQL("SEG0000230969 Segment", "SALES_REV_TURN/1M", "FPR=2021Y", "FPT=A", "FA_ACT_EST_DATA=E, EST_SOURCE=JEF", "ACT_EST_MAPPING=PRECISE", "FS=MRC", "CURRENCY=USD", "XLFILL=b")</f>
        <v>#N/A Requesting Data...</v>
      </c>
      <c r="AK77" s="6" t="str">
        <f>_xll.BQL("SEG0000230969 Segment", "SALES_REV_TURN/1M", "FPR=2021Y", "FPT=A", "FA_ACT_EST_DATA=E, EST_SOURCE=TTC", "ACT_EST_MAPPING=PRECISE", "FS=MRC", "CURRENCY=USD", "XLFILL=b")</f>
        <v>#N/A Requesting Data...</v>
      </c>
      <c r="AL77" s="6" t="str">
        <f>_xll.BQL("SEG0000230969 Segment", "SALES_REV_TURN/1M", "FPR=2021Y", "FPT=A", "FA_ACT_EST_DATA=E, EST_SOURCE=RWB", "ACT_EST_MAPPING=PRECISE", "FS=MRC", "CURRENCY=USD", "XLFILL=b")</f>
        <v>#N/A Requesting Data...</v>
      </c>
      <c r="AM77" s="6" t="str">
        <f>_xll.BQL("SEG0000230969 Segment", "SALES_REV_TURN/1M", "FPR=2021Y", "FPT=A", "FA_ACT_EST_DATA=E, EST_SOURCE=DZB", "ACT_EST_MAPPING=PRECISE", "FS=MRC", "CURRENCY=USD", "XLFILL=b")</f>
        <v>#N/A Requesting Data...</v>
      </c>
      <c r="AN77" s="6" t="str">
        <f>_xll.BQL("SEG0000230969 Segment", "SALES_REV_TURN/1M", "FPR=2021Y", "FPT=A", "FA_ACT_EST_DATA=E, EST_SOURCE=DWI", "ACT_EST_MAPPING=PRECISE", "FS=MRC", "CURRENCY=USD", "XLFILL=b")</f>
        <v>#N/A Requesting Data...</v>
      </c>
      <c r="AO77" s="6" t="str">
        <f>_xll.BQL("SEG0000230969 Segment", "SALES_REV_TURN/1M", "FPR=2021Y", "FPT=A", "FA_ACT_EST_DATA=E, EST_SOURCE=ARG", "ACT_EST_MAPPING=PRECISE", "FS=MRC", "CURRENCY=USD", "XLFILL=b")</f>
        <v>#N/A Requesting Data...</v>
      </c>
      <c r="AP77" s="6" t="str">
        <f>_xll.BQL("SEG0000230969 Segment", "SALES_REV_TURN/1M", "FPR=2021Y", "FPT=A", "FA_ACT_EST_DATA=E, EST_SOURCE=CTI", "ACT_EST_MAPPING=PRECISE", "FS=MRC", "CURRENCY=USD", "XLFILL=b")</f>
        <v>#N/A Requesting Data...</v>
      </c>
      <c r="AQ77" s="6" t="str">
        <f>_xll.BQL("SEG0000230969 Segment", "SALES_REV_TURN/1M", "FPR=2021Y", "FPT=A", "FA_ACT_EST_DATA=E, EST_SOURCE=WFT", "ACT_EST_MAPPING=PRECISE", "FS=MRC", "CURRENCY=USD", "XLFILL=b")</f>
        <v>#N/A Requesting Data...</v>
      </c>
      <c r="AR77" s="6" t="str">
        <f>_xll.BQL("SEG0000230969 Segment", "SALES_REV_TURN/1M", "FPR=2021Y", "FPT=A", "FA_ACT_EST_DATA=E, EST_SOURCE=ARE", "ACT_EST_MAPPING=PRECISE", "FS=MRC", "CURRENCY=USD", "XLFILL=b")</f>
        <v>#N/A Requesting Data...</v>
      </c>
      <c r="AS77" s="6" t="str">
        <f>_xll.BQL("SEG0000230969 Segment", "SALES_REV_TURN/1M", "FPR=2021Y", "FPT=A", "FA_ACT_EST_DATA=E, EST_SOURCE=PJE", "ACT_EST_MAPPING=PRECISE", "FS=MRC", "CURRENCY=USD", "XLFILL=b")</f>
        <v>#N/A Requesting Data...</v>
      </c>
      <c r="AT77" s="6" t="str">
        <f>_xll.BQL("SEG0000230969 Segment", "SALES_REV_TURN/1M", "FPR=2021Y", "FPT=A", "FA_ACT_EST_DATA=E, EST_SOURCE=MZS", "ACT_EST_MAPPING=PRECISE", "FS=MRC", "CURRENCY=USD", "XLFILL=b")</f>
        <v>#N/A Requesting Data...</v>
      </c>
      <c r="AU77" s="6" t="str">
        <f>_xll.BQL("SEG0000230969 Segment", "SALES_REV_TURN/1M", "FPR=2021Y", "FPT=A", "FA_ACT_EST_DATA=E, EST_SOURCE=SUM", "ACT_EST_MAPPING=PRECISE", "FS=MRC", "CURRENCY=USD", "XLFILL=b")</f>
        <v>#N/A Requesting Data...</v>
      </c>
      <c r="AV77" s="6" t="str">
        <f>_xll.BQL("SEG0000230969 Segment", "SALES_REV_TURN/1M", "FPR=2021Y", "FPT=A", "FA_ACT_EST_DATA=E, EST_SOURCE=CRC", "ACT_EST_MAPPING=PRECISE", "FS=MRC", "CURRENCY=USD", "XLFILL=b")</f>
        <v>#N/A Requesting Data...</v>
      </c>
      <c r="AW77" s="6" t="str">
        <f>_xll.BQL("SEG0000230969 Segment", "SALES_REV_TURN/1M", "FPR=2021Y", "FPT=A", "FA_ACT_EST_DATA=E, EST_SOURCE=SCB", "ACT_EST_MAPPING=PRECISE", "FS=MRC", "CURRENCY=USD", "XLFILL=b")</f>
        <v>#N/A Requesting Data...</v>
      </c>
    </row>
    <row r="78" spans="1:49" x14ac:dyDescent="0.55000000000000004">
      <c r="A78" s="5" t="s">
        <v>23</v>
      </c>
      <c r="B78" s="2"/>
      <c r="C78" s="2"/>
      <c r="D78" s="2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</row>
    <row r="79" spans="1:49" x14ac:dyDescent="0.55000000000000004">
      <c r="A79" s="5" t="s">
        <v>121</v>
      </c>
      <c r="B79" s="2"/>
      <c r="C79" s="2" t="s">
        <v>122</v>
      </c>
      <c r="D79" s="2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</row>
    <row r="80" spans="1:49" x14ac:dyDescent="0.55000000000000004">
      <c r="A80" s="5" t="s">
        <v>123</v>
      </c>
      <c r="B80" s="2" t="s">
        <v>22</v>
      </c>
      <c r="C80" s="2" t="s">
        <v>1</v>
      </c>
      <c r="D80" s="2"/>
      <c r="E80" s="6" t="str">
        <f>_xll.BQL("NOW US Equity", "IS_COMP_SALES/1M", "FPR=2021Y", "FPT=A", "FA_ACT_EST_DATA=E", "ACT_EST_MAPPING=PRECISE", "FS=MRC", "CURRENCY=USD", "XLFILL=b")</f>
        <v>#N/A Requesting Data...</v>
      </c>
      <c r="F80" s="6" t="str">
        <f>_xll.BQL("NOW US Equity", "CONTRIBUTOR_STATS(IS_COMP_SALES, MIN)/1M", "FPR=2021Y", "FPT=A", "FA_ACT_EST_DATA=E", "ACT_EST_MAPPING=PRECISE", "FS=MRC", "CURRENCY=USD", "XLFILL=b")</f>
        <v>#N/A Requesting Data...</v>
      </c>
      <c r="G80" s="6" t="str">
        <f>_xll.BQL("NOW US Equity", "CONTRIBUTOR_STATS(IS_COMP_SALES, MAX)/1M", "FPR=2021Y", "FPT=A", "FA_ACT_EST_DATA=E", "ACT_EST_MAPPING=PRECISE", "FS=MRC", "CURRENCY=USD", "XLFILL=b")</f>
        <v>#N/A Requesting Data...</v>
      </c>
      <c r="H80" s="6" t="str">
        <f>_xll.BQL("NOW US Equity", "CONTRIBUTOR_STATS(IS_COMP_SALES, STD)/1M", "FPR=2021Y", "FPT=A", "FA_ACT_EST_DATA=E", "ACT_EST_MAPPING=PRECISE", "FS=MRC", "CURRENCY=USD", "XLFILL=b")</f>
        <v>#N/A Requesting Data...</v>
      </c>
      <c r="I80" s="6" t="str">
        <f>_xll.BQL("NOW US Equity", "CONTRIBUTOR_STATS(IS_COMP_SALES, MEDIAN)/1M", "FPR=2021Y", "FPT=A", "FA_ACT_EST_DATA=E", "ACT_EST_MAPPING=PRECISE", "FS=MRC", "CURRENCY=USD", "XLFILL=b")</f>
        <v>#N/A Requesting Data...</v>
      </c>
      <c r="J80" s="6" t="str">
        <f>_xll.BQL("NOW US Equity", "IS_COMP_SALES/1M", "FPR=2021Y", "FPT=A", "FA_ACT_EST_DATA=E, EST_SOURCE=CMPY", "ACT_EST_MAPPING=PRECISE", "FS=MRC", "CURRENCY=USD", "XLFILL=b")</f>
        <v>#N/A Requesting Data...</v>
      </c>
      <c r="K80" s="6" t="str">
        <f>_xll.BQL("NOW US Equity", "IS_COMP_SALES/1M", "FPR=2021Y", "FPT=A", "FA_ACT_EST_DATA=E, EST_SOURCE=JPM", "ACT_EST_MAPPING=PRECISE", "FS=MRC", "CURRENCY=USD", "XLFILL=b")</f>
        <v>#N/A Requesting Data...</v>
      </c>
      <c r="L80" s="6" t="str">
        <f>_xll.BQL("NOW US Equity", "IS_COMP_SALES/1M", "FPR=2021Y", "FPT=A", "FA_ACT_EST_DATA=E, EST_SOURCE=WBL", "ACT_EST_MAPPING=PRECISE", "FS=MRC", "CURRENCY=USD", "XLFILL=b")</f>
        <v>#N/A Requesting Data...</v>
      </c>
      <c r="M80" s="6" t="str">
        <f>_xll.BQL("NOW US Equity", "IS_COMP_SALES/1M", "FPR=2021Y", "FPT=A", "FA_ACT_EST_DATA=E, EST_SOURCE=KEY", "ACT_EST_MAPPING=PRECISE", "FS=MRC", "CURRENCY=USD", "XLFILL=b")</f>
        <v>#N/A Requesting Data...</v>
      </c>
      <c r="N80" s="6" t="str">
        <f>_xll.BQL("NOW US Equity", "IS_COMP_SALES/1M", "FPR=2021Y", "FPT=A", "FA_ACT_EST_DATA=E, EST_SOURCE=BMO", "ACT_EST_MAPPING=PRECISE", "FS=MRC", "CURRENCY=USD", "XLFILL=b")</f>
        <v>#N/A Requesting Data...</v>
      </c>
      <c r="O80" s="6" t="str">
        <f>_xll.BQL("NOW US Equity", "IS_COMP_SALES/1M", "FPR=2021Y", "FPT=A", "FA_ACT_EST_DATA=E, EST_SOURCE=OPY", "ACT_EST_MAPPING=PRECISE", "FS=MRC", "CURRENCY=USD", "XLFILL=b")</f>
        <v>#N/A Requesting Data...</v>
      </c>
      <c r="P80" s="6" t="str">
        <f>_xll.BQL("NOW US Equity", "IS_COMP_SALES/1M", "FPR=2021Y", "FPT=A", "FA_ACT_EST_DATA=E, EST_SOURCE=BCA", "ACT_EST_MAPPING=PRECISE", "FS=MRC", "CURRENCY=USD", "XLFILL=b")</f>
        <v>#N/A Requesting Data...</v>
      </c>
      <c r="Q80" s="6" t="str">
        <f>_xll.BQL("NOW US Equity", "IS_COMP_SALES/1M", "FPR=2021Y", "FPT=A", "FA_ACT_EST_DATA=E, EST_SOURCE=RHR", "ACT_EST_MAPPING=PRECISE", "FS=MRC", "CURRENCY=USD", "XLFILL=b")</f>
        <v>#N/A Requesting Data...</v>
      </c>
      <c r="R80" s="6" t="str">
        <f>_xll.BQL("NOW US Equity", "IS_COMP_SALES/1M", "FPR=2021Y", "FPT=A", "FA_ACT_EST_DATA=E, EST_SOURCE=SNR", "ACT_EST_MAPPING=PRECISE", "FS=MRC", "CURRENCY=USD", "XLFILL=b")</f>
        <v>#N/A Requesting Data...</v>
      </c>
      <c r="S80" s="6" t="str">
        <f>_xll.BQL("NOW US Equity", "IS_COMP_SALES/1M", "FPR=2021Y", "FPT=A", "FA_ACT_EST_DATA=E, EST_SOURCE=MSV", "ACT_EST_MAPPING=PRECISE", "FS=MRC", "CURRENCY=USD", "XLFILL=b")</f>
        <v>#N/A Requesting Data...</v>
      </c>
      <c r="T80" s="6" t="str">
        <f>_xll.BQL("NOW US Equity", "IS_COMP_SALES/1M", "FPR=2021Y", "FPT=A", "FA_ACT_EST_DATA=E, EST_SOURCE=CAN", "ACT_EST_MAPPING=PRECISE", "FS=MRC", "CURRENCY=USD", "XLFILL=b")</f>
        <v>#N/A Requesting Data...</v>
      </c>
      <c r="U80" s="6" t="str">
        <f>_xll.BQL("NOW US Equity", "IS_COMP_SALES/1M", "FPR=2021Y", "FPT=A", "FA_ACT_EST_DATA=E, EST_SOURCE=JMP", "ACT_EST_MAPPING=PRECISE", "FS=MRC", "CURRENCY=USD", "XLFILL=b")</f>
        <v>#N/A Requesting Data...</v>
      </c>
      <c r="V80" s="6" t="str">
        <f>_xll.BQL("NOW US Equity", "IS_COMP_SALES/1M", "FPR=2021Y", "FPT=A", "FA_ACT_EST_DATA=E, EST_SOURCE=NDH", "ACT_EST_MAPPING=PRECISE", "FS=MRC", "CURRENCY=USD", "XLFILL=b")</f>
        <v>#N/A Requesting Data...</v>
      </c>
      <c r="W80" s="6" t="str">
        <f>_xll.BQL("NOW US Equity", "IS_COMP_SALES/1M", "FPR=2021Y", "FPT=A", "FA_ACT_EST_DATA=E, EST_SOURCE=ZXS", "ACT_EST_MAPPING=PRECISE", "FS=MRC", "CURRENCY=USD", "XLFILL=b")</f>
        <v>#N/A Requesting Data...</v>
      </c>
      <c r="X80" s="6" t="str">
        <f>_xll.BQL("NOW US Equity", "IS_COMP_SALES/1M", "FPR=2021Y", "FPT=A", "FA_ACT_EST_DATA=E, EST_SOURCE=CWN", "ACT_EST_MAPPING=PRECISE", "FS=MRC", "CURRENCY=USD", "XLFILL=b")</f>
        <v>#N/A Requesting Data...</v>
      </c>
      <c r="Y80" s="6" t="str">
        <f>_xll.BQL("NOW US Equity", "IS_COMP_SALES/1M", "FPR=2021Y", "FPT=A", "FA_ACT_EST_DATA=E, EST_SOURCE=DBG", "ACT_EST_MAPPING=PRECISE", "FS=MRC", "CURRENCY=USD", "XLFILL=b")</f>
        <v>#N/A Requesting Data...</v>
      </c>
      <c r="Z80" s="6" t="str">
        <f>_xll.BQL("NOW US Equity", "IS_COMP_SALES/1M", "FPR=2021Y", "FPT=A", "FA_ACT_EST_DATA=E, EST_SOURCE=UBS", "ACT_EST_MAPPING=PRECISE", "FS=MRC", "CURRENCY=USD", "XLFILL=b")</f>
        <v>#N/A Requesting Data...</v>
      </c>
      <c r="AA80" s="6" t="str">
        <f>_xll.BQL("NOW US Equity", "IS_COMP_SALES/1M", "FPR=2021Y", "FPT=A", "FA_ACT_EST_DATA=E, EST_SOURCE=RBC", "ACT_EST_MAPPING=PRECISE", "FS=MRC", "CURRENCY=USD", "XLFILL=b")</f>
        <v>#N/A Requesting Data...</v>
      </c>
      <c r="AB80" s="6" t="str">
        <f>_xll.BQL("NOW US Equity", "IS_COMP_SALES/1M", "FPR=2021Y", "FPT=A", "FA_ACT_EST_DATA=E, EST_SOURCE=EVR", "ACT_EST_MAPPING=PRECISE", "FS=MRC", "CURRENCY=USD", "XLFILL=b")</f>
        <v>#N/A Requesting Data...</v>
      </c>
      <c r="AC80" s="6" t="str">
        <f>_xll.BQL("NOW US Equity", "IS_COMP_SALES/1M", "FPR=2021Y", "FPT=A", "FA_ACT_EST_DATA=E, EST_SOURCE=BNS", "ACT_EST_MAPPING=PRECISE", "FS=MRC", "CURRENCY=USD", "XLFILL=b")</f>
        <v>#N/A Requesting Data...</v>
      </c>
      <c r="AD80" s="6" t="str">
        <f>_xll.BQL("NOW US Equity", "IS_COMP_SALES/1M", "FPR=2021Y", "FPT=A", "FA_ACT_EST_DATA=E, EST_SOURCE=BAM", "ACT_EST_MAPPING=PRECISE", "FS=MRC", "CURRENCY=USD", "XLFILL=b")</f>
        <v>#N/A Requesting Data...</v>
      </c>
      <c r="AE80" s="6" t="str">
        <f>_xll.BQL("NOW US Equity", "IS_COMP_SALES/1M", "FPR=2021Y", "FPT=A", "FA_ACT_EST_DATA=E, EST_SOURCE=GSR", "ACT_EST_MAPPING=PRECISE", "FS=MRC", "CURRENCY=USD", "XLFILL=b")</f>
        <v>#N/A Requesting Data...</v>
      </c>
      <c r="AF80" s="6" t="str">
        <f>_xll.BQL("NOW US Equity", "IS_COMP_SALES/1M", "FPR=2021Y", "FPT=A", "FA_ACT_EST_DATA=E, EST_SOURCE=FBC", "ACT_EST_MAPPING=PRECISE", "FS=MRC", "CURRENCY=USD", "XLFILL=b")</f>
        <v>#N/A Requesting Data...</v>
      </c>
      <c r="AG80" s="6" t="str">
        <f>_xll.BQL("NOW US Equity", "IS_COMP_SALES/1M", "FPR=2021Y", "FPT=A", "FA_ACT_EST_DATA=E, EST_SOURCE=MAC", "ACT_EST_MAPPING=PRECISE", "FS=MRC", "CURRENCY=USD", "XLFILL=b")</f>
        <v>#N/A Requesting Data...</v>
      </c>
      <c r="AH80" s="6" t="str">
        <f>_xll.BQL("NOW US Equity", "IS_COMP_SALES/1M", "FPR=2021Y", "FPT=A", "FA_ACT_EST_DATA=E, EST_SOURCE=PSG", "ACT_EST_MAPPING=PRECISE", "FS=MRC", "CURRENCY=USD", "XLFILL=b")</f>
        <v>#N/A Requesting Data...</v>
      </c>
      <c r="AI80" s="6" t="str">
        <f>_xll.BQL("NOW US Equity", "IS_COMP_SALES/1M", "FPR=2021Y", "FPT=A", "FA_ACT_EST_DATA=E, EST_SOURCE=MSR", "ACT_EST_MAPPING=PRECISE", "FS=MRC", "CURRENCY=USD", "XLFILL=b")</f>
        <v>#N/A Requesting Data...</v>
      </c>
      <c r="AJ80" s="6" t="str">
        <f>_xll.BQL("NOW US Equity", "IS_COMP_SALES/1M", "FPR=2021Y", "FPT=A", "FA_ACT_EST_DATA=E, EST_SOURCE=JEF", "ACT_EST_MAPPING=PRECISE", "FS=MRC", "CURRENCY=USD", "XLFILL=b")</f>
        <v>#N/A Requesting Data...</v>
      </c>
      <c r="AK80" s="6" t="str">
        <f>_xll.BQL("NOW US Equity", "IS_COMP_SALES/1M", "FPR=2021Y", "FPT=A", "FA_ACT_EST_DATA=E, EST_SOURCE=TTC", "ACT_EST_MAPPING=PRECISE", "FS=MRC", "CURRENCY=USD", "XLFILL=b")</f>
        <v>#N/A Requesting Data...</v>
      </c>
      <c r="AL80" s="6" t="str">
        <f>_xll.BQL("NOW US Equity", "IS_COMP_SALES/1M", "FPR=2021Y", "FPT=A", "FA_ACT_EST_DATA=E, EST_SOURCE=RWB", "ACT_EST_MAPPING=PRECISE", "FS=MRC", "CURRENCY=USD", "XLFILL=b")</f>
        <v>#N/A Requesting Data...</v>
      </c>
      <c r="AM80" s="6" t="str">
        <f>_xll.BQL("NOW US Equity", "IS_COMP_SALES/1M", "FPR=2021Y", "FPT=A", "FA_ACT_EST_DATA=E, EST_SOURCE=DZB", "ACT_EST_MAPPING=PRECISE", "FS=MRC", "CURRENCY=USD", "XLFILL=b")</f>
        <v>#N/A Requesting Data...</v>
      </c>
      <c r="AN80" s="6" t="str">
        <f>_xll.BQL("NOW US Equity", "IS_COMP_SALES/1M", "FPR=2021Y", "FPT=A", "FA_ACT_EST_DATA=E, EST_SOURCE=DWI", "ACT_EST_MAPPING=PRECISE", "FS=MRC", "CURRENCY=USD", "XLFILL=b")</f>
        <v>#N/A Requesting Data...</v>
      </c>
      <c r="AO80" s="6" t="str">
        <f>_xll.BQL("NOW US Equity", "IS_COMP_SALES/1M", "FPR=2021Y", "FPT=A", "FA_ACT_EST_DATA=E, EST_SOURCE=ARG", "ACT_EST_MAPPING=PRECISE", "FS=MRC", "CURRENCY=USD", "XLFILL=b")</f>
        <v>#N/A Requesting Data...</v>
      </c>
      <c r="AP80" s="6" t="str">
        <f>_xll.BQL("NOW US Equity", "IS_COMP_SALES/1M", "FPR=2021Y", "FPT=A", "FA_ACT_EST_DATA=E, EST_SOURCE=CTI", "ACT_EST_MAPPING=PRECISE", "FS=MRC", "CURRENCY=USD", "XLFILL=b")</f>
        <v>#N/A Requesting Data...</v>
      </c>
      <c r="AQ80" s="6" t="str">
        <f>_xll.BQL("NOW US Equity", "IS_COMP_SALES/1M", "FPR=2021Y", "FPT=A", "FA_ACT_EST_DATA=E, EST_SOURCE=WFT", "ACT_EST_MAPPING=PRECISE", "FS=MRC", "CURRENCY=USD", "XLFILL=b")</f>
        <v>#N/A Requesting Data...</v>
      </c>
      <c r="AR80" s="6" t="str">
        <f>_xll.BQL("NOW US Equity", "IS_COMP_SALES/1M", "FPR=2021Y", "FPT=A", "FA_ACT_EST_DATA=E, EST_SOURCE=ARE", "ACT_EST_MAPPING=PRECISE", "FS=MRC", "CURRENCY=USD", "XLFILL=b")</f>
        <v>#N/A Requesting Data...</v>
      </c>
      <c r="AS80" s="6" t="str">
        <f>_xll.BQL("NOW US Equity", "IS_COMP_SALES/1M", "FPR=2021Y", "FPT=A", "FA_ACT_EST_DATA=E, EST_SOURCE=PJE", "ACT_EST_MAPPING=PRECISE", "FS=MRC", "CURRENCY=USD", "XLFILL=b")</f>
        <v>#N/A Requesting Data...</v>
      </c>
      <c r="AT80" s="6" t="str">
        <f>_xll.BQL("NOW US Equity", "IS_COMP_SALES/1M", "FPR=2021Y", "FPT=A", "FA_ACT_EST_DATA=E, EST_SOURCE=MZS", "ACT_EST_MAPPING=PRECISE", "FS=MRC", "CURRENCY=USD", "XLFILL=b")</f>
        <v>#N/A Requesting Data...</v>
      </c>
      <c r="AU80" s="6" t="str">
        <f>_xll.BQL("NOW US Equity", "IS_COMP_SALES/1M", "FPR=2021Y", "FPT=A", "FA_ACT_EST_DATA=E, EST_SOURCE=SUM", "ACT_EST_MAPPING=PRECISE", "FS=MRC", "CURRENCY=USD", "XLFILL=b")</f>
        <v>#N/A Requesting Data...</v>
      </c>
      <c r="AV80" s="6" t="str">
        <f>_xll.BQL("NOW US Equity", "IS_COMP_SALES/1M", "FPR=2021Y", "FPT=A", "FA_ACT_EST_DATA=E, EST_SOURCE=CRC", "ACT_EST_MAPPING=PRECISE", "FS=MRC", "CURRENCY=USD", "XLFILL=b")</f>
        <v>#N/A Requesting Data...</v>
      </c>
      <c r="AW80" s="6" t="str">
        <f>_xll.BQL("NOW US Equity", "IS_COMP_SALES/1M", "FPR=2021Y", "FPT=A", "FA_ACT_EST_DATA=E, EST_SOURCE=SCB", "ACT_EST_MAPPING=PRECISE", "FS=MRC", "CURRENCY=USD", "XLFILL=b")</f>
        <v>#N/A Requesting Data...</v>
      </c>
    </row>
    <row r="81" spans="1:49" x14ac:dyDescent="0.55000000000000004">
      <c r="A81" s="5" t="s">
        <v>124</v>
      </c>
      <c r="B81" s="2" t="s">
        <v>125</v>
      </c>
      <c r="C81" s="2" t="s">
        <v>126</v>
      </c>
      <c r="D81" s="2"/>
      <c r="E81" s="6" t="str">
        <f>_xll.BQL("NOW US Equity", "IS_ADJ_SALES_YOY_CHG_PCT_CC", "FPR=2021Y", "FPT=A", "FA_ACT_EST_DATA=E", "ACT_EST_MAPPING=PRECISE", "FS=MRC", "CURRENCY=USD", "XLFILL=b")</f>
        <v>#N/A Requesting Data...</v>
      </c>
      <c r="F81" s="6" t="str">
        <f>_xll.BQL("NOW US Equity", "CONTRIBUTOR_STATS(IS_ADJ_SALES_YOY_CHG_PCT_CC, MIN)", "FPR=2021Y", "FPT=A", "FA_ACT_EST_DATA=E", "ACT_EST_MAPPING=PRECISE", "FS=MRC", "CURRENCY=USD", "XLFILL=b")</f>
        <v>#N/A Requesting Data...</v>
      </c>
      <c r="G81" s="6" t="str">
        <f>_xll.BQL("NOW US Equity", "CONTRIBUTOR_STATS(IS_ADJ_SALES_YOY_CHG_PCT_CC, MAX)", "FPR=2021Y", "FPT=A", "FA_ACT_EST_DATA=E", "ACT_EST_MAPPING=PRECISE", "FS=MRC", "CURRENCY=USD", "XLFILL=b")</f>
        <v>#N/A Requesting Data...</v>
      </c>
      <c r="H81" s="6" t="str">
        <f>_xll.BQL("NOW US Equity", "CONTRIBUTOR_STATS(IS_ADJ_SALES_YOY_CHG_PCT_CC, STD)", "FPR=2021Y", "FPT=A", "FA_ACT_EST_DATA=E", "ACT_EST_MAPPING=PRECISE", "FS=MRC", "CURRENCY=USD", "XLFILL=b")</f>
        <v>#N/A Requesting Data...</v>
      </c>
      <c r="I81" s="6" t="str">
        <f>_xll.BQL("NOW US Equity", "CONTRIBUTOR_STATS(IS_ADJ_SALES_YOY_CHG_PCT_CC, MEDIAN)", "FPR=2021Y", "FPT=A", "FA_ACT_EST_DATA=E", "ACT_EST_MAPPING=PRECISE", "FS=MRC", "CURRENCY=USD", "XLFILL=b")</f>
        <v>#N/A Requesting Data...</v>
      </c>
      <c r="J81" s="6" t="str">
        <f>_xll.BQL("NOW US Equity", "IS_ADJ_SALES_YOY_CHG_PCT_CC", "FPR=2021Y", "FPT=A", "FA_ACT_EST_DATA=E, EST_SOURCE=CMPY", "ACT_EST_MAPPING=PRECISE", "FS=MRC", "CURRENCY=USD", "XLFILL=b")</f>
        <v>#N/A Requesting Data...</v>
      </c>
      <c r="K81" s="6" t="str">
        <f>_xll.BQL("NOW US Equity", "IS_ADJ_SALES_YOY_CHG_PCT_CC", "FPR=2021Y", "FPT=A", "FA_ACT_EST_DATA=E, EST_SOURCE=JPM", "ACT_EST_MAPPING=PRECISE", "FS=MRC", "CURRENCY=USD", "XLFILL=b")</f>
        <v>#N/A Requesting Data...</v>
      </c>
      <c r="L81" s="6" t="str">
        <f>_xll.BQL("NOW US Equity", "IS_ADJ_SALES_YOY_CHG_PCT_CC", "FPR=2021Y", "FPT=A", "FA_ACT_EST_DATA=E, EST_SOURCE=WBL", "ACT_EST_MAPPING=PRECISE", "FS=MRC", "CURRENCY=USD", "XLFILL=b")</f>
        <v>#N/A Requesting Data...</v>
      </c>
      <c r="M81" s="6" t="str">
        <f>_xll.BQL("NOW US Equity", "IS_ADJ_SALES_YOY_CHG_PCT_CC", "FPR=2021Y", "FPT=A", "FA_ACT_EST_DATA=E, EST_SOURCE=KEY", "ACT_EST_MAPPING=PRECISE", "FS=MRC", "CURRENCY=USD", "XLFILL=b")</f>
        <v>#N/A Requesting Data...</v>
      </c>
      <c r="N81" s="6" t="str">
        <f>_xll.BQL("NOW US Equity", "IS_ADJ_SALES_YOY_CHG_PCT_CC", "FPR=2021Y", "FPT=A", "FA_ACT_EST_DATA=E, EST_SOURCE=BMO", "ACT_EST_MAPPING=PRECISE", "FS=MRC", "CURRENCY=USD", "XLFILL=b")</f>
        <v>#N/A Requesting Data...</v>
      </c>
      <c r="O81" s="6" t="str">
        <f>_xll.BQL("NOW US Equity", "IS_ADJ_SALES_YOY_CHG_PCT_CC", "FPR=2021Y", "FPT=A", "FA_ACT_EST_DATA=E, EST_SOURCE=OPY", "ACT_EST_MAPPING=PRECISE", "FS=MRC", "CURRENCY=USD", "XLFILL=b")</f>
        <v>#N/A Requesting Data...</v>
      </c>
      <c r="P81" s="6" t="str">
        <f>_xll.BQL("NOW US Equity", "IS_ADJ_SALES_YOY_CHG_PCT_CC", "FPR=2021Y", "FPT=A", "FA_ACT_EST_DATA=E, EST_SOURCE=BCA", "ACT_EST_MAPPING=PRECISE", "FS=MRC", "CURRENCY=USD", "XLFILL=b")</f>
        <v>#N/A Requesting Data...</v>
      </c>
      <c r="Q81" s="6" t="str">
        <f>_xll.BQL("NOW US Equity", "IS_ADJ_SALES_YOY_CHG_PCT_CC", "FPR=2021Y", "FPT=A", "FA_ACT_EST_DATA=E, EST_SOURCE=RHR", "ACT_EST_MAPPING=PRECISE", "FS=MRC", "CURRENCY=USD", "XLFILL=b")</f>
        <v>#N/A Requesting Data...</v>
      </c>
      <c r="R81" s="6" t="str">
        <f>_xll.BQL("NOW US Equity", "IS_ADJ_SALES_YOY_CHG_PCT_CC", "FPR=2021Y", "FPT=A", "FA_ACT_EST_DATA=E, EST_SOURCE=SNR", "ACT_EST_MAPPING=PRECISE", "FS=MRC", "CURRENCY=USD", "XLFILL=b")</f>
        <v>#N/A Requesting Data...</v>
      </c>
      <c r="S81" s="6" t="str">
        <f>_xll.BQL("NOW US Equity", "IS_ADJ_SALES_YOY_CHG_PCT_CC", "FPR=2021Y", "FPT=A", "FA_ACT_EST_DATA=E, EST_SOURCE=MSV", "ACT_EST_MAPPING=PRECISE", "FS=MRC", "CURRENCY=USD", "XLFILL=b")</f>
        <v>#N/A Requesting Data...</v>
      </c>
      <c r="T81" s="6" t="str">
        <f>_xll.BQL("NOW US Equity", "IS_ADJ_SALES_YOY_CHG_PCT_CC", "FPR=2021Y", "FPT=A", "FA_ACT_EST_DATA=E, EST_SOURCE=CAN", "ACT_EST_MAPPING=PRECISE", "FS=MRC", "CURRENCY=USD", "XLFILL=b")</f>
        <v>#N/A Requesting Data...</v>
      </c>
      <c r="U81" s="6" t="str">
        <f>_xll.BQL("NOW US Equity", "IS_ADJ_SALES_YOY_CHG_PCT_CC", "FPR=2021Y", "FPT=A", "FA_ACT_EST_DATA=E, EST_SOURCE=JMP", "ACT_EST_MAPPING=PRECISE", "FS=MRC", "CURRENCY=USD", "XLFILL=b")</f>
        <v>#N/A Requesting Data...</v>
      </c>
      <c r="V81" s="6" t="str">
        <f>_xll.BQL("NOW US Equity", "IS_ADJ_SALES_YOY_CHG_PCT_CC", "FPR=2021Y", "FPT=A", "FA_ACT_EST_DATA=E, EST_SOURCE=NDH", "ACT_EST_MAPPING=PRECISE", "FS=MRC", "CURRENCY=USD", "XLFILL=b")</f>
        <v>#N/A Requesting Data...</v>
      </c>
      <c r="W81" s="6" t="str">
        <f>_xll.BQL("NOW US Equity", "IS_ADJ_SALES_YOY_CHG_PCT_CC", "FPR=2021Y", "FPT=A", "FA_ACT_EST_DATA=E, EST_SOURCE=ZXS", "ACT_EST_MAPPING=PRECISE", "FS=MRC", "CURRENCY=USD", "XLFILL=b")</f>
        <v>#N/A Requesting Data...</v>
      </c>
      <c r="X81" s="6" t="str">
        <f>_xll.BQL("NOW US Equity", "IS_ADJ_SALES_YOY_CHG_PCT_CC", "FPR=2021Y", "FPT=A", "FA_ACT_EST_DATA=E, EST_SOURCE=CWN", "ACT_EST_MAPPING=PRECISE", "FS=MRC", "CURRENCY=USD", "XLFILL=b")</f>
        <v>#N/A Requesting Data...</v>
      </c>
      <c r="Y81" s="6" t="str">
        <f>_xll.BQL("NOW US Equity", "IS_ADJ_SALES_YOY_CHG_PCT_CC", "FPR=2021Y", "FPT=A", "FA_ACT_EST_DATA=E, EST_SOURCE=DBG", "ACT_EST_MAPPING=PRECISE", "FS=MRC", "CURRENCY=USD", "XLFILL=b")</f>
        <v>#N/A Requesting Data...</v>
      </c>
      <c r="Z81" s="6" t="str">
        <f>_xll.BQL("NOW US Equity", "IS_ADJ_SALES_YOY_CHG_PCT_CC", "FPR=2021Y", "FPT=A", "FA_ACT_EST_DATA=E, EST_SOURCE=UBS", "ACT_EST_MAPPING=PRECISE", "FS=MRC", "CURRENCY=USD", "XLFILL=b")</f>
        <v>#N/A Requesting Data...</v>
      </c>
      <c r="AA81" s="6" t="str">
        <f>_xll.BQL("NOW US Equity", "IS_ADJ_SALES_YOY_CHG_PCT_CC", "FPR=2021Y", "FPT=A", "FA_ACT_EST_DATA=E, EST_SOURCE=RBC", "ACT_EST_MAPPING=PRECISE", "FS=MRC", "CURRENCY=USD", "XLFILL=b")</f>
        <v>#N/A Requesting Data...</v>
      </c>
      <c r="AB81" s="6" t="str">
        <f>_xll.BQL("NOW US Equity", "IS_ADJ_SALES_YOY_CHG_PCT_CC", "FPR=2021Y", "FPT=A", "FA_ACT_EST_DATA=E, EST_SOURCE=EVR", "ACT_EST_MAPPING=PRECISE", "FS=MRC", "CURRENCY=USD", "XLFILL=b")</f>
        <v>#N/A Requesting Data...</v>
      </c>
      <c r="AC81" s="6" t="str">
        <f>_xll.BQL("NOW US Equity", "IS_ADJ_SALES_YOY_CHG_PCT_CC", "FPR=2021Y", "FPT=A", "FA_ACT_EST_DATA=E, EST_SOURCE=BNS", "ACT_EST_MAPPING=PRECISE", "FS=MRC", "CURRENCY=USD", "XLFILL=b")</f>
        <v>#N/A Requesting Data...</v>
      </c>
      <c r="AD81" s="6" t="str">
        <f>_xll.BQL("NOW US Equity", "IS_ADJ_SALES_YOY_CHG_PCT_CC", "FPR=2021Y", "FPT=A", "FA_ACT_EST_DATA=E, EST_SOURCE=BAM", "ACT_EST_MAPPING=PRECISE", "FS=MRC", "CURRENCY=USD", "XLFILL=b")</f>
        <v>#N/A Requesting Data...</v>
      </c>
      <c r="AE81" s="6" t="str">
        <f>_xll.BQL("NOW US Equity", "IS_ADJ_SALES_YOY_CHG_PCT_CC", "FPR=2021Y", "FPT=A", "FA_ACT_EST_DATA=E, EST_SOURCE=GSR", "ACT_EST_MAPPING=PRECISE", "FS=MRC", "CURRENCY=USD", "XLFILL=b")</f>
        <v>#N/A Requesting Data...</v>
      </c>
      <c r="AF81" s="6" t="str">
        <f>_xll.BQL("NOW US Equity", "IS_ADJ_SALES_YOY_CHG_PCT_CC", "FPR=2021Y", "FPT=A", "FA_ACT_EST_DATA=E, EST_SOURCE=FBC", "ACT_EST_MAPPING=PRECISE", "FS=MRC", "CURRENCY=USD", "XLFILL=b")</f>
        <v>#N/A Requesting Data...</v>
      </c>
      <c r="AG81" s="6" t="str">
        <f>_xll.BQL("NOW US Equity", "IS_ADJ_SALES_YOY_CHG_PCT_CC", "FPR=2021Y", "FPT=A", "FA_ACT_EST_DATA=E, EST_SOURCE=MAC", "ACT_EST_MAPPING=PRECISE", "FS=MRC", "CURRENCY=USD", "XLFILL=b")</f>
        <v>#N/A Requesting Data...</v>
      </c>
      <c r="AH81" s="6" t="str">
        <f>_xll.BQL("NOW US Equity", "IS_ADJ_SALES_YOY_CHG_PCT_CC", "FPR=2021Y", "FPT=A", "FA_ACT_EST_DATA=E, EST_SOURCE=PSG", "ACT_EST_MAPPING=PRECISE", "FS=MRC", "CURRENCY=USD", "XLFILL=b")</f>
        <v>#N/A Requesting Data...</v>
      </c>
      <c r="AI81" s="6" t="str">
        <f>_xll.BQL("NOW US Equity", "IS_ADJ_SALES_YOY_CHG_PCT_CC", "FPR=2021Y", "FPT=A", "FA_ACT_EST_DATA=E, EST_SOURCE=MSR", "ACT_EST_MAPPING=PRECISE", "FS=MRC", "CURRENCY=USD", "XLFILL=b")</f>
        <v>#N/A Requesting Data...</v>
      </c>
      <c r="AJ81" s="6" t="str">
        <f>_xll.BQL("NOW US Equity", "IS_ADJ_SALES_YOY_CHG_PCT_CC", "FPR=2021Y", "FPT=A", "FA_ACT_EST_DATA=E, EST_SOURCE=JEF", "ACT_EST_MAPPING=PRECISE", "FS=MRC", "CURRENCY=USD", "XLFILL=b")</f>
        <v>#N/A Requesting Data...</v>
      </c>
      <c r="AK81" s="6" t="str">
        <f>_xll.BQL("NOW US Equity", "IS_ADJ_SALES_YOY_CHG_PCT_CC", "FPR=2021Y", "FPT=A", "FA_ACT_EST_DATA=E, EST_SOURCE=TTC", "ACT_EST_MAPPING=PRECISE", "FS=MRC", "CURRENCY=USD", "XLFILL=b")</f>
        <v>#N/A Requesting Data...</v>
      </c>
      <c r="AL81" s="6" t="str">
        <f>_xll.BQL("NOW US Equity", "IS_ADJ_SALES_YOY_CHG_PCT_CC", "FPR=2021Y", "FPT=A", "FA_ACT_EST_DATA=E, EST_SOURCE=RWB", "ACT_EST_MAPPING=PRECISE", "FS=MRC", "CURRENCY=USD", "XLFILL=b")</f>
        <v>#N/A Requesting Data...</v>
      </c>
      <c r="AM81" s="6" t="str">
        <f>_xll.BQL("NOW US Equity", "IS_ADJ_SALES_YOY_CHG_PCT_CC", "FPR=2021Y", "FPT=A", "FA_ACT_EST_DATA=E, EST_SOURCE=DZB", "ACT_EST_MAPPING=PRECISE", "FS=MRC", "CURRENCY=USD", "XLFILL=b")</f>
        <v>#N/A Requesting Data...</v>
      </c>
      <c r="AN81" s="6" t="str">
        <f>_xll.BQL("NOW US Equity", "IS_ADJ_SALES_YOY_CHG_PCT_CC", "FPR=2021Y", "FPT=A", "FA_ACT_EST_DATA=E, EST_SOURCE=DWI", "ACT_EST_MAPPING=PRECISE", "FS=MRC", "CURRENCY=USD", "XLFILL=b")</f>
        <v>#N/A Requesting Data...</v>
      </c>
      <c r="AO81" s="6" t="str">
        <f>_xll.BQL("NOW US Equity", "IS_ADJ_SALES_YOY_CHG_PCT_CC", "FPR=2021Y", "FPT=A", "FA_ACT_EST_DATA=E, EST_SOURCE=ARG", "ACT_EST_MAPPING=PRECISE", "FS=MRC", "CURRENCY=USD", "XLFILL=b")</f>
        <v>#N/A Requesting Data...</v>
      </c>
      <c r="AP81" s="6" t="str">
        <f>_xll.BQL("NOW US Equity", "IS_ADJ_SALES_YOY_CHG_PCT_CC", "FPR=2021Y", "FPT=A", "FA_ACT_EST_DATA=E, EST_SOURCE=CTI", "ACT_EST_MAPPING=PRECISE", "FS=MRC", "CURRENCY=USD", "XLFILL=b")</f>
        <v>#N/A Requesting Data...</v>
      </c>
      <c r="AQ81" s="6" t="str">
        <f>_xll.BQL("NOW US Equity", "IS_ADJ_SALES_YOY_CHG_PCT_CC", "FPR=2021Y", "FPT=A", "FA_ACT_EST_DATA=E, EST_SOURCE=WFT", "ACT_EST_MAPPING=PRECISE", "FS=MRC", "CURRENCY=USD", "XLFILL=b")</f>
        <v>#N/A Requesting Data...</v>
      </c>
      <c r="AR81" s="6" t="str">
        <f>_xll.BQL("NOW US Equity", "IS_ADJ_SALES_YOY_CHG_PCT_CC", "FPR=2021Y", "FPT=A", "FA_ACT_EST_DATA=E, EST_SOURCE=ARE", "ACT_EST_MAPPING=PRECISE", "FS=MRC", "CURRENCY=USD", "XLFILL=b")</f>
        <v>#N/A Requesting Data...</v>
      </c>
      <c r="AS81" s="6" t="str">
        <f>_xll.BQL("NOW US Equity", "IS_ADJ_SALES_YOY_CHG_PCT_CC", "FPR=2021Y", "FPT=A", "FA_ACT_EST_DATA=E, EST_SOURCE=PJE", "ACT_EST_MAPPING=PRECISE", "FS=MRC", "CURRENCY=USD", "XLFILL=b")</f>
        <v>#N/A Requesting Data...</v>
      </c>
      <c r="AT81" s="6" t="str">
        <f>_xll.BQL("NOW US Equity", "IS_ADJ_SALES_YOY_CHG_PCT_CC", "FPR=2021Y", "FPT=A", "FA_ACT_EST_DATA=E, EST_SOURCE=MZS", "ACT_EST_MAPPING=PRECISE", "FS=MRC", "CURRENCY=USD", "XLFILL=b")</f>
        <v>#N/A Requesting Data...</v>
      </c>
      <c r="AU81" s="6" t="str">
        <f>_xll.BQL("NOW US Equity", "IS_ADJ_SALES_YOY_CHG_PCT_CC", "FPR=2021Y", "FPT=A", "FA_ACT_EST_DATA=E, EST_SOURCE=SUM", "ACT_EST_MAPPING=PRECISE", "FS=MRC", "CURRENCY=USD", "XLFILL=b")</f>
        <v>#N/A Requesting Data...</v>
      </c>
      <c r="AV81" s="6" t="str">
        <f>_xll.BQL("NOW US Equity", "IS_ADJ_SALES_YOY_CHG_PCT_CC", "FPR=2021Y", "FPT=A", "FA_ACT_EST_DATA=E, EST_SOURCE=CRC", "ACT_EST_MAPPING=PRECISE", "FS=MRC", "CURRENCY=USD", "XLFILL=b")</f>
        <v>#N/A Requesting Data...</v>
      </c>
      <c r="AW81" s="6" t="str">
        <f>_xll.BQL("NOW US Equity", "IS_ADJ_SALES_YOY_CHG_PCT_CC", "FPR=2021Y", "FPT=A", "FA_ACT_EST_DATA=E, EST_SOURCE=SCB", "ACT_EST_MAPPING=PRECISE", "FS=MRC", "CURRENCY=USD", "XLFILL=b")</f>
        <v>#N/A Requesting Data...</v>
      </c>
    </row>
    <row r="82" spans="1:49" x14ac:dyDescent="0.55000000000000004">
      <c r="A82" s="5" t="s">
        <v>23</v>
      </c>
      <c r="B82" s="2"/>
      <c r="C82" s="2"/>
      <c r="D82" s="2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</row>
    <row r="83" spans="1:49" x14ac:dyDescent="0.55000000000000004">
      <c r="A83" s="5" t="s">
        <v>127</v>
      </c>
      <c r="B83" s="2" t="s">
        <v>107</v>
      </c>
      <c r="C83" s="2" t="s">
        <v>108</v>
      </c>
      <c r="D83" s="2"/>
      <c r="E83" s="6" t="str">
        <f>_xll.BQL("NOW US Equity", "IS_ADJUSTED_COGS_AS_REPORTED/1M", "FPR=2021Y", "FPT=A", "FA_ACT_EST_DATA=E", "ACT_EST_MAPPING=PRECISE", "FS=MRC", "CURRENCY=USD", "XLFILL=b")</f>
        <v>#N/A Requesting Data...</v>
      </c>
      <c r="F83" s="6" t="str">
        <f>_xll.BQL("NOW US Equity", "CONTRIBUTOR_STATS(IS_ADJUSTED_COGS_AS_REPORTED, MIN)/1M", "FPR=2021Y", "FPT=A", "FA_ACT_EST_DATA=E", "ACT_EST_MAPPING=PRECISE", "FS=MRC", "CURRENCY=USD", "XLFILL=b")</f>
        <v>#N/A Requesting Data...</v>
      </c>
      <c r="G83" s="6" t="str">
        <f>_xll.BQL("NOW US Equity", "CONTRIBUTOR_STATS(IS_ADJUSTED_COGS_AS_REPORTED, MAX)/1M", "FPR=2021Y", "FPT=A", "FA_ACT_EST_DATA=E", "ACT_EST_MAPPING=PRECISE", "FS=MRC", "CURRENCY=USD", "XLFILL=b")</f>
        <v>#N/A Requesting Data...</v>
      </c>
      <c r="H83" s="6" t="str">
        <f>_xll.BQL("NOW US Equity", "CONTRIBUTOR_STATS(IS_ADJUSTED_COGS_AS_REPORTED, STD)/1M", "FPR=2021Y", "FPT=A", "FA_ACT_EST_DATA=E", "ACT_EST_MAPPING=PRECISE", "FS=MRC", "CURRENCY=USD", "XLFILL=b")</f>
        <v>#N/A Requesting Data...</v>
      </c>
      <c r="I83" s="6" t="str">
        <f>_xll.BQL("NOW US Equity", "CONTRIBUTOR_STATS(IS_ADJUSTED_COGS_AS_REPORTED, MEDIAN)/1M", "FPR=2021Y", "FPT=A", "FA_ACT_EST_DATA=E", "ACT_EST_MAPPING=PRECISE", "FS=MRC", "CURRENCY=USD", "XLFILL=b")</f>
        <v>#N/A Requesting Data...</v>
      </c>
      <c r="J83" s="6" t="str">
        <f>_xll.BQL("NOW US Equity", "IS_ADJUSTED_COGS_AS_REPORTED/1M", "FPR=2021Y", "FPT=A", "FA_ACT_EST_DATA=E, EST_SOURCE=CMPY", "ACT_EST_MAPPING=PRECISE", "FS=MRC", "CURRENCY=USD", "XLFILL=b")</f>
        <v>#N/A Requesting Data...</v>
      </c>
      <c r="K83" s="6" t="str">
        <f>_xll.BQL("NOW US Equity", "IS_ADJUSTED_COGS_AS_REPORTED/1M", "FPR=2021Y", "FPT=A", "FA_ACT_EST_DATA=E, EST_SOURCE=JPM", "ACT_EST_MAPPING=PRECISE", "FS=MRC", "CURRENCY=USD", "XLFILL=b")</f>
        <v>#N/A Requesting Data...</v>
      </c>
      <c r="L83" s="6" t="str">
        <f>_xll.BQL("NOW US Equity", "IS_ADJUSTED_COGS_AS_REPORTED/1M", "FPR=2021Y", "FPT=A", "FA_ACT_EST_DATA=E, EST_SOURCE=WBL", "ACT_EST_MAPPING=PRECISE", "FS=MRC", "CURRENCY=USD", "XLFILL=b")</f>
        <v>#N/A Requesting Data...</v>
      </c>
      <c r="M83" s="6" t="str">
        <f>_xll.BQL("NOW US Equity", "IS_ADJUSTED_COGS_AS_REPORTED/1M", "FPR=2021Y", "FPT=A", "FA_ACT_EST_DATA=E, EST_SOURCE=KEY", "ACT_EST_MAPPING=PRECISE", "FS=MRC", "CURRENCY=USD", "XLFILL=b")</f>
        <v>#N/A Requesting Data...</v>
      </c>
      <c r="N83" s="6" t="str">
        <f>_xll.BQL("NOW US Equity", "IS_ADJUSTED_COGS_AS_REPORTED/1M", "FPR=2021Y", "FPT=A", "FA_ACT_EST_DATA=E, EST_SOURCE=BMO", "ACT_EST_MAPPING=PRECISE", "FS=MRC", "CURRENCY=USD", "XLFILL=b")</f>
        <v>#N/A Requesting Data...</v>
      </c>
      <c r="O83" s="6" t="str">
        <f>_xll.BQL("NOW US Equity", "IS_ADJUSTED_COGS_AS_REPORTED/1M", "FPR=2021Y", "FPT=A", "FA_ACT_EST_DATA=E, EST_SOURCE=OPY", "ACT_EST_MAPPING=PRECISE", "FS=MRC", "CURRENCY=USD", "XLFILL=b")</f>
        <v>#N/A Requesting Data...</v>
      </c>
      <c r="P83" s="6" t="str">
        <f>_xll.BQL("NOW US Equity", "IS_ADJUSTED_COGS_AS_REPORTED/1M", "FPR=2021Y", "FPT=A", "FA_ACT_EST_DATA=E, EST_SOURCE=BCA", "ACT_EST_MAPPING=PRECISE", "FS=MRC", "CURRENCY=USD", "XLFILL=b")</f>
        <v>#N/A Requesting Data...</v>
      </c>
      <c r="Q83" s="6" t="str">
        <f>_xll.BQL("NOW US Equity", "IS_ADJUSTED_COGS_AS_REPORTED/1M", "FPR=2021Y", "FPT=A", "FA_ACT_EST_DATA=E, EST_SOURCE=RHR", "ACT_EST_MAPPING=PRECISE", "FS=MRC", "CURRENCY=USD", "XLFILL=b")</f>
        <v>#N/A Requesting Data...</v>
      </c>
      <c r="R83" s="6" t="str">
        <f>_xll.BQL("NOW US Equity", "IS_ADJUSTED_COGS_AS_REPORTED/1M", "FPR=2021Y", "FPT=A", "FA_ACT_EST_DATA=E, EST_SOURCE=SNR", "ACT_EST_MAPPING=PRECISE", "FS=MRC", "CURRENCY=USD", "XLFILL=b")</f>
        <v>#N/A Requesting Data...</v>
      </c>
      <c r="S83" s="6" t="str">
        <f>_xll.BQL("NOW US Equity", "IS_ADJUSTED_COGS_AS_REPORTED/1M", "FPR=2021Y", "FPT=A", "FA_ACT_EST_DATA=E, EST_SOURCE=MSV", "ACT_EST_MAPPING=PRECISE", "FS=MRC", "CURRENCY=USD", "XLFILL=b")</f>
        <v>#N/A Requesting Data...</v>
      </c>
      <c r="T83" s="6" t="str">
        <f>_xll.BQL("NOW US Equity", "IS_ADJUSTED_COGS_AS_REPORTED/1M", "FPR=2021Y", "FPT=A", "FA_ACT_EST_DATA=E, EST_SOURCE=CAN", "ACT_EST_MAPPING=PRECISE", "FS=MRC", "CURRENCY=USD", "XLFILL=b")</f>
        <v>#N/A Requesting Data...</v>
      </c>
      <c r="U83" s="6" t="str">
        <f>_xll.BQL("NOW US Equity", "IS_ADJUSTED_COGS_AS_REPORTED/1M", "FPR=2021Y", "FPT=A", "FA_ACT_EST_DATA=E, EST_SOURCE=JMP", "ACT_EST_MAPPING=PRECISE", "FS=MRC", "CURRENCY=USD", "XLFILL=b")</f>
        <v>#N/A Requesting Data...</v>
      </c>
      <c r="V83" s="6" t="str">
        <f>_xll.BQL("NOW US Equity", "IS_ADJUSTED_COGS_AS_REPORTED/1M", "FPR=2021Y", "FPT=A", "FA_ACT_EST_DATA=E, EST_SOURCE=NDH", "ACT_EST_MAPPING=PRECISE", "FS=MRC", "CURRENCY=USD", "XLFILL=b")</f>
        <v>#N/A Requesting Data...</v>
      </c>
      <c r="W83" s="6" t="str">
        <f>_xll.BQL("NOW US Equity", "IS_ADJUSTED_COGS_AS_REPORTED/1M", "FPR=2021Y", "FPT=A", "FA_ACT_EST_DATA=E, EST_SOURCE=ZXS", "ACT_EST_MAPPING=PRECISE", "FS=MRC", "CURRENCY=USD", "XLFILL=b")</f>
        <v>#N/A Requesting Data...</v>
      </c>
      <c r="X83" s="6" t="str">
        <f>_xll.BQL("NOW US Equity", "IS_ADJUSTED_COGS_AS_REPORTED/1M", "FPR=2021Y", "FPT=A", "FA_ACT_EST_DATA=E, EST_SOURCE=CWN", "ACT_EST_MAPPING=PRECISE", "FS=MRC", "CURRENCY=USD", "XLFILL=b")</f>
        <v>#N/A Requesting Data...</v>
      </c>
      <c r="Y83" s="6" t="str">
        <f>_xll.BQL("NOW US Equity", "IS_ADJUSTED_COGS_AS_REPORTED/1M", "FPR=2021Y", "FPT=A", "FA_ACT_EST_DATA=E, EST_SOURCE=DBG", "ACT_EST_MAPPING=PRECISE", "FS=MRC", "CURRENCY=USD", "XLFILL=b")</f>
        <v>#N/A Requesting Data...</v>
      </c>
      <c r="Z83" s="6" t="str">
        <f>_xll.BQL("NOW US Equity", "IS_ADJUSTED_COGS_AS_REPORTED/1M", "FPR=2021Y", "FPT=A", "FA_ACT_EST_DATA=E, EST_SOURCE=UBS", "ACT_EST_MAPPING=PRECISE", "FS=MRC", "CURRENCY=USD", "XLFILL=b")</f>
        <v>#N/A Requesting Data...</v>
      </c>
      <c r="AA83" s="6" t="str">
        <f>_xll.BQL("NOW US Equity", "IS_ADJUSTED_COGS_AS_REPORTED/1M", "FPR=2021Y", "FPT=A", "FA_ACT_EST_DATA=E, EST_SOURCE=RBC", "ACT_EST_MAPPING=PRECISE", "FS=MRC", "CURRENCY=USD", "XLFILL=b")</f>
        <v>#N/A Requesting Data...</v>
      </c>
      <c r="AB83" s="6" t="str">
        <f>_xll.BQL("NOW US Equity", "IS_ADJUSTED_COGS_AS_REPORTED/1M", "FPR=2021Y", "FPT=A", "FA_ACT_EST_DATA=E, EST_SOURCE=EVR", "ACT_EST_MAPPING=PRECISE", "FS=MRC", "CURRENCY=USD", "XLFILL=b")</f>
        <v>#N/A Requesting Data...</v>
      </c>
      <c r="AC83" s="6" t="str">
        <f>_xll.BQL("NOW US Equity", "IS_ADJUSTED_COGS_AS_REPORTED/1M", "FPR=2021Y", "FPT=A", "FA_ACT_EST_DATA=E, EST_SOURCE=BNS", "ACT_EST_MAPPING=PRECISE", "FS=MRC", "CURRENCY=USD", "XLFILL=b")</f>
        <v>#N/A Requesting Data...</v>
      </c>
      <c r="AD83" s="6" t="str">
        <f>_xll.BQL("NOW US Equity", "IS_ADJUSTED_COGS_AS_REPORTED/1M", "FPR=2021Y", "FPT=A", "FA_ACT_EST_DATA=E, EST_SOURCE=BAM", "ACT_EST_MAPPING=PRECISE", "FS=MRC", "CURRENCY=USD", "XLFILL=b")</f>
        <v>#N/A Requesting Data...</v>
      </c>
      <c r="AE83" s="6" t="str">
        <f>_xll.BQL("NOW US Equity", "IS_ADJUSTED_COGS_AS_REPORTED/1M", "FPR=2021Y", "FPT=A", "FA_ACT_EST_DATA=E, EST_SOURCE=GSR", "ACT_EST_MAPPING=PRECISE", "FS=MRC", "CURRENCY=USD", "XLFILL=b")</f>
        <v>#N/A Requesting Data...</v>
      </c>
      <c r="AF83" s="6" t="str">
        <f>_xll.BQL("NOW US Equity", "IS_ADJUSTED_COGS_AS_REPORTED/1M", "FPR=2021Y", "FPT=A", "FA_ACT_EST_DATA=E, EST_SOURCE=FBC", "ACT_EST_MAPPING=PRECISE", "FS=MRC", "CURRENCY=USD", "XLFILL=b")</f>
        <v>#N/A Requesting Data...</v>
      </c>
      <c r="AG83" s="6" t="str">
        <f>_xll.BQL("NOW US Equity", "IS_ADJUSTED_COGS_AS_REPORTED/1M", "FPR=2021Y", "FPT=A", "FA_ACT_EST_DATA=E, EST_SOURCE=MAC", "ACT_EST_MAPPING=PRECISE", "FS=MRC", "CURRENCY=USD", "XLFILL=b")</f>
        <v>#N/A Requesting Data...</v>
      </c>
      <c r="AH83" s="6" t="str">
        <f>_xll.BQL("NOW US Equity", "IS_ADJUSTED_COGS_AS_REPORTED/1M", "FPR=2021Y", "FPT=A", "FA_ACT_EST_DATA=E, EST_SOURCE=PSG", "ACT_EST_MAPPING=PRECISE", "FS=MRC", "CURRENCY=USD", "XLFILL=b")</f>
        <v>#N/A Requesting Data...</v>
      </c>
      <c r="AI83" s="6" t="str">
        <f>_xll.BQL("NOW US Equity", "IS_ADJUSTED_COGS_AS_REPORTED/1M", "FPR=2021Y", "FPT=A", "FA_ACT_EST_DATA=E, EST_SOURCE=MSR", "ACT_EST_MAPPING=PRECISE", "FS=MRC", "CURRENCY=USD", "XLFILL=b")</f>
        <v>#N/A Requesting Data...</v>
      </c>
      <c r="AJ83" s="6" t="str">
        <f>_xll.BQL("NOW US Equity", "IS_ADJUSTED_COGS_AS_REPORTED/1M", "FPR=2021Y", "FPT=A", "FA_ACT_EST_DATA=E, EST_SOURCE=JEF", "ACT_EST_MAPPING=PRECISE", "FS=MRC", "CURRENCY=USD", "XLFILL=b")</f>
        <v>#N/A Requesting Data...</v>
      </c>
      <c r="AK83" s="6" t="str">
        <f>_xll.BQL("NOW US Equity", "IS_ADJUSTED_COGS_AS_REPORTED/1M", "FPR=2021Y", "FPT=A", "FA_ACT_EST_DATA=E, EST_SOURCE=TTC", "ACT_EST_MAPPING=PRECISE", "FS=MRC", "CURRENCY=USD", "XLFILL=b")</f>
        <v>#N/A Requesting Data...</v>
      </c>
      <c r="AL83" s="6" t="str">
        <f>_xll.BQL("NOW US Equity", "IS_ADJUSTED_COGS_AS_REPORTED/1M", "FPR=2021Y", "FPT=A", "FA_ACT_EST_DATA=E, EST_SOURCE=RWB", "ACT_EST_MAPPING=PRECISE", "FS=MRC", "CURRENCY=USD", "XLFILL=b")</f>
        <v>#N/A Requesting Data...</v>
      </c>
      <c r="AM83" s="6" t="str">
        <f>_xll.BQL("NOW US Equity", "IS_ADJUSTED_COGS_AS_REPORTED/1M", "FPR=2021Y", "FPT=A", "FA_ACT_EST_DATA=E, EST_SOURCE=DZB", "ACT_EST_MAPPING=PRECISE", "FS=MRC", "CURRENCY=USD", "XLFILL=b")</f>
        <v>#N/A Requesting Data...</v>
      </c>
      <c r="AN83" s="6" t="str">
        <f>_xll.BQL("NOW US Equity", "IS_ADJUSTED_COGS_AS_REPORTED/1M", "FPR=2021Y", "FPT=A", "FA_ACT_EST_DATA=E, EST_SOURCE=DWI", "ACT_EST_MAPPING=PRECISE", "FS=MRC", "CURRENCY=USD", "XLFILL=b")</f>
        <v>#N/A Requesting Data...</v>
      </c>
      <c r="AO83" s="6" t="str">
        <f>_xll.BQL("NOW US Equity", "IS_ADJUSTED_COGS_AS_REPORTED/1M", "FPR=2021Y", "FPT=A", "FA_ACT_EST_DATA=E, EST_SOURCE=ARG", "ACT_EST_MAPPING=PRECISE", "FS=MRC", "CURRENCY=USD", "XLFILL=b")</f>
        <v>#N/A Requesting Data...</v>
      </c>
      <c r="AP83" s="6" t="str">
        <f>_xll.BQL("NOW US Equity", "IS_ADJUSTED_COGS_AS_REPORTED/1M", "FPR=2021Y", "FPT=A", "FA_ACT_EST_DATA=E, EST_SOURCE=CTI", "ACT_EST_MAPPING=PRECISE", "FS=MRC", "CURRENCY=USD", "XLFILL=b")</f>
        <v>#N/A Requesting Data...</v>
      </c>
      <c r="AQ83" s="6" t="str">
        <f>_xll.BQL("NOW US Equity", "IS_ADJUSTED_COGS_AS_REPORTED/1M", "FPR=2021Y", "FPT=A", "FA_ACT_EST_DATA=E, EST_SOURCE=WFT", "ACT_EST_MAPPING=PRECISE", "FS=MRC", "CURRENCY=USD", "XLFILL=b")</f>
        <v>#N/A Requesting Data...</v>
      </c>
      <c r="AR83" s="6" t="str">
        <f>_xll.BQL("NOW US Equity", "IS_ADJUSTED_COGS_AS_REPORTED/1M", "FPR=2021Y", "FPT=A", "FA_ACT_EST_DATA=E, EST_SOURCE=ARE", "ACT_EST_MAPPING=PRECISE", "FS=MRC", "CURRENCY=USD", "XLFILL=b")</f>
        <v>#N/A Requesting Data...</v>
      </c>
      <c r="AS83" s="6" t="str">
        <f>_xll.BQL("NOW US Equity", "IS_ADJUSTED_COGS_AS_REPORTED/1M", "FPR=2021Y", "FPT=A", "FA_ACT_EST_DATA=E, EST_SOURCE=PJE", "ACT_EST_MAPPING=PRECISE", "FS=MRC", "CURRENCY=USD", "XLFILL=b")</f>
        <v>#N/A Requesting Data...</v>
      </c>
      <c r="AT83" s="6" t="str">
        <f>_xll.BQL("NOW US Equity", "IS_ADJUSTED_COGS_AS_REPORTED/1M", "FPR=2021Y", "FPT=A", "FA_ACT_EST_DATA=E, EST_SOURCE=MZS", "ACT_EST_MAPPING=PRECISE", "FS=MRC", "CURRENCY=USD", "XLFILL=b")</f>
        <v>#N/A Requesting Data...</v>
      </c>
      <c r="AU83" s="6" t="str">
        <f>_xll.BQL("NOW US Equity", "IS_ADJUSTED_COGS_AS_REPORTED/1M", "FPR=2021Y", "FPT=A", "FA_ACT_EST_DATA=E, EST_SOURCE=SUM", "ACT_EST_MAPPING=PRECISE", "FS=MRC", "CURRENCY=USD", "XLFILL=b")</f>
        <v>#N/A Requesting Data...</v>
      </c>
      <c r="AV83" s="6" t="str">
        <f>_xll.BQL("NOW US Equity", "IS_ADJUSTED_COGS_AS_REPORTED/1M", "FPR=2021Y", "FPT=A", "FA_ACT_EST_DATA=E, EST_SOURCE=CRC", "ACT_EST_MAPPING=PRECISE", "FS=MRC", "CURRENCY=USD", "XLFILL=b")</f>
        <v>#N/A Requesting Data...</v>
      </c>
      <c r="AW83" s="6" t="str">
        <f>_xll.BQL("NOW US Equity", "IS_ADJUSTED_COGS_AS_REPORTED/1M", "FPR=2021Y", "FPT=A", "FA_ACT_EST_DATA=E, EST_SOURCE=SCB", "ACT_EST_MAPPING=PRECISE", "FS=MRC", "CURRENCY=USD", "XLFILL=b")</f>
        <v>#N/A Requesting Data...</v>
      </c>
    </row>
    <row r="84" spans="1:49" x14ac:dyDescent="0.55000000000000004">
      <c r="A84" s="5" t="s">
        <v>128</v>
      </c>
      <c r="B84" s="2" t="s">
        <v>53</v>
      </c>
      <c r="C84" s="2" t="s">
        <v>2</v>
      </c>
      <c r="D84" s="2"/>
      <c r="E84" s="6" t="str">
        <f>_xll.BQL("NOW US Equity", "IS_ADJ_GROSS_PROFIT_AS_REPORTED/1M", "FPR=2021Y", "FPT=A", "FA_ACT_EST_DATA=E", "ACT_EST_MAPPING=PRECISE", "FS=MRC", "CURRENCY=USD", "XLFILL=b")</f>
        <v>#N/A Requesting Data...</v>
      </c>
      <c r="F84" s="6" t="str">
        <f>_xll.BQL("NOW US Equity", "CONTRIBUTOR_STATS(IS_ADJ_GROSS_PROFIT_AS_REPORTED, MIN)/1M", "FPR=2021Y", "FPT=A", "FA_ACT_EST_DATA=E", "ACT_EST_MAPPING=PRECISE", "FS=MRC", "CURRENCY=USD", "XLFILL=b")</f>
        <v>#N/A Requesting Data...</v>
      </c>
      <c r="G84" s="6" t="str">
        <f>_xll.BQL("NOW US Equity", "CONTRIBUTOR_STATS(IS_ADJ_GROSS_PROFIT_AS_REPORTED, MAX)/1M", "FPR=2021Y", "FPT=A", "FA_ACT_EST_DATA=E", "ACT_EST_MAPPING=PRECISE", "FS=MRC", "CURRENCY=USD", "XLFILL=b")</f>
        <v>#N/A Requesting Data...</v>
      </c>
      <c r="H84" s="6" t="str">
        <f>_xll.BQL("NOW US Equity", "CONTRIBUTOR_STATS(IS_ADJ_GROSS_PROFIT_AS_REPORTED, STD)/1M", "FPR=2021Y", "FPT=A", "FA_ACT_EST_DATA=E", "ACT_EST_MAPPING=PRECISE", "FS=MRC", "CURRENCY=USD", "XLFILL=b")</f>
        <v>#N/A Requesting Data...</v>
      </c>
      <c r="I84" s="6" t="str">
        <f>_xll.BQL("NOW US Equity", "CONTRIBUTOR_STATS(IS_ADJ_GROSS_PROFIT_AS_REPORTED, MEDIAN)/1M", "FPR=2021Y", "FPT=A", "FA_ACT_EST_DATA=E", "ACT_EST_MAPPING=PRECISE", "FS=MRC", "CURRENCY=USD", "XLFILL=b")</f>
        <v>#N/A Requesting Data...</v>
      </c>
      <c r="J84" s="6" t="str">
        <f>_xll.BQL("NOW US Equity", "IS_ADJ_GROSS_PROFIT_AS_REPORTED/1M", "FPR=2021Y", "FPT=A", "FA_ACT_EST_DATA=E, EST_SOURCE=CMPY", "ACT_EST_MAPPING=PRECISE", "FS=MRC", "CURRENCY=USD", "XLFILL=b")</f>
        <v>#N/A Requesting Data...</v>
      </c>
      <c r="K84" s="6">
        <f>_xll.BQL("NOW US Equity", "IS_ADJ_GROSS_PROFIT_AS_REPORTED/1M", "FPR=2021Y", "FPT=A", "FA_ACT_EST_DATA=E, EST_SOURCE=JPM", "ACT_EST_MAPPING=PRECISE", "FS=MRC", "CURRENCY=USD", "XLFILL=b")</f>
        <v>4774.1851214596991</v>
      </c>
      <c r="L84" s="6" t="str">
        <f>_xll.BQL("NOW US Equity", "IS_ADJ_GROSS_PROFIT_AS_REPORTED/1M", "FPR=2021Y", "FPT=A", "FA_ACT_EST_DATA=E, EST_SOURCE=WBL", "ACT_EST_MAPPING=PRECISE", "FS=MRC", "CURRENCY=USD", "XLFILL=b")</f>
        <v>#N/A Requesting Data...</v>
      </c>
      <c r="M84" s="6" t="str">
        <f>_xll.BQL("NOW US Equity", "IS_ADJ_GROSS_PROFIT_AS_REPORTED/1M", "FPR=2021Y", "FPT=A", "FA_ACT_EST_DATA=E, EST_SOURCE=KEY", "ACT_EST_MAPPING=PRECISE", "FS=MRC", "CURRENCY=USD", "XLFILL=b")</f>
        <v>#N/A Requesting Data...</v>
      </c>
      <c r="N84" s="6" t="str">
        <f>_xll.BQL("NOW US Equity", "IS_ADJ_GROSS_PROFIT_AS_REPORTED/1M", "FPR=2021Y", "FPT=A", "FA_ACT_EST_DATA=E, EST_SOURCE=BMO", "ACT_EST_MAPPING=PRECISE", "FS=MRC", "CURRENCY=USD", "XLFILL=b")</f>
        <v>#N/A Requesting Data...</v>
      </c>
      <c r="O84" s="6" t="str">
        <f>_xll.BQL("NOW US Equity", "IS_ADJ_GROSS_PROFIT_AS_REPORTED/1M", "FPR=2021Y", "FPT=A", "FA_ACT_EST_DATA=E, EST_SOURCE=OPY", "ACT_EST_MAPPING=PRECISE", "FS=MRC", "CURRENCY=USD", "XLFILL=b")</f>
        <v/>
      </c>
      <c r="P84" s="6" t="str">
        <f>_xll.BQL("NOW US Equity", "IS_ADJ_GROSS_PROFIT_AS_REPORTED/1M", "FPR=2021Y", "FPT=A", "FA_ACT_EST_DATA=E, EST_SOURCE=BCA", "ACT_EST_MAPPING=PRECISE", "FS=MRC", "CURRENCY=USD", "XLFILL=b")</f>
        <v>#N/A Requesting Data...</v>
      </c>
      <c r="Q84" s="6" t="str">
        <f>_xll.BQL("NOW US Equity", "IS_ADJ_GROSS_PROFIT_AS_REPORTED/1M", "FPR=2021Y", "FPT=A", "FA_ACT_EST_DATA=E, EST_SOURCE=RHR", "ACT_EST_MAPPING=PRECISE", "FS=MRC", "CURRENCY=USD", "XLFILL=b")</f>
        <v>#N/A Requesting Data...</v>
      </c>
      <c r="R84" s="6" t="str">
        <f>_xll.BQL("NOW US Equity", "IS_ADJ_GROSS_PROFIT_AS_REPORTED/1M", "FPR=2021Y", "FPT=A", "FA_ACT_EST_DATA=E, EST_SOURCE=SNR", "ACT_EST_MAPPING=PRECISE", "FS=MRC", "CURRENCY=USD", "XLFILL=b")</f>
        <v>#N/A Requesting Data...</v>
      </c>
      <c r="S84" s="6">
        <f>_xll.BQL("NOW US Equity", "IS_ADJ_GROSS_PROFIT_AS_REPORTED/1M", "FPR=2021Y", "FPT=A", "FA_ACT_EST_DATA=E, EST_SOURCE=MSV", "ACT_EST_MAPPING=PRECISE", "FS=MRC", "CURRENCY=USD", "XLFILL=b")</f>
        <v>4791.5374305680698</v>
      </c>
      <c r="T84" s="6" t="str">
        <f>_xll.BQL("NOW US Equity", "IS_ADJ_GROSS_PROFIT_AS_REPORTED/1M", "FPR=2021Y", "FPT=A", "FA_ACT_EST_DATA=E, EST_SOURCE=CAN", "ACT_EST_MAPPING=PRECISE", "FS=MRC", "CURRENCY=USD", "XLFILL=b")</f>
        <v>#N/A Requesting Data...</v>
      </c>
      <c r="U84" s="6" t="str">
        <f>_xll.BQL("NOW US Equity", "IS_ADJ_GROSS_PROFIT_AS_REPORTED/1M", "FPR=2021Y", "FPT=A", "FA_ACT_EST_DATA=E, EST_SOURCE=JMP", "ACT_EST_MAPPING=PRECISE", "FS=MRC", "CURRENCY=USD", "XLFILL=b")</f>
        <v>#N/A Requesting Data...</v>
      </c>
      <c r="V84" s="6" t="str">
        <f>_xll.BQL("NOW US Equity", "IS_ADJ_GROSS_PROFIT_AS_REPORTED/1M", "FPR=2021Y", "FPT=A", "FA_ACT_EST_DATA=E, EST_SOURCE=NDH", "ACT_EST_MAPPING=PRECISE", "FS=MRC", "CURRENCY=USD", "XLFILL=b")</f>
        <v>#N/A Requesting Data...</v>
      </c>
      <c r="W84" s="6" t="str">
        <f>_xll.BQL("NOW US Equity", "IS_ADJ_GROSS_PROFIT_AS_REPORTED/1M", "FPR=2021Y", "FPT=A", "FA_ACT_EST_DATA=E, EST_SOURCE=ZXS", "ACT_EST_MAPPING=PRECISE", "FS=MRC", "CURRENCY=USD", "XLFILL=b")</f>
        <v>#N/A Requesting Data...</v>
      </c>
      <c r="X84" s="6" t="str">
        <f>_xll.BQL("NOW US Equity", "IS_ADJ_GROSS_PROFIT_AS_REPORTED/1M", "FPR=2021Y", "FPT=A", "FA_ACT_EST_DATA=E, EST_SOURCE=CWN", "ACT_EST_MAPPING=PRECISE", "FS=MRC", "CURRENCY=USD", "XLFILL=b")</f>
        <v/>
      </c>
      <c r="Y84" s="6" t="str">
        <f>_xll.BQL("NOW US Equity", "IS_ADJ_GROSS_PROFIT_AS_REPORTED/1M", "FPR=2021Y", "FPT=A", "FA_ACT_EST_DATA=E, EST_SOURCE=DBG", "ACT_EST_MAPPING=PRECISE", "FS=MRC", "CURRENCY=USD", "XLFILL=b")</f>
        <v>#N/A Requesting Data...</v>
      </c>
      <c r="Z84" s="6" t="str">
        <f>_xll.BQL("NOW US Equity", "IS_ADJ_GROSS_PROFIT_AS_REPORTED/1M", "FPR=2021Y", "FPT=A", "FA_ACT_EST_DATA=E, EST_SOURCE=UBS", "ACT_EST_MAPPING=PRECISE", "FS=MRC", "CURRENCY=USD", "XLFILL=b")</f>
        <v>#N/A Requesting Data...</v>
      </c>
      <c r="AA84" s="6" t="str">
        <f>_xll.BQL("NOW US Equity", "IS_ADJ_GROSS_PROFIT_AS_REPORTED/1M", "FPR=2021Y", "FPT=A", "FA_ACT_EST_DATA=E, EST_SOURCE=RBC", "ACT_EST_MAPPING=PRECISE", "FS=MRC", "CURRENCY=USD", "XLFILL=b")</f>
        <v>#N/A Requesting Data...</v>
      </c>
      <c r="AB84" s="6" t="str">
        <f>_xll.BQL("NOW US Equity", "IS_ADJ_GROSS_PROFIT_AS_REPORTED/1M", "FPR=2021Y", "FPT=A", "FA_ACT_EST_DATA=E, EST_SOURCE=EVR", "ACT_EST_MAPPING=PRECISE", "FS=MRC", "CURRENCY=USD", "XLFILL=b")</f>
        <v/>
      </c>
      <c r="AC84" s="6" t="str">
        <f>_xll.BQL("NOW US Equity", "IS_ADJ_GROSS_PROFIT_AS_REPORTED/1M", "FPR=2021Y", "FPT=A", "FA_ACT_EST_DATA=E, EST_SOURCE=BNS", "ACT_EST_MAPPING=PRECISE", "FS=MRC", "CURRENCY=USD", "XLFILL=b")</f>
        <v>#N/A Requesting Data...</v>
      </c>
      <c r="AD84" s="6" t="str">
        <f>_xll.BQL("NOW US Equity", "IS_ADJ_GROSS_PROFIT_AS_REPORTED/1M", "FPR=2021Y", "FPT=A", "FA_ACT_EST_DATA=E, EST_SOURCE=BAM", "ACT_EST_MAPPING=PRECISE", "FS=MRC", "CURRENCY=USD", "XLFILL=b")</f>
        <v>#N/A Requesting Data...</v>
      </c>
      <c r="AE84" s="6" t="str">
        <f>_xll.BQL("NOW US Equity", "IS_ADJ_GROSS_PROFIT_AS_REPORTED/1M", "FPR=2021Y", "FPT=A", "FA_ACT_EST_DATA=E, EST_SOURCE=GSR", "ACT_EST_MAPPING=PRECISE", "FS=MRC", "CURRENCY=USD", "XLFILL=b")</f>
        <v/>
      </c>
      <c r="AF84" s="6" t="str">
        <f>_xll.BQL("NOW US Equity", "IS_ADJ_GROSS_PROFIT_AS_REPORTED/1M", "FPR=2021Y", "FPT=A", "FA_ACT_EST_DATA=E, EST_SOURCE=FBC", "ACT_EST_MAPPING=PRECISE", "FS=MRC", "CURRENCY=USD", "XLFILL=b")</f>
        <v>#N/A Requesting Data...</v>
      </c>
      <c r="AG84" s="6" t="str">
        <f>_xll.BQL("NOW US Equity", "IS_ADJ_GROSS_PROFIT_AS_REPORTED/1M", "FPR=2021Y", "FPT=A", "FA_ACT_EST_DATA=E, EST_SOURCE=MAC", "ACT_EST_MAPPING=PRECISE", "FS=MRC", "CURRENCY=USD", "XLFILL=b")</f>
        <v>#N/A Requesting Data...</v>
      </c>
      <c r="AH84" s="6" t="str">
        <f>_xll.BQL("NOW US Equity", "IS_ADJ_GROSS_PROFIT_AS_REPORTED/1M", "FPR=2021Y", "FPT=A", "FA_ACT_EST_DATA=E, EST_SOURCE=PSG", "ACT_EST_MAPPING=PRECISE", "FS=MRC", "CURRENCY=USD", "XLFILL=b")</f>
        <v/>
      </c>
      <c r="AI84" s="6" t="str">
        <f>_xll.BQL("NOW US Equity", "IS_ADJ_GROSS_PROFIT_AS_REPORTED/1M", "FPR=2021Y", "FPT=A", "FA_ACT_EST_DATA=E, EST_SOURCE=MSR", "ACT_EST_MAPPING=PRECISE", "FS=MRC", "CURRENCY=USD", "XLFILL=b")</f>
        <v/>
      </c>
      <c r="AJ84" s="6" t="str">
        <f>_xll.BQL("NOW US Equity", "IS_ADJ_GROSS_PROFIT_AS_REPORTED/1M", "FPR=2021Y", "FPT=A", "FA_ACT_EST_DATA=E, EST_SOURCE=JEF", "ACT_EST_MAPPING=PRECISE", "FS=MRC", "CURRENCY=USD", "XLFILL=b")</f>
        <v>#N/A Requesting Data...</v>
      </c>
      <c r="AK84" s="6" t="str">
        <f>_xll.BQL("NOW US Equity", "IS_ADJ_GROSS_PROFIT_AS_REPORTED/1M", "FPR=2021Y", "FPT=A", "FA_ACT_EST_DATA=E, EST_SOURCE=TTC", "ACT_EST_MAPPING=PRECISE", "FS=MRC", "CURRENCY=USD", "XLFILL=b")</f>
        <v/>
      </c>
      <c r="AL84" s="6" t="str">
        <f>_xll.BQL("NOW US Equity", "IS_ADJ_GROSS_PROFIT_AS_REPORTED/1M", "FPR=2021Y", "FPT=A", "FA_ACT_EST_DATA=E, EST_SOURCE=RWB", "ACT_EST_MAPPING=PRECISE", "FS=MRC", "CURRENCY=USD", "XLFILL=b")</f>
        <v/>
      </c>
      <c r="AM84" s="6" t="str">
        <f>_xll.BQL("NOW US Equity", "IS_ADJ_GROSS_PROFIT_AS_REPORTED/1M", "FPR=2021Y", "FPT=A", "FA_ACT_EST_DATA=E, EST_SOURCE=DZB", "ACT_EST_MAPPING=PRECISE", "FS=MRC", "CURRENCY=USD", "XLFILL=b")</f>
        <v>#N/A Requesting Data...</v>
      </c>
      <c r="AN84" s="6" t="str">
        <f>_xll.BQL("NOW US Equity", "IS_ADJ_GROSS_PROFIT_AS_REPORTED/1M", "FPR=2021Y", "FPT=A", "FA_ACT_EST_DATA=E, EST_SOURCE=DWI", "ACT_EST_MAPPING=PRECISE", "FS=MRC", "CURRENCY=USD", "XLFILL=b")</f>
        <v/>
      </c>
      <c r="AO84" s="6" t="str">
        <f>_xll.BQL("NOW US Equity", "IS_ADJ_GROSS_PROFIT_AS_REPORTED/1M", "FPR=2021Y", "FPT=A", "FA_ACT_EST_DATA=E, EST_SOURCE=ARG", "ACT_EST_MAPPING=PRECISE", "FS=MRC", "CURRENCY=USD", "XLFILL=b")</f>
        <v/>
      </c>
      <c r="AP84" s="6" t="str">
        <f>_xll.BQL("NOW US Equity", "IS_ADJ_GROSS_PROFIT_AS_REPORTED/1M", "FPR=2021Y", "FPT=A", "FA_ACT_EST_DATA=E, EST_SOURCE=CTI", "ACT_EST_MAPPING=PRECISE", "FS=MRC", "CURRENCY=USD", "XLFILL=b")</f>
        <v/>
      </c>
      <c r="AQ84" s="6" t="str">
        <f>_xll.BQL("NOW US Equity", "IS_ADJ_GROSS_PROFIT_AS_REPORTED/1M", "FPR=2021Y", "FPT=A", "FA_ACT_EST_DATA=E, EST_SOURCE=WFT", "ACT_EST_MAPPING=PRECISE", "FS=MRC", "CURRENCY=USD", "XLFILL=b")</f>
        <v>#N/A Requesting Data...</v>
      </c>
      <c r="AR84" s="6" t="str">
        <f>_xll.BQL("NOW US Equity", "IS_ADJ_GROSS_PROFIT_AS_REPORTED/1M", "FPR=2021Y", "FPT=A", "FA_ACT_EST_DATA=E, EST_SOURCE=ARE", "ACT_EST_MAPPING=PRECISE", "FS=MRC", "CURRENCY=USD", "XLFILL=b")</f>
        <v/>
      </c>
      <c r="AS84" s="6" t="str">
        <f>_xll.BQL("NOW US Equity", "IS_ADJ_GROSS_PROFIT_AS_REPORTED/1M", "FPR=2021Y", "FPT=A", "FA_ACT_EST_DATA=E, EST_SOURCE=PJE", "ACT_EST_MAPPING=PRECISE", "FS=MRC", "CURRENCY=USD", "XLFILL=b")</f>
        <v>#N/A Requesting Data...</v>
      </c>
      <c r="AT84" s="6" t="str">
        <f>_xll.BQL("NOW US Equity", "IS_ADJ_GROSS_PROFIT_AS_REPORTED/1M", "FPR=2021Y", "FPT=A", "FA_ACT_EST_DATA=E, EST_SOURCE=MZS", "ACT_EST_MAPPING=PRECISE", "FS=MRC", "CURRENCY=USD", "XLFILL=b")</f>
        <v>#N/A Requesting Data...</v>
      </c>
      <c r="AU84" s="6" t="str">
        <f>_xll.BQL("NOW US Equity", "IS_ADJ_GROSS_PROFIT_AS_REPORTED/1M", "FPR=2021Y", "FPT=A", "FA_ACT_EST_DATA=E, EST_SOURCE=SUM", "ACT_EST_MAPPING=PRECISE", "FS=MRC", "CURRENCY=USD", "XLFILL=b")</f>
        <v>#N/A Requesting Data...</v>
      </c>
      <c r="AV84" s="6" t="str">
        <f>_xll.BQL("NOW US Equity", "IS_ADJ_GROSS_PROFIT_AS_REPORTED/1M", "FPR=2021Y", "FPT=A", "FA_ACT_EST_DATA=E, EST_SOURCE=CRC", "ACT_EST_MAPPING=PRECISE", "FS=MRC", "CURRENCY=USD", "XLFILL=b")</f>
        <v/>
      </c>
      <c r="AW84" s="6" t="str">
        <f>_xll.BQL("NOW US Equity", "IS_ADJ_GROSS_PROFIT_AS_REPORTED/1M", "FPR=2021Y", "FPT=A", "FA_ACT_EST_DATA=E, EST_SOURCE=SCB", "ACT_EST_MAPPING=PRECISE", "FS=MRC", "CURRENCY=USD", "XLFILL=b")</f>
        <v>#N/A Requesting Data...</v>
      </c>
    </row>
    <row r="85" spans="1:49" x14ac:dyDescent="0.55000000000000004">
      <c r="A85" s="5" t="s">
        <v>46</v>
      </c>
      <c r="B85" s="2" t="s">
        <v>56</v>
      </c>
      <c r="C85" s="2" t="s">
        <v>48</v>
      </c>
      <c r="D85" s="2"/>
      <c r="E85" s="6" t="str">
        <f>_xll.BQL("NOW US Equity", "IS_COMP_GROSS_MARGIN_PERCENTAGE", "FPR=2021Y", "FPT=A", "FA_ACT_EST_DATA=E", "ACT_EST_MAPPING=PRECISE", "FS=MRC", "CURRENCY=USD", "XLFILL=b")</f>
        <v>#N/A Requesting Data...</v>
      </c>
      <c r="F85" s="6" t="str">
        <f>_xll.BQL("NOW US Equity", "CONTRIBUTOR_STATS(IS_COMP_GROSS_MARGIN_PERCENTAGE, MIN)", "FPR=2021Y", "FPT=A", "FA_ACT_EST_DATA=E", "ACT_EST_MAPPING=PRECISE", "FS=MRC", "CURRENCY=USD", "XLFILL=b")</f>
        <v>#N/A Requesting Data...</v>
      </c>
      <c r="G85" s="6" t="str">
        <f>_xll.BQL("NOW US Equity", "CONTRIBUTOR_STATS(IS_COMP_GROSS_MARGIN_PERCENTAGE, MAX)", "FPR=2021Y", "FPT=A", "FA_ACT_EST_DATA=E", "ACT_EST_MAPPING=PRECISE", "FS=MRC", "CURRENCY=USD", "XLFILL=b")</f>
        <v>#N/A Requesting Data...</v>
      </c>
      <c r="H85" s="6" t="str">
        <f>_xll.BQL("NOW US Equity", "CONTRIBUTOR_STATS(IS_COMP_GROSS_MARGIN_PERCENTAGE, STD)", "FPR=2021Y", "FPT=A", "FA_ACT_EST_DATA=E", "ACT_EST_MAPPING=PRECISE", "FS=MRC", "CURRENCY=USD", "XLFILL=b")</f>
        <v>#N/A Requesting Data...</v>
      </c>
      <c r="I85" s="6" t="str">
        <f>_xll.BQL("NOW US Equity", "CONTRIBUTOR_STATS(IS_COMP_GROSS_MARGIN_PERCENTAGE, MEDIAN)", "FPR=2021Y", "FPT=A", "FA_ACT_EST_DATA=E", "ACT_EST_MAPPING=PRECISE", "FS=MRC", "CURRENCY=USD", "XLFILL=b")</f>
        <v>#N/A Requesting Data...</v>
      </c>
      <c r="J85" s="6" t="str">
        <f>_xll.BQL("NOW US Equity", "IS_COMP_GROSS_MARGIN_PERCENTAGE", "FPR=2021Y", "FPT=A", "FA_ACT_EST_DATA=E, EST_SOURCE=CMPY", "ACT_EST_MAPPING=PRECISE", "FS=MRC", "CURRENCY=USD", "XLFILL=b")</f>
        <v>#N/A Requesting Data...</v>
      </c>
      <c r="K85" s="6" t="str">
        <f>_xll.BQL("NOW US Equity", "IS_COMP_GROSS_MARGIN_PERCENTAGE", "FPR=2021Y", "FPT=A", "FA_ACT_EST_DATA=E, EST_SOURCE=JPM", "ACT_EST_MAPPING=PRECISE", "FS=MRC", "CURRENCY=USD", "XLFILL=b")</f>
        <v>#N/A Requesting Data...</v>
      </c>
      <c r="L85" s="6" t="str">
        <f>_xll.BQL("NOW US Equity", "IS_COMP_GROSS_MARGIN_PERCENTAGE", "FPR=2021Y", "FPT=A", "FA_ACT_EST_DATA=E, EST_SOURCE=WBL", "ACT_EST_MAPPING=PRECISE", "FS=MRC", "CURRENCY=USD", "XLFILL=b")</f>
        <v>#N/A Requesting Data...</v>
      </c>
      <c r="M85" s="6" t="str">
        <f>_xll.BQL("NOW US Equity", "IS_COMP_GROSS_MARGIN_PERCENTAGE", "FPR=2021Y", "FPT=A", "FA_ACT_EST_DATA=E, EST_SOURCE=KEY", "ACT_EST_MAPPING=PRECISE", "FS=MRC", "CURRENCY=USD", "XLFILL=b")</f>
        <v>#N/A Requesting Data...</v>
      </c>
      <c r="N85" s="6" t="str">
        <f>_xll.BQL("NOW US Equity", "IS_COMP_GROSS_MARGIN_PERCENTAGE", "FPR=2021Y", "FPT=A", "FA_ACT_EST_DATA=E, EST_SOURCE=BMO", "ACT_EST_MAPPING=PRECISE", "FS=MRC", "CURRENCY=USD", "XLFILL=b")</f>
        <v>#N/A Requesting Data...</v>
      </c>
      <c r="O85" s="6" t="str">
        <f>_xll.BQL("NOW US Equity", "IS_COMP_GROSS_MARGIN_PERCENTAGE", "FPR=2021Y", "FPT=A", "FA_ACT_EST_DATA=E, EST_SOURCE=OPY", "ACT_EST_MAPPING=PRECISE", "FS=MRC", "CURRENCY=USD", "XLFILL=b")</f>
        <v>#N/A Requesting Data...</v>
      </c>
      <c r="P85" s="6" t="str">
        <f>_xll.BQL("NOW US Equity", "IS_COMP_GROSS_MARGIN_PERCENTAGE", "FPR=2021Y", "FPT=A", "FA_ACT_EST_DATA=E, EST_SOURCE=BCA", "ACT_EST_MAPPING=PRECISE", "FS=MRC", "CURRENCY=USD", "XLFILL=b")</f>
        <v>#N/A Requesting Data...</v>
      </c>
      <c r="Q85" s="6" t="str">
        <f>_xll.BQL("NOW US Equity", "IS_COMP_GROSS_MARGIN_PERCENTAGE", "FPR=2021Y", "FPT=A", "FA_ACT_EST_DATA=E, EST_SOURCE=RHR", "ACT_EST_MAPPING=PRECISE", "FS=MRC", "CURRENCY=USD", "XLFILL=b")</f>
        <v>#N/A Requesting Data...</v>
      </c>
      <c r="R85" s="6" t="str">
        <f>_xll.BQL("NOW US Equity", "IS_COMP_GROSS_MARGIN_PERCENTAGE", "FPR=2021Y", "FPT=A", "FA_ACT_EST_DATA=E, EST_SOURCE=SNR", "ACT_EST_MAPPING=PRECISE", "FS=MRC", "CURRENCY=USD", "XLFILL=b")</f>
        <v>#N/A Requesting Data...</v>
      </c>
      <c r="S85" s="6" t="str">
        <f>_xll.BQL("NOW US Equity", "IS_COMP_GROSS_MARGIN_PERCENTAGE", "FPR=2021Y", "FPT=A", "FA_ACT_EST_DATA=E, EST_SOURCE=MSV", "ACT_EST_MAPPING=PRECISE", "FS=MRC", "CURRENCY=USD", "XLFILL=b")</f>
        <v>#N/A Requesting Data...</v>
      </c>
      <c r="T85" s="6" t="str">
        <f>_xll.BQL("NOW US Equity", "IS_COMP_GROSS_MARGIN_PERCENTAGE", "FPR=2021Y", "FPT=A", "FA_ACT_EST_DATA=E, EST_SOURCE=CAN", "ACT_EST_MAPPING=PRECISE", "FS=MRC", "CURRENCY=USD", "XLFILL=b")</f>
        <v>#N/A Requesting Data...</v>
      </c>
      <c r="U85" s="6" t="str">
        <f>_xll.BQL("NOW US Equity", "IS_COMP_GROSS_MARGIN_PERCENTAGE", "FPR=2021Y", "FPT=A", "FA_ACT_EST_DATA=E, EST_SOURCE=JMP", "ACT_EST_MAPPING=PRECISE", "FS=MRC", "CURRENCY=USD", "XLFILL=b")</f>
        <v>#N/A Requesting Data...</v>
      </c>
      <c r="V85" s="6" t="str">
        <f>_xll.BQL("NOW US Equity", "IS_COMP_GROSS_MARGIN_PERCENTAGE", "FPR=2021Y", "FPT=A", "FA_ACT_EST_DATA=E, EST_SOURCE=NDH", "ACT_EST_MAPPING=PRECISE", "FS=MRC", "CURRENCY=USD", "XLFILL=b")</f>
        <v>#N/A Requesting Data...</v>
      </c>
      <c r="W85" s="6" t="str">
        <f>_xll.BQL("NOW US Equity", "IS_COMP_GROSS_MARGIN_PERCENTAGE", "FPR=2021Y", "FPT=A", "FA_ACT_EST_DATA=E, EST_SOURCE=ZXS", "ACT_EST_MAPPING=PRECISE", "FS=MRC", "CURRENCY=USD", "XLFILL=b")</f>
        <v>#N/A Requesting Data...</v>
      </c>
      <c r="X85" s="6" t="str">
        <f>_xll.BQL("NOW US Equity", "IS_COMP_GROSS_MARGIN_PERCENTAGE", "FPR=2021Y", "FPT=A", "FA_ACT_EST_DATA=E, EST_SOURCE=CWN", "ACT_EST_MAPPING=PRECISE", "FS=MRC", "CURRENCY=USD", "XLFILL=b")</f>
        <v>#N/A Requesting Data...</v>
      </c>
      <c r="Y85" s="6" t="str">
        <f>_xll.BQL("NOW US Equity", "IS_COMP_GROSS_MARGIN_PERCENTAGE", "FPR=2021Y", "FPT=A", "FA_ACT_EST_DATA=E, EST_SOURCE=DBG", "ACT_EST_MAPPING=PRECISE", "FS=MRC", "CURRENCY=USD", "XLFILL=b")</f>
        <v>#N/A Requesting Data...</v>
      </c>
      <c r="Z85" s="6" t="str">
        <f>_xll.BQL("NOW US Equity", "IS_COMP_GROSS_MARGIN_PERCENTAGE", "FPR=2021Y", "FPT=A", "FA_ACT_EST_DATA=E, EST_SOURCE=UBS", "ACT_EST_MAPPING=PRECISE", "FS=MRC", "CURRENCY=USD", "XLFILL=b")</f>
        <v>#N/A Requesting Data...</v>
      </c>
      <c r="AA85" s="6" t="str">
        <f>_xll.BQL("NOW US Equity", "IS_COMP_GROSS_MARGIN_PERCENTAGE", "FPR=2021Y", "FPT=A", "FA_ACT_EST_DATA=E, EST_SOURCE=RBC", "ACT_EST_MAPPING=PRECISE", "FS=MRC", "CURRENCY=USD", "XLFILL=b")</f>
        <v>#N/A Requesting Data...</v>
      </c>
      <c r="AB85" s="6" t="str">
        <f>_xll.BQL("NOW US Equity", "IS_COMP_GROSS_MARGIN_PERCENTAGE", "FPR=2021Y", "FPT=A", "FA_ACT_EST_DATA=E, EST_SOURCE=EVR", "ACT_EST_MAPPING=PRECISE", "FS=MRC", "CURRENCY=USD", "XLFILL=b")</f>
        <v>#N/A Requesting Data...</v>
      </c>
      <c r="AC85" s="6" t="str">
        <f>_xll.BQL("NOW US Equity", "IS_COMP_GROSS_MARGIN_PERCENTAGE", "FPR=2021Y", "FPT=A", "FA_ACT_EST_DATA=E, EST_SOURCE=BNS", "ACT_EST_MAPPING=PRECISE", "FS=MRC", "CURRENCY=USD", "XLFILL=b")</f>
        <v>#N/A Requesting Data...</v>
      </c>
      <c r="AD85" s="6" t="str">
        <f>_xll.BQL("NOW US Equity", "IS_COMP_GROSS_MARGIN_PERCENTAGE", "FPR=2021Y", "FPT=A", "FA_ACT_EST_DATA=E, EST_SOURCE=BAM", "ACT_EST_MAPPING=PRECISE", "FS=MRC", "CURRENCY=USD", "XLFILL=b")</f>
        <v>#N/A Requesting Data...</v>
      </c>
      <c r="AE85" s="6" t="str">
        <f>_xll.BQL("NOW US Equity", "IS_COMP_GROSS_MARGIN_PERCENTAGE", "FPR=2021Y", "FPT=A", "FA_ACT_EST_DATA=E, EST_SOURCE=GSR", "ACT_EST_MAPPING=PRECISE", "FS=MRC", "CURRENCY=USD", "XLFILL=b")</f>
        <v>#N/A Requesting Data...</v>
      </c>
      <c r="AF85" s="6" t="str">
        <f>_xll.BQL("NOW US Equity", "IS_COMP_GROSS_MARGIN_PERCENTAGE", "FPR=2021Y", "FPT=A", "FA_ACT_EST_DATA=E, EST_SOURCE=FBC", "ACT_EST_MAPPING=PRECISE", "FS=MRC", "CURRENCY=USD", "XLFILL=b")</f>
        <v>#N/A Requesting Data...</v>
      </c>
      <c r="AG85" s="6" t="str">
        <f>_xll.BQL("NOW US Equity", "IS_COMP_GROSS_MARGIN_PERCENTAGE", "FPR=2021Y", "FPT=A", "FA_ACT_EST_DATA=E, EST_SOURCE=MAC", "ACT_EST_MAPPING=PRECISE", "FS=MRC", "CURRENCY=USD", "XLFILL=b")</f>
        <v>#N/A Requesting Data...</v>
      </c>
      <c r="AH85" s="6" t="str">
        <f>_xll.BQL("NOW US Equity", "IS_COMP_GROSS_MARGIN_PERCENTAGE", "FPR=2021Y", "FPT=A", "FA_ACT_EST_DATA=E, EST_SOURCE=PSG", "ACT_EST_MAPPING=PRECISE", "FS=MRC", "CURRENCY=USD", "XLFILL=b")</f>
        <v>#N/A Requesting Data...</v>
      </c>
      <c r="AI85" s="6" t="str">
        <f>_xll.BQL("NOW US Equity", "IS_COMP_GROSS_MARGIN_PERCENTAGE", "FPR=2021Y", "FPT=A", "FA_ACT_EST_DATA=E, EST_SOURCE=MSR", "ACT_EST_MAPPING=PRECISE", "FS=MRC", "CURRENCY=USD", "XLFILL=b")</f>
        <v>#N/A Requesting Data...</v>
      </c>
      <c r="AJ85" s="6" t="str">
        <f>_xll.BQL("NOW US Equity", "IS_COMP_GROSS_MARGIN_PERCENTAGE", "FPR=2021Y", "FPT=A", "FA_ACT_EST_DATA=E, EST_SOURCE=JEF", "ACT_EST_MAPPING=PRECISE", "FS=MRC", "CURRENCY=USD", "XLFILL=b")</f>
        <v>#N/A Requesting Data...</v>
      </c>
      <c r="AK85" s="6" t="str">
        <f>_xll.BQL("NOW US Equity", "IS_COMP_GROSS_MARGIN_PERCENTAGE", "FPR=2021Y", "FPT=A", "FA_ACT_EST_DATA=E, EST_SOURCE=TTC", "ACT_EST_MAPPING=PRECISE", "FS=MRC", "CURRENCY=USD", "XLFILL=b")</f>
        <v>#N/A Requesting Data...</v>
      </c>
      <c r="AL85" s="6" t="str">
        <f>_xll.BQL("NOW US Equity", "IS_COMP_GROSS_MARGIN_PERCENTAGE", "FPR=2021Y", "FPT=A", "FA_ACT_EST_DATA=E, EST_SOURCE=RWB", "ACT_EST_MAPPING=PRECISE", "FS=MRC", "CURRENCY=USD", "XLFILL=b")</f>
        <v>#N/A Requesting Data...</v>
      </c>
      <c r="AM85" s="6" t="str">
        <f>_xll.BQL("NOW US Equity", "IS_COMP_GROSS_MARGIN_PERCENTAGE", "FPR=2021Y", "FPT=A", "FA_ACT_EST_DATA=E, EST_SOURCE=DZB", "ACT_EST_MAPPING=PRECISE", "FS=MRC", "CURRENCY=USD", "XLFILL=b")</f>
        <v>#N/A Requesting Data...</v>
      </c>
      <c r="AN85" s="6" t="str">
        <f>_xll.BQL("NOW US Equity", "IS_COMP_GROSS_MARGIN_PERCENTAGE", "FPR=2021Y", "FPT=A", "FA_ACT_EST_DATA=E, EST_SOURCE=DWI", "ACT_EST_MAPPING=PRECISE", "FS=MRC", "CURRENCY=USD", "XLFILL=b")</f>
        <v>#N/A Requesting Data...</v>
      </c>
      <c r="AO85" s="6" t="str">
        <f>_xll.BQL("NOW US Equity", "IS_COMP_GROSS_MARGIN_PERCENTAGE", "FPR=2021Y", "FPT=A", "FA_ACT_EST_DATA=E, EST_SOURCE=ARG", "ACT_EST_MAPPING=PRECISE", "FS=MRC", "CURRENCY=USD", "XLFILL=b")</f>
        <v>#N/A Requesting Data...</v>
      </c>
      <c r="AP85" s="6" t="str">
        <f>_xll.BQL("NOW US Equity", "IS_COMP_GROSS_MARGIN_PERCENTAGE", "FPR=2021Y", "FPT=A", "FA_ACT_EST_DATA=E, EST_SOURCE=CTI", "ACT_EST_MAPPING=PRECISE", "FS=MRC", "CURRENCY=USD", "XLFILL=b")</f>
        <v>#N/A Requesting Data...</v>
      </c>
      <c r="AQ85" s="6" t="str">
        <f>_xll.BQL("NOW US Equity", "IS_COMP_GROSS_MARGIN_PERCENTAGE", "FPR=2021Y", "FPT=A", "FA_ACT_EST_DATA=E, EST_SOURCE=WFT", "ACT_EST_MAPPING=PRECISE", "FS=MRC", "CURRENCY=USD", "XLFILL=b")</f>
        <v>#N/A Requesting Data...</v>
      </c>
      <c r="AR85" s="6" t="str">
        <f>_xll.BQL("NOW US Equity", "IS_COMP_GROSS_MARGIN_PERCENTAGE", "FPR=2021Y", "FPT=A", "FA_ACT_EST_DATA=E, EST_SOURCE=ARE", "ACT_EST_MAPPING=PRECISE", "FS=MRC", "CURRENCY=USD", "XLFILL=b")</f>
        <v>#N/A Requesting Data...</v>
      </c>
      <c r="AS85" s="6" t="str">
        <f>_xll.BQL("NOW US Equity", "IS_COMP_GROSS_MARGIN_PERCENTAGE", "FPR=2021Y", "FPT=A", "FA_ACT_EST_DATA=E, EST_SOURCE=PJE", "ACT_EST_MAPPING=PRECISE", "FS=MRC", "CURRENCY=USD", "XLFILL=b")</f>
        <v>#N/A Requesting Data...</v>
      </c>
      <c r="AT85" s="6" t="str">
        <f>_xll.BQL("NOW US Equity", "IS_COMP_GROSS_MARGIN_PERCENTAGE", "FPR=2021Y", "FPT=A", "FA_ACT_EST_DATA=E, EST_SOURCE=MZS", "ACT_EST_MAPPING=PRECISE", "FS=MRC", "CURRENCY=USD", "XLFILL=b")</f>
        <v>#N/A Requesting Data...</v>
      </c>
      <c r="AU85" s="6" t="str">
        <f>_xll.BQL("NOW US Equity", "IS_COMP_GROSS_MARGIN_PERCENTAGE", "FPR=2021Y", "FPT=A", "FA_ACT_EST_DATA=E, EST_SOURCE=SUM", "ACT_EST_MAPPING=PRECISE", "FS=MRC", "CURRENCY=USD", "XLFILL=b")</f>
        <v>#N/A Requesting Data...</v>
      </c>
      <c r="AV85" s="6" t="str">
        <f>_xll.BQL("NOW US Equity", "IS_COMP_GROSS_MARGIN_PERCENTAGE", "FPR=2021Y", "FPT=A", "FA_ACT_EST_DATA=E, EST_SOURCE=CRC", "ACT_EST_MAPPING=PRECISE", "FS=MRC", "CURRENCY=USD", "XLFILL=b")</f>
        <v>#N/A Requesting Data...</v>
      </c>
      <c r="AW85" s="6" t="str">
        <f>_xll.BQL("NOW US Equity", "IS_COMP_GROSS_MARGIN_PERCENTAGE", "FPR=2021Y", "FPT=A", "FA_ACT_EST_DATA=E, EST_SOURCE=SCB", "ACT_EST_MAPPING=PRECISE", "FS=MRC", "CURRENCY=USD", "XLFILL=b")</f>
        <v>#N/A Requesting Data...</v>
      </c>
    </row>
    <row r="86" spans="1:49" x14ac:dyDescent="0.55000000000000004">
      <c r="A86" s="5" t="s">
        <v>23</v>
      </c>
      <c r="B86" s="2"/>
      <c r="C86" s="2"/>
      <c r="D86" s="2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</row>
    <row r="87" spans="1:49" x14ac:dyDescent="0.55000000000000004">
      <c r="A87" s="5" t="s">
        <v>129</v>
      </c>
      <c r="B87" s="2" t="s">
        <v>130</v>
      </c>
      <c r="C87" s="2" t="s">
        <v>131</v>
      </c>
      <c r="D87" s="2"/>
      <c r="E87" s="6" t="str">
        <f>_xll.BQL("NOW US Equity", "CB_IS_ADJUSTED_OPEX/1M", "FPR=2021Y", "FPT=A", "FA_ACT_EST_DATA=E", "ACT_EST_MAPPING=PRECISE", "FS=MRC", "CURRENCY=USD", "XLFILL=b")</f>
        <v>#N/A Requesting Data...</v>
      </c>
      <c r="F87" s="6" t="str">
        <f>_xll.BQL("NOW US Equity", "CONTRIBUTOR_STATS(CB_IS_ADJUSTED_OPEX, MIN)/1M", "FPR=2021Y", "FPT=A", "FA_ACT_EST_DATA=E", "ACT_EST_MAPPING=PRECISE", "FS=MRC", "CURRENCY=USD", "XLFILL=b")</f>
        <v>#N/A Requesting Data...</v>
      </c>
      <c r="G87" s="6" t="str">
        <f>_xll.BQL("NOW US Equity", "CONTRIBUTOR_STATS(CB_IS_ADJUSTED_OPEX, MAX)/1M", "FPR=2021Y", "FPT=A", "FA_ACT_EST_DATA=E", "ACT_EST_MAPPING=PRECISE", "FS=MRC", "CURRENCY=USD", "XLFILL=b")</f>
        <v>#N/A Requesting Data...</v>
      </c>
      <c r="H87" s="6" t="str">
        <f>_xll.BQL("NOW US Equity", "CONTRIBUTOR_STATS(CB_IS_ADJUSTED_OPEX, STD)/1M", "FPR=2021Y", "FPT=A", "FA_ACT_EST_DATA=E", "ACT_EST_MAPPING=PRECISE", "FS=MRC", "CURRENCY=USD", "XLFILL=b")</f>
        <v>#N/A Requesting Data...</v>
      </c>
      <c r="I87" s="6" t="str">
        <f>_xll.BQL("NOW US Equity", "CONTRIBUTOR_STATS(CB_IS_ADJUSTED_OPEX, MEDIAN)/1M", "FPR=2021Y", "FPT=A", "FA_ACT_EST_DATA=E", "ACT_EST_MAPPING=PRECISE", "FS=MRC", "CURRENCY=USD", "XLFILL=b")</f>
        <v>#N/A Requesting Data...</v>
      </c>
      <c r="J87" s="6" t="str">
        <f>_xll.BQL("NOW US Equity", "CB_IS_ADJUSTED_OPEX/1M", "FPR=2021Y", "FPT=A", "FA_ACT_EST_DATA=E, EST_SOURCE=CMPY", "ACT_EST_MAPPING=PRECISE", "FS=MRC", "CURRENCY=USD", "XLFILL=b")</f>
        <v>#N/A Requesting Data...</v>
      </c>
      <c r="K87" s="6" t="str">
        <f>_xll.BQL("NOW US Equity", "CB_IS_ADJUSTED_OPEX/1M", "FPR=2021Y", "FPT=A", "FA_ACT_EST_DATA=E, EST_SOURCE=JPM", "ACT_EST_MAPPING=PRECISE", "FS=MRC", "CURRENCY=USD", "XLFILL=b")</f>
        <v>#N/A Requesting Data...</v>
      </c>
      <c r="L87" s="6" t="str">
        <f>_xll.BQL("NOW US Equity", "CB_IS_ADJUSTED_OPEX/1M", "FPR=2021Y", "FPT=A", "FA_ACT_EST_DATA=E, EST_SOURCE=WBL", "ACT_EST_MAPPING=PRECISE", "FS=MRC", "CURRENCY=USD", "XLFILL=b")</f>
        <v>#N/A Requesting Data...</v>
      </c>
      <c r="M87" s="6" t="str">
        <f>_xll.BQL("NOW US Equity", "CB_IS_ADJUSTED_OPEX/1M", "FPR=2021Y", "FPT=A", "FA_ACT_EST_DATA=E, EST_SOURCE=KEY", "ACT_EST_MAPPING=PRECISE", "FS=MRC", "CURRENCY=USD", "XLFILL=b")</f>
        <v>#N/A Requesting Data...</v>
      </c>
      <c r="N87" s="6" t="str">
        <f>_xll.BQL("NOW US Equity", "CB_IS_ADJUSTED_OPEX/1M", "FPR=2021Y", "FPT=A", "FA_ACT_EST_DATA=E, EST_SOURCE=BMO", "ACT_EST_MAPPING=PRECISE", "FS=MRC", "CURRENCY=USD", "XLFILL=b")</f>
        <v>#N/A Requesting Data...</v>
      </c>
      <c r="O87" s="6" t="str">
        <f>_xll.BQL("NOW US Equity", "CB_IS_ADJUSTED_OPEX/1M", "FPR=2021Y", "FPT=A", "FA_ACT_EST_DATA=E, EST_SOURCE=OPY", "ACT_EST_MAPPING=PRECISE", "FS=MRC", "CURRENCY=USD", "XLFILL=b")</f>
        <v>#N/A Requesting Data...</v>
      </c>
      <c r="P87" s="6" t="str">
        <f>_xll.BQL("NOW US Equity", "CB_IS_ADJUSTED_OPEX/1M", "FPR=2021Y", "FPT=A", "FA_ACT_EST_DATA=E, EST_SOURCE=BCA", "ACT_EST_MAPPING=PRECISE", "FS=MRC", "CURRENCY=USD", "XLFILL=b")</f>
        <v>#N/A Requesting Data...</v>
      </c>
      <c r="Q87" s="6" t="str">
        <f>_xll.BQL("NOW US Equity", "CB_IS_ADJUSTED_OPEX/1M", "FPR=2021Y", "FPT=A", "FA_ACT_EST_DATA=E, EST_SOURCE=RHR", "ACT_EST_MAPPING=PRECISE", "FS=MRC", "CURRENCY=USD", "XLFILL=b")</f>
        <v>#N/A Requesting Data...</v>
      </c>
      <c r="R87" s="6" t="str">
        <f>_xll.BQL("NOW US Equity", "CB_IS_ADJUSTED_OPEX/1M", "FPR=2021Y", "FPT=A", "FA_ACT_EST_DATA=E, EST_SOURCE=SNR", "ACT_EST_MAPPING=PRECISE", "FS=MRC", "CURRENCY=USD", "XLFILL=b")</f>
        <v>#N/A Requesting Data...</v>
      </c>
      <c r="S87" s="6" t="str">
        <f>_xll.BQL("NOW US Equity", "CB_IS_ADJUSTED_OPEX/1M", "FPR=2021Y", "FPT=A", "FA_ACT_EST_DATA=E, EST_SOURCE=MSV", "ACT_EST_MAPPING=PRECISE", "FS=MRC", "CURRENCY=USD", "XLFILL=b")</f>
        <v>#N/A Requesting Data...</v>
      </c>
      <c r="T87" s="6" t="str">
        <f>_xll.BQL("NOW US Equity", "CB_IS_ADJUSTED_OPEX/1M", "FPR=2021Y", "FPT=A", "FA_ACT_EST_DATA=E, EST_SOURCE=CAN", "ACT_EST_MAPPING=PRECISE", "FS=MRC", "CURRENCY=USD", "XLFILL=b")</f>
        <v>#N/A Requesting Data...</v>
      </c>
      <c r="U87" s="6" t="str">
        <f>_xll.BQL("NOW US Equity", "CB_IS_ADJUSTED_OPEX/1M", "FPR=2021Y", "FPT=A", "FA_ACT_EST_DATA=E, EST_SOURCE=JMP", "ACT_EST_MAPPING=PRECISE", "FS=MRC", "CURRENCY=USD", "XLFILL=b")</f>
        <v>#N/A Requesting Data...</v>
      </c>
      <c r="V87" s="6" t="str">
        <f>_xll.BQL("NOW US Equity", "CB_IS_ADJUSTED_OPEX/1M", "FPR=2021Y", "FPT=A", "FA_ACT_EST_DATA=E, EST_SOURCE=NDH", "ACT_EST_MAPPING=PRECISE", "FS=MRC", "CURRENCY=USD", "XLFILL=b")</f>
        <v>#N/A Requesting Data...</v>
      </c>
      <c r="W87" s="6" t="str">
        <f>_xll.BQL("NOW US Equity", "CB_IS_ADJUSTED_OPEX/1M", "FPR=2021Y", "FPT=A", "FA_ACT_EST_DATA=E, EST_SOURCE=ZXS", "ACT_EST_MAPPING=PRECISE", "FS=MRC", "CURRENCY=USD", "XLFILL=b")</f>
        <v>#N/A Requesting Data...</v>
      </c>
      <c r="X87" s="6" t="str">
        <f>_xll.BQL("NOW US Equity", "CB_IS_ADJUSTED_OPEX/1M", "FPR=2021Y", "FPT=A", "FA_ACT_EST_DATA=E, EST_SOURCE=CWN", "ACT_EST_MAPPING=PRECISE", "FS=MRC", "CURRENCY=USD", "XLFILL=b")</f>
        <v>#N/A Requesting Data...</v>
      </c>
      <c r="Y87" s="6" t="str">
        <f>_xll.BQL("NOW US Equity", "CB_IS_ADJUSTED_OPEX/1M", "FPR=2021Y", "FPT=A", "FA_ACT_EST_DATA=E, EST_SOURCE=DBG", "ACT_EST_MAPPING=PRECISE", "FS=MRC", "CURRENCY=USD", "XLFILL=b")</f>
        <v>#N/A Requesting Data...</v>
      </c>
      <c r="Z87" s="6" t="str">
        <f>_xll.BQL("NOW US Equity", "CB_IS_ADJUSTED_OPEX/1M", "FPR=2021Y", "FPT=A", "FA_ACT_EST_DATA=E, EST_SOURCE=UBS", "ACT_EST_MAPPING=PRECISE", "FS=MRC", "CURRENCY=USD", "XLFILL=b")</f>
        <v>#N/A Requesting Data...</v>
      </c>
      <c r="AA87" s="6" t="str">
        <f>_xll.BQL("NOW US Equity", "CB_IS_ADJUSTED_OPEX/1M", "FPR=2021Y", "FPT=A", "FA_ACT_EST_DATA=E, EST_SOURCE=RBC", "ACT_EST_MAPPING=PRECISE", "FS=MRC", "CURRENCY=USD", "XLFILL=b")</f>
        <v>#N/A Requesting Data...</v>
      </c>
      <c r="AB87" s="6" t="str">
        <f>_xll.BQL("NOW US Equity", "CB_IS_ADJUSTED_OPEX/1M", "FPR=2021Y", "FPT=A", "FA_ACT_EST_DATA=E, EST_SOURCE=EVR", "ACT_EST_MAPPING=PRECISE", "FS=MRC", "CURRENCY=USD", "XLFILL=b")</f>
        <v>#N/A Requesting Data...</v>
      </c>
      <c r="AC87" s="6" t="str">
        <f>_xll.BQL("NOW US Equity", "CB_IS_ADJUSTED_OPEX/1M", "FPR=2021Y", "FPT=A", "FA_ACT_EST_DATA=E, EST_SOURCE=BNS", "ACT_EST_MAPPING=PRECISE", "FS=MRC", "CURRENCY=USD", "XLFILL=b")</f>
        <v>#N/A Requesting Data...</v>
      </c>
      <c r="AD87" s="6" t="str">
        <f>_xll.BQL("NOW US Equity", "CB_IS_ADJUSTED_OPEX/1M", "FPR=2021Y", "FPT=A", "FA_ACT_EST_DATA=E, EST_SOURCE=BAM", "ACT_EST_MAPPING=PRECISE", "FS=MRC", "CURRENCY=USD", "XLFILL=b")</f>
        <v>#N/A Requesting Data...</v>
      </c>
      <c r="AE87" s="6" t="str">
        <f>_xll.BQL("NOW US Equity", "CB_IS_ADJUSTED_OPEX/1M", "FPR=2021Y", "FPT=A", "FA_ACT_EST_DATA=E, EST_SOURCE=GSR", "ACT_EST_MAPPING=PRECISE", "FS=MRC", "CURRENCY=USD", "XLFILL=b")</f>
        <v>#N/A Requesting Data...</v>
      </c>
      <c r="AF87" s="6" t="str">
        <f>_xll.BQL("NOW US Equity", "CB_IS_ADJUSTED_OPEX/1M", "FPR=2021Y", "FPT=A", "FA_ACT_EST_DATA=E, EST_SOURCE=FBC", "ACT_EST_MAPPING=PRECISE", "FS=MRC", "CURRENCY=USD", "XLFILL=b")</f>
        <v>#N/A Requesting Data...</v>
      </c>
      <c r="AG87" s="6" t="str">
        <f>_xll.BQL("NOW US Equity", "CB_IS_ADJUSTED_OPEX/1M", "FPR=2021Y", "FPT=A", "FA_ACT_EST_DATA=E, EST_SOURCE=MAC", "ACT_EST_MAPPING=PRECISE", "FS=MRC", "CURRENCY=USD", "XLFILL=b")</f>
        <v>#N/A Requesting Data...</v>
      </c>
      <c r="AH87" s="6" t="str">
        <f>_xll.BQL("NOW US Equity", "CB_IS_ADJUSTED_OPEX/1M", "FPR=2021Y", "FPT=A", "FA_ACT_EST_DATA=E, EST_SOURCE=PSG", "ACT_EST_MAPPING=PRECISE", "FS=MRC", "CURRENCY=USD", "XLFILL=b")</f>
        <v>#N/A Requesting Data...</v>
      </c>
      <c r="AI87" s="6" t="str">
        <f>_xll.BQL("NOW US Equity", "CB_IS_ADJUSTED_OPEX/1M", "FPR=2021Y", "FPT=A", "FA_ACT_EST_DATA=E, EST_SOURCE=MSR", "ACT_EST_MAPPING=PRECISE", "FS=MRC", "CURRENCY=USD", "XLFILL=b")</f>
        <v>#N/A Requesting Data...</v>
      </c>
      <c r="AJ87" s="6" t="str">
        <f>_xll.BQL("NOW US Equity", "CB_IS_ADJUSTED_OPEX/1M", "FPR=2021Y", "FPT=A", "FA_ACT_EST_DATA=E, EST_SOURCE=JEF", "ACT_EST_MAPPING=PRECISE", "FS=MRC", "CURRENCY=USD", "XLFILL=b")</f>
        <v>#N/A Requesting Data...</v>
      </c>
      <c r="AK87" s="6" t="str">
        <f>_xll.BQL("NOW US Equity", "CB_IS_ADJUSTED_OPEX/1M", "FPR=2021Y", "FPT=A", "FA_ACT_EST_DATA=E, EST_SOURCE=TTC", "ACT_EST_MAPPING=PRECISE", "FS=MRC", "CURRENCY=USD", "XLFILL=b")</f>
        <v>#N/A Requesting Data...</v>
      </c>
      <c r="AL87" s="6" t="str">
        <f>_xll.BQL("NOW US Equity", "CB_IS_ADJUSTED_OPEX/1M", "FPR=2021Y", "FPT=A", "FA_ACT_EST_DATA=E, EST_SOURCE=RWB", "ACT_EST_MAPPING=PRECISE", "FS=MRC", "CURRENCY=USD", "XLFILL=b")</f>
        <v>#N/A Requesting Data...</v>
      </c>
      <c r="AM87" s="6" t="str">
        <f>_xll.BQL("NOW US Equity", "CB_IS_ADJUSTED_OPEX/1M", "FPR=2021Y", "FPT=A", "FA_ACT_EST_DATA=E, EST_SOURCE=DZB", "ACT_EST_MAPPING=PRECISE", "FS=MRC", "CURRENCY=USD", "XLFILL=b")</f>
        <v>#N/A Requesting Data...</v>
      </c>
      <c r="AN87" s="6" t="str">
        <f>_xll.BQL("NOW US Equity", "CB_IS_ADJUSTED_OPEX/1M", "FPR=2021Y", "FPT=A", "FA_ACT_EST_DATA=E, EST_SOURCE=DWI", "ACT_EST_MAPPING=PRECISE", "FS=MRC", "CURRENCY=USD", "XLFILL=b")</f>
        <v>#N/A Requesting Data...</v>
      </c>
      <c r="AO87" s="6" t="str">
        <f>_xll.BQL("NOW US Equity", "CB_IS_ADJUSTED_OPEX/1M", "FPR=2021Y", "FPT=A", "FA_ACT_EST_DATA=E, EST_SOURCE=ARG", "ACT_EST_MAPPING=PRECISE", "FS=MRC", "CURRENCY=USD", "XLFILL=b")</f>
        <v>#N/A Requesting Data...</v>
      </c>
      <c r="AP87" s="6" t="str">
        <f>_xll.BQL("NOW US Equity", "CB_IS_ADJUSTED_OPEX/1M", "FPR=2021Y", "FPT=A", "FA_ACT_EST_DATA=E, EST_SOURCE=CTI", "ACT_EST_MAPPING=PRECISE", "FS=MRC", "CURRENCY=USD", "XLFILL=b")</f>
        <v>#N/A Requesting Data...</v>
      </c>
      <c r="AQ87" s="6" t="str">
        <f>_xll.BQL("NOW US Equity", "CB_IS_ADJUSTED_OPEX/1M", "FPR=2021Y", "FPT=A", "FA_ACT_EST_DATA=E, EST_SOURCE=WFT", "ACT_EST_MAPPING=PRECISE", "FS=MRC", "CURRENCY=USD", "XLFILL=b")</f>
        <v>#N/A Requesting Data...</v>
      </c>
      <c r="AR87" s="6" t="str">
        <f>_xll.BQL("NOW US Equity", "CB_IS_ADJUSTED_OPEX/1M", "FPR=2021Y", "FPT=A", "FA_ACT_EST_DATA=E, EST_SOURCE=ARE", "ACT_EST_MAPPING=PRECISE", "FS=MRC", "CURRENCY=USD", "XLFILL=b")</f>
        <v>#N/A Requesting Data...</v>
      </c>
      <c r="AS87" s="6" t="str">
        <f>_xll.BQL("NOW US Equity", "CB_IS_ADJUSTED_OPEX/1M", "FPR=2021Y", "FPT=A", "FA_ACT_EST_DATA=E, EST_SOURCE=PJE", "ACT_EST_MAPPING=PRECISE", "FS=MRC", "CURRENCY=USD", "XLFILL=b")</f>
        <v>#N/A Requesting Data...</v>
      </c>
      <c r="AT87" s="6" t="str">
        <f>_xll.BQL("NOW US Equity", "CB_IS_ADJUSTED_OPEX/1M", "FPR=2021Y", "FPT=A", "FA_ACT_EST_DATA=E, EST_SOURCE=MZS", "ACT_EST_MAPPING=PRECISE", "FS=MRC", "CURRENCY=USD", "XLFILL=b")</f>
        <v>#N/A Requesting Data...</v>
      </c>
      <c r="AU87" s="6" t="str">
        <f>_xll.BQL("NOW US Equity", "CB_IS_ADJUSTED_OPEX/1M", "FPR=2021Y", "FPT=A", "FA_ACT_EST_DATA=E, EST_SOURCE=SUM", "ACT_EST_MAPPING=PRECISE", "FS=MRC", "CURRENCY=USD", "XLFILL=b")</f>
        <v>#N/A Requesting Data...</v>
      </c>
      <c r="AV87" s="6" t="str">
        <f>_xll.BQL("NOW US Equity", "CB_IS_ADJUSTED_OPEX/1M", "FPR=2021Y", "FPT=A", "FA_ACT_EST_DATA=E, EST_SOURCE=CRC", "ACT_EST_MAPPING=PRECISE", "FS=MRC", "CURRENCY=USD", "XLFILL=b")</f>
        <v>#N/A Requesting Data...</v>
      </c>
      <c r="AW87" s="6" t="str">
        <f>_xll.BQL("NOW US Equity", "CB_IS_ADJUSTED_OPEX/1M", "FPR=2021Y", "FPT=A", "FA_ACT_EST_DATA=E, EST_SOURCE=SCB", "ACT_EST_MAPPING=PRECISE", "FS=MRC", "CURRENCY=USD", "XLFILL=b")</f>
        <v>#N/A Requesting Data...</v>
      </c>
    </row>
    <row r="88" spans="1:49" x14ac:dyDescent="0.55000000000000004">
      <c r="A88" s="5" t="s">
        <v>132</v>
      </c>
      <c r="B88" s="2" t="s">
        <v>59</v>
      </c>
      <c r="C88" s="2" t="s">
        <v>133</v>
      </c>
      <c r="D88" s="2"/>
      <c r="E88" s="6" t="str">
        <f>_xll.BQL("NOW US Equity", "IS_ADJ_SELLING_AND_MRKTG_EXPN_AR/1M", "FPR=2021Y", "FPT=A", "FA_ACT_EST_DATA=E", "ACT_EST_MAPPING=PRECISE", "FS=MRC", "CURRENCY=USD", "XLFILL=b")</f>
        <v>#N/A Requesting Data...</v>
      </c>
      <c r="F88" s="6" t="str">
        <f>_xll.BQL("NOW US Equity", "CONTRIBUTOR_STATS(IS_ADJ_SELLING_AND_MRKTG_EXPN_AR, MIN)/1M", "FPR=2021Y", "FPT=A", "FA_ACT_EST_DATA=E", "ACT_EST_MAPPING=PRECISE", "FS=MRC", "CURRENCY=USD", "XLFILL=b")</f>
        <v>#N/A Requesting Data...</v>
      </c>
      <c r="G88" s="6" t="str">
        <f>_xll.BQL("NOW US Equity", "CONTRIBUTOR_STATS(IS_ADJ_SELLING_AND_MRKTG_EXPN_AR, MAX)/1M", "FPR=2021Y", "FPT=A", "FA_ACT_EST_DATA=E", "ACT_EST_MAPPING=PRECISE", "FS=MRC", "CURRENCY=USD", "XLFILL=b")</f>
        <v>#N/A Requesting Data...</v>
      </c>
      <c r="H88" s="6" t="str">
        <f>_xll.BQL("NOW US Equity", "CONTRIBUTOR_STATS(IS_ADJ_SELLING_AND_MRKTG_EXPN_AR, STD)/1M", "FPR=2021Y", "FPT=A", "FA_ACT_EST_DATA=E", "ACT_EST_MAPPING=PRECISE", "FS=MRC", "CURRENCY=USD", "XLFILL=b")</f>
        <v>#N/A Requesting Data...</v>
      </c>
      <c r="I88" s="6" t="str">
        <f>_xll.BQL("NOW US Equity", "CONTRIBUTOR_STATS(IS_ADJ_SELLING_AND_MRKTG_EXPN_AR, MEDIAN)/1M", "FPR=2021Y", "FPT=A", "FA_ACT_EST_DATA=E", "ACT_EST_MAPPING=PRECISE", "FS=MRC", "CURRENCY=USD", "XLFILL=b")</f>
        <v>#N/A Requesting Data...</v>
      </c>
      <c r="J88" s="6" t="str">
        <f>_xll.BQL("NOW US Equity", "IS_ADJ_SELLING_AND_MRKTG_EXPN_AR/1M", "FPR=2021Y", "FPT=A", "FA_ACT_EST_DATA=E, EST_SOURCE=CMPY", "ACT_EST_MAPPING=PRECISE", "FS=MRC", "CURRENCY=USD", "XLFILL=b")</f>
        <v>#N/A Requesting Data...</v>
      </c>
      <c r="K88" s="6" t="str">
        <f>_xll.BQL("NOW US Equity", "IS_ADJ_SELLING_AND_MRKTG_EXPN_AR/1M", "FPR=2021Y", "FPT=A", "FA_ACT_EST_DATA=E, EST_SOURCE=JPM", "ACT_EST_MAPPING=PRECISE", "FS=MRC", "CURRENCY=USD", "XLFILL=b")</f>
        <v>#N/A Requesting Data...</v>
      </c>
      <c r="L88" s="6" t="str">
        <f>_xll.BQL("NOW US Equity", "IS_ADJ_SELLING_AND_MRKTG_EXPN_AR/1M", "FPR=2021Y", "FPT=A", "FA_ACT_EST_DATA=E, EST_SOURCE=WBL", "ACT_EST_MAPPING=PRECISE", "FS=MRC", "CURRENCY=USD", "XLFILL=b")</f>
        <v>#N/A Requesting Data...</v>
      </c>
      <c r="M88" s="6" t="str">
        <f>_xll.BQL("NOW US Equity", "IS_ADJ_SELLING_AND_MRKTG_EXPN_AR/1M", "FPR=2021Y", "FPT=A", "FA_ACT_EST_DATA=E, EST_SOURCE=KEY", "ACT_EST_MAPPING=PRECISE", "FS=MRC", "CURRENCY=USD", "XLFILL=b")</f>
        <v>#N/A Requesting Data...</v>
      </c>
      <c r="N88" s="6" t="str">
        <f>_xll.BQL("NOW US Equity", "IS_ADJ_SELLING_AND_MRKTG_EXPN_AR/1M", "FPR=2021Y", "FPT=A", "FA_ACT_EST_DATA=E, EST_SOURCE=BMO", "ACT_EST_MAPPING=PRECISE", "FS=MRC", "CURRENCY=USD", "XLFILL=b")</f>
        <v>#N/A Requesting Data...</v>
      </c>
      <c r="O88" s="6" t="str">
        <f>_xll.BQL("NOW US Equity", "IS_ADJ_SELLING_AND_MRKTG_EXPN_AR/1M", "FPR=2021Y", "FPT=A", "FA_ACT_EST_DATA=E, EST_SOURCE=OPY", "ACT_EST_MAPPING=PRECISE", "FS=MRC", "CURRENCY=USD", "XLFILL=b")</f>
        <v>#N/A Requesting Data...</v>
      </c>
      <c r="P88" s="6" t="str">
        <f>_xll.BQL("NOW US Equity", "IS_ADJ_SELLING_AND_MRKTG_EXPN_AR/1M", "FPR=2021Y", "FPT=A", "FA_ACT_EST_DATA=E, EST_SOURCE=BCA", "ACT_EST_MAPPING=PRECISE", "FS=MRC", "CURRENCY=USD", "XLFILL=b")</f>
        <v>#N/A Requesting Data...</v>
      </c>
      <c r="Q88" s="6" t="str">
        <f>_xll.BQL("NOW US Equity", "IS_ADJ_SELLING_AND_MRKTG_EXPN_AR/1M", "FPR=2021Y", "FPT=A", "FA_ACT_EST_DATA=E, EST_SOURCE=RHR", "ACT_EST_MAPPING=PRECISE", "FS=MRC", "CURRENCY=USD", "XLFILL=b")</f>
        <v/>
      </c>
      <c r="R88" s="6" t="str">
        <f>_xll.BQL("NOW US Equity", "IS_ADJ_SELLING_AND_MRKTG_EXPN_AR/1M", "FPR=2021Y", "FPT=A", "FA_ACT_EST_DATA=E, EST_SOURCE=SNR", "ACT_EST_MAPPING=PRECISE", "FS=MRC", "CURRENCY=USD", "XLFILL=b")</f>
        <v/>
      </c>
      <c r="S88" s="6" t="str">
        <f>_xll.BQL("NOW US Equity", "IS_ADJ_SELLING_AND_MRKTG_EXPN_AR/1M", "FPR=2021Y", "FPT=A", "FA_ACT_EST_DATA=E, EST_SOURCE=MSV", "ACT_EST_MAPPING=PRECISE", "FS=MRC", "CURRENCY=USD", "XLFILL=b")</f>
        <v>#N/A Requesting Data...</v>
      </c>
      <c r="T88" s="6" t="str">
        <f>_xll.BQL("NOW US Equity", "IS_ADJ_SELLING_AND_MRKTG_EXPN_AR/1M", "FPR=2021Y", "FPT=A", "FA_ACT_EST_DATA=E, EST_SOURCE=CAN", "ACT_EST_MAPPING=PRECISE", "FS=MRC", "CURRENCY=USD", "XLFILL=b")</f>
        <v>#N/A Requesting Data...</v>
      </c>
      <c r="U88" s="6">
        <f>_xll.BQL("NOW US Equity", "IS_ADJ_SELLING_AND_MRKTG_EXPN_AR/1M", "FPR=2021Y", "FPT=A", "FA_ACT_EST_DATA=E, EST_SOURCE=JMP", "ACT_EST_MAPPING=PRECISE", "FS=MRC", "CURRENCY=USD", "XLFILL=b")</f>
        <v>1970.3149702999999</v>
      </c>
      <c r="V88" s="6" t="str">
        <f>_xll.BQL("NOW US Equity", "IS_ADJ_SELLING_AND_MRKTG_EXPN_AR/1M", "FPR=2021Y", "FPT=A", "FA_ACT_EST_DATA=E, EST_SOURCE=NDH", "ACT_EST_MAPPING=PRECISE", "FS=MRC", "CURRENCY=USD", "XLFILL=b")</f>
        <v>#N/A Requesting Data...</v>
      </c>
      <c r="W88" s="6" t="str">
        <f>_xll.BQL("NOW US Equity", "IS_ADJ_SELLING_AND_MRKTG_EXPN_AR/1M", "FPR=2021Y", "FPT=A", "FA_ACT_EST_DATA=E, EST_SOURCE=ZXS", "ACT_EST_MAPPING=PRECISE", "FS=MRC", "CURRENCY=USD", "XLFILL=b")</f>
        <v>#N/A Requesting Data...</v>
      </c>
      <c r="X88" s="6" t="str">
        <f>_xll.BQL("NOW US Equity", "IS_ADJ_SELLING_AND_MRKTG_EXPN_AR/1M", "FPR=2021Y", "FPT=A", "FA_ACT_EST_DATA=E, EST_SOURCE=CWN", "ACT_EST_MAPPING=PRECISE", "FS=MRC", "CURRENCY=USD", "XLFILL=b")</f>
        <v>#N/A Requesting Data...</v>
      </c>
      <c r="Y88" s="6" t="str">
        <f>_xll.BQL("NOW US Equity", "IS_ADJ_SELLING_AND_MRKTG_EXPN_AR/1M", "FPR=2021Y", "FPT=A", "FA_ACT_EST_DATA=E, EST_SOURCE=DBG", "ACT_EST_MAPPING=PRECISE", "FS=MRC", "CURRENCY=USD", "XLFILL=b")</f>
        <v>#N/A Requesting Data...</v>
      </c>
      <c r="Z88" s="6" t="str">
        <f>_xll.BQL("NOW US Equity", "IS_ADJ_SELLING_AND_MRKTG_EXPN_AR/1M", "FPR=2021Y", "FPT=A", "FA_ACT_EST_DATA=E, EST_SOURCE=UBS", "ACT_EST_MAPPING=PRECISE", "FS=MRC", "CURRENCY=USD", "XLFILL=b")</f>
        <v>#N/A Requesting Data...</v>
      </c>
      <c r="AA88" s="6" t="str">
        <f>_xll.BQL("NOW US Equity", "IS_ADJ_SELLING_AND_MRKTG_EXPN_AR/1M", "FPR=2021Y", "FPT=A", "FA_ACT_EST_DATA=E, EST_SOURCE=RBC", "ACT_EST_MAPPING=PRECISE", "FS=MRC", "CURRENCY=USD", "XLFILL=b")</f>
        <v>#N/A Requesting Data...</v>
      </c>
      <c r="AB88" s="6" t="str">
        <f>_xll.BQL("NOW US Equity", "IS_ADJ_SELLING_AND_MRKTG_EXPN_AR/1M", "FPR=2021Y", "FPT=A", "FA_ACT_EST_DATA=E, EST_SOURCE=EVR", "ACT_EST_MAPPING=PRECISE", "FS=MRC", "CURRENCY=USD", "XLFILL=b")</f>
        <v>#N/A Requesting Data...</v>
      </c>
      <c r="AC88" s="6" t="str">
        <f>_xll.BQL("NOW US Equity", "IS_ADJ_SELLING_AND_MRKTG_EXPN_AR/1M", "FPR=2021Y", "FPT=A", "FA_ACT_EST_DATA=E, EST_SOURCE=BNS", "ACT_EST_MAPPING=PRECISE", "FS=MRC", "CURRENCY=USD", "XLFILL=b")</f>
        <v>#N/A Requesting Data...</v>
      </c>
      <c r="AD88" s="6" t="str">
        <f>_xll.BQL("NOW US Equity", "IS_ADJ_SELLING_AND_MRKTG_EXPN_AR/1M", "FPR=2021Y", "FPT=A", "FA_ACT_EST_DATA=E, EST_SOURCE=BAM", "ACT_EST_MAPPING=PRECISE", "FS=MRC", "CURRENCY=USD", "XLFILL=b")</f>
        <v>#N/A Requesting Data...</v>
      </c>
      <c r="AE88" s="6" t="str">
        <f>_xll.BQL("NOW US Equity", "IS_ADJ_SELLING_AND_MRKTG_EXPN_AR/1M", "FPR=2021Y", "FPT=A", "FA_ACT_EST_DATA=E, EST_SOURCE=GSR", "ACT_EST_MAPPING=PRECISE", "FS=MRC", "CURRENCY=USD", "XLFILL=b")</f>
        <v>#N/A Requesting Data...</v>
      </c>
      <c r="AF88" s="6" t="str">
        <f>_xll.BQL("NOW US Equity", "IS_ADJ_SELLING_AND_MRKTG_EXPN_AR/1M", "FPR=2021Y", "FPT=A", "FA_ACT_EST_DATA=E, EST_SOURCE=FBC", "ACT_EST_MAPPING=PRECISE", "FS=MRC", "CURRENCY=USD", "XLFILL=b")</f>
        <v>#N/A Requesting Data...</v>
      </c>
      <c r="AG88" s="6" t="str">
        <f>_xll.BQL("NOW US Equity", "IS_ADJ_SELLING_AND_MRKTG_EXPN_AR/1M", "FPR=2021Y", "FPT=A", "FA_ACT_EST_DATA=E, EST_SOURCE=MAC", "ACT_EST_MAPPING=PRECISE", "FS=MRC", "CURRENCY=USD", "XLFILL=b")</f>
        <v>#N/A Requesting Data...</v>
      </c>
      <c r="AH88" s="6" t="str">
        <f>_xll.BQL("NOW US Equity", "IS_ADJ_SELLING_AND_MRKTG_EXPN_AR/1M", "FPR=2021Y", "FPT=A", "FA_ACT_EST_DATA=E, EST_SOURCE=PSG", "ACT_EST_MAPPING=PRECISE", "FS=MRC", "CURRENCY=USD", "XLFILL=b")</f>
        <v>#N/A Requesting Data...</v>
      </c>
      <c r="AI88" s="6" t="str">
        <f>_xll.BQL("NOW US Equity", "IS_ADJ_SELLING_AND_MRKTG_EXPN_AR/1M", "FPR=2021Y", "FPT=A", "FA_ACT_EST_DATA=E, EST_SOURCE=MSR", "ACT_EST_MAPPING=PRECISE", "FS=MRC", "CURRENCY=USD", "XLFILL=b")</f>
        <v>#N/A Requesting Data...</v>
      </c>
      <c r="AJ88" s="6" t="str">
        <f>_xll.BQL("NOW US Equity", "IS_ADJ_SELLING_AND_MRKTG_EXPN_AR/1M", "FPR=2021Y", "FPT=A", "FA_ACT_EST_DATA=E, EST_SOURCE=JEF", "ACT_EST_MAPPING=PRECISE", "FS=MRC", "CURRENCY=USD", "XLFILL=b")</f>
        <v>#N/A Requesting Data...</v>
      </c>
      <c r="AK88" s="6" t="str">
        <f>_xll.BQL("NOW US Equity", "IS_ADJ_SELLING_AND_MRKTG_EXPN_AR/1M", "FPR=2021Y", "FPT=A", "FA_ACT_EST_DATA=E, EST_SOURCE=TTC", "ACT_EST_MAPPING=PRECISE", "FS=MRC", "CURRENCY=USD", "XLFILL=b")</f>
        <v>#N/A Requesting Data...</v>
      </c>
      <c r="AL88" s="6" t="str">
        <f>_xll.BQL("NOW US Equity", "IS_ADJ_SELLING_AND_MRKTG_EXPN_AR/1M", "FPR=2021Y", "FPT=A", "FA_ACT_EST_DATA=E, EST_SOURCE=RWB", "ACT_EST_MAPPING=PRECISE", "FS=MRC", "CURRENCY=USD", "XLFILL=b")</f>
        <v>#N/A Requesting Data...</v>
      </c>
      <c r="AM88" s="6" t="str">
        <f>_xll.BQL("NOW US Equity", "IS_ADJ_SELLING_AND_MRKTG_EXPN_AR/1M", "FPR=2021Y", "FPT=A", "FA_ACT_EST_DATA=E, EST_SOURCE=DZB", "ACT_EST_MAPPING=PRECISE", "FS=MRC", "CURRENCY=USD", "XLFILL=b")</f>
        <v>#N/A Requesting Data...</v>
      </c>
      <c r="AN88" s="6" t="str">
        <f>_xll.BQL("NOW US Equity", "IS_ADJ_SELLING_AND_MRKTG_EXPN_AR/1M", "FPR=2021Y", "FPT=A", "FA_ACT_EST_DATA=E, EST_SOURCE=DWI", "ACT_EST_MAPPING=PRECISE", "FS=MRC", "CURRENCY=USD", "XLFILL=b")</f>
        <v>#N/A Requesting Data...</v>
      </c>
      <c r="AO88" s="6" t="str">
        <f>_xll.BQL("NOW US Equity", "IS_ADJ_SELLING_AND_MRKTG_EXPN_AR/1M", "FPR=2021Y", "FPT=A", "FA_ACT_EST_DATA=E, EST_SOURCE=ARG", "ACT_EST_MAPPING=PRECISE", "FS=MRC", "CURRENCY=USD", "XLFILL=b")</f>
        <v>#N/A Requesting Data...</v>
      </c>
      <c r="AP88" s="6" t="str">
        <f>_xll.BQL("NOW US Equity", "IS_ADJ_SELLING_AND_MRKTG_EXPN_AR/1M", "FPR=2021Y", "FPT=A", "FA_ACT_EST_DATA=E, EST_SOURCE=CTI", "ACT_EST_MAPPING=PRECISE", "FS=MRC", "CURRENCY=USD", "XLFILL=b")</f>
        <v>#N/A Requesting Data...</v>
      </c>
      <c r="AQ88" s="6" t="str">
        <f>_xll.BQL("NOW US Equity", "IS_ADJ_SELLING_AND_MRKTG_EXPN_AR/1M", "FPR=2021Y", "FPT=A", "FA_ACT_EST_DATA=E, EST_SOURCE=WFT", "ACT_EST_MAPPING=PRECISE", "FS=MRC", "CURRENCY=USD", "XLFILL=b")</f>
        <v>#N/A Requesting Data...</v>
      </c>
      <c r="AR88" s="6" t="str">
        <f>_xll.BQL("NOW US Equity", "IS_ADJ_SELLING_AND_MRKTG_EXPN_AR/1M", "FPR=2021Y", "FPT=A", "FA_ACT_EST_DATA=E, EST_SOURCE=ARE", "ACT_EST_MAPPING=PRECISE", "FS=MRC", "CURRENCY=USD", "XLFILL=b")</f>
        <v>#N/A Requesting Data...</v>
      </c>
      <c r="AS88" s="6" t="str">
        <f>_xll.BQL("NOW US Equity", "IS_ADJ_SELLING_AND_MRKTG_EXPN_AR/1M", "FPR=2021Y", "FPT=A", "FA_ACT_EST_DATA=E, EST_SOURCE=PJE", "ACT_EST_MAPPING=PRECISE", "FS=MRC", "CURRENCY=USD", "XLFILL=b")</f>
        <v/>
      </c>
      <c r="AT88" s="6" t="str">
        <f>_xll.BQL("NOW US Equity", "IS_ADJ_SELLING_AND_MRKTG_EXPN_AR/1M", "FPR=2021Y", "FPT=A", "FA_ACT_EST_DATA=E, EST_SOURCE=MZS", "ACT_EST_MAPPING=PRECISE", "FS=MRC", "CURRENCY=USD", "XLFILL=b")</f>
        <v>#N/A Requesting Data...</v>
      </c>
      <c r="AU88" s="6" t="str">
        <f>_xll.BQL("NOW US Equity", "IS_ADJ_SELLING_AND_MRKTG_EXPN_AR/1M", "FPR=2021Y", "FPT=A", "FA_ACT_EST_DATA=E, EST_SOURCE=SUM", "ACT_EST_MAPPING=PRECISE", "FS=MRC", "CURRENCY=USD", "XLFILL=b")</f>
        <v>#N/A Requesting Data...</v>
      </c>
      <c r="AV88" s="6" t="str">
        <f>_xll.BQL("NOW US Equity", "IS_ADJ_SELLING_AND_MRKTG_EXPN_AR/1M", "FPR=2021Y", "FPT=A", "FA_ACT_EST_DATA=E, EST_SOURCE=CRC", "ACT_EST_MAPPING=PRECISE", "FS=MRC", "CURRENCY=USD", "XLFILL=b")</f>
        <v>#N/A Requesting Data...</v>
      </c>
      <c r="AW88" s="6" t="str">
        <f>_xll.BQL("NOW US Equity", "IS_ADJ_SELLING_AND_MRKTG_EXPN_AR/1M", "FPR=2021Y", "FPT=A", "FA_ACT_EST_DATA=E, EST_SOURCE=SCB", "ACT_EST_MAPPING=PRECISE", "FS=MRC", "CURRENCY=USD", "XLFILL=b")</f>
        <v>#N/A Requesting Data...</v>
      </c>
    </row>
    <row r="89" spans="1:49" x14ac:dyDescent="0.55000000000000004">
      <c r="A89" s="5" t="s">
        <v>104</v>
      </c>
      <c r="B89" s="2" t="s">
        <v>62</v>
      </c>
      <c r="C89" s="2" t="s">
        <v>63</v>
      </c>
      <c r="D89" s="2"/>
      <c r="E89" s="6" t="str">
        <f>_xll.BQL("NOW US Equity", "IS_REV_INCLUDING_INTERSEG_REV/1M", "FPR=2021Y", "FPT=A", "FA_ACT_EST_DATA=E", "ACT_EST_MAPPING=PRECISE", "FS=MRC", "CURRENCY=USD", "XLFILL=b")</f>
        <v>#N/A Requesting Data...</v>
      </c>
      <c r="F89" s="6" t="str">
        <f>_xll.BQL("NOW US Equity", "CONTRIBUTOR_STATS(IS_REV_INCLUDING_INTERSEG_REV, MIN)/1M", "FPR=2021Y", "FPT=A", "FA_ACT_EST_DATA=E", "ACT_EST_MAPPING=PRECISE", "FS=MRC", "CURRENCY=USD", "XLFILL=b")</f>
        <v>#N/A Requesting Data...</v>
      </c>
      <c r="G89" s="6" t="str">
        <f>_xll.BQL("NOW US Equity", "CONTRIBUTOR_STATS(IS_REV_INCLUDING_INTERSEG_REV, MAX)/1M", "FPR=2021Y", "FPT=A", "FA_ACT_EST_DATA=E", "ACT_EST_MAPPING=PRECISE", "FS=MRC", "CURRENCY=USD", "XLFILL=b")</f>
        <v>#N/A Requesting Data...</v>
      </c>
      <c r="H89" s="6" t="str">
        <f>_xll.BQL("NOW US Equity", "CONTRIBUTOR_STATS(IS_REV_INCLUDING_INTERSEG_REV, STD)/1M", "FPR=2021Y", "FPT=A", "FA_ACT_EST_DATA=E", "ACT_EST_MAPPING=PRECISE", "FS=MRC", "CURRENCY=USD", "XLFILL=b")</f>
        <v>#N/A Requesting Data...</v>
      </c>
      <c r="I89" s="6" t="str">
        <f>_xll.BQL("NOW US Equity", "CONTRIBUTOR_STATS(IS_REV_INCLUDING_INTERSEG_REV, MEDIAN)/1M", "FPR=2021Y", "FPT=A", "FA_ACT_EST_DATA=E", "ACT_EST_MAPPING=PRECISE", "FS=MRC", "CURRENCY=USD", "XLFILL=b")</f>
        <v>#N/A Requesting Data...</v>
      </c>
      <c r="J89" s="6" t="str">
        <f>_xll.BQL("NOW US Equity", "IS_REV_INCLUDING_INTERSEG_REV/1M", "FPR=2021Y", "FPT=A", "FA_ACT_EST_DATA=E, EST_SOURCE=CMPY", "ACT_EST_MAPPING=PRECISE", "FS=MRC", "CURRENCY=USD", "XLFILL=b")</f>
        <v>#N/A Requesting Data...</v>
      </c>
      <c r="K89" s="6" t="str">
        <f>_xll.BQL("NOW US Equity", "IS_REV_INCLUDING_INTERSEG_REV/1M", "FPR=2021Y", "FPT=A", "FA_ACT_EST_DATA=E, EST_SOURCE=JPM", "ACT_EST_MAPPING=PRECISE", "FS=MRC", "CURRENCY=USD", "XLFILL=b")</f>
        <v>#N/A Requesting Data...</v>
      </c>
      <c r="L89" s="6" t="str">
        <f>_xll.BQL("NOW US Equity", "IS_REV_INCLUDING_INTERSEG_REV/1M", "FPR=2021Y", "FPT=A", "FA_ACT_EST_DATA=E, EST_SOURCE=WBL", "ACT_EST_MAPPING=PRECISE", "FS=MRC", "CURRENCY=USD", "XLFILL=b")</f>
        <v>#N/A Requesting Data...</v>
      </c>
      <c r="M89" s="6" t="str">
        <f>_xll.BQL("NOW US Equity", "IS_REV_INCLUDING_INTERSEG_REV/1M", "FPR=2021Y", "FPT=A", "FA_ACT_EST_DATA=E, EST_SOURCE=KEY", "ACT_EST_MAPPING=PRECISE", "FS=MRC", "CURRENCY=USD", "XLFILL=b")</f>
        <v>#N/A Requesting Data...</v>
      </c>
      <c r="N89" s="6" t="str">
        <f>_xll.BQL("NOW US Equity", "IS_REV_INCLUDING_INTERSEG_REV/1M", "FPR=2021Y", "FPT=A", "FA_ACT_EST_DATA=E, EST_SOURCE=BMO", "ACT_EST_MAPPING=PRECISE", "FS=MRC", "CURRENCY=USD", "XLFILL=b")</f>
        <v>#N/A Requesting Data...</v>
      </c>
      <c r="O89" s="6" t="str">
        <f>_xll.BQL("NOW US Equity", "IS_REV_INCLUDING_INTERSEG_REV/1M", "FPR=2021Y", "FPT=A", "FA_ACT_EST_DATA=E, EST_SOURCE=OPY", "ACT_EST_MAPPING=PRECISE", "FS=MRC", "CURRENCY=USD", "XLFILL=b")</f>
        <v>#N/A Requesting Data...</v>
      </c>
      <c r="P89" s="6" t="str">
        <f>_xll.BQL("NOW US Equity", "IS_REV_INCLUDING_INTERSEG_REV/1M", "FPR=2021Y", "FPT=A", "FA_ACT_EST_DATA=E, EST_SOURCE=BCA", "ACT_EST_MAPPING=PRECISE", "FS=MRC", "CURRENCY=USD", "XLFILL=b")</f>
        <v>#N/A Requesting Data...</v>
      </c>
      <c r="Q89" s="6" t="str">
        <f>_xll.BQL("NOW US Equity", "IS_REV_INCLUDING_INTERSEG_REV/1M", "FPR=2021Y", "FPT=A", "FA_ACT_EST_DATA=E, EST_SOURCE=RHR", "ACT_EST_MAPPING=PRECISE", "FS=MRC", "CURRENCY=USD", "XLFILL=b")</f>
        <v>#N/A Requesting Data...</v>
      </c>
      <c r="R89" s="6" t="str">
        <f>_xll.BQL("NOW US Equity", "IS_REV_INCLUDING_INTERSEG_REV/1M", "FPR=2021Y", "FPT=A", "FA_ACT_EST_DATA=E, EST_SOURCE=SNR", "ACT_EST_MAPPING=PRECISE", "FS=MRC", "CURRENCY=USD", "XLFILL=b")</f>
        <v>#N/A Requesting Data...</v>
      </c>
      <c r="S89" s="6" t="str">
        <f>_xll.BQL("NOW US Equity", "IS_REV_INCLUDING_INTERSEG_REV/1M", "FPR=2021Y", "FPT=A", "FA_ACT_EST_DATA=E, EST_SOURCE=MSV", "ACT_EST_MAPPING=PRECISE", "FS=MRC", "CURRENCY=USD", "XLFILL=b")</f>
        <v>#N/A Requesting Data...</v>
      </c>
      <c r="T89" s="6" t="str">
        <f>_xll.BQL("NOW US Equity", "IS_REV_INCLUDING_INTERSEG_REV/1M", "FPR=2021Y", "FPT=A", "FA_ACT_EST_DATA=E, EST_SOURCE=CAN", "ACT_EST_MAPPING=PRECISE", "FS=MRC", "CURRENCY=USD", "XLFILL=b")</f>
        <v>#N/A Requesting Data...</v>
      </c>
      <c r="U89" s="6" t="str">
        <f>_xll.BQL("NOW US Equity", "IS_REV_INCLUDING_INTERSEG_REV/1M", "FPR=2021Y", "FPT=A", "FA_ACT_EST_DATA=E, EST_SOURCE=JMP", "ACT_EST_MAPPING=PRECISE", "FS=MRC", "CURRENCY=USD", "XLFILL=b")</f>
        <v>#N/A Requesting Data...</v>
      </c>
      <c r="V89" s="6" t="str">
        <f>_xll.BQL("NOW US Equity", "IS_REV_INCLUDING_INTERSEG_REV/1M", "FPR=2021Y", "FPT=A", "FA_ACT_EST_DATA=E, EST_SOURCE=NDH", "ACT_EST_MAPPING=PRECISE", "FS=MRC", "CURRENCY=USD", "XLFILL=b")</f>
        <v>#N/A Requesting Data...</v>
      </c>
      <c r="W89" s="6" t="str">
        <f>_xll.BQL("NOW US Equity", "IS_REV_INCLUDING_INTERSEG_REV/1M", "FPR=2021Y", "FPT=A", "FA_ACT_EST_DATA=E, EST_SOURCE=ZXS", "ACT_EST_MAPPING=PRECISE", "FS=MRC", "CURRENCY=USD", "XLFILL=b")</f>
        <v>#N/A Requesting Data...</v>
      </c>
      <c r="X89" s="6" t="str">
        <f>_xll.BQL("NOW US Equity", "IS_REV_INCLUDING_INTERSEG_REV/1M", "FPR=2021Y", "FPT=A", "FA_ACT_EST_DATA=E, EST_SOURCE=CWN", "ACT_EST_MAPPING=PRECISE", "FS=MRC", "CURRENCY=USD", "XLFILL=b")</f>
        <v>#N/A Requesting Data...</v>
      </c>
      <c r="Y89" s="6" t="str">
        <f>_xll.BQL("NOW US Equity", "IS_REV_INCLUDING_INTERSEG_REV/1M", "FPR=2021Y", "FPT=A", "FA_ACT_EST_DATA=E, EST_SOURCE=DBG", "ACT_EST_MAPPING=PRECISE", "FS=MRC", "CURRENCY=USD", "XLFILL=b")</f>
        <v>#N/A Requesting Data...</v>
      </c>
      <c r="Z89" s="6" t="str">
        <f>_xll.BQL("NOW US Equity", "IS_REV_INCLUDING_INTERSEG_REV/1M", "FPR=2021Y", "FPT=A", "FA_ACT_EST_DATA=E, EST_SOURCE=UBS", "ACT_EST_MAPPING=PRECISE", "FS=MRC", "CURRENCY=USD", "XLFILL=b")</f>
        <v>#N/A Requesting Data...</v>
      </c>
      <c r="AA89" s="6" t="str">
        <f>_xll.BQL("NOW US Equity", "IS_REV_INCLUDING_INTERSEG_REV/1M", "FPR=2021Y", "FPT=A", "FA_ACT_EST_DATA=E, EST_SOURCE=RBC", "ACT_EST_MAPPING=PRECISE", "FS=MRC", "CURRENCY=USD", "XLFILL=b")</f>
        <v>#N/A Requesting Data...</v>
      </c>
      <c r="AB89" s="6" t="str">
        <f>_xll.BQL("NOW US Equity", "IS_REV_INCLUDING_INTERSEG_REV/1M", "FPR=2021Y", "FPT=A", "FA_ACT_EST_DATA=E, EST_SOURCE=EVR", "ACT_EST_MAPPING=PRECISE", "FS=MRC", "CURRENCY=USD", "XLFILL=b")</f>
        <v>#N/A Requesting Data...</v>
      </c>
      <c r="AC89" s="6" t="str">
        <f>_xll.BQL("NOW US Equity", "IS_REV_INCLUDING_INTERSEG_REV/1M", "FPR=2021Y", "FPT=A", "FA_ACT_EST_DATA=E, EST_SOURCE=BNS", "ACT_EST_MAPPING=PRECISE", "FS=MRC", "CURRENCY=USD", "XLFILL=b")</f>
        <v>#N/A Requesting Data...</v>
      </c>
      <c r="AD89" s="6" t="str">
        <f>_xll.BQL("NOW US Equity", "IS_REV_INCLUDING_INTERSEG_REV/1M", "FPR=2021Y", "FPT=A", "FA_ACT_EST_DATA=E, EST_SOURCE=BAM", "ACT_EST_MAPPING=PRECISE", "FS=MRC", "CURRENCY=USD", "XLFILL=b")</f>
        <v>#N/A Requesting Data...</v>
      </c>
      <c r="AE89" s="6" t="str">
        <f>_xll.BQL("NOW US Equity", "IS_REV_INCLUDING_INTERSEG_REV/1M", "FPR=2021Y", "FPT=A", "FA_ACT_EST_DATA=E, EST_SOURCE=GSR", "ACT_EST_MAPPING=PRECISE", "FS=MRC", "CURRENCY=USD", "XLFILL=b")</f>
        <v>#N/A Requesting Data...</v>
      </c>
      <c r="AF89" s="6" t="str">
        <f>_xll.BQL("NOW US Equity", "IS_REV_INCLUDING_INTERSEG_REV/1M", "FPR=2021Y", "FPT=A", "FA_ACT_EST_DATA=E, EST_SOURCE=FBC", "ACT_EST_MAPPING=PRECISE", "FS=MRC", "CURRENCY=USD", "XLFILL=b")</f>
        <v>#N/A Requesting Data...</v>
      </c>
      <c r="AG89" s="6" t="str">
        <f>_xll.BQL("NOW US Equity", "IS_REV_INCLUDING_INTERSEG_REV/1M", "FPR=2021Y", "FPT=A", "FA_ACT_EST_DATA=E, EST_SOURCE=MAC", "ACT_EST_MAPPING=PRECISE", "FS=MRC", "CURRENCY=USD", "XLFILL=b")</f>
        <v>#N/A Requesting Data...</v>
      </c>
      <c r="AH89" s="6" t="str">
        <f>_xll.BQL("NOW US Equity", "IS_REV_INCLUDING_INTERSEG_REV/1M", "FPR=2021Y", "FPT=A", "FA_ACT_EST_DATA=E, EST_SOURCE=PSG", "ACT_EST_MAPPING=PRECISE", "FS=MRC", "CURRENCY=USD", "XLFILL=b")</f>
        <v>#N/A Requesting Data...</v>
      </c>
      <c r="AI89" s="6" t="str">
        <f>_xll.BQL("NOW US Equity", "IS_REV_INCLUDING_INTERSEG_REV/1M", "FPR=2021Y", "FPT=A", "FA_ACT_EST_DATA=E, EST_SOURCE=MSR", "ACT_EST_MAPPING=PRECISE", "FS=MRC", "CURRENCY=USD", "XLFILL=b")</f>
        <v>#N/A Requesting Data...</v>
      </c>
      <c r="AJ89" s="6" t="str">
        <f>_xll.BQL("NOW US Equity", "IS_REV_INCLUDING_INTERSEG_REV/1M", "FPR=2021Y", "FPT=A", "FA_ACT_EST_DATA=E, EST_SOURCE=JEF", "ACT_EST_MAPPING=PRECISE", "FS=MRC", "CURRENCY=USD", "XLFILL=b")</f>
        <v>#N/A Requesting Data...</v>
      </c>
      <c r="AK89" s="6" t="str">
        <f>_xll.BQL("NOW US Equity", "IS_REV_INCLUDING_INTERSEG_REV/1M", "FPR=2021Y", "FPT=A", "FA_ACT_EST_DATA=E, EST_SOURCE=TTC", "ACT_EST_MAPPING=PRECISE", "FS=MRC", "CURRENCY=USD", "XLFILL=b")</f>
        <v>#N/A Requesting Data...</v>
      </c>
      <c r="AL89" s="6" t="str">
        <f>_xll.BQL("NOW US Equity", "IS_REV_INCLUDING_INTERSEG_REV/1M", "FPR=2021Y", "FPT=A", "FA_ACT_EST_DATA=E, EST_SOURCE=RWB", "ACT_EST_MAPPING=PRECISE", "FS=MRC", "CURRENCY=USD", "XLFILL=b")</f>
        <v>#N/A Requesting Data...</v>
      </c>
      <c r="AM89" s="6" t="str">
        <f>_xll.BQL("NOW US Equity", "IS_REV_INCLUDING_INTERSEG_REV/1M", "FPR=2021Y", "FPT=A", "FA_ACT_EST_DATA=E, EST_SOURCE=DZB", "ACT_EST_MAPPING=PRECISE", "FS=MRC", "CURRENCY=USD", "XLFILL=b")</f>
        <v>#N/A Requesting Data...</v>
      </c>
      <c r="AN89" s="6" t="str">
        <f>_xll.BQL("NOW US Equity", "IS_REV_INCLUDING_INTERSEG_REV/1M", "FPR=2021Y", "FPT=A", "FA_ACT_EST_DATA=E, EST_SOURCE=DWI", "ACT_EST_MAPPING=PRECISE", "FS=MRC", "CURRENCY=USD", "XLFILL=b")</f>
        <v>#N/A Requesting Data...</v>
      </c>
      <c r="AO89" s="6" t="str">
        <f>_xll.BQL("NOW US Equity", "IS_REV_INCLUDING_INTERSEG_REV/1M", "FPR=2021Y", "FPT=A", "FA_ACT_EST_DATA=E, EST_SOURCE=ARG", "ACT_EST_MAPPING=PRECISE", "FS=MRC", "CURRENCY=USD", "XLFILL=b")</f>
        <v>#N/A Requesting Data...</v>
      </c>
      <c r="AP89" s="6" t="str">
        <f>_xll.BQL("NOW US Equity", "IS_REV_INCLUDING_INTERSEG_REV/1M", "FPR=2021Y", "FPT=A", "FA_ACT_EST_DATA=E, EST_SOURCE=CTI", "ACT_EST_MAPPING=PRECISE", "FS=MRC", "CURRENCY=USD", "XLFILL=b")</f>
        <v>#N/A Requesting Data...</v>
      </c>
      <c r="AQ89" s="6" t="str">
        <f>_xll.BQL("NOW US Equity", "IS_REV_INCLUDING_INTERSEG_REV/1M", "FPR=2021Y", "FPT=A", "FA_ACT_EST_DATA=E, EST_SOURCE=WFT", "ACT_EST_MAPPING=PRECISE", "FS=MRC", "CURRENCY=USD", "XLFILL=b")</f>
        <v>#N/A Requesting Data...</v>
      </c>
      <c r="AR89" s="6" t="str">
        <f>_xll.BQL("NOW US Equity", "IS_REV_INCLUDING_INTERSEG_REV/1M", "FPR=2021Y", "FPT=A", "FA_ACT_EST_DATA=E, EST_SOURCE=ARE", "ACT_EST_MAPPING=PRECISE", "FS=MRC", "CURRENCY=USD", "XLFILL=b")</f>
        <v>#N/A Requesting Data...</v>
      </c>
      <c r="AS89" s="6" t="str">
        <f>_xll.BQL("NOW US Equity", "IS_REV_INCLUDING_INTERSEG_REV/1M", "FPR=2021Y", "FPT=A", "FA_ACT_EST_DATA=E, EST_SOURCE=PJE", "ACT_EST_MAPPING=PRECISE", "FS=MRC", "CURRENCY=USD", "XLFILL=b")</f>
        <v>#N/A Requesting Data...</v>
      </c>
      <c r="AT89" s="6" t="str">
        <f>_xll.BQL("NOW US Equity", "IS_REV_INCLUDING_INTERSEG_REV/1M", "FPR=2021Y", "FPT=A", "FA_ACT_EST_DATA=E, EST_SOURCE=MZS", "ACT_EST_MAPPING=PRECISE", "FS=MRC", "CURRENCY=USD", "XLFILL=b")</f>
        <v>#N/A Requesting Data...</v>
      </c>
      <c r="AU89" s="6" t="str">
        <f>_xll.BQL("NOW US Equity", "IS_REV_INCLUDING_INTERSEG_REV/1M", "FPR=2021Y", "FPT=A", "FA_ACT_EST_DATA=E, EST_SOURCE=SUM", "ACT_EST_MAPPING=PRECISE", "FS=MRC", "CURRENCY=USD", "XLFILL=b")</f>
        <v>#N/A Requesting Data...</v>
      </c>
      <c r="AV89" s="6" t="str">
        <f>_xll.BQL("NOW US Equity", "IS_REV_INCLUDING_INTERSEG_REV/1M", "FPR=2021Y", "FPT=A", "FA_ACT_EST_DATA=E, EST_SOURCE=CRC", "ACT_EST_MAPPING=PRECISE", "FS=MRC", "CURRENCY=USD", "XLFILL=b")</f>
        <v>#N/A Requesting Data...</v>
      </c>
      <c r="AW89" s="6" t="str">
        <f>_xll.BQL("NOW US Equity", "IS_REV_INCLUDING_INTERSEG_REV/1M", "FPR=2021Y", "FPT=A", "FA_ACT_EST_DATA=E, EST_SOURCE=SCB", "ACT_EST_MAPPING=PRECISE", "FS=MRC", "CURRENCY=USD", "XLFILL=b")</f>
        <v>#N/A Requesting Data...</v>
      </c>
    </row>
    <row r="90" spans="1:49" x14ac:dyDescent="0.55000000000000004">
      <c r="A90" s="5" t="s">
        <v>134</v>
      </c>
      <c r="B90" s="2" t="s">
        <v>135</v>
      </c>
      <c r="C90" s="2" t="s">
        <v>136</v>
      </c>
      <c r="D90" s="2"/>
      <c r="E90" s="6" t="str">
        <f>_xll.BQL("NOW US Equity", "IS_ADJ_R_AND_D_AS_REPORTED/1M", "FPR=2021Y", "FPT=A", "FA_ACT_EST_DATA=E", "ACT_EST_MAPPING=PRECISE", "FS=MRC", "CURRENCY=USD", "XLFILL=b")</f>
        <v>#N/A Requesting Data...</v>
      </c>
      <c r="F90" s="6" t="str">
        <f>_xll.BQL("NOW US Equity", "CONTRIBUTOR_STATS(IS_ADJ_R_AND_D_AS_REPORTED, MIN)/1M", "FPR=2021Y", "FPT=A", "FA_ACT_EST_DATA=E", "ACT_EST_MAPPING=PRECISE", "FS=MRC", "CURRENCY=USD", "XLFILL=b")</f>
        <v>#N/A Requesting Data...</v>
      </c>
      <c r="G90" s="6" t="str">
        <f>_xll.BQL("NOW US Equity", "CONTRIBUTOR_STATS(IS_ADJ_R_AND_D_AS_REPORTED, MAX)/1M", "FPR=2021Y", "FPT=A", "FA_ACT_EST_DATA=E", "ACT_EST_MAPPING=PRECISE", "FS=MRC", "CURRENCY=USD", "XLFILL=b")</f>
        <v>#N/A Requesting Data...</v>
      </c>
      <c r="H90" s="6" t="str">
        <f>_xll.BQL("NOW US Equity", "CONTRIBUTOR_STATS(IS_ADJ_R_AND_D_AS_REPORTED, STD)/1M", "FPR=2021Y", "FPT=A", "FA_ACT_EST_DATA=E", "ACT_EST_MAPPING=PRECISE", "FS=MRC", "CURRENCY=USD", "XLFILL=b")</f>
        <v>#N/A Requesting Data...</v>
      </c>
      <c r="I90" s="6" t="str">
        <f>_xll.BQL("NOW US Equity", "CONTRIBUTOR_STATS(IS_ADJ_R_AND_D_AS_REPORTED, MEDIAN)/1M", "FPR=2021Y", "FPT=A", "FA_ACT_EST_DATA=E", "ACT_EST_MAPPING=PRECISE", "FS=MRC", "CURRENCY=USD", "XLFILL=b")</f>
        <v>#N/A Requesting Data...</v>
      </c>
      <c r="J90" s="6" t="str">
        <f>_xll.BQL("NOW US Equity", "IS_ADJ_R_AND_D_AS_REPORTED/1M", "FPR=2021Y", "FPT=A", "FA_ACT_EST_DATA=E, EST_SOURCE=CMPY", "ACT_EST_MAPPING=PRECISE", "FS=MRC", "CURRENCY=USD", "XLFILL=b")</f>
        <v>#N/A Requesting Data...</v>
      </c>
      <c r="K90" s="6">
        <f>_xll.BQL("NOW US Equity", "IS_ADJ_R_AND_D_AS_REPORTED/1M", "FPR=2021Y", "FPT=A", "FA_ACT_EST_DATA=E, EST_SOURCE=JPM", "ACT_EST_MAPPING=PRECISE", "FS=MRC", "CURRENCY=USD", "XLFILL=b")</f>
        <v>976.30844449114375</v>
      </c>
      <c r="L90" s="6" t="str">
        <f>_xll.BQL("NOW US Equity", "IS_ADJ_R_AND_D_AS_REPORTED/1M", "FPR=2021Y", "FPT=A", "FA_ACT_EST_DATA=E, EST_SOURCE=WBL", "ACT_EST_MAPPING=PRECISE", "FS=MRC", "CURRENCY=USD", "XLFILL=b")</f>
        <v>#N/A Requesting Data...</v>
      </c>
      <c r="M90" s="6" t="str">
        <f>_xll.BQL("NOW US Equity", "IS_ADJ_R_AND_D_AS_REPORTED/1M", "FPR=2021Y", "FPT=A", "FA_ACT_EST_DATA=E, EST_SOURCE=KEY", "ACT_EST_MAPPING=PRECISE", "FS=MRC", "CURRENCY=USD", "XLFILL=b")</f>
        <v>#N/A Requesting Data...</v>
      </c>
      <c r="N90" s="6" t="str">
        <f>_xll.BQL("NOW US Equity", "IS_ADJ_R_AND_D_AS_REPORTED/1M", "FPR=2021Y", "FPT=A", "FA_ACT_EST_DATA=E, EST_SOURCE=BMO", "ACT_EST_MAPPING=PRECISE", "FS=MRC", "CURRENCY=USD", "XLFILL=b")</f>
        <v>#N/A Requesting Data...</v>
      </c>
      <c r="O90" s="6" t="str">
        <f>_xll.BQL("NOW US Equity", "IS_ADJ_R_AND_D_AS_REPORTED/1M", "FPR=2021Y", "FPT=A", "FA_ACT_EST_DATA=E, EST_SOURCE=OPY", "ACT_EST_MAPPING=PRECISE", "FS=MRC", "CURRENCY=USD", "XLFILL=b")</f>
        <v/>
      </c>
      <c r="P90" s="6" t="str">
        <f>_xll.BQL("NOW US Equity", "IS_ADJ_R_AND_D_AS_REPORTED/1M", "FPR=2021Y", "FPT=A", "FA_ACT_EST_DATA=E, EST_SOURCE=BCA", "ACT_EST_MAPPING=PRECISE", "FS=MRC", "CURRENCY=USD", "XLFILL=b")</f>
        <v>#N/A Requesting Data...</v>
      </c>
      <c r="Q90" s="6" t="str">
        <f>_xll.BQL("NOW US Equity", "IS_ADJ_R_AND_D_AS_REPORTED/1M", "FPR=2021Y", "FPT=A", "FA_ACT_EST_DATA=E, EST_SOURCE=RHR", "ACT_EST_MAPPING=PRECISE", "FS=MRC", "CURRENCY=USD", "XLFILL=b")</f>
        <v>#N/A Requesting Data...</v>
      </c>
      <c r="R90" s="6" t="str">
        <f>_xll.BQL("NOW US Equity", "IS_ADJ_R_AND_D_AS_REPORTED/1M", "FPR=2021Y", "FPT=A", "FA_ACT_EST_DATA=E, EST_SOURCE=SNR", "ACT_EST_MAPPING=PRECISE", "FS=MRC", "CURRENCY=USD", "XLFILL=b")</f>
        <v>#N/A Requesting Data...</v>
      </c>
      <c r="S90" s="6" t="str">
        <f>_xll.BQL("NOW US Equity", "IS_ADJ_R_AND_D_AS_REPORTED/1M", "FPR=2021Y", "FPT=A", "FA_ACT_EST_DATA=E, EST_SOURCE=MSV", "ACT_EST_MAPPING=PRECISE", "FS=MRC", "CURRENCY=USD", "XLFILL=b")</f>
        <v>#N/A Requesting Data...</v>
      </c>
      <c r="T90" s="6" t="str">
        <f>_xll.BQL("NOW US Equity", "IS_ADJ_R_AND_D_AS_REPORTED/1M", "FPR=2021Y", "FPT=A", "FA_ACT_EST_DATA=E, EST_SOURCE=CAN", "ACT_EST_MAPPING=PRECISE", "FS=MRC", "CURRENCY=USD", "XLFILL=b")</f>
        <v>#N/A Requesting Data...</v>
      </c>
      <c r="U90" s="6" t="str">
        <f>_xll.BQL("NOW US Equity", "IS_ADJ_R_AND_D_AS_REPORTED/1M", "FPR=2021Y", "FPT=A", "FA_ACT_EST_DATA=E, EST_SOURCE=JMP", "ACT_EST_MAPPING=PRECISE", "FS=MRC", "CURRENCY=USD", "XLFILL=b")</f>
        <v>#N/A Requesting Data...</v>
      </c>
      <c r="V90" s="6" t="str">
        <f>_xll.BQL("NOW US Equity", "IS_ADJ_R_AND_D_AS_REPORTED/1M", "FPR=2021Y", "FPT=A", "FA_ACT_EST_DATA=E, EST_SOURCE=NDH", "ACT_EST_MAPPING=PRECISE", "FS=MRC", "CURRENCY=USD", "XLFILL=b")</f>
        <v>#N/A Requesting Data...</v>
      </c>
      <c r="W90" s="6" t="str">
        <f>_xll.BQL("NOW US Equity", "IS_ADJ_R_AND_D_AS_REPORTED/1M", "FPR=2021Y", "FPT=A", "FA_ACT_EST_DATA=E, EST_SOURCE=ZXS", "ACT_EST_MAPPING=PRECISE", "FS=MRC", "CURRENCY=USD", "XLFILL=b")</f>
        <v>#N/A Requesting Data...</v>
      </c>
      <c r="X90" s="6" t="str">
        <f>_xll.BQL("NOW US Equity", "IS_ADJ_R_AND_D_AS_REPORTED/1M", "FPR=2021Y", "FPT=A", "FA_ACT_EST_DATA=E, EST_SOURCE=CWN", "ACT_EST_MAPPING=PRECISE", "FS=MRC", "CURRENCY=USD", "XLFILL=b")</f>
        <v/>
      </c>
      <c r="Y90" s="6" t="str">
        <f>_xll.BQL("NOW US Equity", "IS_ADJ_R_AND_D_AS_REPORTED/1M", "FPR=2021Y", "FPT=A", "FA_ACT_EST_DATA=E, EST_SOURCE=DBG", "ACT_EST_MAPPING=PRECISE", "FS=MRC", "CURRENCY=USD", "XLFILL=b")</f>
        <v>#N/A Requesting Data...</v>
      </c>
      <c r="Z90" s="6" t="str">
        <f>_xll.BQL("NOW US Equity", "IS_ADJ_R_AND_D_AS_REPORTED/1M", "FPR=2021Y", "FPT=A", "FA_ACT_EST_DATA=E, EST_SOURCE=UBS", "ACT_EST_MAPPING=PRECISE", "FS=MRC", "CURRENCY=USD", "XLFILL=b")</f>
        <v>#N/A Requesting Data...</v>
      </c>
      <c r="AA90" s="6" t="str">
        <f>_xll.BQL("NOW US Equity", "IS_ADJ_R_AND_D_AS_REPORTED/1M", "FPR=2021Y", "FPT=A", "FA_ACT_EST_DATA=E, EST_SOURCE=RBC", "ACT_EST_MAPPING=PRECISE", "FS=MRC", "CURRENCY=USD", "XLFILL=b")</f>
        <v>#N/A Requesting Data...</v>
      </c>
      <c r="AB90" s="6" t="str">
        <f>_xll.BQL("NOW US Equity", "IS_ADJ_R_AND_D_AS_REPORTED/1M", "FPR=2021Y", "FPT=A", "FA_ACT_EST_DATA=E, EST_SOURCE=EVR", "ACT_EST_MAPPING=PRECISE", "FS=MRC", "CURRENCY=USD", "XLFILL=b")</f>
        <v/>
      </c>
      <c r="AC90" s="6" t="str">
        <f>_xll.BQL("NOW US Equity", "IS_ADJ_R_AND_D_AS_REPORTED/1M", "FPR=2021Y", "FPT=A", "FA_ACT_EST_DATA=E, EST_SOURCE=BNS", "ACT_EST_MAPPING=PRECISE", "FS=MRC", "CURRENCY=USD", "XLFILL=b")</f>
        <v>#N/A Requesting Data...</v>
      </c>
      <c r="AD90" s="6" t="str">
        <f>_xll.BQL("NOW US Equity", "IS_ADJ_R_AND_D_AS_REPORTED/1M", "FPR=2021Y", "FPT=A", "FA_ACT_EST_DATA=E, EST_SOURCE=BAM", "ACT_EST_MAPPING=PRECISE", "FS=MRC", "CURRENCY=USD", "XLFILL=b")</f>
        <v>#N/A Requesting Data...</v>
      </c>
      <c r="AE90" s="6" t="str">
        <f>_xll.BQL("NOW US Equity", "IS_ADJ_R_AND_D_AS_REPORTED/1M", "FPR=2021Y", "FPT=A", "FA_ACT_EST_DATA=E, EST_SOURCE=GSR", "ACT_EST_MAPPING=PRECISE", "FS=MRC", "CURRENCY=USD", "XLFILL=b")</f>
        <v>#N/A Requesting Data...</v>
      </c>
      <c r="AF90" s="6" t="str">
        <f>_xll.BQL("NOW US Equity", "IS_ADJ_R_AND_D_AS_REPORTED/1M", "FPR=2021Y", "FPT=A", "FA_ACT_EST_DATA=E, EST_SOURCE=FBC", "ACT_EST_MAPPING=PRECISE", "FS=MRC", "CURRENCY=USD", "XLFILL=b")</f>
        <v>#N/A Requesting Data...</v>
      </c>
      <c r="AG90" s="6" t="str">
        <f>_xll.BQL("NOW US Equity", "IS_ADJ_R_AND_D_AS_REPORTED/1M", "FPR=2021Y", "FPT=A", "FA_ACT_EST_DATA=E, EST_SOURCE=MAC", "ACT_EST_MAPPING=PRECISE", "FS=MRC", "CURRENCY=USD", "XLFILL=b")</f>
        <v>#N/A Requesting Data...</v>
      </c>
      <c r="AH90" s="6" t="str">
        <f>_xll.BQL("NOW US Equity", "IS_ADJ_R_AND_D_AS_REPORTED/1M", "FPR=2021Y", "FPT=A", "FA_ACT_EST_DATA=E, EST_SOURCE=PSG", "ACT_EST_MAPPING=PRECISE", "FS=MRC", "CURRENCY=USD", "XLFILL=b")</f>
        <v>#N/A Requesting Data...</v>
      </c>
      <c r="AI90" s="6" t="str">
        <f>_xll.BQL("NOW US Equity", "IS_ADJ_R_AND_D_AS_REPORTED/1M", "FPR=2021Y", "FPT=A", "FA_ACT_EST_DATA=E, EST_SOURCE=MSR", "ACT_EST_MAPPING=PRECISE", "FS=MRC", "CURRENCY=USD", "XLFILL=b")</f>
        <v>#N/A Requesting Data...</v>
      </c>
      <c r="AJ90" s="6" t="str">
        <f>_xll.BQL("NOW US Equity", "IS_ADJ_R_AND_D_AS_REPORTED/1M", "FPR=2021Y", "FPT=A", "FA_ACT_EST_DATA=E, EST_SOURCE=JEF", "ACT_EST_MAPPING=PRECISE", "FS=MRC", "CURRENCY=USD", "XLFILL=b")</f>
        <v>#N/A Requesting Data...</v>
      </c>
      <c r="AK90" s="6" t="str">
        <f>_xll.BQL("NOW US Equity", "IS_ADJ_R_AND_D_AS_REPORTED/1M", "FPR=2021Y", "FPT=A", "FA_ACT_EST_DATA=E, EST_SOURCE=TTC", "ACT_EST_MAPPING=PRECISE", "FS=MRC", "CURRENCY=USD", "XLFILL=b")</f>
        <v/>
      </c>
      <c r="AL90" s="6" t="str">
        <f>_xll.BQL("NOW US Equity", "IS_ADJ_R_AND_D_AS_REPORTED/1M", "FPR=2021Y", "FPT=A", "FA_ACT_EST_DATA=E, EST_SOURCE=RWB", "ACT_EST_MAPPING=PRECISE", "FS=MRC", "CURRENCY=USD", "XLFILL=b")</f>
        <v/>
      </c>
      <c r="AM90" s="6" t="str">
        <f>_xll.BQL("NOW US Equity", "IS_ADJ_R_AND_D_AS_REPORTED/1M", "FPR=2021Y", "FPT=A", "FA_ACT_EST_DATA=E, EST_SOURCE=DZB", "ACT_EST_MAPPING=PRECISE", "FS=MRC", "CURRENCY=USD", "XLFILL=b")</f>
        <v>#N/A Requesting Data...</v>
      </c>
      <c r="AN90" s="6" t="str">
        <f>_xll.BQL("NOW US Equity", "IS_ADJ_R_AND_D_AS_REPORTED/1M", "FPR=2021Y", "FPT=A", "FA_ACT_EST_DATA=E, EST_SOURCE=DWI", "ACT_EST_MAPPING=PRECISE", "FS=MRC", "CURRENCY=USD", "XLFILL=b")</f>
        <v/>
      </c>
      <c r="AO90" s="6" t="str">
        <f>_xll.BQL("NOW US Equity", "IS_ADJ_R_AND_D_AS_REPORTED/1M", "FPR=2021Y", "FPT=A", "FA_ACT_EST_DATA=E, EST_SOURCE=ARG", "ACT_EST_MAPPING=PRECISE", "FS=MRC", "CURRENCY=USD", "XLFILL=b")</f>
        <v>#N/A Requesting Data...</v>
      </c>
      <c r="AP90" s="6" t="str">
        <f>_xll.BQL("NOW US Equity", "IS_ADJ_R_AND_D_AS_REPORTED/1M", "FPR=2021Y", "FPT=A", "FA_ACT_EST_DATA=E, EST_SOURCE=CTI", "ACT_EST_MAPPING=PRECISE", "FS=MRC", "CURRENCY=USD", "XLFILL=b")</f>
        <v/>
      </c>
      <c r="AQ90" s="6" t="str">
        <f>_xll.BQL("NOW US Equity", "IS_ADJ_R_AND_D_AS_REPORTED/1M", "FPR=2021Y", "FPT=A", "FA_ACT_EST_DATA=E, EST_SOURCE=WFT", "ACT_EST_MAPPING=PRECISE", "FS=MRC", "CURRENCY=USD", "XLFILL=b")</f>
        <v>#N/A Requesting Data...</v>
      </c>
      <c r="AR90" s="6" t="str">
        <f>_xll.BQL("NOW US Equity", "IS_ADJ_R_AND_D_AS_REPORTED/1M", "FPR=2021Y", "FPT=A", "FA_ACT_EST_DATA=E, EST_SOURCE=ARE", "ACT_EST_MAPPING=PRECISE", "FS=MRC", "CURRENCY=USD", "XLFILL=b")</f>
        <v>#N/A Requesting Data...</v>
      </c>
      <c r="AS90" s="6" t="str">
        <f>_xll.BQL("NOW US Equity", "IS_ADJ_R_AND_D_AS_REPORTED/1M", "FPR=2021Y", "FPT=A", "FA_ACT_EST_DATA=E, EST_SOURCE=PJE", "ACT_EST_MAPPING=PRECISE", "FS=MRC", "CURRENCY=USD", "XLFILL=b")</f>
        <v>#N/A Requesting Data...</v>
      </c>
      <c r="AT90" s="6" t="str">
        <f>_xll.BQL("NOW US Equity", "IS_ADJ_R_AND_D_AS_REPORTED/1M", "FPR=2021Y", "FPT=A", "FA_ACT_EST_DATA=E, EST_SOURCE=MZS", "ACT_EST_MAPPING=PRECISE", "FS=MRC", "CURRENCY=USD", "XLFILL=b")</f>
        <v>#N/A Requesting Data...</v>
      </c>
      <c r="AU90" s="6" t="str">
        <f>_xll.BQL("NOW US Equity", "IS_ADJ_R_AND_D_AS_REPORTED/1M", "FPR=2021Y", "FPT=A", "FA_ACT_EST_DATA=E, EST_SOURCE=SUM", "ACT_EST_MAPPING=PRECISE", "FS=MRC", "CURRENCY=USD", "XLFILL=b")</f>
        <v/>
      </c>
      <c r="AV90" s="6" t="str">
        <f>_xll.BQL("NOW US Equity", "IS_ADJ_R_AND_D_AS_REPORTED/1M", "FPR=2021Y", "FPT=A", "FA_ACT_EST_DATA=E, EST_SOURCE=CRC", "ACT_EST_MAPPING=PRECISE", "FS=MRC", "CURRENCY=USD", "XLFILL=b")</f>
        <v>#N/A Requesting Data...</v>
      </c>
      <c r="AW90" s="6" t="str">
        <f>_xll.BQL("NOW US Equity", "IS_ADJ_R_AND_D_AS_REPORTED/1M", "FPR=2021Y", "FPT=A", "FA_ACT_EST_DATA=E, EST_SOURCE=SCB", "ACT_EST_MAPPING=PRECISE", "FS=MRC", "CURRENCY=USD", "XLFILL=b")</f>
        <v>#N/A Requesting Data...</v>
      </c>
    </row>
    <row r="91" spans="1:49" x14ac:dyDescent="0.55000000000000004">
      <c r="A91" s="5" t="s">
        <v>104</v>
      </c>
      <c r="B91" s="2" t="s">
        <v>137</v>
      </c>
      <c r="C91" s="2" t="s">
        <v>63</v>
      </c>
      <c r="D91" s="2"/>
      <c r="E91" s="6" t="str">
        <f>_xll.BQL("NOW US Equity", "ADJ_R_AND_D_TO_SALES", "FPR=2021Y", "FPT=A", "FA_ACT_EST_DATA=E", "ACT_EST_MAPPING=PRECISE", "FS=MRC", "CURRENCY=USD", "XLFILL=b")</f>
        <v>#N/A Requesting Data...</v>
      </c>
      <c r="F91" s="6" t="str">
        <f>_xll.BQL("NOW US Equity", "CONTRIBUTOR_STATS(ADJ_R_AND_D_TO_SALES, MIN)", "FPR=2021Y", "FPT=A", "FA_ACT_EST_DATA=E", "ACT_EST_MAPPING=PRECISE", "FS=MRC", "CURRENCY=USD", "XLFILL=b")</f>
        <v>#N/A Requesting Data...</v>
      </c>
      <c r="G91" s="6" t="str">
        <f>_xll.BQL("NOW US Equity", "CONTRIBUTOR_STATS(ADJ_R_AND_D_TO_SALES, MAX)", "FPR=2021Y", "FPT=A", "FA_ACT_EST_DATA=E", "ACT_EST_MAPPING=PRECISE", "FS=MRC", "CURRENCY=USD", "XLFILL=b")</f>
        <v>#N/A Requesting Data...</v>
      </c>
      <c r="H91" s="6" t="str">
        <f>_xll.BQL("NOW US Equity", "CONTRIBUTOR_STATS(ADJ_R_AND_D_TO_SALES, STD)", "FPR=2021Y", "FPT=A", "FA_ACT_EST_DATA=E", "ACT_EST_MAPPING=PRECISE", "FS=MRC", "CURRENCY=USD", "XLFILL=b")</f>
        <v>#N/A Requesting Data...</v>
      </c>
      <c r="I91" s="6" t="str">
        <f>_xll.BQL("NOW US Equity", "CONTRIBUTOR_STATS(ADJ_R_AND_D_TO_SALES, MEDIAN)", "FPR=2021Y", "FPT=A", "FA_ACT_EST_DATA=E", "ACT_EST_MAPPING=PRECISE", "FS=MRC", "CURRENCY=USD", "XLFILL=b")</f>
        <v>#N/A Requesting Data...</v>
      </c>
      <c r="J91" s="6" t="str">
        <f>_xll.BQL("NOW US Equity", "ADJ_R_AND_D_TO_SALES", "FPR=2021Y", "FPT=A", "FA_ACT_EST_DATA=E, EST_SOURCE=CMPY", "ACT_EST_MAPPING=PRECISE", "FS=MRC", "CURRENCY=USD", "XLFILL=b")</f>
        <v>#N/A Requesting Data...</v>
      </c>
      <c r="K91" s="6" t="str">
        <f>_xll.BQL("NOW US Equity", "ADJ_R_AND_D_TO_SALES", "FPR=2021Y", "FPT=A", "FA_ACT_EST_DATA=E, EST_SOURCE=JPM", "ACT_EST_MAPPING=PRECISE", "FS=MRC", "CURRENCY=USD", "XLFILL=b")</f>
        <v>#N/A Requesting Data...</v>
      </c>
      <c r="L91" s="6" t="str">
        <f>_xll.BQL("NOW US Equity", "ADJ_R_AND_D_TO_SALES", "FPR=2021Y", "FPT=A", "FA_ACT_EST_DATA=E, EST_SOURCE=WBL", "ACT_EST_MAPPING=PRECISE", "FS=MRC", "CURRENCY=USD", "XLFILL=b")</f>
        <v>#N/A Requesting Data...</v>
      </c>
      <c r="M91" s="6" t="str">
        <f>_xll.BQL("NOW US Equity", "ADJ_R_AND_D_TO_SALES", "FPR=2021Y", "FPT=A", "FA_ACT_EST_DATA=E, EST_SOURCE=KEY", "ACT_EST_MAPPING=PRECISE", "FS=MRC", "CURRENCY=USD", "XLFILL=b")</f>
        <v>#N/A Requesting Data...</v>
      </c>
      <c r="N91" s="6" t="str">
        <f>_xll.BQL("NOW US Equity", "ADJ_R_AND_D_TO_SALES", "FPR=2021Y", "FPT=A", "FA_ACT_EST_DATA=E, EST_SOURCE=BMO", "ACT_EST_MAPPING=PRECISE", "FS=MRC", "CURRENCY=USD", "XLFILL=b")</f>
        <v>#N/A Requesting Data...</v>
      </c>
      <c r="O91" s="6" t="str">
        <f>_xll.BQL("NOW US Equity", "ADJ_R_AND_D_TO_SALES", "FPR=2021Y", "FPT=A", "FA_ACT_EST_DATA=E, EST_SOURCE=OPY", "ACT_EST_MAPPING=PRECISE", "FS=MRC", "CURRENCY=USD", "XLFILL=b")</f>
        <v>#N/A Requesting Data...</v>
      </c>
      <c r="P91" s="6" t="str">
        <f>_xll.BQL("NOW US Equity", "ADJ_R_AND_D_TO_SALES", "FPR=2021Y", "FPT=A", "FA_ACT_EST_DATA=E, EST_SOURCE=BCA", "ACT_EST_MAPPING=PRECISE", "FS=MRC", "CURRENCY=USD", "XLFILL=b")</f>
        <v>#N/A Requesting Data...</v>
      </c>
      <c r="Q91" s="6" t="str">
        <f>_xll.BQL("NOW US Equity", "ADJ_R_AND_D_TO_SALES", "FPR=2021Y", "FPT=A", "FA_ACT_EST_DATA=E, EST_SOURCE=RHR", "ACT_EST_MAPPING=PRECISE", "FS=MRC", "CURRENCY=USD", "XLFILL=b")</f>
        <v>#N/A Requesting Data...</v>
      </c>
      <c r="R91" s="6" t="str">
        <f>_xll.BQL("NOW US Equity", "ADJ_R_AND_D_TO_SALES", "FPR=2021Y", "FPT=A", "FA_ACT_EST_DATA=E, EST_SOURCE=SNR", "ACT_EST_MAPPING=PRECISE", "FS=MRC", "CURRENCY=USD", "XLFILL=b")</f>
        <v>#N/A Requesting Data...</v>
      </c>
      <c r="S91" s="6" t="str">
        <f>_xll.BQL("NOW US Equity", "ADJ_R_AND_D_TO_SALES", "FPR=2021Y", "FPT=A", "FA_ACT_EST_DATA=E, EST_SOURCE=MSV", "ACT_EST_MAPPING=PRECISE", "FS=MRC", "CURRENCY=USD", "XLFILL=b")</f>
        <v>#N/A Requesting Data...</v>
      </c>
      <c r="T91" s="6" t="str">
        <f>_xll.BQL("NOW US Equity", "ADJ_R_AND_D_TO_SALES", "FPR=2021Y", "FPT=A", "FA_ACT_EST_DATA=E, EST_SOURCE=CAN", "ACT_EST_MAPPING=PRECISE", "FS=MRC", "CURRENCY=USD", "XLFILL=b")</f>
        <v>#N/A Requesting Data...</v>
      </c>
      <c r="U91" s="6" t="str">
        <f>_xll.BQL("NOW US Equity", "ADJ_R_AND_D_TO_SALES", "FPR=2021Y", "FPT=A", "FA_ACT_EST_DATA=E, EST_SOURCE=JMP", "ACT_EST_MAPPING=PRECISE", "FS=MRC", "CURRENCY=USD", "XLFILL=b")</f>
        <v>#N/A Requesting Data...</v>
      </c>
      <c r="V91" s="6" t="str">
        <f>_xll.BQL("NOW US Equity", "ADJ_R_AND_D_TO_SALES", "FPR=2021Y", "FPT=A", "FA_ACT_EST_DATA=E, EST_SOURCE=NDH", "ACT_EST_MAPPING=PRECISE", "FS=MRC", "CURRENCY=USD", "XLFILL=b")</f>
        <v>#N/A Requesting Data...</v>
      </c>
      <c r="W91" s="6" t="str">
        <f>_xll.BQL("NOW US Equity", "ADJ_R_AND_D_TO_SALES", "FPR=2021Y", "FPT=A", "FA_ACT_EST_DATA=E, EST_SOURCE=ZXS", "ACT_EST_MAPPING=PRECISE", "FS=MRC", "CURRENCY=USD", "XLFILL=b")</f>
        <v>#N/A Requesting Data...</v>
      </c>
      <c r="X91" s="6" t="str">
        <f>_xll.BQL("NOW US Equity", "ADJ_R_AND_D_TO_SALES", "FPR=2021Y", "FPT=A", "FA_ACT_EST_DATA=E, EST_SOURCE=CWN", "ACT_EST_MAPPING=PRECISE", "FS=MRC", "CURRENCY=USD", "XLFILL=b")</f>
        <v>#N/A Requesting Data...</v>
      </c>
      <c r="Y91" s="6" t="str">
        <f>_xll.BQL("NOW US Equity", "ADJ_R_AND_D_TO_SALES", "FPR=2021Y", "FPT=A", "FA_ACT_EST_DATA=E, EST_SOURCE=DBG", "ACT_EST_MAPPING=PRECISE", "FS=MRC", "CURRENCY=USD", "XLFILL=b")</f>
        <v>#N/A Requesting Data...</v>
      </c>
      <c r="Z91" s="6" t="str">
        <f>_xll.BQL("NOW US Equity", "ADJ_R_AND_D_TO_SALES", "FPR=2021Y", "FPT=A", "FA_ACT_EST_DATA=E, EST_SOURCE=UBS", "ACT_EST_MAPPING=PRECISE", "FS=MRC", "CURRENCY=USD", "XLFILL=b")</f>
        <v>#N/A Requesting Data...</v>
      </c>
      <c r="AA91" s="6" t="str">
        <f>_xll.BQL("NOW US Equity", "ADJ_R_AND_D_TO_SALES", "FPR=2021Y", "FPT=A", "FA_ACT_EST_DATA=E, EST_SOURCE=RBC", "ACT_EST_MAPPING=PRECISE", "FS=MRC", "CURRENCY=USD", "XLFILL=b")</f>
        <v>#N/A Requesting Data...</v>
      </c>
      <c r="AB91" s="6" t="str">
        <f>_xll.BQL("NOW US Equity", "ADJ_R_AND_D_TO_SALES", "FPR=2021Y", "FPT=A", "FA_ACT_EST_DATA=E, EST_SOURCE=EVR", "ACT_EST_MAPPING=PRECISE", "FS=MRC", "CURRENCY=USD", "XLFILL=b")</f>
        <v>#N/A Requesting Data...</v>
      </c>
      <c r="AC91" s="6" t="str">
        <f>_xll.BQL("NOW US Equity", "ADJ_R_AND_D_TO_SALES", "FPR=2021Y", "FPT=A", "FA_ACT_EST_DATA=E, EST_SOURCE=BNS", "ACT_EST_MAPPING=PRECISE", "FS=MRC", "CURRENCY=USD", "XLFILL=b")</f>
        <v>#N/A Requesting Data...</v>
      </c>
      <c r="AD91" s="6" t="str">
        <f>_xll.BQL("NOW US Equity", "ADJ_R_AND_D_TO_SALES", "FPR=2021Y", "FPT=A", "FA_ACT_EST_DATA=E, EST_SOURCE=BAM", "ACT_EST_MAPPING=PRECISE", "FS=MRC", "CURRENCY=USD", "XLFILL=b")</f>
        <v>#N/A Requesting Data...</v>
      </c>
      <c r="AE91" s="6" t="str">
        <f>_xll.BQL("NOW US Equity", "ADJ_R_AND_D_TO_SALES", "FPR=2021Y", "FPT=A", "FA_ACT_EST_DATA=E, EST_SOURCE=GSR", "ACT_EST_MAPPING=PRECISE", "FS=MRC", "CURRENCY=USD", "XLFILL=b")</f>
        <v>#N/A Requesting Data...</v>
      </c>
      <c r="AF91" s="6" t="str">
        <f>_xll.BQL("NOW US Equity", "ADJ_R_AND_D_TO_SALES", "FPR=2021Y", "FPT=A", "FA_ACT_EST_DATA=E, EST_SOURCE=FBC", "ACT_EST_MAPPING=PRECISE", "FS=MRC", "CURRENCY=USD", "XLFILL=b")</f>
        <v>#N/A Requesting Data...</v>
      </c>
      <c r="AG91" s="6" t="str">
        <f>_xll.BQL("NOW US Equity", "ADJ_R_AND_D_TO_SALES", "FPR=2021Y", "FPT=A", "FA_ACT_EST_DATA=E, EST_SOURCE=MAC", "ACT_EST_MAPPING=PRECISE", "FS=MRC", "CURRENCY=USD", "XLFILL=b")</f>
        <v>#N/A Requesting Data...</v>
      </c>
      <c r="AH91" s="6" t="str">
        <f>_xll.BQL("NOW US Equity", "ADJ_R_AND_D_TO_SALES", "FPR=2021Y", "FPT=A", "FA_ACT_EST_DATA=E, EST_SOURCE=PSG", "ACT_EST_MAPPING=PRECISE", "FS=MRC", "CURRENCY=USD", "XLFILL=b")</f>
        <v>#N/A Requesting Data...</v>
      </c>
      <c r="AI91" s="6" t="str">
        <f>_xll.BQL("NOW US Equity", "ADJ_R_AND_D_TO_SALES", "FPR=2021Y", "FPT=A", "FA_ACT_EST_DATA=E, EST_SOURCE=MSR", "ACT_EST_MAPPING=PRECISE", "FS=MRC", "CURRENCY=USD", "XLFILL=b")</f>
        <v>#N/A Requesting Data...</v>
      </c>
      <c r="AJ91" s="6" t="str">
        <f>_xll.BQL("NOW US Equity", "ADJ_R_AND_D_TO_SALES", "FPR=2021Y", "FPT=A", "FA_ACT_EST_DATA=E, EST_SOURCE=JEF", "ACT_EST_MAPPING=PRECISE", "FS=MRC", "CURRENCY=USD", "XLFILL=b")</f>
        <v>#N/A Requesting Data...</v>
      </c>
      <c r="AK91" s="6" t="str">
        <f>_xll.BQL("NOW US Equity", "ADJ_R_AND_D_TO_SALES", "FPR=2021Y", "FPT=A", "FA_ACT_EST_DATA=E, EST_SOURCE=TTC", "ACT_EST_MAPPING=PRECISE", "FS=MRC", "CURRENCY=USD", "XLFILL=b")</f>
        <v>#N/A Requesting Data...</v>
      </c>
      <c r="AL91" s="6" t="str">
        <f>_xll.BQL("NOW US Equity", "ADJ_R_AND_D_TO_SALES", "FPR=2021Y", "FPT=A", "FA_ACT_EST_DATA=E, EST_SOURCE=RWB", "ACT_EST_MAPPING=PRECISE", "FS=MRC", "CURRENCY=USD", "XLFILL=b")</f>
        <v>#N/A Requesting Data...</v>
      </c>
      <c r="AM91" s="6" t="str">
        <f>_xll.BQL("NOW US Equity", "ADJ_R_AND_D_TO_SALES", "FPR=2021Y", "FPT=A", "FA_ACT_EST_DATA=E, EST_SOURCE=DZB", "ACT_EST_MAPPING=PRECISE", "FS=MRC", "CURRENCY=USD", "XLFILL=b")</f>
        <v>#N/A Requesting Data...</v>
      </c>
      <c r="AN91" s="6" t="str">
        <f>_xll.BQL("NOW US Equity", "ADJ_R_AND_D_TO_SALES", "FPR=2021Y", "FPT=A", "FA_ACT_EST_DATA=E, EST_SOURCE=DWI", "ACT_EST_MAPPING=PRECISE", "FS=MRC", "CURRENCY=USD", "XLFILL=b")</f>
        <v>#N/A Requesting Data...</v>
      </c>
      <c r="AO91" s="6" t="str">
        <f>_xll.BQL("NOW US Equity", "ADJ_R_AND_D_TO_SALES", "FPR=2021Y", "FPT=A", "FA_ACT_EST_DATA=E, EST_SOURCE=ARG", "ACT_EST_MAPPING=PRECISE", "FS=MRC", "CURRENCY=USD", "XLFILL=b")</f>
        <v>#N/A Requesting Data...</v>
      </c>
      <c r="AP91" s="6" t="str">
        <f>_xll.BQL("NOW US Equity", "ADJ_R_AND_D_TO_SALES", "FPR=2021Y", "FPT=A", "FA_ACT_EST_DATA=E, EST_SOURCE=CTI", "ACT_EST_MAPPING=PRECISE", "FS=MRC", "CURRENCY=USD", "XLFILL=b")</f>
        <v>#N/A Requesting Data...</v>
      </c>
      <c r="AQ91" s="6" t="str">
        <f>_xll.BQL("NOW US Equity", "ADJ_R_AND_D_TO_SALES", "FPR=2021Y", "FPT=A", "FA_ACT_EST_DATA=E, EST_SOURCE=WFT", "ACT_EST_MAPPING=PRECISE", "FS=MRC", "CURRENCY=USD", "XLFILL=b")</f>
        <v>#N/A Requesting Data...</v>
      </c>
      <c r="AR91" s="6" t="str">
        <f>_xll.BQL("NOW US Equity", "ADJ_R_AND_D_TO_SALES", "FPR=2021Y", "FPT=A", "FA_ACT_EST_DATA=E, EST_SOURCE=ARE", "ACT_EST_MAPPING=PRECISE", "FS=MRC", "CURRENCY=USD", "XLFILL=b")</f>
        <v>#N/A Requesting Data...</v>
      </c>
      <c r="AS91" s="6" t="str">
        <f>_xll.BQL("NOW US Equity", "ADJ_R_AND_D_TO_SALES", "FPR=2021Y", "FPT=A", "FA_ACT_EST_DATA=E, EST_SOURCE=PJE", "ACT_EST_MAPPING=PRECISE", "FS=MRC", "CURRENCY=USD", "XLFILL=b")</f>
        <v>#N/A Requesting Data...</v>
      </c>
      <c r="AT91" s="6" t="str">
        <f>_xll.BQL("NOW US Equity", "ADJ_R_AND_D_TO_SALES", "FPR=2021Y", "FPT=A", "FA_ACT_EST_DATA=E, EST_SOURCE=MZS", "ACT_EST_MAPPING=PRECISE", "FS=MRC", "CURRENCY=USD", "XLFILL=b")</f>
        <v>#N/A Requesting Data...</v>
      </c>
      <c r="AU91" s="6" t="str">
        <f>_xll.BQL("NOW US Equity", "ADJ_R_AND_D_TO_SALES", "FPR=2021Y", "FPT=A", "FA_ACT_EST_DATA=E, EST_SOURCE=SUM", "ACT_EST_MAPPING=PRECISE", "FS=MRC", "CURRENCY=USD", "XLFILL=b")</f>
        <v>#N/A Requesting Data...</v>
      </c>
      <c r="AV91" s="6" t="str">
        <f>_xll.BQL("NOW US Equity", "ADJ_R_AND_D_TO_SALES", "FPR=2021Y", "FPT=A", "FA_ACT_EST_DATA=E, EST_SOURCE=CRC", "ACT_EST_MAPPING=PRECISE", "FS=MRC", "CURRENCY=USD", "XLFILL=b")</f>
        <v>#N/A Requesting Data...</v>
      </c>
      <c r="AW91" s="6" t="str">
        <f>_xll.BQL("NOW US Equity", "ADJ_R_AND_D_TO_SALES", "FPR=2021Y", "FPT=A", "FA_ACT_EST_DATA=E, EST_SOURCE=SCB", "ACT_EST_MAPPING=PRECISE", "FS=MRC", "CURRENCY=USD", "XLFILL=b")</f>
        <v>#N/A Requesting Data...</v>
      </c>
    </row>
    <row r="92" spans="1:49" x14ac:dyDescent="0.55000000000000004">
      <c r="A92" s="5" t="s">
        <v>138</v>
      </c>
      <c r="B92" s="2" t="s">
        <v>139</v>
      </c>
      <c r="C92" s="2" t="s">
        <v>140</v>
      </c>
      <c r="D92" s="2"/>
      <c r="E92" s="6" t="str">
        <f>_xll.BQL("NOW US Equity", "IS_ADJ_GENL_AND_ADMIN_EXPN_AR/1M", "FPR=2021Y", "FPT=A", "FA_ACT_EST_DATA=E", "ACT_EST_MAPPING=PRECISE", "FS=MRC", "CURRENCY=USD", "XLFILL=b")</f>
        <v>#N/A Requesting Data...</v>
      </c>
      <c r="F92" s="6" t="str">
        <f>_xll.BQL("NOW US Equity", "CONTRIBUTOR_STATS(IS_ADJ_GENL_AND_ADMIN_EXPN_AR, MIN)/1M", "FPR=2021Y", "FPT=A", "FA_ACT_EST_DATA=E", "ACT_EST_MAPPING=PRECISE", "FS=MRC", "CURRENCY=USD", "XLFILL=b")</f>
        <v>#N/A Requesting Data...</v>
      </c>
      <c r="G92" s="6" t="str">
        <f>_xll.BQL("NOW US Equity", "CONTRIBUTOR_STATS(IS_ADJ_GENL_AND_ADMIN_EXPN_AR, MAX)/1M", "FPR=2021Y", "FPT=A", "FA_ACT_EST_DATA=E", "ACT_EST_MAPPING=PRECISE", "FS=MRC", "CURRENCY=USD", "XLFILL=b")</f>
        <v>#N/A Requesting Data...</v>
      </c>
      <c r="H92" s="6" t="str">
        <f>_xll.BQL("NOW US Equity", "CONTRIBUTOR_STATS(IS_ADJ_GENL_AND_ADMIN_EXPN_AR, STD)/1M", "FPR=2021Y", "FPT=A", "FA_ACT_EST_DATA=E", "ACT_EST_MAPPING=PRECISE", "FS=MRC", "CURRENCY=USD", "XLFILL=b")</f>
        <v>#N/A Requesting Data...</v>
      </c>
      <c r="I92" s="6" t="str">
        <f>_xll.BQL("NOW US Equity", "CONTRIBUTOR_STATS(IS_ADJ_GENL_AND_ADMIN_EXPN_AR, MEDIAN)/1M", "FPR=2021Y", "FPT=A", "FA_ACT_EST_DATA=E", "ACT_EST_MAPPING=PRECISE", "FS=MRC", "CURRENCY=USD", "XLFILL=b")</f>
        <v>#N/A Requesting Data...</v>
      </c>
      <c r="J92" s="6" t="str">
        <f>_xll.BQL("NOW US Equity", "IS_ADJ_GENL_AND_ADMIN_EXPN_AR/1M", "FPR=2021Y", "FPT=A", "FA_ACT_EST_DATA=E, EST_SOURCE=CMPY", "ACT_EST_MAPPING=PRECISE", "FS=MRC", "CURRENCY=USD", "XLFILL=b")</f>
        <v/>
      </c>
      <c r="K92" s="6" t="str">
        <f>_xll.BQL("NOW US Equity", "IS_ADJ_GENL_AND_ADMIN_EXPN_AR/1M", "FPR=2021Y", "FPT=A", "FA_ACT_EST_DATA=E, EST_SOURCE=JPM", "ACT_EST_MAPPING=PRECISE", "FS=MRC", "CURRENCY=USD", "XLFILL=b")</f>
        <v>#N/A Requesting Data...</v>
      </c>
      <c r="L92" s="6" t="str">
        <f>_xll.BQL("NOW US Equity", "IS_ADJ_GENL_AND_ADMIN_EXPN_AR/1M", "FPR=2021Y", "FPT=A", "FA_ACT_EST_DATA=E, EST_SOURCE=WBL", "ACT_EST_MAPPING=PRECISE", "FS=MRC", "CURRENCY=USD", "XLFILL=b")</f>
        <v>#N/A Requesting Data...</v>
      </c>
      <c r="M92" s="6" t="str">
        <f>_xll.BQL("NOW US Equity", "IS_ADJ_GENL_AND_ADMIN_EXPN_AR/1M", "FPR=2021Y", "FPT=A", "FA_ACT_EST_DATA=E, EST_SOURCE=KEY", "ACT_EST_MAPPING=PRECISE", "FS=MRC", "CURRENCY=USD", "XLFILL=b")</f>
        <v>#N/A Requesting Data...</v>
      </c>
      <c r="N92" s="6" t="str">
        <f>_xll.BQL("NOW US Equity", "IS_ADJ_GENL_AND_ADMIN_EXPN_AR/1M", "FPR=2021Y", "FPT=A", "FA_ACT_EST_DATA=E, EST_SOURCE=BMO", "ACT_EST_MAPPING=PRECISE", "FS=MRC", "CURRENCY=USD", "XLFILL=b")</f>
        <v>#N/A Requesting Data...</v>
      </c>
      <c r="O92" s="6" t="str">
        <f>_xll.BQL("NOW US Equity", "IS_ADJ_GENL_AND_ADMIN_EXPN_AR/1M", "FPR=2021Y", "FPT=A", "FA_ACT_EST_DATA=E, EST_SOURCE=OPY", "ACT_EST_MAPPING=PRECISE", "FS=MRC", "CURRENCY=USD", "XLFILL=b")</f>
        <v>#N/A Requesting Data...</v>
      </c>
      <c r="P92" s="6" t="str">
        <f>_xll.BQL("NOW US Equity", "IS_ADJ_GENL_AND_ADMIN_EXPN_AR/1M", "FPR=2021Y", "FPT=A", "FA_ACT_EST_DATA=E, EST_SOURCE=BCA", "ACT_EST_MAPPING=PRECISE", "FS=MRC", "CURRENCY=USD", "XLFILL=b")</f>
        <v>#N/A Requesting Data...</v>
      </c>
      <c r="Q92" s="6" t="str">
        <f>_xll.BQL("NOW US Equity", "IS_ADJ_GENL_AND_ADMIN_EXPN_AR/1M", "FPR=2021Y", "FPT=A", "FA_ACT_EST_DATA=E, EST_SOURCE=RHR", "ACT_EST_MAPPING=PRECISE", "FS=MRC", "CURRENCY=USD", "XLFILL=b")</f>
        <v>#N/A Requesting Data...</v>
      </c>
      <c r="R92" s="6" t="str">
        <f>_xll.BQL("NOW US Equity", "IS_ADJ_GENL_AND_ADMIN_EXPN_AR/1M", "FPR=2021Y", "FPT=A", "FA_ACT_EST_DATA=E, EST_SOURCE=SNR", "ACT_EST_MAPPING=PRECISE", "FS=MRC", "CURRENCY=USD", "XLFILL=b")</f>
        <v>#N/A Requesting Data...</v>
      </c>
      <c r="S92" s="6" t="str">
        <f>_xll.BQL("NOW US Equity", "IS_ADJ_GENL_AND_ADMIN_EXPN_AR/1M", "FPR=2021Y", "FPT=A", "FA_ACT_EST_DATA=E, EST_SOURCE=MSV", "ACT_EST_MAPPING=PRECISE", "FS=MRC", "CURRENCY=USD", "XLFILL=b")</f>
        <v>#N/A Requesting Data...</v>
      </c>
      <c r="T92" s="6" t="str">
        <f>_xll.BQL("NOW US Equity", "IS_ADJ_GENL_AND_ADMIN_EXPN_AR/1M", "FPR=2021Y", "FPT=A", "FA_ACT_EST_DATA=E, EST_SOURCE=CAN", "ACT_EST_MAPPING=PRECISE", "FS=MRC", "CURRENCY=USD", "XLFILL=b")</f>
        <v>#N/A Requesting Data...</v>
      </c>
      <c r="U92" s="6" t="str">
        <f>_xll.BQL("NOW US Equity", "IS_ADJ_GENL_AND_ADMIN_EXPN_AR/1M", "FPR=2021Y", "FPT=A", "FA_ACT_EST_DATA=E, EST_SOURCE=JMP", "ACT_EST_MAPPING=PRECISE", "FS=MRC", "CURRENCY=USD", "XLFILL=b")</f>
        <v>#N/A Requesting Data...</v>
      </c>
      <c r="V92" s="6" t="str">
        <f>_xll.BQL("NOW US Equity", "IS_ADJ_GENL_AND_ADMIN_EXPN_AR/1M", "FPR=2021Y", "FPT=A", "FA_ACT_EST_DATA=E, EST_SOURCE=NDH", "ACT_EST_MAPPING=PRECISE", "FS=MRC", "CURRENCY=USD", "XLFILL=b")</f>
        <v>#N/A Requesting Data...</v>
      </c>
      <c r="W92" s="6" t="str">
        <f>_xll.BQL("NOW US Equity", "IS_ADJ_GENL_AND_ADMIN_EXPN_AR/1M", "FPR=2021Y", "FPT=A", "FA_ACT_EST_DATA=E, EST_SOURCE=ZXS", "ACT_EST_MAPPING=PRECISE", "FS=MRC", "CURRENCY=USD", "XLFILL=b")</f>
        <v>#N/A Requesting Data...</v>
      </c>
      <c r="X92" s="6" t="str">
        <f>_xll.BQL("NOW US Equity", "IS_ADJ_GENL_AND_ADMIN_EXPN_AR/1M", "FPR=2021Y", "FPT=A", "FA_ACT_EST_DATA=E, EST_SOURCE=CWN", "ACT_EST_MAPPING=PRECISE", "FS=MRC", "CURRENCY=USD", "XLFILL=b")</f>
        <v>#N/A Requesting Data...</v>
      </c>
      <c r="Y92" s="6" t="str">
        <f>_xll.BQL("NOW US Equity", "IS_ADJ_GENL_AND_ADMIN_EXPN_AR/1M", "FPR=2021Y", "FPT=A", "FA_ACT_EST_DATA=E, EST_SOURCE=DBG", "ACT_EST_MAPPING=PRECISE", "FS=MRC", "CURRENCY=USD", "XLFILL=b")</f>
        <v>#N/A Requesting Data...</v>
      </c>
      <c r="Z92" s="6" t="str">
        <f>_xll.BQL("NOW US Equity", "IS_ADJ_GENL_AND_ADMIN_EXPN_AR/1M", "FPR=2021Y", "FPT=A", "FA_ACT_EST_DATA=E, EST_SOURCE=UBS", "ACT_EST_MAPPING=PRECISE", "FS=MRC", "CURRENCY=USD", "XLFILL=b")</f>
        <v>#N/A Requesting Data...</v>
      </c>
      <c r="AA92" s="6" t="str">
        <f>_xll.BQL("NOW US Equity", "IS_ADJ_GENL_AND_ADMIN_EXPN_AR/1M", "FPR=2021Y", "FPT=A", "FA_ACT_EST_DATA=E, EST_SOURCE=RBC", "ACT_EST_MAPPING=PRECISE", "FS=MRC", "CURRENCY=USD", "XLFILL=b")</f>
        <v>#N/A Requesting Data...</v>
      </c>
      <c r="AB92" s="6" t="str">
        <f>_xll.BQL("NOW US Equity", "IS_ADJ_GENL_AND_ADMIN_EXPN_AR/1M", "FPR=2021Y", "FPT=A", "FA_ACT_EST_DATA=E, EST_SOURCE=EVR", "ACT_EST_MAPPING=PRECISE", "FS=MRC", "CURRENCY=USD", "XLFILL=b")</f>
        <v>#N/A Requesting Data...</v>
      </c>
      <c r="AC92" s="6" t="str">
        <f>_xll.BQL("NOW US Equity", "IS_ADJ_GENL_AND_ADMIN_EXPN_AR/1M", "FPR=2021Y", "FPT=A", "FA_ACT_EST_DATA=E, EST_SOURCE=BNS", "ACT_EST_MAPPING=PRECISE", "FS=MRC", "CURRENCY=USD", "XLFILL=b")</f>
        <v>#N/A Requesting Data...</v>
      </c>
      <c r="AD92" s="6" t="str">
        <f>_xll.BQL("NOW US Equity", "IS_ADJ_GENL_AND_ADMIN_EXPN_AR/1M", "FPR=2021Y", "FPT=A", "FA_ACT_EST_DATA=E, EST_SOURCE=BAM", "ACT_EST_MAPPING=PRECISE", "FS=MRC", "CURRENCY=USD", "XLFILL=b")</f>
        <v>#N/A Requesting Data...</v>
      </c>
      <c r="AE92" s="6" t="str">
        <f>_xll.BQL("NOW US Equity", "IS_ADJ_GENL_AND_ADMIN_EXPN_AR/1M", "FPR=2021Y", "FPT=A", "FA_ACT_EST_DATA=E, EST_SOURCE=GSR", "ACT_EST_MAPPING=PRECISE", "FS=MRC", "CURRENCY=USD", "XLFILL=b")</f>
        <v>#N/A Requesting Data...</v>
      </c>
      <c r="AF92" s="6" t="str">
        <f>_xll.BQL("NOW US Equity", "IS_ADJ_GENL_AND_ADMIN_EXPN_AR/1M", "FPR=2021Y", "FPT=A", "FA_ACT_EST_DATA=E, EST_SOURCE=FBC", "ACT_EST_MAPPING=PRECISE", "FS=MRC", "CURRENCY=USD", "XLFILL=b")</f>
        <v>#N/A Requesting Data...</v>
      </c>
      <c r="AG92" s="6" t="str">
        <f>_xll.BQL("NOW US Equity", "IS_ADJ_GENL_AND_ADMIN_EXPN_AR/1M", "FPR=2021Y", "FPT=A", "FA_ACT_EST_DATA=E, EST_SOURCE=MAC", "ACT_EST_MAPPING=PRECISE", "FS=MRC", "CURRENCY=USD", "XLFILL=b")</f>
        <v>#N/A Requesting Data...</v>
      </c>
      <c r="AH92" s="6" t="str">
        <f>_xll.BQL("NOW US Equity", "IS_ADJ_GENL_AND_ADMIN_EXPN_AR/1M", "FPR=2021Y", "FPT=A", "FA_ACT_EST_DATA=E, EST_SOURCE=PSG", "ACT_EST_MAPPING=PRECISE", "FS=MRC", "CURRENCY=USD", "XLFILL=b")</f>
        <v>#N/A Requesting Data...</v>
      </c>
      <c r="AI92" s="6" t="str">
        <f>_xll.BQL("NOW US Equity", "IS_ADJ_GENL_AND_ADMIN_EXPN_AR/1M", "FPR=2021Y", "FPT=A", "FA_ACT_EST_DATA=E, EST_SOURCE=MSR", "ACT_EST_MAPPING=PRECISE", "FS=MRC", "CURRENCY=USD", "XLFILL=b")</f>
        <v>#N/A Requesting Data...</v>
      </c>
      <c r="AJ92" s="6" t="str">
        <f>_xll.BQL("NOW US Equity", "IS_ADJ_GENL_AND_ADMIN_EXPN_AR/1M", "FPR=2021Y", "FPT=A", "FA_ACT_EST_DATA=E, EST_SOURCE=JEF", "ACT_EST_MAPPING=PRECISE", "FS=MRC", "CURRENCY=USD", "XLFILL=b")</f>
        <v>#N/A Requesting Data...</v>
      </c>
      <c r="AK92" s="6" t="str">
        <f>_xll.BQL("NOW US Equity", "IS_ADJ_GENL_AND_ADMIN_EXPN_AR/1M", "FPR=2021Y", "FPT=A", "FA_ACT_EST_DATA=E, EST_SOURCE=TTC", "ACT_EST_MAPPING=PRECISE", "FS=MRC", "CURRENCY=USD", "XLFILL=b")</f>
        <v>#N/A Requesting Data...</v>
      </c>
      <c r="AL92" s="6" t="str">
        <f>_xll.BQL("NOW US Equity", "IS_ADJ_GENL_AND_ADMIN_EXPN_AR/1M", "FPR=2021Y", "FPT=A", "FA_ACT_EST_DATA=E, EST_SOURCE=RWB", "ACT_EST_MAPPING=PRECISE", "FS=MRC", "CURRENCY=USD", "XLFILL=b")</f>
        <v>#N/A Requesting Data...</v>
      </c>
      <c r="AM92" s="6" t="str">
        <f>_xll.BQL("NOW US Equity", "IS_ADJ_GENL_AND_ADMIN_EXPN_AR/1M", "FPR=2021Y", "FPT=A", "FA_ACT_EST_DATA=E, EST_SOURCE=DZB", "ACT_EST_MAPPING=PRECISE", "FS=MRC", "CURRENCY=USD", "XLFILL=b")</f>
        <v>#N/A Requesting Data...</v>
      </c>
      <c r="AN92" s="6" t="str">
        <f>_xll.BQL("NOW US Equity", "IS_ADJ_GENL_AND_ADMIN_EXPN_AR/1M", "FPR=2021Y", "FPT=A", "FA_ACT_EST_DATA=E, EST_SOURCE=DWI", "ACT_EST_MAPPING=PRECISE", "FS=MRC", "CURRENCY=USD", "XLFILL=b")</f>
        <v>#N/A Requesting Data...</v>
      </c>
      <c r="AO92" s="6" t="str">
        <f>_xll.BQL("NOW US Equity", "IS_ADJ_GENL_AND_ADMIN_EXPN_AR/1M", "FPR=2021Y", "FPT=A", "FA_ACT_EST_DATA=E, EST_SOURCE=ARG", "ACT_EST_MAPPING=PRECISE", "FS=MRC", "CURRENCY=USD", "XLFILL=b")</f>
        <v>#N/A Requesting Data...</v>
      </c>
      <c r="AP92" s="6" t="str">
        <f>_xll.BQL("NOW US Equity", "IS_ADJ_GENL_AND_ADMIN_EXPN_AR/1M", "FPR=2021Y", "FPT=A", "FA_ACT_EST_DATA=E, EST_SOURCE=CTI", "ACT_EST_MAPPING=PRECISE", "FS=MRC", "CURRENCY=USD", "XLFILL=b")</f>
        <v>#N/A Requesting Data...</v>
      </c>
      <c r="AQ92" s="6" t="str">
        <f>_xll.BQL("NOW US Equity", "IS_ADJ_GENL_AND_ADMIN_EXPN_AR/1M", "FPR=2021Y", "FPT=A", "FA_ACT_EST_DATA=E, EST_SOURCE=WFT", "ACT_EST_MAPPING=PRECISE", "FS=MRC", "CURRENCY=USD", "XLFILL=b")</f>
        <v>#N/A Requesting Data...</v>
      </c>
      <c r="AR92" s="6" t="str">
        <f>_xll.BQL("NOW US Equity", "IS_ADJ_GENL_AND_ADMIN_EXPN_AR/1M", "FPR=2021Y", "FPT=A", "FA_ACT_EST_DATA=E, EST_SOURCE=ARE", "ACT_EST_MAPPING=PRECISE", "FS=MRC", "CURRENCY=USD", "XLFILL=b")</f>
        <v>#N/A Requesting Data...</v>
      </c>
      <c r="AS92" s="6" t="str">
        <f>_xll.BQL("NOW US Equity", "IS_ADJ_GENL_AND_ADMIN_EXPN_AR/1M", "FPR=2021Y", "FPT=A", "FA_ACT_EST_DATA=E, EST_SOURCE=PJE", "ACT_EST_MAPPING=PRECISE", "FS=MRC", "CURRENCY=USD", "XLFILL=b")</f>
        <v>#N/A Requesting Data...</v>
      </c>
      <c r="AT92" s="6" t="str">
        <f>_xll.BQL("NOW US Equity", "IS_ADJ_GENL_AND_ADMIN_EXPN_AR/1M", "FPR=2021Y", "FPT=A", "FA_ACT_EST_DATA=E, EST_SOURCE=MZS", "ACT_EST_MAPPING=PRECISE", "FS=MRC", "CURRENCY=USD", "XLFILL=b")</f>
        <v>#N/A Requesting Data...</v>
      </c>
      <c r="AU92" s="6" t="str">
        <f>_xll.BQL("NOW US Equity", "IS_ADJ_GENL_AND_ADMIN_EXPN_AR/1M", "FPR=2021Y", "FPT=A", "FA_ACT_EST_DATA=E, EST_SOURCE=SUM", "ACT_EST_MAPPING=PRECISE", "FS=MRC", "CURRENCY=USD", "XLFILL=b")</f>
        <v>#N/A Requesting Data...</v>
      </c>
      <c r="AV92" s="6" t="str">
        <f>_xll.BQL("NOW US Equity", "IS_ADJ_GENL_AND_ADMIN_EXPN_AR/1M", "FPR=2021Y", "FPT=A", "FA_ACT_EST_DATA=E, EST_SOURCE=CRC", "ACT_EST_MAPPING=PRECISE", "FS=MRC", "CURRENCY=USD", "XLFILL=b")</f>
        <v>#N/A Requesting Data...</v>
      </c>
      <c r="AW92" s="6" t="str">
        <f>_xll.BQL("NOW US Equity", "IS_ADJ_GENL_AND_ADMIN_EXPN_AR/1M", "FPR=2021Y", "FPT=A", "FA_ACT_EST_DATA=E, EST_SOURCE=SCB", "ACT_EST_MAPPING=PRECISE", "FS=MRC", "CURRENCY=USD", "XLFILL=b")</f>
        <v>#N/A Requesting Data...</v>
      </c>
    </row>
    <row r="93" spans="1:49" x14ac:dyDescent="0.55000000000000004">
      <c r="A93" s="5" t="s">
        <v>104</v>
      </c>
      <c r="B93" s="2" t="s">
        <v>141</v>
      </c>
      <c r="C93" s="2" t="s">
        <v>63</v>
      </c>
      <c r="D93" s="2"/>
      <c r="E93" s="6" t="str">
        <f>_xll.BQL("NOW US Equity", "G_AND_A_COST_PCT_REVENUES", "FPR=2021Y", "FPT=A", "FA_ACT_EST_DATA=E", "ACT_EST_MAPPING=PRECISE", "FS=MRC", "CURRENCY=USD", "XLFILL=b")</f>
        <v>#N/A Requesting Data...</v>
      </c>
      <c r="F93" s="6" t="str">
        <f>_xll.BQL("NOW US Equity", "CONTRIBUTOR_STATS(G_AND_A_COST_PCT_REVENUES, MIN)", "FPR=2021Y", "FPT=A", "FA_ACT_EST_DATA=E", "ACT_EST_MAPPING=PRECISE", "FS=MRC", "CURRENCY=USD", "XLFILL=b")</f>
        <v>#N/A Requesting Data...</v>
      </c>
      <c r="G93" s="6" t="str">
        <f>_xll.BQL("NOW US Equity", "CONTRIBUTOR_STATS(G_AND_A_COST_PCT_REVENUES, MAX)", "FPR=2021Y", "FPT=A", "FA_ACT_EST_DATA=E", "ACT_EST_MAPPING=PRECISE", "FS=MRC", "CURRENCY=USD", "XLFILL=b")</f>
        <v>#N/A Requesting Data...</v>
      </c>
      <c r="H93" s="6" t="str">
        <f>_xll.BQL("NOW US Equity", "CONTRIBUTOR_STATS(G_AND_A_COST_PCT_REVENUES, STD)", "FPR=2021Y", "FPT=A", "FA_ACT_EST_DATA=E", "ACT_EST_MAPPING=PRECISE", "FS=MRC", "CURRENCY=USD", "XLFILL=b")</f>
        <v>#N/A Requesting Data...</v>
      </c>
      <c r="I93" s="6" t="str">
        <f>_xll.BQL("NOW US Equity", "CONTRIBUTOR_STATS(G_AND_A_COST_PCT_REVENUES, MEDIAN)", "FPR=2021Y", "FPT=A", "FA_ACT_EST_DATA=E", "ACT_EST_MAPPING=PRECISE", "FS=MRC", "CURRENCY=USD", "XLFILL=b")</f>
        <v>#N/A Requesting Data...</v>
      </c>
      <c r="J93" s="6" t="str">
        <f>_xll.BQL("NOW US Equity", "G_AND_A_COST_PCT_REVENUES", "FPR=2021Y", "FPT=A", "FA_ACT_EST_DATA=E, EST_SOURCE=CMPY", "ACT_EST_MAPPING=PRECISE", "FS=MRC", "CURRENCY=USD", "XLFILL=b")</f>
        <v>#N/A Requesting Data...</v>
      </c>
      <c r="K93" s="6" t="str">
        <f>_xll.BQL("NOW US Equity", "G_AND_A_COST_PCT_REVENUES", "FPR=2021Y", "FPT=A", "FA_ACT_EST_DATA=E, EST_SOURCE=JPM", "ACT_EST_MAPPING=PRECISE", "FS=MRC", "CURRENCY=USD", "XLFILL=b")</f>
        <v>#N/A Requesting Data...</v>
      </c>
      <c r="L93" s="6" t="str">
        <f>_xll.BQL("NOW US Equity", "G_AND_A_COST_PCT_REVENUES", "FPR=2021Y", "FPT=A", "FA_ACT_EST_DATA=E, EST_SOURCE=WBL", "ACT_EST_MAPPING=PRECISE", "FS=MRC", "CURRENCY=USD", "XLFILL=b")</f>
        <v>#N/A Requesting Data...</v>
      </c>
      <c r="M93" s="6" t="str">
        <f>_xll.BQL("NOW US Equity", "G_AND_A_COST_PCT_REVENUES", "FPR=2021Y", "FPT=A", "FA_ACT_EST_DATA=E, EST_SOURCE=KEY", "ACT_EST_MAPPING=PRECISE", "FS=MRC", "CURRENCY=USD", "XLFILL=b")</f>
        <v>#N/A Requesting Data...</v>
      </c>
      <c r="N93" s="6" t="str">
        <f>_xll.BQL("NOW US Equity", "G_AND_A_COST_PCT_REVENUES", "FPR=2021Y", "FPT=A", "FA_ACT_EST_DATA=E, EST_SOURCE=BMO", "ACT_EST_MAPPING=PRECISE", "FS=MRC", "CURRENCY=USD", "XLFILL=b")</f>
        <v>#N/A Requesting Data...</v>
      </c>
      <c r="O93" s="6" t="str">
        <f>_xll.BQL("NOW US Equity", "G_AND_A_COST_PCT_REVENUES", "FPR=2021Y", "FPT=A", "FA_ACT_EST_DATA=E, EST_SOURCE=OPY", "ACT_EST_MAPPING=PRECISE", "FS=MRC", "CURRENCY=USD", "XLFILL=b")</f>
        <v>#N/A Requesting Data...</v>
      </c>
      <c r="P93" s="6" t="str">
        <f>_xll.BQL("NOW US Equity", "G_AND_A_COST_PCT_REVENUES", "FPR=2021Y", "FPT=A", "FA_ACT_EST_DATA=E, EST_SOURCE=BCA", "ACT_EST_MAPPING=PRECISE", "FS=MRC", "CURRENCY=USD", "XLFILL=b")</f>
        <v>#N/A Requesting Data...</v>
      </c>
      <c r="Q93" s="6" t="str">
        <f>_xll.BQL("NOW US Equity", "G_AND_A_COST_PCT_REVENUES", "FPR=2021Y", "FPT=A", "FA_ACT_EST_DATA=E, EST_SOURCE=RHR", "ACT_EST_MAPPING=PRECISE", "FS=MRC", "CURRENCY=USD", "XLFILL=b")</f>
        <v>#N/A Requesting Data...</v>
      </c>
      <c r="R93" s="6" t="str">
        <f>_xll.BQL("NOW US Equity", "G_AND_A_COST_PCT_REVENUES", "FPR=2021Y", "FPT=A", "FA_ACT_EST_DATA=E, EST_SOURCE=SNR", "ACT_EST_MAPPING=PRECISE", "FS=MRC", "CURRENCY=USD", "XLFILL=b")</f>
        <v>#N/A Requesting Data...</v>
      </c>
      <c r="S93" s="6" t="str">
        <f>_xll.BQL("NOW US Equity", "G_AND_A_COST_PCT_REVENUES", "FPR=2021Y", "FPT=A", "FA_ACT_EST_DATA=E, EST_SOURCE=MSV", "ACT_EST_MAPPING=PRECISE", "FS=MRC", "CURRENCY=USD", "XLFILL=b")</f>
        <v>#N/A Requesting Data...</v>
      </c>
      <c r="T93" s="6" t="str">
        <f>_xll.BQL("NOW US Equity", "G_AND_A_COST_PCT_REVENUES", "FPR=2021Y", "FPT=A", "FA_ACT_EST_DATA=E, EST_SOURCE=CAN", "ACT_EST_MAPPING=PRECISE", "FS=MRC", "CURRENCY=USD", "XLFILL=b")</f>
        <v>#N/A Requesting Data...</v>
      </c>
      <c r="U93" s="6" t="str">
        <f>_xll.BQL("NOW US Equity", "G_AND_A_COST_PCT_REVENUES", "FPR=2021Y", "FPT=A", "FA_ACT_EST_DATA=E, EST_SOURCE=JMP", "ACT_EST_MAPPING=PRECISE", "FS=MRC", "CURRENCY=USD", "XLFILL=b")</f>
        <v>#N/A Requesting Data...</v>
      </c>
      <c r="V93" s="6" t="str">
        <f>_xll.BQL("NOW US Equity", "G_AND_A_COST_PCT_REVENUES", "FPR=2021Y", "FPT=A", "FA_ACT_EST_DATA=E, EST_SOURCE=NDH", "ACT_EST_MAPPING=PRECISE", "FS=MRC", "CURRENCY=USD", "XLFILL=b")</f>
        <v>#N/A Requesting Data...</v>
      </c>
      <c r="W93" s="6" t="str">
        <f>_xll.BQL("NOW US Equity", "G_AND_A_COST_PCT_REVENUES", "FPR=2021Y", "FPT=A", "FA_ACT_EST_DATA=E, EST_SOURCE=ZXS", "ACT_EST_MAPPING=PRECISE", "FS=MRC", "CURRENCY=USD", "XLFILL=b")</f>
        <v>#N/A Requesting Data...</v>
      </c>
      <c r="X93" s="6" t="str">
        <f>_xll.BQL("NOW US Equity", "G_AND_A_COST_PCT_REVENUES", "FPR=2021Y", "FPT=A", "FA_ACT_EST_DATA=E, EST_SOURCE=CWN", "ACT_EST_MAPPING=PRECISE", "FS=MRC", "CURRENCY=USD", "XLFILL=b")</f>
        <v>#N/A Requesting Data...</v>
      </c>
      <c r="Y93" s="6" t="str">
        <f>_xll.BQL("NOW US Equity", "G_AND_A_COST_PCT_REVENUES", "FPR=2021Y", "FPT=A", "FA_ACT_EST_DATA=E, EST_SOURCE=DBG", "ACT_EST_MAPPING=PRECISE", "FS=MRC", "CURRENCY=USD", "XLFILL=b")</f>
        <v>#N/A Requesting Data...</v>
      </c>
      <c r="Z93" s="6" t="str">
        <f>_xll.BQL("NOW US Equity", "G_AND_A_COST_PCT_REVENUES", "FPR=2021Y", "FPT=A", "FA_ACT_EST_DATA=E, EST_SOURCE=UBS", "ACT_EST_MAPPING=PRECISE", "FS=MRC", "CURRENCY=USD", "XLFILL=b")</f>
        <v>#N/A Requesting Data...</v>
      </c>
      <c r="AA93" s="6" t="str">
        <f>_xll.BQL("NOW US Equity", "G_AND_A_COST_PCT_REVENUES", "FPR=2021Y", "FPT=A", "FA_ACT_EST_DATA=E, EST_SOURCE=RBC", "ACT_EST_MAPPING=PRECISE", "FS=MRC", "CURRENCY=USD", "XLFILL=b")</f>
        <v>#N/A Requesting Data...</v>
      </c>
      <c r="AB93" s="6" t="str">
        <f>_xll.BQL("NOW US Equity", "G_AND_A_COST_PCT_REVENUES", "FPR=2021Y", "FPT=A", "FA_ACT_EST_DATA=E, EST_SOURCE=EVR", "ACT_EST_MAPPING=PRECISE", "FS=MRC", "CURRENCY=USD", "XLFILL=b")</f>
        <v>#N/A Requesting Data...</v>
      </c>
      <c r="AC93" s="6" t="str">
        <f>_xll.BQL("NOW US Equity", "G_AND_A_COST_PCT_REVENUES", "FPR=2021Y", "FPT=A", "FA_ACT_EST_DATA=E, EST_SOURCE=BNS", "ACT_EST_MAPPING=PRECISE", "FS=MRC", "CURRENCY=USD", "XLFILL=b")</f>
        <v>#N/A Requesting Data...</v>
      </c>
      <c r="AD93" s="6" t="str">
        <f>_xll.BQL("NOW US Equity", "G_AND_A_COST_PCT_REVENUES", "FPR=2021Y", "FPT=A", "FA_ACT_EST_DATA=E, EST_SOURCE=BAM", "ACT_EST_MAPPING=PRECISE", "FS=MRC", "CURRENCY=USD", "XLFILL=b")</f>
        <v>#N/A Requesting Data...</v>
      </c>
      <c r="AE93" s="6" t="str">
        <f>_xll.BQL("NOW US Equity", "G_AND_A_COST_PCT_REVENUES", "FPR=2021Y", "FPT=A", "FA_ACT_EST_DATA=E, EST_SOURCE=GSR", "ACT_EST_MAPPING=PRECISE", "FS=MRC", "CURRENCY=USD", "XLFILL=b")</f>
        <v>#N/A Requesting Data...</v>
      </c>
      <c r="AF93" s="6" t="str">
        <f>_xll.BQL("NOW US Equity", "G_AND_A_COST_PCT_REVENUES", "FPR=2021Y", "FPT=A", "FA_ACT_EST_DATA=E, EST_SOURCE=FBC", "ACT_EST_MAPPING=PRECISE", "FS=MRC", "CURRENCY=USD", "XLFILL=b")</f>
        <v>#N/A Requesting Data...</v>
      </c>
      <c r="AG93" s="6" t="str">
        <f>_xll.BQL("NOW US Equity", "G_AND_A_COST_PCT_REVENUES", "FPR=2021Y", "FPT=A", "FA_ACT_EST_DATA=E, EST_SOURCE=MAC", "ACT_EST_MAPPING=PRECISE", "FS=MRC", "CURRENCY=USD", "XLFILL=b")</f>
        <v>#N/A Requesting Data...</v>
      </c>
      <c r="AH93" s="6" t="str">
        <f>_xll.BQL("NOW US Equity", "G_AND_A_COST_PCT_REVENUES", "FPR=2021Y", "FPT=A", "FA_ACT_EST_DATA=E, EST_SOURCE=PSG", "ACT_EST_MAPPING=PRECISE", "FS=MRC", "CURRENCY=USD", "XLFILL=b")</f>
        <v>#N/A Requesting Data...</v>
      </c>
      <c r="AI93" s="6" t="str">
        <f>_xll.BQL("NOW US Equity", "G_AND_A_COST_PCT_REVENUES", "FPR=2021Y", "FPT=A", "FA_ACT_EST_DATA=E, EST_SOURCE=MSR", "ACT_EST_MAPPING=PRECISE", "FS=MRC", "CURRENCY=USD", "XLFILL=b")</f>
        <v>#N/A Requesting Data...</v>
      </c>
      <c r="AJ93" s="6" t="str">
        <f>_xll.BQL("NOW US Equity", "G_AND_A_COST_PCT_REVENUES", "FPR=2021Y", "FPT=A", "FA_ACT_EST_DATA=E, EST_SOURCE=JEF", "ACT_EST_MAPPING=PRECISE", "FS=MRC", "CURRENCY=USD", "XLFILL=b")</f>
        <v>#N/A Requesting Data...</v>
      </c>
      <c r="AK93" s="6" t="str">
        <f>_xll.BQL("NOW US Equity", "G_AND_A_COST_PCT_REVENUES", "FPR=2021Y", "FPT=A", "FA_ACT_EST_DATA=E, EST_SOURCE=TTC", "ACT_EST_MAPPING=PRECISE", "FS=MRC", "CURRENCY=USD", "XLFILL=b")</f>
        <v>#N/A Requesting Data...</v>
      </c>
      <c r="AL93" s="6" t="str">
        <f>_xll.BQL("NOW US Equity", "G_AND_A_COST_PCT_REVENUES", "FPR=2021Y", "FPT=A", "FA_ACT_EST_DATA=E, EST_SOURCE=RWB", "ACT_EST_MAPPING=PRECISE", "FS=MRC", "CURRENCY=USD", "XLFILL=b")</f>
        <v>#N/A Requesting Data...</v>
      </c>
      <c r="AM93" s="6" t="str">
        <f>_xll.BQL("NOW US Equity", "G_AND_A_COST_PCT_REVENUES", "FPR=2021Y", "FPT=A", "FA_ACT_EST_DATA=E, EST_SOURCE=DZB", "ACT_EST_MAPPING=PRECISE", "FS=MRC", "CURRENCY=USD", "XLFILL=b")</f>
        <v>#N/A Requesting Data...</v>
      </c>
      <c r="AN93" s="6" t="str">
        <f>_xll.BQL("NOW US Equity", "G_AND_A_COST_PCT_REVENUES", "FPR=2021Y", "FPT=A", "FA_ACT_EST_DATA=E, EST_SOURCE=DWI", "ACT_EST_MAPPING=PRECISE", "FS=MRC", "CURRENCY=USD", "XLFILL=b")</f>
        <v>#N/A Requesting Data...</v>
      </c>
      <c r="AO93" s="6" t="str">
        <f>_xll.BQL("NOW US Equity", "G_AND_A_COST_PCT_REVENUES", "FPR=2021Y", "FPT=A", "FA_ACT_EST_DATA=E, EST_SOURCE=ARG", "ACT_EST_MAPPING=PRECISE", "FS=MRC", "CURRENCY=USD", "XLFILL=b")</f>
        <v>#N/A Requesting Data...</v>
      </c>
      <c r="AP93" s="6" t="str">
        <f>_xll.BQL("NOW US Equity", "G_AND_A_COST_PCT_REVENUES", "FPR=2021Y", "FPT=A", "FA_ACT_EST_DATA=E, EST_SOURCE=CTI", "ACT_EST_MAPPING=PRECISE", "FS=MRC", "CURRENCY=USD", "XLFILL=b")</f>
        <v>#N/A Requesting Data...</v>
      </c>
      <c r="AQ93" s="6" t="str">
        <f>_xll.BQL("NOW US Equity", "G_AND_A_COST_PCT_REVENUES", "FPR=2021Y", "FPT=A", "FA_ACT_EST_DATA=E, EST_SOURCE=WFT", "ACT_EST_MAPPING=PRECISE", "FS=MRC", "CURRENCY=USD", "XLFILL=b")</f>
        <v>#N/A Requesting Data...</v>
      </c>
      <c r="AR93" s="6" t="str">
        <f>_xll.BQL("NOW US Equity", "G_AND_A_COST_PCT_REVENUES", "FPR=2021Y", "FPT=A", "FA_ACT_EST_DATA=E, EST_SOURCE=ARE", "ACT_EST_MAPPING=PRECISE", "FS=MRC", "CURRENCY=USD", "XLFILL=b")</f>
        <v>#N/A Requesting Data...</v>
      </c>
      <c r="AS93" s="6" t="str">
        <f>_xll.BQL("NOW US Equity", "G_AND_A_COST_PCT_REVENUES", "FPR=2021Y", "FPT=A", "FA_ACT_EST_DATA=E, EST_SOURCE=PJE", "ACT_EST_MAPPING=PRECISE", "FS=MRC", "CURRENCY=USD", "XLFILL=b")</f>
        <v>#N/A Requesting Data...</v>
      </c>
      <c r="AT93" s="6" t="str">
        <f>_xll.BQL("NOW US Equity", "G_AND_A_COST_PCT_REVENUES", "FPR=2021Y", "FPT=A", "FA_ACT_EST_DATA=E, EST_SOURCE=MZS", "ACT_EST_MAPPING=PRECISE", "FS=MRC", "CURRENCY=USD", "XLFILL=b")</f>
        <v>#N/A Requesting Data...</v>
      </c>
      <c r="AU93" s="6" t="str">
        <f>_xll.BQL("NOW US Equity", "G_AND_A_COST_PCT_REVENUES", "FPR=2021Y", "FPT=A", "FA_ACT_EST_DATA=E, EST_SOURCE=SUM", "ACT_EST_MAPPING=PRECISE", "FS=MRC", "CURRENCY=USD", "XLFILL=b")</f>
        <v>#N/A Requesting Data...</v>
      </c>
      <c r="AV93" s="6" t="str">
        <f>_xll.BQL("NOW US Equity", "G_AND_A_COST_PCT_REVENUES", "FPR=2021Y", "FPT=A", "FA_ACT_EST_DATA=E, EST_SOURCE=CRC", "ACT_EST_MAPPING=PRECISE", "FS=MRC", "CURRENCY=USD", "XLFILL=b")</f>
        <v>#N/A Requesting Data...</v>
      </c>
      <c r="AW93" s="6" t="str">
        <f>_xll.BQL("NOW US Equity", "G_AND_A_COST_PCT_REVENUES", "FPR=2021Y", "FPT=A", "FA_ACT_EST_DATA=E, EST_SOURCE=SCB", "ACT_EST_MAPPING=PRECISE", "FS=MRC", "CURRENCY=USD", "XLFILL=b")</f>
        <v>#N/A Requesting Data...</v>
      </c>
    </row>
    <row r="94" spans="1:49" x14ac:dyDescent="0.55000000000000004">
      <c r="A94" s="5" t="s">
        <v>23</v>
      </c>
      <c r="B94" s="2"/>
      <c r="C94" s="2"/>
      <c r="D94" s="2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</row>
    <row r="95" spans="1:49" x14ac:dyDescent="0.55000000000000004">
      <c r="A95" s="5" t="s">
        <v>142</v>
      </c>
      <c r="B95" s="2" t="s">
        <v>143</v>
      </c>
      <c r="C95" s="2" t="s">
        <v>144</v>
      </c>
      <c r="D95" s="2"/>
      <c r="E95" s="6" t="str">
        <f>_xll.BQL("NOW US Equity", "IS_COMPARABLE_EBIT/1M", "FPR=2021Y", "FPT=A", "FA_ACT_EST_DATA=E", "ACT_EST_MAPPING=PRECISE", "FS=MRC", "CURRENCY=USD", "XLFILL=b")</f>
        <v>#N/A Requesting Data...</v>
      </c>
      <c r="F95" s="6" t="str">
        <f>_xll.BQL("NOW US Equity", "CONTRIBUTOR_STATS(IS_COMPARABLE_EBIT, MIN)/1M", "FPR=2021Y", "FPT=A", "FA_ACT_EST_DATA=E", "ACT_EST_MAPPING=PRECISE", "FS=MRC", "CURRENCY=USD", "XLFILL=b")</f>
        <v>#N/A Requesting Data...</v>
      </c>
      <c r="G95" s="6" t="str">
        <f>_xll.BQL("NOW US Equity", "CONTRIBUTOR_STATS(IS_COMPARABLE_EBIT, MAX)/1M", "FPR=2021Y", "FPT=A", "FA_ACT_EST_DATA=E", "ACT_EST_MAPPING=PRECISE", "FS=MRC", "CURRENCY=USD", "XLFILL=b")</f>
        <v>#N/A Requesting Data...</v>
      </c>
      <c r="H95" s="6" t="str">
        <f>_xll.BQL("NOW US Equity", "CONTRIBUTOR_STATS(IS_COMPARABLE_EBIT, STD)/1M", "FPR=2021Y", "FPT=A", "FA_ACT_EST_DATA=E", "ACT_EST_MAPPING=PRECISE", "FS=MRC", "CURRENCY=USD", "XLFILL=b")</f>
        <v>#N/A Requesting Data...</v>
      </c>
      <c r="I95" s="6" t="str">
        <f>_xll.BQL("NOW US Equity", "CONTRIBUTOR_STATS(IS_COMPARABLE_EBIT, MEDIAN)/1M", "FPR=2021Y", "FPT=A", "FA_ACT_EST_DATA=E", "ACT_EST_MAPPING=PRECISE", "FS=MRC", "CURRENCY=USD", "XLFILL=b")</f>
        <v>#N/A Requesting Data...</v>
      </c>
      <c r="J95" s="6" t="str">
        <f>_xll.BQL("NOW US Equity", "IS_COMPARABLE_EBIT/1M", "FPR=2021Y", "FPT=A", "FA_ACT_EST_DATA=E, EST_SOURCE=CMPY", "ACT_EST_MAPPING=PRECISE", "FS=MRC", "CURRENCY=USD", "XLFILL=b")</f>
        <v>#N/A Requesting Data...</v>
      </c>
      <c r="K95" s="6" t="str">
        <f>_xll.BQL("NOW US Equity", "IS_COMPARABLE_EBIT/1M", "FPR=2021Y", "FPT=A", "FA_ACT_EST_DATA=E, EST_SOURCE=JPM", "ACT_EST_MAPPING=PRECISE", "FS=MRC", "CURRENCY=USD", "XLFILL=b")</f>
        <v>#N/A Requesting Data...</v>
      </c>
      <c r="L95" s="6" t="str">
        <f>_xll.BQL("NOW US Equity", "IS_COMPARABLE_EBIT/1M", "FPR=2021Y", "FPT=A", "FA_ACT_EST_DATA=E, EST_SOURCE=WBL", "ACT_EST_MAPPING=PRECISE", "FS=MRC", "CURRENCY=USD", "XLFILL=b")</f>
        <v>#N/A Requesting Data...</v>
      </c>
      <c r="M95" s="6" t="str">
        <f>_xll.BQL("NOW US Equity", "IS_COMPARABLE_EBIT/1M", "FPR=2021Y", "FPT=A", "FA_ACT_EST_DATA=E, EST_SOURCE=KEY", "ACT_EST_MAPPING=PRECISE", "FS=MRC", "CURRENCY=USD", "XLFILL=b")</f>
        <v>#N/A Requesting Data...</v>
      </c>
      <c r="N95" s="6">
        <f>_xll.BQL("NOW US Equity", "IS_COMPARABLE_EBIT/1M", "FPR=2021Y", "FPT=A", "FA_ACT_EST_DATA=E, EST_SOURCE=BMO", "ACT_EST_MAPPING=PRECISE", "FS=MRC", "CURRENCY=USD", "XLFILL=b")</f>
        <v>1471</v>
      </c>
      <c r="O95" s="6" t="str">
        <f>_xll.BQL("NOW US Equity", "IS_COMPARABLE_EBIT/1M", "FPR=2021Y", "FPT=A", "FA_ACT_EST_DATA=E, EST_SOURCE=OPY", "ACT_EST_MAPPING=PRECISE", "FS=MRC", "CURRENCY=USD", "XLFILL=b")</f>
        <v>#N/A Requesting Data...</v>
      </c>
      <c r="P95" s="6" t="str">
        <f>_xll.BQL("NOW US Equity", "IS_COMPARABLE_EBIT/1M", "FPR=2021Y", "FPT=A", "FA_ACT_EST_DATA=E, EST_SOURCE=BCA", "ACT_EST_MAPPING=PRECISE", "FS=MRC", "CURRENCY=USD", "XLFILL=b")</f>
        <v>#N/A Requesting Data...</v>
      </c>
      <c r="Q95" s="6">
        <f>_xll.BQL("NOW US Equity", "IS_COMPARABLE_EBIT/1M", "FPR=2021Y", "FPT=A", "FA_ACT_EST_DATA=E, EST_SOURCE=RHR", "ACT_EST_MAPPING=PRECISE", "FS=MRC", "CURRENCY=USD", "XLFILL=b")</f>
        <v>1467</v>
      </c>
      <c r="R95" s="6">
        <f>_xll.BQL("NOW US Equity", "IS_COMPARABLE_EBIT/1M", "FPR=2021Y", "FPT=A", "FA_ACT_EST_DATA=E, EST_SOURCE=SNR", "ACT_EST_MAPPING=PRECISE", "FS=MRC", "CURRENCY=USD", "XLFILL=b")</f>
        <v>1470</v>
      </c>
      <c r="S95" s="6" t="str">
        <f>_xll.BQL("NOW US Equity", "IS_COMPARABLE_EBIT/1M", "FPR=2021Y", "FPT=A", "FA_ACT_EST_DATA=E, EST_SOURCE=MSV", "ACT_EST_MAPPING=PRECISE", "FS=MRC", "CURRENCY=USD", "XLFILL=b")</f>
        <v>#N/A Requesting Data...</v>
      </c>
      <c r="T95" s="6" t="str">
        <f>_xll.BQL("NOW US Equity", "IS_COMPARABLE_EBIT/1M", "FPR=2021Y", "FPT=A", "FA_ACT_EST_DATA=E, EST_SOURCE=CAN", "ACT_EST_MAPPING=PRECISE", "FS=MRC", "CURRENCY=USD", "XLFILL=b")</f>
        <v>#N/A Requesting Data...</v>
      </c>
      <c r="U95" s="6">
        <f>_xll.BQL("NOW US Equity", "IS_COMPARABLE_EBIT/1M", "FPR=2021Y", "FPT=A", "FA_ACT_EST_DATA=E, EST_SOURCE=JMP", "ACT_EST_MAPPING=PRECISE", "FS=MRC", "CURRENCY=USD", "XLFILL=b")</f>
        <v>1466</v>
      </c>
      <c r="V95" s="6" t="str">
        <f>_xll.BQL("NOW US Equity", "IS_COMPARABLE_EBIT/1M", "FPR=2021Y", "FPT=A", "FA_ACT_EST_DATA=E, EST_SOURCE=NDH", "ACT_EST_MAPPING=PRECISE", "FS=MRC", "CURRENCY=USD", "XLFILL=b")</f>
        <v>#N/A Requesting Data...</v>
      </c>
      <c r="W95" s="6" t="str">
        <f>_xll.BQL("NOW US Equity", "IS_COMPARABLE_EBIT/1M", "FPR=2021Y", "FPT=A", "FA_ACT_EST_DATA=E, EST_SOURCE=ZXS", "ACT_EST_MAPPING=PRECISE", "FS=MRC", "CURRENCY=USD", "XLFILL=b")</f>
        <v>#N/A Requesting Data...</v>
      </c>
      <c r="X95" s="6" t="str">
        <f>_xll.BQL("NOW US Equity", "IS_COMPARABLE_EBIT/1M", "FPR=2021Y", "FPT=A", "FA_ACT_EST_DATA=E, EST_SOURCE=CWN", "ACT_EST_MAPPING=PRECISE", "FS=MRC", "CURRENCY=USD", "XLFILL=b")</f>
        <v>#N/A Requesting Data...</v>
      </c>
      <c r="Y95" s="6" t="str">
        <f>_xll.BQL("NOW US Equity", "IS_COMPARABLE_EBIT/1M", "FPR=2021Y", "FPT=A", "FA_ACT_EST_DATA=E, EST_SOURCE=DBG", "ACT_EST_MAPPING=PRECISE", "FS=MRC", "CURRENCY=USD", "XLFILL=b")</f>
        <v>#N/A Requesting Data...</v>
      </c>
      <c r="Z95" s="6" t="str">
        <f>_xll.BQL("NOW US Equity", "IS_COMPARABLE_EBIT/1M", "FPR=2021Y", "FPT=A", "FA_ACT_EST_DATA=E, EST_SOURCE=UBS", "ACT_EST_MAPPING=PRECISE", "FS=MRC", "CURRENCY=USD", "XLFILL=b")</f>
        <v>#N/A Requesting Data...</v>
      </c>
      <c r="AA95" s="6" t="str">
        <f>_xll.BQL("NOW US Equity", "IS_COMPARABLE_EBIT/1M", "FPR=2021Y", "FPT=A", "FA_ACT_EST_DATA=E, EST_SOURCE=RBC", "ACT_EST_MAPPING=PRECISE", "FS=MRC", "CURRENCY=USD", "XLFILL=b")</f>
        <v>#N/A Requesting Data...</v>
      </c>
      <c r="AB95" s="6" t="str">
        <f>_xll.BQL("NOW US Equity", "IS_COMPARABLE_EBIT/1M", "FPR=2021Y", "FPT=A", "FA_ACT_EST_DATA=E, EST_SOURCE=EVR", "ACT_EST_MAPPING=PRECISE", "FS=MRC", "CURRENCY=USD", "XLFILL=b")</f>
        <v>#N/A Requesting Data...</v>
      </c>
      <c r="AC95" s="6">
        <f>_xll.BQL("NOW US Equity", "IS_COMPARABLE_EBIT/1M", "FPR=2021Y", "FPT=A", "FA_ACT_EST_DATA=E, EST_SOURCE=BNS", "ACT_EST_MAPPING=PRECISE", "FS=MRC", "CURRENCY=USD", "XLFILL=b")</f>
        <v>1473</v>
      </c>
      <c r="AD95" s="6" t="str">
        <f>_xll.BQL("NOW US Equity", "IS_COMPARABLE_EBIT/1M", "FPR=2021Y", "FPT=A", "FA_ACT_EST_DATA=E, EST_SOURCE=BAM", "ACT_EST_MAPPING=PRECISE", "FS=MRC", "CURRENCY=USD", "XLFILL=b")</f>
        <v>#N/A Requesting Data...</v>
      </c>
      <c r="AE95" s="6" t="str">
        <f>_xll.BQL("NOW US Equity", "IS_COMPARABLE_EBIT/1M", "FPR=2021Y", "FPT=A", "FA_ACT_EST_DATA=E, EST_SOURCE=GSR", "ACT_EST_MAPPING=PRECISE", "FS=MRC", "CURRENCY=USD", "XLFILL=b")</f>
        <v>#N/A Requesting Data...</v>
      </c>
      <c r="AF95" s="6" t="str">
        <f>_xll.BQL("NOW US Equity", "IS_COMPARABLE_EBIT/1M", "FPR=2021Y", "FPT=A", "FA_ACT_EST_DATA=E, EST_SOURCE=FBC", "ACT_EST_MAPPING=PRECISE", "FS=MRC", "CURRENCY=USD", "XLFILL=b")</f>
        <v>#N/A Requesting Data...</v>
      </c>
      <c r="AG95" s="6" t="str">
        <f>_xll.BQL("NOW US Equity", "IS_COMPARABLE_EBIT/1M", "FPR=2021Y", "FPT=A", "FA_ACT_EST_DATA=E, EST_SOURCE=MAC", "ACT_EST_MAPPING=PRECISE", "FS=MRC", "CURRENCY=USD", "XLFILL=b")</f>
        <v>#N/A Requesting Data...</v>
      </c>
      <c r="AH95" s="6" t="str">
        <f>_xll.BQL("NOW US Equity", "IS_COMPARABLE_EBIT/1M", "FPR=2021Y", "FPT=A", "FA_ACT_EST_DATA=E, EST_SOURCE=PSG", "ACT_EST_MAPPING=PRECISE", "FS=MRC", "CURRENCY=USD", "XLFILL=b")</f>
        <v>#N/A Requesting Data...</v>
      </c>
      <c r="AI95" s="6" t="str">
        <f>_xll.BQL("NOW US Equity", "IS_COMPARABLE_EBIT/1M", "FPR=2021Y", "FPT=A", "FA_ACT_EST_DATA=E, EST_SOURCE=MSR", "ACT_EST_MAPPING=PRECISE", "FS=MRC", "CURRENCY=USD", "XLFILL=b")</f>
        <v>#N/A Requesting Data...</v>
      </c>
      <c r="AJ95" s="6" t="str">
        <f>_xll.BQL("NOW US Equity", "IS_COMPARABLE_EBIT/1M", "FPR=2021Y", "FPT=A", "FA_ACT_EST_DATA=E, EST_SOURCE=JEF", "ACT_EST_MAPPING=PRECISE", "FS=MRC", "CURRENCY=USD", "XLFILL=b")</f>
        <v>#N/A Requesting Data...</v>
      </c>
      <c r="AK95" s="6" t="str">
        <f>_xll.BQL("NOW US Equity", "IS_COMPARABLE_EBIT/1M", "FPR=2021Y", "FPT=A", "FA_ACT_EST_DATA=E, EST_SOURCE=TTC", "ACT_EST_MAPPING=PRECISE", "FS=MRC", "CURRENCY=USD", "XLFILL=b")</f>
        <v>#N/A Requesting Data...</v>
      </c>
      <c r="AL95" s="6" t="str">
        <f>_xll.BQL("NOW US Equity", "IS_COMPARABLE_EBIT/1M", "FPR=2021Y", "FPT=A", "FA_ACT_EST_DATA=E, EST_SOURCE=RWB", "ACT_EST_MAPPING=PRECISE", "FS=MRC", "CURRENCY=USD", "XLFILL=b")</f>
        <v>#N/A Requesting Data...</v>
      </c>
      <c r="AM95" s="6" t="str">
        <f>_xll.BQL("NOW US Equity", "IS_COMPARABLE_EBIT/1M", "FPR=2021Y", "FPT=A", "FA_ACT_EST_DATA=E, EST_SOURCE=DZB", "ACT_EST_MAPPING=PRECISE", "FS=MRC", "CURRENCY=USD", "XLFILL=b")</f>
        <v>#N/A Requesting Data...</v>
      </c>
      <c r="AN95" s="6" t="str">
        <f>_xll.BQL("NOW US Equity", "IS_COMPARABLE_EBIT/1M", "FPR=2021Y", "FPT=A", "FA_ACT_EST_DATA=E, EST_SOURCE=DWI", "ACT_EST_MAPPING=PRECISE", "FS=MRC", "CURRENCY=USD", "XLFILL=b")</f>
        <v>#N/A Requesting Data...</v>
      </c>
      <c r="AO95" s="6" t="str">
        <f>_xll.BQL("NOW US Equity", "IS_COMPARABLE_EBIT/1M", "FPR=2021Y", "FPT=A", "FA_ACT_EST_DATA=E, EST_SOURCE=ARG", "ACT_EST_MAPPING=PRECISE", "FS=MRC", "CURRENCY=USD", "XLFILL=b")</f>
        <v>#N/A Requesting Data...</v>
      </c>
      <c r="AP95" s="6" t="str">
        <f>_xll.BQL("NOW US Equity", "IS_COMPARABLE_EBIT/1M", "FPR=2021Y", "FPT=A", "FA_ACT_EST_DATA=E, EST_SOURCE=CTI", "ACT_EST_MAPPING=PRECISE", "FS=MRC", "CURRENCY=USD", "XLFILL=b")</f>
        <v>#N/A Requesting Data...</v>
      </c>
      <c r="AQ95" s="6" t="str">
        <f>_xll.BQL("NOW US Equity", "IS_COMPARABLE_EBIT/1M", "FPR=2021Y", "FPT=A", "FA_ACT_EST_DATA=E, EST_SOURCE=WFT", "ACT_EST_MAPPING=PRECISE", "FS=MRC", "CURRENCY=USD", "XLFILL=b")</f>
        <v>#N/A Requesting Data...</v>
      </c>
      <c r="AR95" s="6" t="str">
        <f>_xll.BQL("NOW US Equity", "IS_COMPARABLE_EBIT/1M", "FPR=2021Y", "FPT=A", "FA_ACT_EST_DATA=E, EST_SOURCE=ARE", "ACT_EST_MAPPING=PRECISE", "FS=MRC", "CURRENCY=USD", "XLFILL=b")</f>
        <v>#N/A Requesting Data...</v>
      </c>
      <c r="AS95" s="6" t="str">
        <f>_xll.BQL("NOW US Equity", "IS_COMPARABLE_EBIT/1M", "FPR=2021Y", "FPT=A", "FA_ACT_EST_DATA=E, EST_SOURCE=PJE", "ACT_EST_MAPPING=PRECISE", "FS=MRC", "CURRENCY=USD", "XLFILL=b")</f>
        <v>#N/A Requesting Data...</v>
      </c>
      <c r="AT95" s="6" t="str">
        <f>_xll.BQL("NOW US Equity", "IS_COMPARABLE_EBIT/1M", "FPR=2021Y", "FPT=A", "FA_ACT_EST_DATA=E, EST_SOURCE=MZS", "ACT_EST_MAPPING=PRECISE", "FS=MRC", "CURRENCY=USD", "XLFILL=b")</f>
        <v>#N/A Requesting Data...</v>
      </c>
      <c r="AU95" s="6" t="str">
        <f>_xll.BQL("NOW US Equity", "IS_COMPARABLE_EBIT/1M", "FPR=2021Y", "FPT=A", "FA_ACT_EST_DATA=E, EST_SOURCE=SUM", "ACT_EST_MAPPING=PRECISE", "FS=MRC", "CURRENCY=USD", "XLFILL=b")</f>
        <v>#N/A Requesting Data...</v>
      </c>
      <c r="AV95" s="6" t="str">
        <f>_xll.BQL("NOW US Equity", "IS_COMPARABLE_EBIT/1M", "FPR=2021Y", "FPT=A", "FA_ACT_EST_DATA=E, EST_SOURCE=CRC", "ACT_EST_MAPPING=PRECISE", "FS=MRC", "CURRENCY=USD", "XLFILL=b")</f>
        <v>#N/A Requesting Data...</v>
      </c>
      <c r="AW95" s="6" t="str">
        <f>_xll.BQL("NOW US Equity", "IS_COMPARABLE_EBIT/1M", "FPR=2021Y", "FPT=A", "FA_ACT_EST_DATA=E, EST_SOURCE=SCB", "ACT_EST_MAPPING=PRECISE", "FS=MRC", "CURRENCY=USD", "XLFILL=b")</f>
        <v>#N/A Requesting Data...</v>
      </c>
    </row>
    <row r="96" spans="1:49" x14ac:dyDescent="0.55000000000000004">
      <c r="A96" s="5" t="s">
        <v>145</v>
      </c>
      <c r="B96" s="2" t="s">
        <v>65</v>
      </c>
      <c r="C96" s="2" t="s">
        <v>146</v>
      </c>
      <c r="D96" s="2"/>
      <c r="E96" s="6" t="str">
        <f>_xll.BQL("NOW US Equity", "ADJ_OPERATING_MARGIN", "FPR=2021Y", "FPT=A", "FA_ACT_EST_DATA=E", "ACT_EST_MAPPING=PRECISE", "FS=MRC", "CURRENCY=USD", "XLFILL=b")</f>
        <v>#N/A Requesting Data...</v>
      </c>
      <c r="F96" s="6" t="str">
        <f>_xll.BQL("NOW US Equity", "CONTRIBUTOR_STATS(ADJ_OPERATING_MARGIN, MIN)", "FPR=2021Y", "FPT=A", "FA_ACT_EST_DATA=E", "ACT_EST_MAPPING=PRECISE", "FS=MRC", "CURRENCY=USD", "XLFILL=b")</f>
        <v>#N/A Requesting Data...</v>
      </c>
      <c r="G96" s="6" t="str">
        <f>_xll.BQL("NOW US Equity", "CONTRIBUTOR_STATS(ADJ_OPERATING_MARGIN, MAX)", "FPR=2021Y", "FPT=A", "FA_ACT_EST_DATA=E", "ACT_EST_MAPPING=PRECISE", "FS=MRC", "CURRENCY=USD", "XLFILL=b")</f>
        <v>#N/A Requesting Data...</v>
      </c>
      <c r="H96" s="6" t="str">
        <f>_xll.BQL("NOW US Equity", "CONTRIBUTOR_STATS(ADJ_OPERATING_MARGIN, STD)", "FPR=2021Y", "FPT=A", "FA_ACT_EST_DATA=E", "ACT_EST_MAPPING=PRECISE", "FS=MRC", "CURRENCY=USD", "XLFILL=b")</f>
        <v>#N/A Requesting Data...</v>
      </c>
      <c r="I96" s="6" t="str">
        <f>_xll.BQL("NOW US Equity", "CONTRIBUTOR_STATS(ADJ_OPERATING_MARGIN, MEDIAN)", "FPR=2021Y", "FPT=A", "FA_ACT_EST_DATA=E", "ACT_EST_MAPPING=PRECISE", "FS=MRC", "CURRENCY=USD", "XLFILL=b")</f>
        <v>#N/A Requesting Data...</v>
      </c>
      <c r="J96" s="6" t="str">
        <f>_xll.BQL("NOW US Equity", "ADJ_OPERATING_MARGIN", "FPR=2021Y", "FPT=A", "FA_ACT_EST_DATA=E, EST_SOURCE=CMPY", "ACT_EST_MAPPING=PRECISE", "FS=MRC", "CURRENCY=USD", "XLFILL=b")</f>
        <v>#N/A Requesting Data...</v>
      </c>
      <c r="K96" s="6" t="str">
        <f>_xll.BQL("NOW US Equity", "ADJ_OPERATING_MARGIN", "FPR=2021Y", "FPT=A", "FA_ACT_EST_DATA=E, EST_SOURCE=JPM", "ACT_EST_MAPPING=PRECISE", "FS=MRC", "CURRENCY=USD", "XLFILL=b")</f>
        <v>#N/A Requesting Data...</v>
      </c>
      <c r="L96" s="6" t="str">
        <f>_xll.BQL("NOW US Equity", "ADJ_OPERATING_MARGIN", "FPR=2021Y", "FPT=A", "FA_ACT_EST_DATA=E, EST_SOURCE=WBL", "ACT_EST_MAPPING=PRECISE", "FS=MRC", "CURRENCY=USD", "XLFILL=b")</f>
        <v>#N/A Requesting Data...</v>
      </c>
      <c r="M96" s="6" t="str">
        <f>_xll.BQL("NOW US Equity", "ADJ_OPERATING_MARGIN", "FPR=2021Y", "FPT=A", "FA_ACT_EST_DATA=E, EST_SOURCE=KEY", "ACT_EST_MAPPING=PRECISE", "FS=MRC", "CURRENCY=USD", "XLFILL=b")</f>
        <v>#N/A Requesting Data...</v>
      </c>
      <c r="N96" s="6" t="str">
        <f>_xll.BQL("NOW US Equity", "ADJ_OPERATING_MARGIN", "FPR=2021Y", "FPT=A", "FA_ACT_EST_DATA=E, EST_SOURCE=BMO", "ACT_EST_MAPPING=PRECISE", "FS=MRC", "CURRENCY=USD", "XLFILL=b")</f>
        <v>#N/A Requesting Data...</v>
      </c>
      <c r="O96" s="6" t="str">
        <f>_xll.BQL("NOW US Equity", "ADJ_OPERATING_MARGIN", "FPR=2021Y", "FPT=A", "FA_ACT_EST_DATA=E, EST_SOURCE=OPY", "ACT_EST_MAPPING=PRECISE", "FS=MRC", "CURRENCY=USD", "XLFILL=b")</f>
        <v>#N/A Requesting Data...</v>
      </c>
      <c r="P96" s="6" t="str">
        <f>_xll.BQL("NOW US Equity", "ADJ_OPERATING_MARGIN", "FPR=2021Y", "FPT=A", "FA_ACT_EST_DATA=E, EST_SOURCE=BCA", "ACT_EST_MAPPING=PRECISE", "FS=MRC", "CURRENCY=USD", "XLFILL=b")</f>
        <v>#N/A Requesting Data...</v>
      </c>
      <c r="Q96" s="6" t="str">
        <f>_xll.BQL("NOW US Equity", "ADJ_OPERATING_MARGIN", "FPR=2021Y", "FPT=A", "FA_ACT_EST_DATA=E, EST_SOURCE=RHR", "ACT_EST_MAPPING=PRECISE", "FS=MRC", "CURRENCY=USD", "XLFILL=b")</f>
        <v>#N/A Requesting Data...</v>
      </c>
      <c r="R96" s="6" t="str">
        <f>_xll.BQL("NOW US Equity", "ADJ_OPERATING_MARGIN", "FPR=2021Y", "FPT=A", "FA_ACT_EST_DATA=E, EST_SOURCE=SNR", "ACT_EST_MAPPING=PRECISE", "FS=MRC", "CURRENCY=USD", "XLFILL=b")</f>
        <v>#N/A Requesting Data...</v>
      </c>
      <c r="S96" s="6" t="str">
        <f>_xll.BQL("NOW US Equity", "ADJ_OPERATING_MARGIN", "FPR=2021Y", "FPT=A", "FA_ACT_EST_DATA=E, EST_SOURCE=MSV", "ACT_EST_MAPPING=PRECISE", "FS=MRC", "CURRENCY=USD", "XLFILL=b")</f>
        <v>#N/A Requesting Data...</v>
      </c>
      <c r="T96" s="6" t="str">
        <f>_xll.BQL("NOW US Equity", "ADJ_OPERATING_MARGIN", "FPR=2021Y", "FPT=A", "FA_ACT_EST_DATA=E, EST_SOURCE=CAN", "ACT_EST_MAPPING=PRECISE", "FS=MRC", "CURRENCY=USD", "XLFILL=b")</f>
        <v>#N/A Requesting Data...</v>
      </c>
      <c r="U96" s="6" t="str">
        <f>_xll.BQL("NOW US Equity", "ADJ_OPERATING_MARGIN", "FPR=2021Y", "FPT=A", "FA_ACT_EST_DATA=E, EST_SOURCE=JMP", "ACT_EST_MAPPING=PRECISE", "FS=MRC", "CURRENCY=USD", "XLFILL=b")</f>
        <v>#N/A Requesting Data...</v>
      </c>
      <c r="V96" s="6" t="str">
        <f>_xll.BQL("NOW US Equity", "ADJ_OPERATING_MARGIN", "FPR=2021Y", "FPT=A", "FA_ACT_EST_DATA=E, EST_SOURCE=NDH", "ACT_EST_MAPPING=PRECISE", "FS=MRC", "CURRENCY=USD", "XLFILL=b")</f>
        <v>#N/A Requesting Data...</v>
      </c>
      <c r="W96" s="6" t="str">
        <f>_xll.BQL("NOW US Equity", "ADJ_OPERATING_MARGIN", "FPR=2021Y", "FPT=A", "FA_ACT_EST_DATA=E, EST_SOURCE=ZXS", "ACT_EST_MAPPING=PRECISE", "FS=MRC", "CURRENCY=USD", "XLFILL=b")</f>
        <v>#N/A Requesting Data...</v>
      </c>
      <c r="X96" s="6" t="str">
        <f>_xll.BQL("NOW US Equity", "ADJ_OPERATING_MARGIN", "FPR=2021Y", "FPT=A", "FA_ACT_EST_DATA=E, EST_SOURCE=CWN", "ACT_EST_MAPPING=PRECISE", "FS=MRC", "CURRENCY=USD", "XLFILL=b")</f>
        <v>#N/A Requesting Data...</v>
      </c>
      <c r="Y96" s="6" t="str">
        <f>_xll.BQL("NOW US Equity", "ADJ_OPERATING_MARGIN", "FPR=2021Y", "FPT=A", "FA_ACT_EST_DATA=E, EST_SOURCE=DBG", "ACT_EST_MAPPING=PRECISE", "FS=MRC", "CURRENCY=USD", "XLFILL=b")</f>
        <v>#N/A Requesting Data...</v>
      </c>
      <c r="Z96" s="6" t="str">
        <f>_xll.BQL("NOW US Equity", "ADJ_OPERATING_MARGIN", "FPR=2021Y", "FPT=A", "FA_ACT_EST_DATA=E, EST_SOURCE=UBS", "ACT_EST_MAPPING=PRECISE", "FS=MRC", "CURRENCY=USD", "XLFILL=b")</f>
        <v>#N/A Requesting Data...</v>
      </c>
      <c r="AA96" s="6" t="str">
        <f>_xll.BQL("NOW US Equity", "ADJ_OPERATING_MARGIN", "FPR=2021Y", "FPT=A", "FA_ACT_EST_DATA=E, EST_SOURCE=RBC", "ACT_EST_MAPPING=PRECISE", "FS=MRC", "CURRENCY=USD", "XLFILL=b")</f>
        <v>#N/A Requesting Data...</v>
      </c>
      <c r="AB96" s="6" t="str">
        <f>_xll.BQL("NOW US Equity", "ADJ_OPERATING_MARGIN", "FPR=2021Y", "FPT=A", "FA_ACT_EST_DATA=E, EST_SOURCE=EVR", "ACT_EST_MAPPING=PRECISE", "FS=MRC", "CURRENCY=USD", "XLFILL=b")</f>
        <v>#N/A Requesting Data...</v>
      </c>
      <c r="AC96" s="6" t="str">
        <f>_xll.BQL("NOW US Equity", "ADJ_OPERATING_MARGIN", "FPR=2021Y", "FPT=A", "FA_ACT_EST_DATA=E, EST_SOURCE=BNS", "ACT_EST_MAPPING=PRECISE", "FS=MRC", "CURRENCY=USD", "XLFILL=b")</f>
        <v>#N/A Requesting Data...</v>
      </c>
      <c r="AD96" s="6" t="str">
        <f>_xll.BQL("NOW US Equity", "ADJ_OPERATING_MARGIN", "FPR=2021Y", "FPT=A", "FA_ACT_EST_DATA=E, EST_SOURCE=BAM", "ACT_EST_MAPPING=PRECISE", "FS=MRC", "CURRENCY=USD", "XLFILL=b")</f>
        <v>#N/A Requesting Data...</v>
      </c>
      <c r="AE96" s="6" t="str">
        <f>_xll.BQL("NOW US Equity", "ADJ_OPERATING_MARGIN", "FPR=2021Y", "FPT=A", "FA_ACT_EST_DATA=E, EST_SOURCE=GSR", "ACT_EST_MAPPING=PRECISE", "FS=MRC", "CURRENCY=USD", "XLFILL=b")</f>
        <v>#N/A Requesting Data...</v>
      </c>
      <c r="AF96" s="6" t="str">
        <f>_xll.BQL("NOW US Equity", "ADJ_OPERATING_MARGIN", "FPR=2021Y", "FPT=A", "FA_ACT_EST_DATA=E, EST_SOURCE=FBC", "ACT_EST_MAPPING=PRECISE", "FS=MRC", "CURRENCY=USD", "XLFILL=b")</f>
        <v>#N/A Requesting Data...</v>
      </c>
      <c r="AG96" s="6" t="str">
        <f>_xll.BQL("NOW US Equity", "ADJ_OPERATING_MARGIN", "FPR=2021Y", "FPT=A", "FA_ACT_EST_DATA=E, EST_SOURCE=MAC", "ACT_EST_MAPPING=PRECISE", "FS=MRC", "CURRENCY=USD", "XLFILL=b")</f>
        <v>#N/A Requesting Data...</v>
      </c>
      <c r="AH96" s="6" t="str">
        <f>_xll.BQL("NOW US Equity", "ADJ_OPERATING_MARGIN", "FPR=2021Y", "FPT=A", "FA_ACT_EST_DATA=E, EST_SOURCE=PSG", "ACT_EST_MAPPING=PRECISE", "FS=MRC", "CURRENCY=USD", "XLFILL=b")</f>
        <v>#N/A Requesting Data...</v>
      </c>
      <c r="AI96" s="6" t="str">
        <f>_xll.BQL("NOW US Equity", "ADJ_OPERATING_MARGIN", "FPR=2021Y", "FPT=A", "FA_ACT_EST_DATA=E, EST_SOURCE=MSR", "ACT_EST_MAPPING=PRECISE", "FS=MRC", "CURRENCY=USD", "XLFILL=b")</f>
        <v>#N/A Requesting Data...</v>
      </c>
      <c r="AJ96" s="6" t="str">
        <f>_xll.BQL("NOW US Equity", "ADJ_OPERATING_MARGIN", "FPR=2021Y", "FPT=A", "FA_ACT_EST_DATA=E, EST_SOURCE=JEF", "ACT_EST_MAPPING=PRECISE", "FS=MRC", "CURRENCY=USD", "XLFILL=b")</f>
        <v>#N/A Requesting Data...</v>
      </c>
      <c r="AK96" s="6" t="str">
        <f>_xll.BQL("NOW US Equity", "ADJ_OPERATING_MARGIN", "FPR=2021Y", "FPT=A", "FA_ACT_EST_DATA=E, EST_SOURCE=TTC", "ACT_EST_MAPPING=PRECISE", "FS=MRC", "CURRENCY=USD", "XLFILL=b")</f>
        <v>#N/A Requesting Data...</v>
      </c>
      <c r="AL96" s="6" t="str">
        <f>_xll.BQL("NOW US Equity", "ADJ_OPERATING_MARGIN", "FPR=2021Y", "FPT=A", "FA_ACT_EST_DATA=E, EST_SOURCE=RWB", "ACT_EST_MAPPING=PRECISE", "FS=MRC", "CURRENCY=USD", "XLFILL=b")</f>
        <v>#N/A Requesting Data...</v>
      </c>
      <c r="AM96" s="6" t="str">
        <f>_xll.BQL("NOW US Equity", "ADJ_OPERATING_MARGIN", "FPR=2021Y", "FPT=A", "FA_ACT_EST_DATA=E, EST_SOURCE=DZB", "ACT_EST_MAPPING=PRECISE", "FS=MRC", "CURRENCY=USD", "XLFILL=b")</f>
        <v>#N/A Requesting Data...</v>
      </c>
      <c r="AN96" s="6" t="str">
        <f>_xll.BQL("NOW US Equity", "ADJ_OPERATING_MARGIN", "FPR=2021Y", "FPT=A", "FA_ACT_EST_DATA=E, EST_SOURCE=DWI", "ACT_EST_MAPPING=PRECISE", "FS=MRC", "CURRENCY=USD", "XLFILL=b")</f>
        <v>#N/A Requesting Data...</v>
      </c>
      <c r="AO96" s="6" t="str">
        <f>_xll.BQL("NOW US Equity", "ADJ_OPERATING_MARGIN", "FPR=2021Y", "FPT=A", "FA_ACT_EST_DATA=E, EST_SOURCE=ARG", "ACT_EST_MAPPING=PRECISE", "FS=MRC", "CURRENCY=USD", "XLFILL=b")</f>
        <v>#N/A Requesting Data...</v>
      </c>
      <c r="AP96" s="6" t="str">
        <f>_xll.BQL("NOW US Equity", "ADJ_OPERATING_MARGIN", "FPR=2021Y", "FPT=A", "FA_ACT_EST_DATA=E, EST_SOURCE=CTI", "ACT_EST_MAPPING=PRECISE", "FS=MRC", "CURRENCY=USD", "XLFILL=b")</f>
        <v>#N/A Requesting Data...</v>
      </c>
      <c r="AQ96" s="6" t="str">
        <f>_xll.BQL("NOW US Equity", "ADJ_OPERATING_MARGIN", "FPR=2021Y", "FPT=A", "FA_ACT_EST_DATA=E, EST_SOURCE=WFT", "ACT_EST_MAPPING=PRECISE", "FS=MRC", "CURRENCY=USD", "XLFILL=b")</f>
        <v>#N/A Requesting Data...</v>
      </c>
      <c r="AR96" s="6" t="str">
        <f>_xll.BQL("NOW US Equity", "ADJ_OPERATING_MARGIN", "FPR=2021Y", "FPT=A", "FA_ACT_EST_DATA=E, EST_SOURCE=ARE", "ACT_EST_MAPPING=PRECISE", "FS=MRC", "CURRENCY=USD", "XLFILL=b")</f>
        <v>#N/A Requesting Data...</v>
      </c>
      <c r="AS96" s="6" t="str">
        <f>_xll.BQL("NOW US Equity", "ADJ_OPERATING_MARGIN", "FPR=2021Y", "FPT=A", "FA_ACT_EST_DATA=E, EST_SOURCE=PJE", "ACT_EST_MAPPING=PRECISE", "FS=MRC", "CURRENCY=USD", "XLFILL=b")</f>
        <v>#N/A Requesting Data...</v>
      </c>
      <c r="AT96" s="6" t="str">
        <f>_xll.BQL("NOW US Equity", "ADJ_OPERATING_MARGIN", "FPR=2021Y", "FPT=A", "FA_ACT_EST_DATA=E, EST_SOURCE=MZS", "ACT_EST_MAPPING=PRECISE", "FS=MRC", "CURRENCY=USD", "XLFILL=b")</f>
        <v>#N/A Requesting Data...</v>
      </c>
      <c r="AU96" s="6" t="str">
        <f>_xll.BQL("NOW US Equity", "ADJ_OPERATING_MARGIN", "FPR=2021Y", "FPT=A", "FA_ACT_EST_DATA=E, EST_SOURCE=SUM", "ACT_EST_MAPPING=PRECISE", "FS=MRC", "CURRENCY=USD", "XLFILL=b")</f>
        <v>#N/A Requesting Data...</v>
      </c>
      <c r="AV96" s="6" t="str">
        <f>_xll.BQL("NOW US Equity", "ADJ_OPERATING_MARGIN", "FPR=2021Y", "FPT=A", "FA_ACT_EST_DATA=E, EST_SOURCE=CRC", "ACT_EST_MAPPING=PRECISE", "FS=MRC", "CURRENCY=USD", "XLFILL=b")</f>
        <v>#N/A Requesting Data...</v>
      </c>
      <c r="AW96" s="6" t="str">
        <f>_xll.BQL("NOW US Equity", "ADJ_OPERATING_MARGIN", "FPR=2021Y", "FPT=A", "FA_ACT_EST_DATA=E, EST_SOURCE=SCB", "ACT_EST_MAPPING=PRECISE", "FS=MRC", "CURRENCY=USD", "XLFILL=b")</f>
        <v>#N/A Requesting Data...</v>
      </c>
    </row>
    <row r="97" spans="1:49" x14ac:dyDescent="0.55000000000000004">
      <c r="A97" s="5" t="s">
        <v>23</v>
      </c>
      <c r="B97" s="2"/>
      <c r="C97" s="2"/>
      <c r="D97" s="2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</row>
    <row r="98" spans="1:49" x14ac:dyDescent="0.55000000000000004">
      <c r="A98" s="5" t="s">
        <v>147</v>
      </c>
      <c r="B98" s="2" t="s">
        <v>148</v>
      </c>
      <c r="C98" s="2" t="s">
        <v>149</v>
      </c>
      <c r="D98" s="2"/>
      <c r="E98" s="6" t="str">
        <f>_xll.BQL("NOW US Equity", "CF_DEPR_AMORT/1M", "FPR=2021Y", "FPT=A", "FA_ACT_EST_DATA=E", "ACT_EST_MAPPING=PRECISE", "FS=MRC", "CURRENCY=USD", "XLFILL=b")</f>
        <v>#N/A Requesting Data...</v>
      </c>
      <c r="F98" s="6" t="str">
        <f>_xll.BQL("NOW US Equity", "CONTRIBUTOR_STATS(CF_DEPR_AMORT, MIN)/1M", "FPR=2021Y", "FPT=A", "FA_ACT_EST_DATA=E", "ACT_EST_MAPPING=PRECISE", "FS=MRC", "CURRENCY=USD", "XLFILL=b")</f>
        <v>#N/A Requesting Data...</v>
      </c>
      <c r="G98" s="6" t="str">
        <f>_xll.BQL("NOW US Equity", "CONTRIBUTOR_STATS(CF_DEPR_AMORT, MAX)/1M", "FPR=2021Y", "FPT=A", "FA_ACT_EST_DATA=E", "ACT_EST_MAPPING=PRECISE", "FS=MRC", "CURRENCY=USD", "XLFILL=b")</f>
        <v>#N/A Requesting Data...</v>
      </c>
      <c r="H98" s="6" t="str">
        <f>_xll.BQL("NOW US Equity", "CONTRIBUTOR_STATS(CF_DEPR_AMORT, STD)/1M", "FPR=2021Y", "FPT=A", "FA_ACT_EST_DATA=E", "ACT_EST_MAPPING=PRECISE", "FS=MRC", "CURRENCY=USD", "XLFILL=b")</f>
        <v>#N/A Requesting Data...</v>
      </c>
      <c r="I98" s="6" t="str">
        <f>_xll.BQL("NOW US Equity", "CONTRIBUTOR_STATS(CF_DEPR_AMORT, MEDIAN)/1M", "FPR=2021Y", "FPT=A", "FA_ACT_EST_DATA=E", "ACT_EST_MAPPING=PRECISE", "FS=MRC", "CURRENCY=USD", "XLFILL=b")</f>
        <v>#N/A Requesting Data...</v>
      </c>
      <c r="J98" s="6" t="str">
        <f>_xll.BQL("NOW US Equity", "CF_DEPR_AMORT/1M", "FPR=2021Y", "FPT=A", "FA_ACT_EST_DATA=E, EST_SOURCE=CMPY", "ACT_EST_MAPPING=PRECISE", "FS=MRC", "CURRENCY=USD", "XLFILL=b")</f>
        <v>#N/A Requesting Data...</v>
      </c>
      <c r="K98" s="6" t="str">
        <f>_xll.BQL("NOW US Equity", "CF_DEPR_AMORT/1M", "FPR=2021Y", "FPT=A", "FA_ACT_EST_DATA=E, EST_SOURCE=JPM", "ACT_EST_MAPPING=PRECISE", "FS=MRC", "CURRENCY=USD", "XLFILL=b")</f>
        <v>#N/A Requesting Data...</v>
      </c>
      <c r="L98" s="6" t="str">
        <f>_xll.BQL("NOW US Equity", "CF_DEPR_AMORT/1M", "FPR=2021Y", "FPT=A", "FA_ACT_EST_DATA=E, EST_SOURCE=WBL", "ACT_EST_MAPPING=PRECISE", "FS=MRC", "CURRENCY=USD", "XLFILL=b")</f>
        <v>#N/A Requesting Data...</v>
      </c>
      <c r="M98" s="6" t="str">
        <f>_xll.BQL("NOW US Equity", "CF_DEPR_AMORT/1M", "FPR=2021Y", "FPT=A", "FA_ACT_EST_DATA=E, EST_SOURCE=KEY", "ACT_EST_MAPPING=PRECISE", "FS=MRC", "CURRENCY=USD", "XLFILL=b")</f>
        <v>#N/A Requesting Data...</v>
      </c>
      <c r="N98" s="6" t="str">
        <f>_xll.BQL("NOW US Equity", "CF_DEPR_AMORT/1M", "FPR=2021Y", "FPT=A", "FA_ACT_EST_DATA=E, EST_SOURCE=BMO", "ACT_EST_MAPPING=PRECISE", "FS=MRC", "CURRENCY=USD", "XLFILL=b")</f>
        <v>#N/A Requesting Data...</v>
      </c>
      <c r="O98" s="6" t="str">
        <f>_xll.BQL("NOW US Equity", "CF_DEPR_AMORT/1M", "FPR=2021Y", "FPT=A", "FA_ACT_EST_DATA=E, EST_SOURCE=OPY", "ACT_EST_MAPPING=PRECISE", "FS=MRC", "CURRENCY=USD", "XLFILL=b")</f>
        <v>#N/A Requesting Data...</v>
      </c>
      <c r="P98" s="6" t="str">
        <f>_xll.BQL("NOW US Equity", "CF_DEPR_AMORT/1M", "FPR=2021Y", "FPT=A", "FA_ACT_EST_DATA=E, EST_SOURCE=BCA", "ACT_EST_MAPPING=PRECISE", "FS=MRC", "CURRENCY=USD", "XLFILL=b")</f>
        <v>#N/A Requesting Data...</v>
      </c>
      <c r="Q98" s="6" t="str">
        <f>_xll.BQL("NOW US Equity", "CF_DEPR_AMORT/1M", "FPR=2021Y", "FPT=A", "FA_ACT_EST_DATA=E, EST_SOURCE=RHR", "ACT_EST_MAPPING=PRECISE", "FS=MRC", "CURRENCY=USD", "XLFILL=b")</f>
        <v>#N/A Requesting Data...</v>
      </c>
      <c r="R98" s="6" t="str">
        <f>_xll.BQL("NOW US Equity", "CF_DEPR_AMORT/1M", "FPR=2021Y", "FPT=A", "FA_ACT_EST_DATA=E, EST_SOURCE=SNR", "ACT_EST_MAPPING=PRECISE", "FS=MRC", "CURRENCY=USD", "XLFILL=b")</f>
        <v>#N/A Requesting Data...</v>
      </c>
      <c r="S98" s="6" t="str">
        <f>_xll.BQL("NOW US Equity", "CF_DEPR_AMORT/1M", "FPR=2021Y", "FPT=A", "FA_ACT_EST_DATA=E, EST_SOURCE=MSV", "ACT_EST_MAPPING=PRECISE", "FS=MRC", "CURRENCY=USD", "XLFILL=b")</f>
        <v>#N/A Requesting Data...</v>
      </c>
      <c r="T98" s="6" t="str">
        <f>_xll.BQL("NOW US Equity", "CF_DEPR_AMORT/1M", "FPR=2021Y", "FPT=A", "FA_ACT_EST_DATA=E, EST_SOURCE=CAN", "ACT_EST_MAPPING=PRECISE", "FS=MRC", "CURRENCY=USD", "XLFILL=b")</f>
        <v>#N/A Requesting Data...</v>
      </c>
      <c r="U98" s="6" t="str">
        <f>_xll.BQL("NOW US Equity", "CF_DEPR_AMORT/1M", "FPR=2021Y", "FPT=A", "FA_ACT_EST_DATA=E, EST_SOURCE=JMP", "ACT_EST_MAPPING=PRECISE", "FS=MRC", "CURRENCY=USD", "XLFILL=b")</f>
        <v>#N/A Requesting Data...</v>
      </c>
      <c r="V98" s="6" t="str">
        <f>_xll.BQL("NOW US Equity", "CF_DEPR_AMORT/1M", "FPR=2021Y", "FPT=A", "FA_ACT_EST_DATA=E, EST_SOURCE=NDH", "ACT_EST_MAPPING=PRECISE", "FS=MRC", "CURRENCY=USD", "XLFILL=b")</f>
        <v>#N/A Requesting Data...</v>
      </c>
      <c r="W98" s="6" t="str">
        <f>_xll.BQL("NOW US Equity", "CF_DEPR_AMORT/1M", "FPR=2021Y", "FPT=A", "FA_ACT_EST_DATA=E, EST_SOURCE=ZXS", "ACT_EST_MAPPING=PRECISE", "FS=MRC", "CURRENCY=USD", "XLFILL=b")</f>
        <v>#N/A Requesting Data...</v>
      </c>
      <c r="X98" s="6" t="str">
        <f>_xll.BQL("NOW US Equity", "CF_DEPR_AMORT/1M", "FPR=2021Y", "FPT=A", "FA_ACT_EST_DATA=E, EST_SOURCE=CWN", "ACT_EST_MAPPING=PRECISE", "FS=MRC", "CURRENCY=USD", "XLFILL=b")</f>
        <v>#N/A Requesting Data...</v>
      </c>
      <c r="Y98" s="6" t="str">
        <f>_xll.BQL("NOW US Equity", "CF_DEPR_AMORT/1M", "FPR=2021Y", "FPT=A", "FA_ACT_EST_DATA=E, EST_SOURCE=DBG", "ACT_EST_MAPPING=PRECISE", "FS=MRC", "CURRENCY=USD", "XLFILL=b")</f>
        <v>#N/A Requesting Data...</v>
      </c>
      <c r="Z98" s="6" t="str">
        <f>_xll.BQL("NOW US Equity", "CF_DEPR_AMORT/1M", "FPR=2021Y", "FPT=A", "FA_ACT_EST_DATA=E, EST_SOURCE=UBS", "ACT_EST_MAPPING=PRECISE", "FS=MRC", "CURRENCY=USD", "XLFILL=b")</f>
        <v>#N/A Requesting Data...</v>
      </c>
      <c r="AA98" s="6" t="str">
        <f>_xll.BQL("NOW US Equity", "CF_DEPR_AMORT/1M", "FPR=2021Y", "FPT=A", "FA_ACT_EST_DATA=E, EST_SOURCE=RBC", "ACT_EST_MAPPING=PRECISE", "FS=MRC", "CURRENCY=USD", "XLFILL=b")</f>
        <v>#N/A Requesting Data...</v>
      </c>
      <c r="AB98" s="6" t="str">
        <f>_xll.BQL("NOW US Equity", "CF_DEPR_AMORT/1M", "FPR=2021Y", "FPT=A", "FA_ACT_EST_DATA=E, EST_SOURCE=EVR", "ACT_EST_MAPPING=PRECISE", "FS=MRC", "CURRENCY=USD", "XLFILL=b")</f>
        <v>#N/A Requesting Data...</v>
      </c>
      <c r="AC98" s="6" t="str">
        <f>_xll.BQL("NOW US Equity", "CF_DEPR_AMORT/1M", "FPR=2021Y", "FPT=A", "FA_ACT_EST_DATA=E, EST_SOURCE=BNS", "ACT_EST_MAPPING=PRECISE", "FS=MRC", "CURRENCY=USD", "XLFILL=b")</f>
        <v>#N/A Requesting Data...</v>
      </c>
      <c r="AD98" s="6" t="str">
        <f>_xll.BQL("NOW US Equity", "CF_DEPR_AMORT/1M", "FPR=2021Y", "FPT=A", "FA_ACT_EST_DATA=E, EST_SOURCE=BAM", "ACT_EST_MAPPING=PRECISE", "FS=MRC", "CURRENCY=USD", "XLFILL=b")</f>
        <v>#N/A Requesting Data...</v>
      </c>
      <c r="AE98" s="6" t="str">
        <f>_xll.BQL("NOW US Equity", "CF_DEPR_AMORT/1M", "FPR=2021Y", "FPT=A", "FA_ACT_EST_DATA=E, EST_SOURCE=GSR", "ACT_EST_MAPPING=PRECISE", "FS=MRC", "CURRENCY=USD", "XLFILL=b")</f>
        <v>#N/A Requesting Data...</v>
      </c>
      <c r="AF98" s="6" t="str">
        <f>_xll.BQL("NOW US Equity", "CF_DEPR_AMORT/1M", "FPR=2021Y", "FPT=A", "FA_ACT_EST_DATA=E, EST_SOURCE=FBC", "ACT_EST_MAPPING=PRECISE", "FS=MRC", "CURRENCY=USD", "XLFILL=b")</f>
        <v>#N/A Requesting Data...</v>
      </c>
      <c r="AG98" s="6" t="str">
        <f>_xll.BQL("NOW US Equity", "CF_DEPR_AMORT/1M", "FPR=2021Y", "FPT=A", "FA_ACT_EST_DATA=E, EST_SOURCE=MAC", "ACT_EST_MAPPING=PRECISE", "FS=MRC", "CURRENCY=USD", "XLFILL=b")</f>
        <v>#N/A Requesting Data...</v>
      </c>
      <c r="AH98" s="6" t="str">
        <f>_xll.BQL("NOW US Equity", "CF_DEPR_AMORT/1M", "FPR=2021Y", "FPT=A", "FA_ACT_EST_DATA=E, EST_SOURCE=PSG", "ACT_EST_MAPPING=PRECISE", "FS=MRC", "CURRENCY=USD", "XLFILL=b")</f>
        <v>#N/A Requesting Data...</v>
      </c>
      <c r="AI98" s="6" t="str">
        <f>_xll.BQL("NOW US Equity", "CF_DEPR_AMORT/1M", "FPR=2021Y", "FPT=A", "FA_ACT_EST_DATA=E, EST_SOURCE=MSR", "ACT_EST_MAPPING=PRECISE", "FS=MRC", "CURRENCY=USD", "XLFILL=b")</f>
        <v>#N/A Requesting Data...</v>
      </c>
      <c r="AJ98" s="6" t="str">
        <f>_xll.BQL("NOW US Equity", "CF_DEPR_AMORT/1M", "FPR=2021Y", "FPT=A", "FA_ACT_EST_DATA=E, EST_SOURCE=JEF", "ACT_EST_MAPPING=PRECISE", "FS=MRC", "CURRENCY=USD", "XLFILL=b")</f>
        <v>#N/A Requesting Data...</v>
      </c>
      <c r="AK98" s="6" t="str">
        <f>_xll.BQL("NOW US Equity", "CF_DEPR_AMORT/1M", "FPR=2021Y", "FPT=A", "FA_ACT_EST_DATA=E, EST_SOURCE=TTC", "ACT_EST_MAPPING=PRECISE", "FS=MRC", "CURRENCY=USD", "XLFILL=b")</f>
        <v>#N/A Requesting Data...</v>
      </c>
      <c r="AL98" s="6" t="str">
        <f>_xll.BQL("NOW US Equity", "CF_DEPR_AMORT/1M", "FPR=2021Y", "FPT=A", "FA_ACT_EST_DATA=E, EST_SOURCE=RWB", "ACT_EST_MAPPING=PRECISE", "FS=MRC", "CURRENCY=USD", "XLFILL=b")</f>
        <v>#N/A Requesting Data...</v>
      </c>
      <c r="AM98" s="6" t="str">
        <f>_xll.BQL("NOW US Equity", "CF_DEPR_AMORT/1M", "FPR=2021Y", "FPT=A", "FA_ACT_EST_DATA=E, EST_SOURCE=DZB", "ACT_EST_MAPPING=PRECISE", "FS=MRC", "CURRENCY=USD", "XLFILL=b")</f>
        <v>#N/A Requesting Data...</v>
      </c>
      <c r="AN98" s="6" t="str">
        <f>_xll.BQL("NOW US Equity", "CF_DEPR_AMORT/1M", "FPR=2021Y", "FPT=A", "FA_ACT_EST_DATA=E, EST_SOURCE=DWI", "ACT_EST_MAPPING=PRECISE", "FS=MRC", "CURRENCY=USD", "XLFILL=b")</f>
        <v>#N/A Requesting Data...</v>
      </c>
      <c r="AO98" s="6" t="str">
        <f>_xll.BQL("NOW US Equity", "CF_DEPR_AMORT/1M", "FPR=2021Y", "FPT=A", "FA_ACT_EST_DATA=E, EST_SOURCE=ARG", "ACT_EST_MAPPING=PRECISE", "FS=MRC", "CURRENCY=USD", "XLFILL=b")</f>
        <v>#N/A Requesting Data...</v>
      </c>
      <c r="AP98" s="6" t="str">
        <f>_xll.BQL("NOW US Equity", "CF_DEPR_AMORT/1M", "FPR=2021Y", "FPT=A", "FA_ACT_EST_DATA=E, EST_SOURCE=CTI", "ACT_EST_MAPPING=PRECISE", "FS=MRC", "CURRENCY=USD", "XLFILL=b")</f>
        <v>#N/A Requesting Data...</v>
      </c>
      <c r="AQ98" s="6" t="str">
        <f>_xll.BQL("NOW US Equity", "CF_DEPR_AMORT/1M", "FPR=2021Y", "FPT=A", "FA_ACT_EST_DATA=E, EST_SOURCE=WFT", "ACT_EST_MAPPING=PRECISE", "FS=MRC", "CURRENCY=USD", "XLFILL=b")</f>
        <v>#N/A Requesting Data...</v>
      </c>
      <c r="AR98" s="6" t="str">
        <f>_xll.BQL("NOW US Equity", "CF_DEPR_AMORT/1M", "FPR=2021Y", "FPT=A", "FA_ACT_EST_DATA=E, EST_SOURCE=ARE", "ACT_EST_MAPPING=PRECISE", "FS=MRC", "CURRENCY=USD", "XLFILL=b")</f>
        <v>#N/A Requesting Data...</v>
      </c>
      <c r="AS98" s="6" t="str">
        <f>_xll.BQL("NOW US Equity", "CF_DEPR_AMORT/1M", "FPR=2021Y", "FPT=A", "FA_ACT_EST_DATA=E, EST_SOURCE=PJE", "ACT_EST_MAPPING=PRECISE", "FS=MRC", "CURRENCY=USD", "XLFILL=b")</f>
        <v>#N/A Requesting Data...</v>
      </c>
      <c r="AT98" s="6" t="str">
        <f>_xll.BQL("NOW US Equity", "CF_DEPR_AMORT/1M", "FPR=2021Y", "FPT=A", "FA_ACT_EST_DATA=E, EST_SOURCE=MZS", "ACT_EST_MAPPING=PRECISE", "FS=MRC", "CURRENCY=USD", "XLFILL=b")</f>
        <v>#N/A Requesting Data...</v>
      </c>
      <c r="AU98" s="6" t="str">
        <f>_xll.BQL("NOW US Equity", "CF_DEPR_AMORT/1M", "FPR=2021Y", "FPT=A", "FA_ACT_EST_DATA=E, EST_SOURCE=SUM", "ACT_EST_MAPPING=PRECISE", "FS=MRC", "CURRENCY=USD", "XLFILL=b")</f>
        <v>#N/A Requesting Data...</v>
      </c>
      <c r="AV98" s="6" t="str">
        <f>_xll.BQL("NOW US Equity", "CF_DEPR_AMORT/1M", "FPR=2021Y", "FPT=A", "FA_ACT_EST_DATA=E, EST_SOURCE=CRC", "ACT_EST_MAPPING=PRECISE", "FS=MRC", "CURRENCY=USD", "XLFILL=b")</f>
        <v>#N/A Requesting Data...</v>
      </c>
      <c r="AW98" s="6" t="str">
        <f>_xll.BQL("NOW US Equity", "CF_DEPR_AMORT/1M", "FPR=2021Y", "FPT=A", "FA_ACT_EST_DATA=E, EST_SOURCE=SCB", "ACT_EST_MAPPING=PRECISE", "FS=MRC", "CURRENCY=USD", "XLFILL=b")</f>
        <v>#N/A Requesting Data...</v>
      </c>
    </row>
    <row r="99" spans="1:49" x14ac:dyDescent="0.55000000000000004">
      <c r="A99" s="5" t="s">
        <v>150</v>
      </c>
      <c r="B99" s="2" t="s">
        <v>151</v>
      </c>
      <c r="C99" s="2" t="s">
        <v>152</v>
      </c>
      <c r="D99" s="2"/>
      <c r="E99" s="6" t="str">
        <f>_xll.BQL("NOW US Equity", "IS_COMPARABLE_EBITDA/1M", "FPR=2021Y", "FPT=A", "FA_ACT_EST_DATA=E", "ACT_EST_MAPPING=PRECISE", "FS=MRC", "CURRENCY=USD", "XLFILL=b")</f>
        <v>#N/A Requesting Data...</v>
      </c>
      <c r="F99" s="6" t="str">
        <f>_xll.BQL("NOW US Equity", "CONTRIBUTOR_STATS(IS_COMPARABLE_EBITDA, MIN)/1M", "FPR=2021Y", "FPT=A", "FA_ACT_EST_DATA=E", "ACT_EST_MAPPING=PRECISE", "FS=MRC", "CURRENCY=USD", "XLFILL=b")</f>
        <v>#N/A Requesting Data...</v>
      </c>
      <c r="G99" s="6" t="str">
        <f>_xll.BQL("NOW US Equity", "CONTRIBUTOR_STATS(IS_COMPARABLE_EBITDA, MAX)/1M", "FPR=2021Y", "FPT=A", "FA_ACT_EST_DATA=E", "ACT_EST_MAPPING=PRECISE", "FS=MRC", "CURRENCY=USD", "XLFILL=b")</f>
        <v>#N/A Requesting Data...</v>
      </c>
      <c r="H99" s="6" t="str">
        <f>_xll.BQL("NOW US Equity", "CONTRIBUTOR_STATS(IS_COMPARABLE_EBITDA, STD)/1M", "FPR=2021Y", "FPT=A", "FA_ACT_EST_DATA=E", "ACT_EST_MAPPING=PRECISE", "FS=MRC", "CURRENCY=USD", "XLFILL=b")</f>
        <v>#N/A Requesting Data...</v>
      </c>
      <c r="I99" s="6" t="str">
        <f>_xll.BQL("NOW US Equity", "CONTRIBUTOR_STATS(IS_COMPARABLE_EBITDA, MEDIAN)/1M", "FPR=2021Y", "FPT=A", "FA_ACT_EST_DATA=E", "ACT_EST_MAPPING=PRECISE", "FS=MRC", "CURRENCY=USD", "XLFILL=b")</f>
        <v>#N/A Requesting Data...</v>
      </c>
      <c r="J99" s="6" t="str">
        <f>_xll.BQL("NOW US Equity", "IS_COMPARABLE_EBITDA/1M", "FPR=2021Y", "FPT=A", "FA_ACT_EST_DATA=E, EST_SOURCE=CMPY", "ACT_EST_MAPPING=PRECISE", "FS=MRC", "CURRENCY=USD", "XLFILL=b")</f>
        <v>#N/A Requesting Data...</v>
      </c>
      <c r="K99" s="6" t="str">
        <f>_xll.BQL("NOW US Equity", "IS_COMPARABLE_EBITDA/1M", "FPR=2021Y", "FPT=A", "FA_ACT_EST_DATA=E, EST_SOURCE=JPM", "ACT_EST_MAPPING=PRECISE", "FS=MRC", "CURRENCY=USD", "XLFILL=b")</f>
        <v>#N/A Requesting Data...</v>
      </c>
      <c r="L99" s="6" t="str">
        <f>_xll.BQL("NOW US Equity", "IS_COMPARABLE_EBITDA/1M", "FPR=2021Y", "FPT=A", "FA_ACT_EST_DATA=E, EST_SOURCE=WBL", "ACT_EST_MAPPING=PRECISE", "FS=MRC", "CURRENCY=USD", "XLFILL=b")</f>
        <v>#N/A Requesting Data...</v>
      </c>
      <c r="M99" s="6" t="str">
        <f>_xll.BQL("NOW US Equity", "IS_COMPARABLE_EBITDA/1M", "FPR=2021Y", "FPT=A", "FA_ACT_EST_DATA=E, EST_SOURCE=KEY", "ACT_EST_MAPPING=PRECISE", "FS=MRC", "CURRENCY=USD", "XLFILL=b")</f>
        <v>#N/A Requesting Data...</v>
      </c>
      <c r="N99" s="6" t="str">
        <f>_xll.BQL("NOW US Equity", "IS_COMPARABLE_EBITDA/1M", "FPR=2021Y", "FPT=A", "FA_ACT_EST_DATA=E, EST_SOURCE=BMO", "ACT_EST_MAPPING=PRECISE", "FS=MRC", "CURRENCY=USD", "XLFILL=b")</f>
        <v>#N/A Requesting Data...</v>
      </c>
      <c r="O99" s="6" t="str">
        <f>_xll.BQL("NOW US Equity", "IS_COMPARABLE_EBITDA/1M", "FPR=2021Y", "FPT=A", "FA_ACT_EST_DATA=E, EST_SOURCE=OPY", "ACT_EST_MAPPING=PRECISE", "FS=MRC", "CURRENCY=USD", "XLFILL=b")</f>
        <v>#N/A Requesting Data...</v>
      </c>
      <c r="P99" s="6" t="str">
        <f>_xll.BQL("NOW US Equity", "IS_COMPARABLE_EBITDA/1M", "FPR=2021Y", "FPT=A", "FA_ACT_EST_DATA=E, EST_SOURCE=BCA", "ACT_EST_MAPPING=PRECISE", "FS=MRC", "CURRENCY=USD", "XLFILL=b")</f>
        <v>#N/A Requesting Data...</v>
      </c>
      <c r="Q99" s="6" t="str">
        <f>_xll.BQL("NOW US Equity", "IS_COMPARABLE_EBITDA/1M", "FPR=2021Y", "FPT=A", "FA_ACT_EST_DATA=E, EST_SOURCE=RHR", "ACT_EST_MAPPING=PRECISE", "FS=MRC", "CURRENCY=USD", "XLFILL=b")</f>
        <v>#N/A Requesting Data...</v>
      </c>
      <c r="R99" s="6" t="str">
        <f>_xll.BQL("NOW US Equity", "IS_COMPARABLE_EBITDA/1M", "FPR=2021Y", "FPT=A", "FA_ACT_EST_DATA=E, EST_SOURCE=SNR", "ACT_EST_MAPPING=PRECISE", "FS=MRC", "CURRENCY=USD", "XLFILL=b")</f>
        <v>#N/A Requesting Data...</v>
      </c>
      <c r="S99" s="6" t="str">
        <f>_xll.BQL("NOW US Equity", "IS_COMPARABLE_EBITDA/1M", "FPR=2021Y", "FPT=A", "FA_ACT_EST_DATA=E, EST_SOURCE=MSV", "ACT_EST_MAPPING=PRECISE", "FS=MRC", "CURRENCY=USD", "XLFILL=b")</f>
        <v>#N/A Requesting Data...</v>
      </c>
      <c r="T99" s="6" t="str">
        <f>_xll.BQL("NOW US Equity", "IS_COMPARABLE_EBITDA/1M", "FPR=2021Y", "FPT=A", "FA_ACT_EST_DATA=E, EST_SOURCE=CAN", "ACT_EST_MAPPING=PRECISE", "FS=MRC", "CURRENCY=USD", "XLFILL=b")</f>
        <v>#N/A Requesting Data...</v>
      </c>
      <c r="U99" s="6" t="str">
        <f>_xll.BQL("NOW US Equity", "IS_COMPARABLE_EBITDA/1M", "FPR=2021Y", "FPT=A", "FA_ACT_EST_DATA=E, EST_SOURCE=JMP", "ACT_EST_MAPPING=PRECISE", "FS=MRC", "CURRENCY=USD", "XLFILL=b")</f>
        <v>#N/A Requesting Data...</v>
      </c>
      <c r="V99" s="6" t="str">
        <f>_xll.BQL("NOW US Equity", "IS_COMPARABLE_EBITDA/1M", "FPR=2021Y", "FPT=A", "FA_ACT_EST_DATA=E, EST_SOURCE=NDH", "ACT_EST_MAPPING=PRECISE", "FS=MRC", "CURRENCY=USD", "XLFILL=b")</f>
        <v>#N/A Requesting Data...</v>
      </c>
      <c r="W99" s="6" t="str">
        <f>_xll.BQL("NOW US Equity", "IS_COMPARABLE_EBITDA/1M", "FPR=2021Y", "FPT=A", "FA_ACT_EST_DATA=E, EST_SOURCE=ZXS", "ACT_EST_MAPPING=PRECISE", "FS=MRC", "CURRENCY=USD", "XLFILL=b")</f>
        <v>#N/A Requesting Data...</v>
      </c>
      <c r="X99" s="6" t="str">
        <f>_xll.BQL("NOW US Equity", "IS_COMPARABLE_EBITDA/1M", "FPR=2021Y", "FPT=A", "FA_ACT_EST_DATA=E, EST_SOURCE=CWN", "ACT_EST_MAPPING=PRECISE", "FS=MRC", "CURRENCY=USD", "XLFILL=b")</f>
        <v>#N/A Requesting Data...</v>
      </c>
      <c r="Y99" s="6" t="str">
        <f>_xll.BQL("NOW US Equity", "IS_COMPARABLE_EBITDA/1M", "FPR=2021Y", "FPT=A", "FA_ACT_EST_DATA=E, EST_SOURCE=DBG", "ACT_EST_MAPPING=PRECISE", "FS=MRC", "CURRENCY=USD", "XLFILL=b")</f>
        <v>#N/A Requesting Data...</v>
      </c>
      <c r="Z99" s="6" t="str">
        <f>_xll.BQL("NOW US Equity", "IS_COMPARABLE_EBITDA/1M", "FPR=2021Y", "FPT=A", "FA_ACT_EST_DATA=E, EST_SOURCE=UBS", "ACT_EST_MAPPING=PRECISE", "FS=MRC", "CURRENCY=USD", "XLFILL=b")</f>
        <v>#N/A Requesting Data...</v>
      </c>
      <c r="AA99" s="6" t="str">
        <f>_xll.BQL("NOW US Equity", "IS_COMPARABLE_EBITDA/1M", "FPR=2021Y", "FPT=A", "FA_ACT_EST_DATA=E, EST_SOURCE=RBC", "ACT_EST_MAPPING=PRECISE", "FS=MRC", "CURRENCY=USD", "XLFILL=b")</f>
        <v>#N/A Requesting Data...</v>
      </c>
      <c r="AB99" s="6" t="str">
        <f>_xll.BQL("NOW US Equity", "IS_COMPARABLE_EBITDA/1M", "FPR=2021Y", "FPT=A", "FA_ACT_EST_DATA=E, EST_SOURCE=EVR", "ACT_EST_MAPPING=PRECISE", "FS=MRC", "CURRENCY=USD", "XLFILL=b")</f>
        <v>#N/A Requesting Data...</v>
      </c>
      <c r="AC99" s="6" t="str">
        <f>_xll.BQL("NOW US Equity", "IS_COMPARABLE_EBITDA/1M", "FPR=2021Y", "FPT=A", "FA_ACT_EST_DATA=E, EST_SOURCE=BNS", "ACT_EST_MAPPING=PRECISE", "FS=MRC", "CURRENCY=USD", "XLFILL=b")</f>
        <v>#N/A Requesting Data...</v>
      </c>
      <c r="AD99" s="6" t="str">
        <f>_xll.BQL("NOW US Equity", "IS_COMPARABLE_EBITDA/1M", "FPR=2021Y", "FPT=A", "FA_ACT_EST_DATA=E, EST_SOURCE=BAM", "ACT_EST_MAPPING=PRECISE", "FS=MRC", "CURRENCY=USD", "XLFILL=b")</f>
        <v>#N/A Requesting Data...</v>
      </c>
      <c r="AE99" s="6" t="str">
        <f>_xll.BQL("NOW US Equity", "IS_COMPARABLE_EBITDA/1M", "FPR=2021Y", "FPT=A", "FA_ACT_EST_DATA=E, EST_SOURCE=GSR", "ACT_EST_MAPPING=PRECISE", "FS=MRC", "CURRENCY=USD", "XLFILL=b")</f>
        <v>#N/A Requesting Data...</v>
      </c>
      <c r="AF99" s="6" t="str">
        <f>_xll.BQL("NOW US Equity", "IS_COMPARABLE_EBITDA/1M", "FPR=2021Y", "FPT=A", "FA_ACT_EST_DATA=E, EST_SOURCE=FBC", "ACT_EST_MAPPING=PRECISE", "FS=MRC", "CURRENCY=USD", "XLFILL=b")</f>
        <v>#N/A Requesting Data...</v>
      </c>
      <c r="AG99" s="6" t="str">
        <f>_xll.BQL("NOW US Equity", "IS_COMPARABLE_EBITDA/1M", "FPR=2021Y", "FPT=A", "FA_ACT_EST_DATA=E, EST_SOURCE=MAC", "ACT_EST_MAPPING=PRECISE", "FS=MRC", "CURRENCY=USD", "XLFILL=b")</f>
        <v>#N/A Requesting Data...</v>
      </c>
      <c r="AH99" s="6" t="str">
        <f>_xll.BQL("NOW US Equity", "IS_COMPARABLE_EBITDA/1M", "FPR=2021Y", "FPT=A", "FA_ACT_EST_DATA=E, EST_SOURCE=PSG", "ACT_EST_MAPPING=PRECISE", "FS=MRC", "CURRENCY=USD", "XLFILL=b")</f>
        <v>#N/A Requesting Data...</v>
      </c>
      <c r="AI99" s="6" t="str">
        <f>_xll.BQL("NOW US Equity", "IS_COMPARABLE_EBITDA/1M", "FPR=2021Y", "FPT=A", "FA_ACT_EST_DATA=E, EST_SOURCE=MSR", "ACT_EST_MAPPING=PRECISE", "FS=MRC", "CURRENCY=USD", "XLFILL=b")</f>
        <v>#N/A Requesting Data...</v>
      </c>
      <c r="AJ99" s="6" t="str">
        <f>_xll.BQL("NOW US Equity", "IS_COMPARABLE_EBITDA/1M", "FPR=2021Y", "FPT=A", "FA_ACT_EST_DATA=E, EST_SOURCE=JEF", "ACT_EST_MAPPING=PRECISE", "FS=MRC", "CURRENCY=USD", "XLFILL=b")</f>
        <v>#N/A Requesting Data...</v>
      </c>
      <c r="AK99" s="6" t="str">
        <f>_xll.BQL("NOW US Equity", "IS_COMPARABLE_EBITDA/1M", "FPR=2021Y", "FPT=A", "FA_ACT_EST_DATA=E, EST_SOURCE=TTC", "ACT_EST_MAPPING=PRECISE", "FS=MRC", "CURRENCY=USD", "XLFILL=b")</f>
        <v>#N/A Requesting Data...</v>
      </c>
      <c r="AL99" s="6" t="str">
        <f>_xll.BQL("NOW US Equity", "IS_COMPARABLE_EBITDA/1M", "FPR=2021Y", "FPT=A", "FA_ACT_EST_DATA=E, EST_SOURCE=RWB", "ACT_EST_MAPPING=PRECISE", "FS=MRC", "CURRENCY=USD", "XLFILL=b")</f>
        <v>#N/A Requesting Data...</v>
      </c>
      <c r="AM99" s="6" t="str">
        <f>_xll.BQL("NOW US Equity", "IS_COMPARABLE_EBITDA/1M", "FPR=2021Y", "FPT=A", "FA_ACT_EST_DATA=E, EST_SOURCE=DZB", "ACT_EST_MAPPING=PRECISE", "FS=MRC", "CURRENCY=USD", "XLFILL=b")</f>
        <v>#N/A Requesting Data...</v>
      </c>
      <c r="AN99" s="6" t="str">
        <f>_xll.BQL("NOW US Equity", "IS_COMPARABLE_EBITDA/1M", "FPR=2021Y", "FPT=A", "FA_ACT_EST_DATA=E, EST_SOURCE=DWI", "ACT_EST_MAPPING=PRECISE", "FS=MRC", "CURRENCY=USD", "XLFILL=b")</f>
        <v>#N/A Requesting Data...</v>
      </c>
      <c r="AO99" s="6" t="str">
        <f>_xll.BQL("NOW US Equity", "IS_COMPARABLE_EBITDA/1M", "FPR=2021Y", "FPT=A", "FA_ACT_EST_DATA=E, EST_SOURCE=ARG", "ACT_EST_MAPPING=PRECISE", "FS=MRC", "CURRENCY=USD", "XLFILL=b")</f>
        <v>#N/A Requesting Data...</v>
      </c>
      <c r="AP99" s="6" t="str">
        <f>_xll.BQL("NOW US Equity", "IS_COMPARABLE_EBITDA/1M", "FPR=2021Y", "FPT=A", "FA_ACT_EST_DATA=E, EST_SOURCE=CTI", "ACT_EST_MAPPING=PRECISE", "FS=MRC", "CURRENCY=USD", "XLFILL=b")</f>
        <v>#N/A Requesting Data...</v>
      </c>
      <c r="AQ99" s="6" t="str">
        <f>_xll.BQL("NOW US Equity", "IS_COMPARABLE_EBITDA/1M", "FPR=2021Y", "FPT=A", "FA_ACT_EST_DATA=E, EST_SOURCE=WFT", "ACT_EST_MAPPING=PRECISE", "FS=MRC", "CURRENCY=USD", "XLFILL=b")</f>
        <v>#N/A Requesting Data...</v>
      </c>
      <c r="AR99" s="6" t="str">
        <f>_xll.BQL("NOW US Equity", "IS_COMPARABLE_EBITDA/1M", "FPR=2021Y", "FPT=A", "FA_ACT_EST_DATA=E, EST_SOURCE=ARE", "ACT_EST_MAPPING=PRECISE", "FS=MRC", "CURRENCY=USD", "XLFILL=b")</f>
        <v>#N/A Requesting Data...</v>
      </c>
      <c r="AS99" s="6" t="str">
        <f>_xll.BQL("NOW US Equity", "IS_COMPARABLE_EBITDA/1M", "FPR=2021Y", "FPT=A", "FA_ACT_EST_DATA=E, EST_SOURCE=PJE", "ACT_EST_MAPPING=PRECISE", "FS=MRC", "CURRENCY=USD", "XLFILL=b")</f>
        <v>#N/A Requesting Data...</v>
      </c>
      <c r="AT99" s="6" t="str">
        <f>_xll.BQL("NOW US Equity", "IS_COMPARABLE_EBITDA/1M", "FPR=2021Y", "FPT=A", "FA_ACT_EST_DATA=E, EST_SOURCE=MZS", "ACT_EST_MAPPING=PRECISE", "FS=MRC", "CURRENCY=USD", "XLFILL=b")</f>
        <v>#N/A Requesting Data...</v>
      </c>
      <c r="AU99" s="6" t="str">
        <f>_xll.BQL("NOW US Equity", "IS_COMPARABLE_EBITDA/1M", "FPR=2021Y", "FPT=A", "FA_ACT_EST_DATA=E, EST_SOURCE=SUM", "ACT_EST_MAPPING=PRECISE", "FS=MRC", "CURRENCY=USD", "XLFILL=b")</f>
        <v>#N/A Requesting Data...</v>
      </c>
      <c r="AV99" s="6" t="str">
        <f>_xll.BQL("NOW US Equity", "IS_COMPARABLE_EBITDA/1M", "FPR=2021Y", "FPT=A", "FA_ACT_EST_DATA=E, EST_SOURCE=CRC", "ACT_EST_MAPPING=PRECISE", "FS=MRC", "CURRENCY=USD", "XLFILL=b")</f>
        <v>#N/A Requesting Data...</v>
      </c>
      <c r="AW99" s="6" t="str">
        <f>_xll.BQL("NOW US Equity", "IS_COMPARABLE_EBITDA/1M", "FPR=2021Y", "FPT=A", "FA_ACT_EST_DATA=E, EST_SOURCE=SCB", "ACT_EST_MAPPING=PRECISE", "FS=MRC", "CURRENCY=USD", "XLFILL=b")</f>
        <v>#N/A Requesting Data...</v>
      </c>
    </row>
    <row r="100" spans="1:49" x14ac:dyDescent="0.55000000000000004">
      <c r="A100" s="5" t="s">
        <v>23</v>
      </c>
      <c r="B100" s="2"/>
      <c r="C100" s="2"/>
      <c r="D100" s="2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</row>
    <row r="101" spans="1:49" x14ac:dyDescent="0.55000000000000004">
      <c r="A101" s="5" t="s">
        <v>153</v>
      </c>
      <c r="B101" s="2" t="s">
        <v>154</v>
      </c>
      <c r="C101" s="2" t="s">
        <v>155</v>
      </c>
      <c r="D101" s="2"/>
      <c r="E101" s="6" t="str">
        <f>_xll.BQL("NOW US Equity", "CB_IS_OTHER_NON_OPER_INC_EXPN/1M", "FPR=2021Y", "FPT=A", "FA_ACT_EST_DATA=E", "ACT_EST_MAPPING=PRECISE", "FS=MRC", "CURRENCY=USD", "XLFILL=b")</f>
        <v>#N/A Requesting Data...</v>
      </c>
      <c r="F101" s="6" t="str">
        <f>_xll.BQL("NOW US Equity", "CONTRIBUTOR_STATS(CB_IS_OTHER_NON_OPER_INC_EXPN, MIN)/1M", "FPR=2021Y", "FPT=A", "FA_ACT_EST_DATA=E", "ACT_EST_MAPPING=PRECISE", "FS=MRC", "CURRENCY=USD", "XLFILL=b")</f>
        <v>#N/A Requesting Data...</v>
      </c>
      <c r="G101" s="6" t="str">
        <f>_xll.BQL("NOW US Equity", "CONTRIBUTOR_STATS(CB_IS_OTHER_NON_OPER_INC_EXPN, MAX)/1M", "FPR=2021Y", "FPT=A", "FA_ACT_EST_DATA=E", "ACT_EST_MAPPING=PRECISE", "FS=MRC", "CURRENCY=USD", "XLFILL=b")</f>
        <v>#N/A Requesting Data...</v>
      </c>
      <c r="H101" s="6" t="str">
        <f>_xll.BQL("NOW US Equity", "CONTRIBUTOR_STATS(CB_IS_OTHER_NON_OPER_INC_EXPN, STD)/1M", "FPR=2021Y", "FPT=A", "FA_ACT_EST_DATA=E", "ACT_EST_MAPPING=PRECISE", "FS=MRC", "CURRENCY=USD", "XLFILL=b")</f>
        <v>#N/A Requesting Data...</v>
      </c>
      <c r="I101" s="6" t="str">
        <f>_xll.BQL("NOW US Equity", "CONTRIBUTOR_STATS(CB_IS_OTHER_NON_OPER_INC_EXPN, MEDIAN)/1M", "FPR=2021Y", "FPT=A", "FA_ACT_EST_DATA=E", "ACT_EST_MAPPING=PRECISE", "FS=MRC", "CURRENCY=USD", "XLFILL=b")</f>
        <v>#N/A Requesting Data...</v>
      </c>
      <c r="J101" s="6" t="str">
        <f>_xll.BQL("NOW US Equity", "CB_IS_OTHER_NON_OPER_INC_EXPN/1M", "FPR=2021Y", "FPT=A", "FA_ACT_EST_DATA=E, EST_SOURCE=CMPY", "ACT_EST_MAPPING=PRECISE", "FS=MRC", "CURRENCY=USD", "XLFILL=b")</f>
        <v>#N/A Requesting Data...</v>
      </c>
      <c r="K101" s="6" t="str">
        <f>_xll.BQL("NOW US Equity", "CB_IS_OTHER_NON_OPER_INC_EXPN/1M", "FPR=2021Y", "FPT=A", "FA_ACT_EST_DATA=E, EST_SOURCE=JPM", "ACT_EST_MAPPING=PRECISE", "FS=MRC", "CURRENCY=USD", "XLFILL=b")</f>
        <v>#N/A Requesting Data...</v>
      </c>
      <c r="L101" s="6" t="str">
        <f>_xll.BQL("NOW US Equity", "CB_IS_OTHER_NON_OPER_INC_EXPN/1M", "FPR=2021Y", "FPT=A", "FA_ACT_EST_DATA=E, EST_SOURCE=WBL", "ACT_EST_MAPPING=PRECISE", "FS=MRC", "CURRENCY=USD", "XLFILL=b")</f>
        <v>#N/A Requesting Data...</v>
      </c>
      <c r="M101" s="6" t="str">
        <f>_xll.BQL("NOW US Equity", "CB_IS_OTHER_NON_OPER_INC_EXPN/1M", "FPR=2021Y", "FPT=A", "FA_ACT_EST_DATA=E, EST_SOURCE=KEY", "ACT_EST_MAPPING=PRECISE", "FS=MRC", "CURRENCY=USD", "XLFILL=b")</f>
        <v>#N/A Requesting Data...</v>
      </c>
      <c r="N101" s="6" t="str">
        <f>_xll.BQL("NOW US Equity", "CB_IS_OTHER_NON_OPER_INC_EXPN/1M", "FPR=2021Y", "FPT=A", "FA_ACT_EST_DATA=E, EST_SOURCE=BMO", "ACT_EST_MAPPING=PRECISE", "FS=MRC", "CURRENCY=USD", "XLFILL=b")</f>
        <v>#N/A Requesting Data...</v>
      </c>
      <c r="O101" s="6" t="str">
        <f>_xll.BQL("NOW US Equity", "CB_IS_OTHER_NON_OPER_INC_EXPN/1M", "FPR=2021Y", "FPT=A", "FA_ACT_EST_DATA=E, EST_SOURCE=OPY", "ACT_EST_MAPPING=PRECISE", "FS=MRC", "CURRENCY=USD", "XLFILL=b")</f>
        <v>#N/A Requesting Data...</v>
      </c>
      <c r="P101" s="6" t="str">
        <f>_xll.BQL("NOW US Equity", "CB_IS_OTHER_NON_OPER_INC_EXPN/1M", "FPR=2021Y", "FPT=A", "FA_ACT_EST_DATA=E, EST_SOURCE=BCA", "ACT_EST_MAPPING=PRECISE", "FS=MRC", "CURRENCY=USD", "XLFILL=b")</f>
        <v>#N/A Requesting Data...</v>
      </c>
      <c r="Q101" s="6" t="str">
        <f>_xll.BQL("NOW US Equity", "CB_IS_OTHER_NON_OPER_INC_EXPN/1M", "FPR=2021Y", "FPT=A", "FA_ACT_EST_DATA=E, EST_SOURCE=RHR", "ACT_EST_MAPPING=PRECISE", "FS=MRC", "CURRENCY=USD", "XLFILL=b")</f>
        <v>#N/A Requesting Data...</v>
      </c>
      <c r="R101" s="6" t="str">
        <f>_xll.BQL("NOW US Equity", "CB_IS_OTHER_NON_OPER_INC_EXPN/1M", "FPR=2021Y", "FPT=A", "FA_ACT_EST_DATA=E, EST_SOURCE=SNR", "ACT_EST_MAPPING=PRECISE", "FS=MRC", "CURRENCY=USD", "XLFILL=b")</f>
        <v>#N/A Requesting Data...</v>
      </c>
      <c r="S101" s="6" t="str">
        <f>_xll.BQL("NOW US Equity", "CB_IS_OTHER_NON_OPER_INC_EXPN/1M", "FPR=2021Y", "FPT=A", "FA_ACT_EST_DATA=E, EST_SOURCE=MSV", "ACT_EST_MAPPING=PRECISE", "FS=MRC", "CURRENCY=USD", "XLFILL=b")</f>
        <v>#N/A Requesting Data...</v>
      </c>
      <c r="T101" s="6" t="str">
        <f>_xll.BQL("NOW US Equity", "CB_IS_OTHER_NON_OPER_INC_EXPN/1M", "FPR=2021Y", "FPT=A", "FA_ACT_EST_DATA=E, EST_SOURCE=CAN", "ACT_EST_MAPPING=PRECISE", "FS=MRC", "CURRENCY=USD", "XLFILL=b")</f>
        <v>#N/A Requesting Data...</v>
      </c>
      <c r="U101" s="6" t="str">
        <f>_xll.BQL("NOW US Equity", "CB_IS_OTHER_NON_OPER_INC_EXPN/1M", "FPR=2021Y", "FPT=A", "FA_ACT_EST_DATA=E, EST_SOURCE=JMP", "ACT_EST_MAPPING=PRECISE", "FS=MRC", "CURRENCY=USD", "XLFILL=b")</f>
        <v>#N/A Requesting Data...</v>
      </c>
      <c r="V101" s="6" t="str">
        <f>_xll.BQL("NOW US Equity", "CB_IS_OTHER_NON_OPER_INC_EXPN/1M", "FPR=2021Y", "FPT=A", "FA_ACT_EST_DATA=E, EST_SOURCE=NDH", "ACT_EST_MAPPING=PRECISE", "FS=MRC", "CURRENCY=USD", "XLFILL=b")</f>
        <v>#N/A Requesting Data...</v>
      </c>
      <c r="W101" s="6" t="str">
        <f>_xll.BQL("NOW US Equity", "CB_IS_OTHER_NON_OPER_INC_EXPN/1M", "FPR=2021Y", "FPT=A", "FA_ACT_EST_DATA=E, EST_SOURCE=ZXS", "ACT_EST_MAPPING=PRECISE", "FS=MRC", "CURRENCY=USD", "XLFILL=b")</f>
        <v>#N/A Requesting Data...</v>
      </c>
      <c r="X101" s="6" t="str">
        <f>_xll.BQL("NOW US Equity", "CB_IS_OTHER_NON_OPER_INC_EXPN/1M", "FPR=2021Y", "FPT=A", "FA_ACT_EST_DATA=E, EST_SOURCE=CWN", "ACT_EST_MAPPING=PRECISE", "FS=MRC", "CURRENCY=USD", "XLFILL=b")</f>
        <v>#N/A Requesting Data...</v>
      </c>
      <c r="Y101" s="6" t="str">
        <f>_xll.BQL("NOW US Equity", "CB_IS_OTHER_NON_OPER_INC_EXPN/1M", "FPR=2021Y", "FPT=A", "FA_ACT_EST_DATA=E, EST_SOURCE=DBG", "ACT_EST_MAPPING=PRECISE", "FS=MRC", "CURRENCY=USD", "XLFILL=b")</f>
        <v>#N/A Requesting Data...</v>
      </c>
      <c r="Z101" s="6" t="str">
        <f>_xll.BQL("NOW US Equity", "CB_IS_OTHER_NON_OPER_INC_EXPN/1M", "FPR=2021Y", "FPT=A", "FA_ACT_EST_DATA=E, EST_SOURCE=UBS", "ACT_EST_MAPPING=PRECISE", "FS=MRC", "CURRENCY=USD", "XLFILL=b")</f>
        <v>#N/A Requesting Data...</v>
      </c>
      <c r="AA101" s="6" t="str">
        <f>_xll.BQL("NOW US Equity", "CB_IS_OTHER_NON_OPER_INC_EXPN/1M", "FPR=2021Y", "FPT=A", "FA_ACT_EST_DATA=E, EST_SOURCE=RBC", "ACT_EST_MAPPING=PRECISE", "FS=MRC", "CURRENCY=USD", "XLFILL=b")</f>
        <v>#N/A Requesting Data...</v>
      </c>
      <c r="AB101" s="6" t="str">
        <f>_xll.BQL("NOW US Equity", "CB_IS_OTHER_NON_OPER_INC_EXPN/1M", "FPR=2021Y", "FPT=A", "FA_ACT_EST_DATA=E, EST_SOURCE=EVR", "ACT_EST_MAPPING=PRECISE", "FS=MRC", "CURRENCY=USD", "XLFILL=b")</f>
        <v>#N/A Requesting Data...</v>
      </c>
      <c r="AC101" s="6" t="str">
        <f>_xll.BQL("NOW US Equity", "CB_IS_OTHER_NON_OPER_INC_EXPN/1M", "FPR=2021Y", "FPT=A", "FA_ACT_EST_DATA=E, EST_SOURCE=BNS", "ACT_EST_MAPPING=PRECISE", "FS=MRC", "CURRENCY=USD", "XLFILL=b")</f>
        <v>#N/A Requesting Data...</v>
      </c>
      <c r="AD101" s="6" t="str">
        <f>_xll.BQL("NOW US Equity", "CB_IS_OTHER_NON_OPER_INC_EXPN/1M", "FPR=2021Y", "FPT=A", "FA_ACT_EST_DATA=E, EST_SOURCE=BAM", "ACT_EST_MAPPING=PRECISE", "FS=MRC", "CURRENCY=USD", "XLFILL=b")</f>
        <v>#N/A Requesting Data...</v>
      </c>
      <c r="AE101" s="6" t="str">
        <f>_xll.BQL("NOW US Equity", "CB_IS_OTHER_NON_OPER_INC_EXPN/1M", "FPR=2021Y", "FPT=A", "FA_ACT_EST_DATA=E, EST_SOURCE=GSR", "ACT_EST_MAPPING=PRECISE", "FS=MRC", "CURRENCY=USD", "XLFILL=b")</f>
        <v>#N/A Requesting Data...</v>
      </c>
      <c r="AF101" s="6" t="str">
        <f>_xll.BQL("NOW US Equity", "CB_IS_OTHER_NON_OPER_INC_EXPN/1M", "FPR=2021Y", "FPT=A", "FA_ACT_EST_DATA=E, EST_SOURCE=FBC", "ACT_EST_MAPPING=PRECISE", "FS=MRC", "CURRENCY=USD", "XLFILL=b")</f>
        <v>#N/A Requesting Data...</v>
      </c>
      <c r="AG101" s="6" t="str">
        <f>_xll.BQL("NOW US Equity", "CB_IS_OTHER_NON_OPER_INC_EXPN/1M", "FPR=2021Y", "FPT=A", "FA_ACT_EST_DATA=E, EST_SOURCE=MAC", "ACT_EST_MAPPING=PRECISE", "FS=MRC", "CURRENCY=USD", "XLFILL=b")</f>
        <v>#N/A Requesting Data...</v>
      </c>
      <c r="AH101" s="6" t="str">
        <f>_xll.BQL("NOW US Equity", "CB_IS_OTHER_NON_OPER_INC_EXPN/1M", "FPR=2021Y", "FPT=A", "FA_ACT_EST_DATA=E, EST_SOURCE=PSG", "ACT_EST_MAPPING=PRECISE", "FS=MRC", "CURRENCY=USD", "XLFILL=b")</f>
        <v>#N/A Requesting Data...</v>
      </c>
      <c r="AI101" s="6" t="str">
        <f>_xll.BQL("NOW US Equity", "CB_IS_OTHER_NON_OPER_INC_EXPN/1M", "FPR=2021Y", "FPT=A", "FA_ACT_EST_DATA=E, EST_SOURCE=MSR", "ACT_EST_MAPPING=PRECISE", "FS=MRC", "CURRENCY=USD", "XLFILL=b")</f>
        <v>#N/A Requesting Data...</v>
      </c>
      <c r="AJ101" s="6" t="str">
        <f>_xll.BQL("NOW US Equity", "CB_IS_OTHER_NON_OPER_INC_EXPN/1M", "FPR=2021Y", "FPT=A", "FA_ACT_EST_DATA=E, EST_SOURCE=JEF", "ACT_EST_MAPPING=PRECISE", "FS=MRC", "CURRENCY=USD", "XLFILL=b")</f>
        <v>#N/A Requesting Data...</v>
      </c>
      <c r="AK101" s="6" t="str">
        <f>_xll.BQL("NOW US Equity", "CB_IS_OTHER_NON_OPER_INC_EXPN/1M", "FPR=2021Y", "FPT=A", "FA_ACT_EST_DATA=E, EST_SOURCE=TTC", "ACT_EST_MAPPING=PRECISE", "FS=MRC", "CURRENCY=USD", "XLFILL=b")</f>
        <v>#N/A Requesting Data...</v>
      </c>
      <c r="AL101" s="6" t="str">
        <f>_xll.BQL("NOW US Equity", "CB_IS_OTHER_NON_OPER_INC_EXPN/1M", "FPR=2021Y", "FPT=A", "FA_ACT_EST_DATA=E, EST_SOURCE=RWB", "ACT_EST_MAPPING=PRECISE", "FS=MRC", "CURRENCY=USD", "XLFILL=b")</f>
        <v>#N/A Requesting Data...</v>
      </c>
      <c r="AM101" s="6" t="str">
        <f>_xll.BQL("NOW US Equity", "CB_IS_OTHER_NON_OPER_INC_EXPN/1M", "FPR=2021Y", "FPT=A", "FA_ACT_EST_DATA=E, EST_SOURCE=DZB", "ACT_EST_MAPPING=PRECISE", "FS=MRC", "CURRENCY=USD", "XLFILL=b")</f>
        <v>#N/A Requesting Data...</v>
      </c>
      <c r="AN101" s="6" t="str">
        <f>_xll.BQL("NOW US Equity", "CB_IS_OTHER_NON_OPER_INC_EXPN/1M", "FPR=2021Y", "FPT=A", "FA_ACT_EST_DATA=E, EST_SOURCE=DWI", "ACT_EST_MAPPING=PRECISE", "FS=MRC", "CURRENCY=USD", "XLFILL=b")</f>
        <v>#N/A Requesting Data...</v>
      </c>
      <c r="AO101" s="6" t="str">
        <f>_xll.BQL("NOW US Equity", "CB_IS_OTHER_NON_OPER_INC_EXPN/1M", "FPR=2021Y", "FPT=A", "FA_ACT_EST_DATA=E, EST_SOURCE=ARG", "ACT_EST_MAPPING=PRECISE", "FS=MRC", "CURRENCY=USD", "XLFILL=b")</f>
        <v>#N/A Requesting Data...</v>
      </c>
      <c r="AP101" s="6" t="str">
        <f>_xll.BQL("NOW US Equity", "CB_IS_OTHER_NON_OPER_INC_EXPN/1M", "FPR=2021Y", "FPT=A", "FA_ACT_EST_DATA=E, EST_SOURCE=CTI", "ACT_EST_MAPPING=PRECISE", "FS=MRC", "CURRENCY=USD", "XLFILL=b")</f>
        <v>#N/A Requesting Data...</v>
      </c>
      <c r="AQ101" s="6" t="str">
        <f>_xll.BQL("NOW US Equity", "CB_IS_OTHER_NON_OPER_INC_EXPN/1M", "FPR=2021Y", "FPT=A", "FA_ACT_EST_DATA=E, EST_SOURCE=WFT", "ACT_EST_MAPPING=PRECISE", "FS=MRC", "CURRENCY=USD", "XLFILL=b")</f>
        <v>#N/A Requesting Data...</v>
      </c>
      <c r="AR101" s="6" t="str">
        <f>_xll.BQL("NOW US Equity", "CB_IS_OTHER_NON_OPER_INC_EXPN/1M", "FPR=2021Y", "FPT=A", "FA_ACT_EST_DATA=E, EST_SOURCE=ARE", "ACT_EST_MAPPING=PRECISE", "FS=MRC", "CURRENCY=USD", "XLFILL=b")</f>
        <v>#N/A Requesting Data...</v>
      </c>
      <c r="AS101" s="6" t="str">
        <f>_xll.BQL("NOW US Equity", "CB_IS_OTHER_NON_OPER_INC_EXPN/1M", "FPR=2021Y", "FPT=A", "FA_ACT_EST_DATA=E, EST_SOURCE=PJE", "ACT_EST_MAPPING=PRECISE", "FS=MRC", "CURRENCY=USD", "XLFILL=b")</f>
        <v>#N/A Requesting Data...</v>
      </c>
      <c r="AT101" s="6" t="str">
        <f>_xll.BQL("NOW US Equity", "CB_IS_OTHER_NON_OPER_INC_EXPN/1M", "FPR=2021Y", "FPT=A", "FA_ACT_EST_DATA=E, EST_SOURCE=MZS", "ACT_EST_MAPPING=PRECISE", "FS=MRC", "CURRENCY=USD", "XLFILL=b")</f>
        <v>#N/A Requesting Data...</v>
      </c>
      <c r="AU101" s="6" t="str">
        <f>_xll.BQL("NOW US Equity", "CB_IS_OTHER_NON_OPER_INC_EXPN/1M", "FPR=2021Y", "FPT=A", "FA_ACT_EST_DATA=E, EST_SOURCE=SUM", "ACT_EST_MAPPING=PRECISE", "FS=MRC", "CURRENCY=USD", "XLFILL=b")</f>
        <v>#N/A Requesting Data...</v>
      </c>
      <c r="AV101" s="6" t="str">
        <f>_xll.BQL("NOW US Equity", "CB_IS_OTHER_NON_OPER_INC_EXPN/1M", "FPR=2021Y", "FPT=A", "FA_ACT_EST_DATA=E, EST_SOURCE=CRC", "ACT_EST_MAPPING=PRECISE", "FS=MRC", "CURRENCY=USD", "XLFILL=b")</f>
        <v>#N/A Requesting Data...</v>
      </c>
      <c r="AW101" s="6" t="str">
        <f>_xll.BQL("NOW US Equity", "CB_IS_OTHER_NON_OPER_INC_EXPN/1M", "FPR=2021Y", "FPT=A", "FA_ACT_EST_DATA=E, EST_SOURCE=SCB", "ACT_EST_MAPPING=PRECISE", "FS=MRC", "CURRENCY=USD", "XLFILL=b")</f>
        <v>#N/A Requesting Data...</v>
      </c>
    </row>
    <row r="102" spans="1:49" x14ac:dyDescent="0.55000000000000004">
      <c r="A102" s="5" t="s">
        <v>156</v>
      </c>
      <c r="B102" s="2" t="s">
        <v>157</v>
      </c>
      <c r="C102" s="2" t="s">
        <v>158</v>
      </c>
      <c r="D102" s="2"/>
      <c r="E102" s="6" t="str">
        <f>_xll.BQL("NOW US Equity", "IS_COMP_PTP_EX_STK_BASED_COMP/1M", "FPR=2021Y", "FPT=A", "FA_ACT_EST_DATA=E", "ACT_EST_MAPPING=PRECISE", "FS=MRC", "CURRENCY=USD", "XLFILL=b")</f>
        <v>#N/A Requesting Data...</v>
      </c>
      <c r="F102" s="6" t="str">
        <f>_xll.BQL("NOW US Equity", "CONTRIBUTOR_STATS(IS_COMP_PTP_EX_STK_BASED_COMP, MIN)/1M", "FPR=2021Y", "FPT=A", "FA_ACT_EST_DATA=E", "ACT_EST_MAPPING=PRECISE", "FS=MRC", "CURRENCY=USD", "XLFILL=b")</f>
        <v>#N/A Requesting Data...</v>
      </c>
      <c r="G102" s="6" t="str">
        <f>_xll.BQL("NOW US Equity", "CONTRIBUTOR_STATS(IS_COMP_PTP_EX_STK_BASED_COMP, MAX)/1M", "FPR=2021Y", "FPT=A", "FA_ACT_EST_DATA=E", "ACT_EST_MAPPING=PRECISE", "FS=MRC", "CURRENCY=USD", "XLFILL=b")</f>
        <v>#N/A Requesting Data...</v>
      </c>
      <c r="H102" s="6" t="str">
        <f>_xll.BQL("NOW US Equity", "CONTRIBUTOR_STATS(IS_COMP_PTP_EX_STK_BASED_COMP, STD)/1M", "FPR=2021Y", "FPT=A", "FA_ACT_EST_DATA=E", "ACT_EST_MAPPING=PRECISE", "FS=MRC", "CURRENCY=USD", "XLFILL=b")</f>
        <v>#N/A Requesting Data...</v>
      </c>
      <c r="I102" s="6" t="str">
        <f>_xll.BQL("NOW US Equity", "CONTRIBUTOR_STATS(IS_COMP_PTP_EX_STK_BASED_COMP, MEDIAN)/1M", "FPR=2021Y", "FPT=A", "FA_ACT_EST_DATA=E", "ACT_EST_MAPPING=PRECISE", "FS=MRC", "CURRENCY=USD", "XLFILL=b")</f>
        <v>#N/A Requesting Data...</v>
      </c>
      <c r="J102" s="6" t="str">
        <f>_xll.BQL("NOW US Equity", "IS_COMP_PTP_EX_STK_BASED_COMP/1M", "FPR=2021Y", "FPT=A", "FA_ACT_EST_DATA=E, EST_SOURCE=CMPY", "ACT_EST_MAPPING=PRECISE", "FS=MRC", "CURRENCY=USD", "XLFILL=b")</f>
        <v>#N/A Requesting Data...</v>
      </c>
      <c r="K102" s="6" t="str">
        <f>_xll.BQL("NOW US Equity", "IS_COMP_PTP_EX_STK_BASED_COMP/1M", "FPR=2021Y", "FPT=A", "FA_ACT_EST_DATA=E, EST_SOURCE=JPM", "ACT_EST_MAPPING=PRECISE", "FS=MRC", "CURRENCY=USD", "XLFILL=b")</f>
        <v>#N/A Requesting Data...</v>
      </c>
      <c r="L102" s="6" t="str">
        <f>_xll.BQL("NOW US Equity", "IS_COMP_PTP_EX_STK_BASED_COMP/1M", "FPR=2021Y", "FPT=A", "FA_ACT_EST_DATA=E, EST_SOURCE=WBL", "ACT_EST_MAPPING=PRECISE", "FS=MRC", "CURRENCY=USD", "XLFILL=b")</f>
        <v>#N/A Requesting Data...</v>
      </c>
      <c r="M102" s="6" t="str">
        <f>_xll.BQL("NOW US Equity", "IS_COMP_PTP_EX_STK_BASED_COMP/1M", "FPR=2021Y", "FPT=A", "FA_ACT_EST_DATA=E, EST_SOURCE=KEY", "ACT_EST_MAPPING=PRECISE", "FS=MRC", "CURRENCY=USD", "XLFILL=b")</f>
        <v>#N/A Requesting Data...</v>
      </c>
      <c r="N102" s="6" t="str">
        <f>_xll.BQL("NOW US Equity", "IS_COMP_PTP_EX_STK_BASED_COMP/1M", "FPR=2021Y", "FPT=A", "FA_ACT_EST_DATA=E, EST_SOURCE=BMO", "ACT_EST_MAPPING=PRECISE", "FS=MRC", "CURRENCY=USD", "XLFILL=b")</f>
        <v>#N/A Requesting Data...</v>
      </c>
      <c r="O102" s="6" t="str">
        <f>_xll.BQL("NOW US Equity", "IS_COMP_PTP_EX_STK_BASED_COMP/1M", "FPR=2021Y", "FPT=A", "FA_ACT_EST_DATA=E, EST_SOURCE=OPY", "ACT_EST_MAPPING=PRECISE", "FS=MRC", "CURRENCY=USD", "XLFILL=b")</f>
        <v>#N/A Requesting Data...</v>
      </c>
      <c r="P102" s="6" t="str">
        <f>_xll.BQL("NOW US Equity", "IS_COMP_PTP_EX_STK_BASED_COMP/1M", "FPR=2021Y", "FPT=A", "FA_ACT_EST_DATA=E, EST_SOURCE=BCA", "ACT_EST_MAPPING=PRECISE", "FS=MRC", "CURRENCY=USD", "XLFILL=b")</f>
        <v>#N/A Requesting Data...</v>
      </c>
      <c r="Q102" s="6" t="str">
        <f>_xll.BQL("NOW US Equity", "IS_COMP_PTP_EX_STK_BASED_COMP/1M", "FPR=2021Y", "FPT=A", "FA_ACT_EST_DATA=E, EST_SOURCE=RHR", "ACT_EST_MAPPING=PRECISE", "FS=MRC", "CURRENCY=USD", "XLFILL=b")</f>
        <v>#N/A Requesting Data...</v>
      </c>
      <c r="R102" s="6" t="str">
        <f>_xll.BQL("NOW US Equity", "IS_COMP_PTP_EX_STK_BASED_COMP/1M", "FPR=2021Y", "FPT=A", "FA_ACT_EST_DATA=E, EST_SOURCE=SNR", "ACT_EST_MAPPING=PRECISE", "FS=MRC", "CURRENCY=USD", "XLFILL=b")</f>
        <v>#N/A Requesting Data...</v>
      </c>
      <c r="S102" s="6" t="str">
        <f>_xll.BQL("NOW US Equity", "IS_COMP_PTP_EX_STK_BASED_COMP/1M", "FPR=2021Y", "FPT=A", "FA_ACT_EST_DATA=E, EST_SOURCE=MSV", "ACT_EST_MAPPING=PRECISE", "FS=MRC", "CURRENCY=USD", "XLFILL=b")</f>
        <v>#N/A Requesting Data...</v>
      </c>
      <c r="T102" s="6" t="str">
        <f>_xll.BQL("NOW US Equity", "IS_COMP_PTP_EX_STK_BASED_COMP/1M", "FPR=2021Y", "FPT=A", "FA_ACT_EST_DATA=E, EST_SOURCE=CAN", "ACT_EST_MAPPING=PRECISE", "FS=MRC", "CURRENCY=USD", "XLFILL=b")</f>
        <v>#N/A Requesting Data...</v>
      </c>
      <c r="U102" s="6" t="str">
        <f>_xll.BQL("NOW US Equity", "IS_COMP_PTP_EX_STK_BASED_COMP/1M", "FPR=2021Y", "FPT=A", "FA_ACT_EST_DATA=E, EST_SOURCE=JMP", "ACT_EST_MAPPING=PRECISE", "FS=MRC", "CURRENCY=USD", "XLFILL=b")</f>
        <v>#N/A Requesting Data...</v>
      </c>
      <c r="V102" s="6" t="str">
        <f>_xll.BQL("NOW US Equity", "IS_COMP_PTP_EX_STK_BASED_COMP/1M", "FPR=2021Y", "FPT=A", "FA_ACT_EST_DATA=E, EST_SOURCE=NDH", "ACT_EST_MAPPING=PRECISE", "FS=MRC", "CURRENCY=USD", "XLFILL=b")</f>
        <v>#N/A Requesting Data...</v>
      </c>
      <c r="W102" s="6" t="str">
        <f>_xll.BQL("NOW US Equity", "IS_COMP_PTP_EX_STK_BASED_COMP/1M", "FPR=2021Y", "FPT=A", "FA_ACT_EST_DATA=E, EST_SOURCE=ZXS", "ACT_EST_MAPPING=PRECISE", "FS=MRC", "CURRENCY=USD", "XLFILL=b")</f>
        <v>#N/A Requesting Data...</v>
      </c>
      <c r="X102" s="6" t="str">
        <f>_xll.BQL("NOW US Equity", "IS_COMP_PTP_EX_STK_BASED_COMP/1M", "FPR=2021Y", "FPT=A", "FA_ACT_EST_DATA=E, EST_SOURCE=CWN", "ACT_EST_MAPPING=PRECISE", "FS=MRC", "CURRENCY=USD", "XLFILL=b")</f>
        <v>#N/A Requesting Data...</v>
      </c>
      <c r="Y102" s="6" t="str">
        <f>_xll.BQL("NOW US Equity", "IS_COMP_PTP_EX_STK_BASED_COMP/1M", "FPR=2021Y", "FPT=A", "FA_ACT_EST_DATA=E, EST_SOURCE=DBG", "ACT_EST_MAPPING=PRECISE", "FS=MRC", "CURRENCY=USD", "XLFILL=b")</f>
        <v>#N/A Requesting Data...</v>
      </c>
      <c r="Z102" s="6" t="str">
        <f>_xll.BQL("NOW US Equity", "IS_COMP_PTP_EX_STK_BASED_COMP/1M", "FPR=2021Y", "FPT=A", "FA_ACT_EST_DATA=E, EST_SOURCE=UBS", "ACT_EST_MAPPING=PRECISE", "FS=MRC", "CURRENCY=USD", "XLFILL=b")</f>
        <v>#N/A Requesting Data...</v>
      </c>
      <c r="AA102" s="6" t="str">
        <f>_xll.BQL("NOW US Equity", "IS_COMP_PTP_EX_STK_BASED_COMP/1M", "FPR=2021Y", "FPT=A", "FA_ACT_EST_DATA=E, EST_SOURCE=RBC", "ACT_EST_MAPPING=PRECISE", "FS=MRC", "CURRENCY=USD", "XLFILL=b")</f>
        <v>#N/A Requesting Data...</v>
      </c>
      <c r="AB102" s="6" t="str">
        <f>_xll.BQL("NOW US Equity", "IS_COMP_PTP_EX_STK_BASED_COMP/1M", "FPR=2021Y", "FPT=A", "FA_ACT_EST_DATA=E, EST_SOURCE=EVR", "ACT_EST_MAPPING=PRECISE", "FS=MRC", "CURRENCY=USD", "XLFILL=b")</f>
        <v>#N/A Requesting Data...</v>
      </c>
      <c r="AC102" s="6" t="str">
        <f>_xll.BQL("NOW US Equity", "IS_COMP_PTP_EX_STK_BASED_COMP/1M", "FPR=2021Y", "FPT=A", "FA_ACT_EST_DATA=E, EST_SOURCE=BNS", "ACT_EST_MAPPING=PRECISE", "FS=MRC", "CURRENCY=USD", "XLFILL=b")</f>
        <v>#N/A Requesting Data...</v>
      </c>
      <c r="AD102" s="6" t="str">
        <f>_xll.BQL("NOW US Equity", "IS_COMP_PTP_EX_STK_BASED_COMP/1M", "FPR=2021Y", "FPT=A", "FA_ACT_EST_DATA=E, EST_SOURCE=BAM", "ACT_EST_MAPPING=PRECISE", "FS=MRC", "CURRENCY=USD", "XLFILL=b")</f>
        <v>#N/A Requesting Data...</v>
      </c>
      <c r="AE102" s="6" t="str">
        <f>_xll.BQL("NOW US Equity", "IS_COMP_PTP_EX_STK_BASED_COMP/1M", "FPR=2021Y", "FPT=A", "FA_ACT_EST_DATA=E, EST_SOURCE=GSR", "ACT_EST_MAPPING=PRECISE", "FS=MRC", "CURRENCY=USD", "XLFILL=b")</f>
        <v>#N/A Requesting Data...</v>
      </c>
      <c r="AF102" s="6" t="str">
        <f>_xll.BQL("NOW US Equity", "IS_COMP_PTP_EX_STK_BASED_COMP/1M", "FPR=2021Y", "FPT=A", "FA_ACT_EST_DATA=E, EST_SOURCE=FBC", "ACT_EST_MAPPING=PRECISE", "FS=MRC", "CURRENCY=USD", "XLFILL=b")</f>
        <v>#N/A Requesting Data...</v>
      </c>
      <c r="AG102" s="6" t="str">
        <f>_xll.BQL("NOW US Equity", "IS_COMP_PTP_EX_STK_BASED_COMP/1M", "FPR=2021Y", "FPT=A", "FA_ACT_EST_DATA=E, EST_SOURCE=MAC", "ACT_EST_MAPPING=PRECISE", "FS=MRC", "CURRENCY=USD", "XLFILL=b")</f>
        <v>#N/A Requesting Data...</v>
      </c>
      <c r="AH102" s="6" t="str">
        <f>_xll.BQL("NOW US Equity", "IS_COMP_PTP_EX_STK_BASED_COMP/1M", "FPR=2021Y", "FPT=A", "FA_ACT_EST_DATA=E, EST_SOURCE=PSG", "ACT_EST_MAPPING=PRECISE", "FS=MRC", "CURRENCY=USD", "XLFILL=b")</f>
        <v>#N/A Requesting Data...</v>
      </c>
      <c r="AI102" s="6" t="str">
        <f>_xll.BQL("NOW US Equity", "IS_COMP_PTP_EX_STK_BASED_COMP/1M", "FPR=2021Y", "FPT=A", "FA_ACT_EST_DATA=E, EST_SOURCE=MSR", "ACT_EST_MAPPING=PRECISE", "FS=MRC", "CURRENCY=USD", "XLFILL=b")</f>
        <v>#N/A Requesting Data...</v>
      </c>
      <c r="AJ102" s="6" t="str">
        <f>_xll.BQL("NOW US Equity", "IS_COMP_PTP_EX_STK_BASED_COMP/1M", "FPR=2021Y", "FPT=A", "FA_ACT_EST_DATA=E, EST_SOURCE=JEF", "ACT_EST_MAPPING=PRECISE", "FS=MRC", "CURRENCY=USD", "XLFILL=b")</f>
        <v>#N/A Requesting Data...</v>
      </c>
      <c r="AK102" s="6" t="str">
        <f>_xll.BQL("NOW US Equity", "IS_COMP_PTP_EX_STK_BASED_COMP/1M", "FPR=2021Y", "FPT=A", "FA_ACT_EST_DATA=E, EST_SOURCE=TTC", "ACT_EST_MAPPING=PRECISE", "FS=MRC", "CURRENCY=USD", "XLFILL=b")</f>
        <v>#N/A Requesting Data...</v>
      </c>
      <c r="AL102" s="6" t="str">
        <f>_xll.BQL("NOW US Equity", "IS_COMP_PTP_EX_STK_BASED_COMP/1M", "FPR=2021Y", "FPT=A", "FA_ACT_EST_DATA=E, EST_SOURCE=RWB", "ACT_EST_MAPPING=PRECISE", "FS=MRC", "CURRENCY=USD", "XLFILL=b")</f>
        <v>#N/A Requesting Data...</v>
      </c>
      <c r="AM102" s="6" t="str">
        <f>_xll.BQL("NOW US Equity", "IS_COMP_PTP_EX_STK_BASED_COMP/1M", "FPR=2021Y", "FPT=A", "FA_ACT_EST_DATA=E, EST_SOURCE=DZB", "ACT_EST_MAPPING=PRECISE", "FS=MRC", "CURRENCY=USD", "XLFILL=b")</f>
        <v>#N/A Requesting Data...</v>
      </c>
      <c r="AN102" s="6" t="str">
        <f>_xll.BQL("NOW US Equity", "IS_COMP_PTP_EX_STK_BASED_COMP/1M", "FPR=2021Y", "FPT=A", "FA_ACT_EST_DATA=E, EST_SOURCE=DWI", "ACT_EST_MAPPING=PRECISE", "FS=MRC", "CURRENCY=USD", "XLFILL=b")</f>
        <v>#N/A Requesting Data...</v>
      </c>
      <c r="AO102" s="6" t="str">
        <f>_xll.BQL("NOW US Equity", "IS_COMP_PTP_EX_STK_BASED_COMP/1M", "FPR=2021Y", "FPT=A", "FA_ACT_EST_DATA=E, EST_SOURCE=ARG", "ACT_EST_MAPPING=PRECISE", "FS=MRC", "CURRENCY=USD", "XLFILL=b")</f>
        <v>#N/A Requesting Data...</v>
      </c>
      <c r="AP102" s="6" t="str">
        <f>_xll.BQL("NOW US Equity", "IS_COMP_PTP_EX_STK_BASED_COMP/1M", "FPR=2021Y", "FPT=A", "FA_ACT_EST_DATA=E, EST_SOURCE=CTI", "ACT_EST_MAPPING=PRECISE", "FS=MRC", "CURRENCY=USD", "XLFILL=b")</f>
        <v>#N/A Requesting Data...</v>
      </c>
      <c r="AQ102" s="6" t="str">
        <f>_xll.BQL("NOW US Equity", "IS_COMP_PTP_EX_STK_BASED_COMP/1M", "FPR=2021Y", "FPT=A", "FA_ACT_EST_DATA=E, EST_SOURCE=WFT", "ACT_EST_MAPPING=PRECISE", "FS=MRC", "CURRENCY=USD", "XLFILL=b")</f>
        <v>#N/A Requesting Data...</v>
      </c>
      <c r="AR102" s="6" t="str">
        <f>_xll.BQL("NOW US Equity", "IS_COMP_PTP_EX_STK_BASED_COMP/1M", "FPR=2021Y", "FPT=A", "FA_ACT_EST_DATA=E, EST_SOURCE=ARE", "ACT_EST_MAPPING=PRECISE", "FS=MRC", "CURRENCY=USD", "XLFILL=b")</f>
        <v>#N/A Requesting Data...</v>
      </c>
      <c r="AS102" s="6" t="str">
        <f>_xll.BQL("NOW US Equity", "IS_COMP_PTP_EX_STK_BASED_COMP/1M", "FPR=2021Y", "FPT=A", "FA_ACT_EST_DATA=E, EST_SOURCE=PJE", "ACT_EST_MAPPING=PRECISE", "FS=MRC", "CURRENCY=USD", "XLFILL=b")</f>
        <v>#N/A Requesting Data...</v>
      </c>
      <c r="AT102" s="6" t="str">
        <f>_xll.BQL("NOW US Equity", "IS_COMP_PTP_EX_STK_BASED_COMP/1M", "FPR=2021Y", "FPT=A", "FA_ACT_EST_DATA=E, EST_SOURCE=MZS", "ACT_EST_MAPPING=PRECISE", "FS=MRC", "CURRENCY=USD", "XLFILL=b")</f>
        <v>#N/A Requesting Data...</v>
      </c>
      <c r="AU102" s="6" t="str">
        <f>_xll.BQL("NOW US Equity", "IS_COMP_PTP_EX_STK_BASED_COMP/1M", "FPR=2021Y", "FPT=A", "FA_ACT_EST_DATA=E, EST_SOURCE=SUM", "ACT_EST_MAPPING=PRECISE", "FS=MRC", "CURRENCY=USD", "XLFILL=b")</f>
        <v>#N/A Requesting Data...</v>
      </c>
      <c r="AV102" s="6" t="str">
        <f>_xll.BQL("NOW US Equity", "IS_COMP_PTP_EX_STK_BASED_COMP/1M", "FPR=2021Y", "FPT=A", "FA_ACT_EST_DATA=E, EST_SOURCE=CRC", "ACT_EST_MAPPING=PRECISE", "FS=MRC", "CURRENCY=USD", "XLFILL=b")</f>
        <v>#N/A Requesting Data...</v>
      </c>
      <c r="AW102" s="6" t="str">
        <f>_xll.BQL("NOW US Equity", "IS_COMP_PTP_EX_STK_BASED_COMP/1M", "FPR=2021Y", "FPT=A", "FA_ACT_EST_DATA=E, EST_SOURCE=SCB", "ACT_EST_MAPPING=PRECISE", "FS=MRC", "CURRENCY=USD", "XLFILL=b")</f>
        <v>#N/A Requesting Data...</v>
      </c>
    </row>
    <row r="103" spans="1:49" x14ac:dyDescent="0.55000000000000004">
      <c r="A103" s="5" t="s">
        <v>23</v>
      </c>
      <c r="B103" s="2"/>
      <c r="C103" s="2"/>
      <c r="D103" s="2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</row>
    <row r="104" spans="1:49" x14ac:dyDescent="0.55000000000000004">
      <c r="A104" s="5" t="s">
        <v>159</v>
      </c>
      <c r="B104" s="2" t="s">
        <v>160</v>
      </c>
      <c r="C104" s="2" t="s">
        <v>161</v>
      </c>
      <c r="D104" s="2"/>
      <c r="E104" s="6" t="str">
        <f>_xll.BQL("NOW US Equity", "IS_COMP_NET_INC_EXCL_STOCK_COMP/1M", "FPR=2021Y", "FPT=A", "FA_ACT_EST_DATA=E", "ACT_EST_MAPPING=PRECISE", "FS=MRC", "CURRENCY=USD", "XLFILL=b")</f>
        <v>#N/A Requesting Data...</v>
      </c>
      <c r="F104" s="6" t="str">
        <f>_xll.BQL("NOW US Equity", "CONTRIBUTOR_STATS(IS_COMP_NET_INC_EXCL_STOCK_COMP, MIN)/1M", "FPR=2021Y", "FPT=A", "FA_ACT_EST_DATA=E", "ACT_EST_MAPPING=PRECISE", "FS=MRC", "CURRENCY=USD", "XLFILL=b")</f>
        <v>#N/A Requesting Data...</v>
      </c>
      <c r="G104" s="6" t="str">
        <f>_xll.BQL("NOW US Equity", "CONTRIBUTOR_STATS(IS_COMP_NET_INC_EXCL_STOCK_COMP, MAX)/1M", "FPR=2021Y", "FPT=A", "FA_ACT_EST_DATA=E", "ACT_EST_MAPPING=PRECISE", "FS=MRC", "CURRENCY=USD", "XLFILL=b")</f>
        <v>#N/A Requesting Data...</v>
      </c>
      <c r="H104" s="6" t="str">
        <f>_xll.BQL("NOW US Equity", "CONTRIBUTOR_STATS(IS_COMP_NET_INC_EXCL_STOCK_COMP, STD)/1M", "FPR=2021Y", "FPT=A", "FA_ACT_EST_DATA=E", "ACT_EST_MAPPING=PRECISE", "FS=MRC", "CURRENCY=USD", "XLFILL=b")</f>
        <v>#N/A Requesting Data...</v>
      </c>
      <c r="I104" s="6" t="str">
        <f>_xll.BQL("NOW US Equity", "CONTRIBUTOR_STATS(IS_COMP_NET_INC_EXCL_STOCK_COMP, MEDIAN)/1M", "FPR=2021Y", "FPT=A", "FA_ACT_EST_DATA=E", "ACT_EST_MAPPING=PRECISE", "FS=MRC", "CURRENCY=USD", "XLFILL=b")</f>
        <v>#N/A Requesting Data...</v>
      </c>
      <c r="J104" s="6" t="str">
        <f>_xll.BQL("NOW US Equity", "IS_COMP_NET_INC_EXCL_STOCK_COMP/1M", "FPR=2021Y", "FPT=A", "FA_ACT_EST_DATA=E, EST_SOURCE=CMPY", "ACT_EST_MAPPING=PRECISE", "FS=MRC", "CURRENCY=USD", "XLFILL=b")</f>
        <v>#N/A Requesting Data...</v>
      </c>
      <c r="K104" s="6" t="str">
        <f>_xll.BQL("NOW US Equity", "IS_COMP_NET_INC_EXCL_STOCK_COMP/1M", "FPR=2021Y", "FPT=A", "FA_ACT_EST_DATA=E, EST_SOURCE=JPM", "ACT_EST_MAPPING=PRECISE", "FS=MRC", "CURRENCY=USD", "XLFILL=b")</f>
        <v>#N/A Requesting Data...</v>
      </c>
      <c r="L104" s="6" t="str">
        <f>_xll.BQL("NOW US Equity", "IS_COMP_NET_INC_EXCL_STOCK_COMP/1M", "FPR=2021Y", "FPT=A", "FA_ACT_EST_DATA=E, EST_SOURCE=WBL", "ACT_EST_MAPPING=PRECISE", "FS=MRC", "CURRENCY=USD", "XLFILL=b")</f>
        <v>#N/A Requesting Data...</v>
      </c>
      <c r="M104" s="6" t="str">
        <f>_xll.BQL("NOW US Equity", "IS_COMP_NET_INC_EXCL_STOCK_COMP/1M", "FPR=2021Y", "FPT=A", "FA_ACT_EST_DATA=E, EST_SOURCE=KEY", "ACT_EST_MAPPING=PRECISE", "FS=MRC", "CURRENCY=USD", "XLFILL=b")</f>
        <v>#N/A Requesting Data...</v>
      </c>
      <c r="N104" s="6" t="str">
        <f>_xll.BQL("NOW US Equity", "IS_COMP_NET_INC_EXCL_STOCK_COMP/1M", "FPR=2021Y", "FPT=A", "FA_ACT_EST_DATA=E, EST_SOURCE=BMO", "ACT_EST_MAPPING=PRECISE", "FS=MRC", "CURRENCY=USD", "XLFILL=b")</f>
        <v>#N/A Requesting Data...</v>
      </c>
      <c r="O104" s="6" t="str">
        <f>_xll.BQL("NOW US Equity", "IS_COMP_NET_INC_EXCL_STOCK_COMP/1M", "FPR=2021Y", "FPT=A", "FA_ACT_EST_DATA=E, EST_SOURCE=OPY", "ACT_EST_MAPPING=PRECISE", "FS=MRC", "CURRENCY=USD", "XLFILL=b")</f>
        <v>#N/A Requesting Data...</v>
      </c>
      <c r="P104" s="6" t="str">
        <f>_xll.BQL("NOW US Equity", "IS_COMP_NET_INC_EXCL_STOCK_COMP/1M", "FPR=2021Y", "FPT=A", "FA_ACT_EST_DATA=E, EST_SOURCE=BCA", "ACT_EST_MAPPING=PRECISE", "FS=MRC", "CURRENCY=USD", "XLFILL=b")</f>
        <v>#N/A Requesting Data...</v>
      </c>
      <c r="Q104" s="6" t="str">
        <f>_xll.BQL("NOW US Equity", "IS_COMP_NET_INC_EXCL_STOCK_COMP/1M", "FPR=2021Y", "FPT=A", "FA_ACT_EST_DATA=E, EST_SOURCE=RHR", "ACT_EST_MAPPING=PRECISE", "FS=MRC", "CURRENCY=USD", "XLFILL=b")</f>
        <v>#N/A Requesting Data...</v>
      </c>
      <c r="R104" s="6" t="str">
        <f>_xll.BQL("NOW US Equity", "IS_COMP_NET_INC_EXCL_STOCK_COMP/1M", "FPR=2021Y", "FPT=A", "FA_ACT_EST_DATA=E, EST_SOURCE=SNR", "ACT_EST_MAPPING=PRECISE", "FS=MRC", "CURRENCY=USD", "XLFILL=b")</f>
        <v>#N/A Requesting Data...</v>
      </c>
      <c r="S104" s="6" t="str">
        <f>_xll.BQL("NOW US Equity", "IS_COMP_NET_INC_EXCL_STOCK_COMP/1M", "FPR=2021Y", "FPT=A", "FA_ACT_EST_DATA=E, EST_SOURCE=MSV", "ACT_EST_MAPPING=PRECISE", "FS=MRC", "CURRENCY=USD", "XLFILL=b")</f>
        <v>#N/A Requesting Data...</v>
      </c>
      <c r="T104" s="6" t="str">
        <f>_xll.BQL("NOW US Equity", "IS_COMP_NET_INC_EXCL_STOCK_COMP/1M", "FPR=2021Y", "FPT=A", "FA_ACT_EST_DATA=E, EST_SOURCE=CAN", "ACT_EST_MAPPING=PRECISE", "FS=MRC", "CURRENCY=USD", "XLFILL=b")</f>
        <v>#N/A Requesting Data...</v>
      </c>
      <c r="U104" s="6" t="str">
        <f>_xll.BQL("NOW US Equity", "IS_COMP_NET_INC_EXCL_STOCK_COMP/1M", "FPR=2021Y", "FPT=A", "FA_ACT_EST_DATA=E, EST_SOURCE=JMP", "ACT_EST_MAPPING=PRECISE", "FS=MRC", "CURRENCY=USD", "XLFILL=b")</f>
        <v>#N/A Requesting Data...</v>
      </c>
      <c r="V104" s="6" t="str">
        <f>_xll.BQL("NOW US Equity", "IS_COMP_NET_INC_EXCL_STOCK_COMP/1M", "FPR=2021Y", "FPT=A", "FA_ACT_EST_DATA=E, EST_SOURCE=NDH", "ACT_EST_MAPPING=PRECISE", "FS=MRC", "CURRENCY=USD", "XLFILL=b")</f>
        <v>#N/A Requesting Data...</v>
      </c>
      <c r="W104" s="6" t="str">
        <f>_xll.BQL("NOW US Equity", "IS_COMP_NET_INC_EXCL_STOCK_COMP/1M", "FPR=2021Y", "FPT=A", "FA_ACT_EST_DATA=E, EST_SOURCE=ZXS", "ACT_EST_MAPPING=PRECISE", "FS=MRC", "CURRENCY=USD", "XLFILL=b")</f>
        <v>#N/A Requesting Data...</v>
      </c>
      <c r="X104" s="6" t="str">
        <f>_xll.BQL("NOW US Equity", "IS_COMP_NET_INC_EXCL_STOCK_COMP/1M", "FPR=2021Y", "FPT=A", "FA_ACT_EST_DATA=E, EST_SOURCE=CWN", "ACT_EST_MAPPING=PRECISE", "FS=MRC", "CURRENCY=USD", "XLFILL=b")</f>
        <v>#N/A Requesting Data...</v>
      </c>
      <c r="Y104" s="6" t="str">
        <f>_xll.BQL("NOW US Equity", "IS_COMP_NET_INC_EXCL_STOCK_COMP/1M", "FPR=2021Y", "FPT=A", "FA_ACT_EST_DATA=E, EST_SOURCE=DBG", "ACT_EST_MAPPING=PRECISE", "FS=MRC", "CURRENCY=USD", "XLFILL=b")</f>
        <v>#N/A Requesting Data...</v>
      </c>
      <c r="Z104" s="6" t="str">
        <f>_xll.BQL("NOW US Equity", "IS_COMP_NET_INC_EXCL_STOCK_COMP/1M", "FPR=2021Y", "FPT=A", "FA_ACT_EST_DATA=E, EST_SOURCE=UBS", "ACT_EST_MAPPING=PRECISE", "FS=MRC", "CURRENCY=USD", "XLFILL=b")</f>
        <v>#N/A Requesting Data...</v>
      </c>
      <c r="AA104" s="6" t="str">
        <f>_xll.BQL("NOW US Equity", "IS_COMP_NET_INC_EXCL_STOCK_COMP/1M", "FPR=2021Y", "FPT=A", "FA_ACT_EST_DATA=E, EST_SOURCE=RBC", "ACT_EST_MAPPING=PRECISE", "FS=MRC", "CURRENCY=USD", "XLFILL=b")</f>
        <v>#N/A Requesting Data...</v>
      </c>
      <c r="AB104" s="6" t="str">
        <f>_xll.BQL("NOW US Equity", "IS_COMP_NET_INC_EXCL_STOCK_COMP/1M", "FPR=2021Y", "FPT=A", "FA_ACT_EST_DATA=E, EST_SOURCE=EVR", "ACT_EST_MAPPING=PRECISE", "FS=MRC", "CURRENCY=USD", "XLFILL=b")</f>
        <v>#N/A Requesting Data...</v>
      </c>
      <c r="AC104" s="6" t="str">
        <f>_xll.BQL("NOW US Equity", "IS_COMP_NET_INC_EXCL_STOCK_COMP/1M", "FPR=2021Y", "FPT=A", "FA_ACT_EST_DATA=E, EST_SOURCE=BNS", "ACT_EST_MAPPING=PRECISE", "FS=MRC", "CURRENCY=USD", "XLFILL=b")</f>
        <v>#N/A Requesting Data...</v>
      </c>
      <c r="AD104" s="6" t="str">
        <f>_xll.BQL("NOW US Equity", "IS_COMP_NET_INC_EXCL_STOCK_COMP/1M", "FPR=2021Y", "FPT=A", "FA_ACT_EST_DATA=E, EST_SOURCE=BAM", "ACT_EST_MAPPING=PRECISE", "FS=MRC", "CURRENCY=USD", "XLFILL=b")</f>
        <v>#N/A Requesting Data...</v>
      </c>
      <c r="AE104" s="6" t="str">
        <f>_xll.BQL("NOW US Equity", "IS_COMP_NET_INC_EXCL_STOCK_COMP/1M", "FPR=2021Y", "FPT=A", "FA_ACT_EST_DATA=E, EST_SOURCE=GSR", "ACT_EST_MAPPING=PRECISE", "FS=MRC", "CURRENCY=USD", "XLFILL=b")</f>
        <v>#N/A Requesting Data...</v>
      </c>
      <c r="AF104" s="6" t="str">
        <f>_xll.BQL("NOW US Equity", "IS_COMP_NET_INC_EXCL_STOCK_COMP/1M", "FPR=2021Y", "FPT=A", "FA_ACT_EST_DATA=E, EST_SOURCE=FBC", "ACT_EST_MAPPING=PRECISE", "FS=MRC", "CURRENCY=USD", "XLFILL=b")</f>
        <v>#N/A Requesting Data...</v>
      </c>
      <c r="AG104" s="6" t="str">
        <f>_xll.BQL("NOW US Equity", "IS_COMP_NET_INC_EXCL_STOCK_COMP/1M", "FPR=2021Y", "FPT=A", "FA_ACT_EST_DATA=E, EST_SOURCE=MAC", "ACT_EST_MAPPING=PRECISE", "FS=MRC", "CURRENCY=USD", "XLFILL=b")</f>
        <v>#N/A Requesting Data...</v>
      </c>
      <c r="AH104" s="6" t="str">
        <f>_xll.BQL("NOW US Equity", "IS_COMP_NET_INC_EXCL_STOCK_COMP/1M", "FPR=2021Y", "FPT=A", "FA_ACT_EST_DATA=E, EST_SOURCE=PSG", "ACT_EST_MAPPING=PRECISE", "FS=MRC", "CURRENCY=USD", "XLFILL=b")</f>
        <v>#N/A Requesting Data...</v>
      </c>
      <c r="AI104" s="6" t="str">
        <f>_xll.BQL("NOW US Equity", "IS_COMP_NET_INC_EXCL_STOCK_COMP/1M", "FPR=2021Y", "FPT=A", "FA_ACT_EST_DATA=E, EST_SOURCE=MSR", "ACT_EST_MAPPING=PRECISE", "FS=MRC", "CURRENCY=USD", "XLFILL=b")</f>
        <v>#N/A Requesting Data...</v>
      </c>
      <c r="AJ104" s="6" t="str">
        <f>_xll.BQL("NOW US Equity", "IS_COMP_NET_INC_EXCL_STOCK_COMP/1M", "FPR=2021Y", "FPT=A", "FA_ACT_EST_DATA=E, EST_SOURCE=JEF", "ACT_EST_MAPPING=PRECISE", "FS=MRC", "CURRENCY=USD", "XLFILL=b")</f>
        <v>#N/A Requesting Data...</v>
      </c>
      <c r="AK104" s="6" t="str">
        <f>_xll.BQL("NOW US Equity", "IS_COMP_NET_INC_EXCL_STOCK_COMP/1M", "FPR=2021Y", "FPT=A", "FA_ACT_EST_DATA=E, EST_SOURCE=TTC", "ACT_EST_MAPPING=PRECISE", "FS=MRC", "CURRENCY=USD", "XLFILL=b")</f>
        <v>#N/A Requesting Data...</v>
      </c>
      <c r="AL104" s="6" t="str">
        <f>_xll.BQL("NOW US Equity", "IS_COMP_NET_INC_EXCL_STOCK_COMP/1M", "FPR=2021Y", "FPT=A", "FA_ACT_EST_DATA=E, EST_SOURCE=RWB", "ACT_EST_MAPPING=PRECISE", "FS=MRC", "CURRENCY=USD", "XLFILL=b")</f>
        <v>#N/A Requesting Data...</v>
      </c>
      <c r="AM104" s="6" t="str">
        <f>_xll.BQL("NOW US Equity", "IS_COMP_NET_INC_EXCL_STOCK_COMP/1M", "FPR=2021Y", "FPT=A", "FA_ACT_EST_DATA=E, EST_SOURCE=DZB", "ACT_EST_MAPPING=PRECISE", "FS=MRC", "CURRENCY=USD", "XLFILL=b")</f>
        <v>#N/A Requesting Data...</v>
      </c>
      <c r="AN104" s="6" t="str">
        <f>_xll.BQL("NOW US Equity", "IS_COMP_NET_INC_EXCL_STOCK_COMP/1M", "FPR=2021Y", "FPT=A", "FA_ACT_EST_DATA=E, EST_SOURCE=DWI", "ACT_EST_MAPPING=PRECISE", "FS=MRC", "CURRENCY=USD", "XLFILL=b")</f>
        <v>#N/A Requesting Data...</v>
      </c>
      <c r="AO104" s="6" t="str">
        <f>_xll.BQL("NOW US Equity", "IS_COMP_NET_INC_EXCL_STOCK_COMP/1M", "FPR=2021Y", "FPT=A", "FA_ACT_EST_DATA=E, EST_SOURCE=ARG", "ACT_EST_MAPPING=PRECISE", "FS=MRC", "CURRENCY=USD", "XLFILL=b")</f>
        <v>#N/A Requesting Data...</v>
      </c>
      <c r="AP104" s="6" t="str">
        <f>_xll.BQL("NOW US Equity", "IS_COMP_NET_INC_EXCL_STOCK_COMP/1M", "FPR=2021Y", "FPT=A", "FA_ACT_EST_DATA=E, EST_SOURCE=CTI", "ACT_EST_MAPPING=PRECISE", "FS=MRC", "CURRENCY=USD", "XLFILL=b")</f>
        <v>#N/A Requesting Data...</v>
      </c>
      <c r="AQ104" s="6" t="str">
        <f>_xll.BQL("NOW US Equity", "IS_COMP_NET_INC_EXCL_STOCK_COMP/1M", "FPR=2021Y", "FPT=A", "FA_ACT_EST_DATA=E, EST_SOURCE=WFT", "ACT_EST_MAPPING=PRECISE", "FS=MRC", "CURRENCY=USD", "XLFILL=b")</f>
        <v>#N/A Requesting Data...</v>
      </c>
      <c r="AR104" s="6" t="str">
        <f>_xll.BQL("NOW US Equity", "IS_COMP_NET_INC_EXCL_STOCK_COMP/1M", "FPR=2021Y", "FPT=A", "FA_ACT_EST_DATA=E, EST_SOURCE=ARE", "ACT_EST_MAPPING=PRECISE", "FS=MRC", "CURRENCY=USD", "XLFILL=b")</f>
        <v>#N/A Requesting Data...</v>
      </c>
      <c r="AS104" s="6" t="str">
        <f>_xll.BQL("NOW US Equity", "IS_COMP_NET_INC_EXCL_STOCK_COMP/1M", "FPR=2021Y", "FPT=A", "FA_ACT_EST_DATA=E, EST_SOURCE=PJE", "ACT_EST_MAPPING=PRECISE", "FS=MRC", "CURRENCY=USD", "XLFILL=b")</f>
        <v>#N/A Requesting Data...</v>
      </c>
      <c r="AT104" s="6" t="str">
        <f>_xll.BQL("NOW US Equity", "IS_COMP_NET_INC_EXCL_STOCK_COMP/1M", "FPR=2021Y", "FPT=A", "FA_ACT_EST_DATA=E, EST_SOURCE=MZS", "ACT_EST_MAPPING=PRECISE", "FS=MRC", "CURRENCY=USD", "XLFILL=b")</f>
        <v>#N/A Requesting Data...</v>
      </c>
      <c r="AU104" s="6" t="str">
        <f>_xll.BQL("NOW US Equity", "IS_COMP_NET_INC_EXCL_STOCK_COMP/1M", "FPR=2021Y", "FPT=A", "FA_ACT_EST_DATA=E, EST_SOURCE=SUM", "ACT_EST_MAPPING=PRECISE", "FS=MRC", "CURRENCY=USD", "XLFILL=b")</f>
        <v>#N/A Requesting Data...</v>
      </c>
      <c r="AV104" s="6" t="str">
        <f>_xll.BQL("NOW US Equity", "IS_COMP_NET_INC_EXCL_STOCK_COMP/1M", "FPR=2021Y", "FPT=A", "FA_ACT_EST_DATA=E, EST_SOURCE=CRC", "ACT_EST_MAPPING=PRECISE", "FS=MRC", "CURRENCY=USD", "XLFILL=b")</f>
        <v>#N/A Requesting Data...</v>
      </c>
      <c r="AW104" s="6" t="str">
        <f>_xll.BQL("NOW US Equity", "IS_COMP_NET_INC_EXCL_STOCK_COMP/1M", "FPR=2021Y", "FPT=A", "FA_ACT_EST_DATA=E, EST_SOURCE=SCB", "ACT_EST_MAPPING=PRECISE", "FS=MRC", "CURRENCY=USD", "XLFILL=b")</f>
        <v>#N/A Requesting Data...</v>
      </c>
    </row>
    <row r="105" spans="1:49" x14ac:dyDescent="0.55000000000000004">
      <c r="A105" s="5" t="s">
        <v>162</v>
      </c>
      <c r="B105" s="2" t="s">
        <v>163</v>
      </c>
      <c r="C105" s="2" t="s">
        <v>164</v>
      </c>
      <c r="D105" s="2"/>
      <c r="E105" s="6" t="str">
        <f>_xll.BQL("NOW US Equity", "ADJ_PROFIT_MARGIN", "FPR=2021Y", "FPT=A", "FA_ACT_EST_DATA=E", "ACT_EST_MAPPING=PRECISE", "FS=MRC", "CURRENCY=USD", "XLFILL=b")</f>
        <v>#N/A Requesting Data...</v>
      </c>
      <c r="F105" s="6" t="str">
        <f>_xll.BQL("NOW US Equity", "CONTRIBUTOR_STATS(ADJ_PROFIT_MARGIN, MIN)", "FPR=2021Y", "FPT=A", "FA_ACT_EST_DATA=E", "ACT_EST_MAPPING=PRECISE", "FS=MRC", "CURRENCY=USD", "XLFILL=b")</f>
        <v>#N/A Requesting Data...</v>
      </c>
      <c r="G105" s="6" t="str">
        <f>_xll.BQL("NOW US Equity", "CONTRIBUTOR_STATS(ADJ_PROFIT_MARGIN, MAX)", "FPR=2021Y", "FPT=A", "FA_ACT_EST_DATA=E", "ACT_EST_MAPPING=PRECISE", "FS=MRC", "CURRENCY=USD", "XLFILL=b")</f>
        <v>#N/A Requesting Data...</v>
      </c>
      <c r="H105" s="6">
        <f>_xll.BQL("NOW US Equity", "CONTRIBUTOR_STATS(ADJ_PROFIT_MARGIN, STD)", "FPR=2021Y", "FPT=A", "FA_ACT_EST_DATA=E", "ACT_EST_MAPPING=PRECISE", "FS=MRC", "CURRENCY=USD", "XLFILL=b")</f>
        <v>0.15132106218182431</v>
      </c>
      <c r="I105" s="6" t="str">
        <f>_xll.BQL("NOW US Equity", "CONTRIBUTOR_STATS(ADJ_PROFIT_MARGIN, MEDIAN)", "FPR=2021Y", "FPT=A", "FA_ACT_EST_DATA=E", "ACT_EST_MAPPING=PRECISE", "FS=MRC", "CURRENCY=USD", "XLFILL=b")</f>
        <v>#N/A Requesting Data...</v>
      </c>
      <c r="J105" s="6" t="str">
        <f>_xll.BQL("NOW US Equity", "ADJ_PROFIT_MARGIN", "FPR=2021Y", "FPT=A", "FA_ACT_EST_DATA=E, EST_SOURCE=CMPY", "ACT_EST_MAPPING=PRECISE", "FS=MRC", "CURRENCY=USD", "XLFILL=b")</f>
        <v>#N/A Requesting Data...</v>
      </c>
      <c r="K105" s="6" t="str">
        <f>_xll.BQL("NOW US Equity", "ADJ_PROFIT_MARGIN", "FPR=2021Y", "FPT=A", "FA_ACT_EST_DATA=E, EST_SOURCE=JPM", "ACT_EST_MAPPING=PRECISE", "FS=MRC", "CURRENCY=USD", "XLFILL=b")</f>
        <v>#N/A Requesting Data...</v>
      </c>
      <c r="L105" s="6" t="str">
        <f>_xll.BQL("NOW US Equity", "ADJ_PROFIT_MARGIN", "FPR=2021Y", "FPT=A", "FA_ACT_EST_DATA=E, EST_SOURCE=WBL", "ACT_EST_MAPPING=PRECISE", "FS=MRC", "CURRENCY=USD", "XLFILL=b")</f>
        <v>#N/A Requesting Data...</v>
      </c>
      <c r="M105" s="6" t="str">
        <f>_xll.BQL("NOW US Equity", "ADJ_PROFIT_MARGIN", "FPR=2021Y", "FPT=A", "FA_ACT_EST_DATA=E, EST_SOURCE=KEY", "ACT_EST_MAPPING=PRECISE", "FS=MRC", "CURRENCY=USD", "XLFILL=b")</f>
        <v>#N/A Requesting Data...</v>
      </c>
      <c r="N105" s="6" t="str">
        <f>_xll.BQL("NOW US Equity", "ADJ_PROFIT_MARGIN", "FPR=2021Y", "FPT=A", "FA_ACT_EST_DATA=E, EST_SOURCE=BMO", "ACT_EST_MAPPING=PRECISE", "FS=MRC", "CURRENCY=USD", "XLFILL=b")</f>
        <v>#N/A Requesting Data...</v>
      </c>
      <c r="O105" s="6" t="str">
        <f>_xll.BQL("NOW US Equity", "ADJ_PROFIT_MARGIN", "FPR=2021Y", "FPT=A", "FA_ACT_EST_DATA=E, EST_SOURCE=OPY", "ACT_EST_MAPPING=PRECISE", "FS=MRC", "CURRENCY=USD", "XLFILL=b")</f>
        <v>#N/A Requesting Data...</v>
      </c>
      <c r="P105" s="6" t="str">
        <f>_xll.BQL("NOW US Equity", "ADJ_PROFIT_MARGIN", "FPR=2021Y", "FPT=A", "FA_ACT_EST_DATA=E, EST_SOURCE=BCA", "ACT_EST_MAPPING=PRECISE", "FS=MRC", "CURRENCY=USD", "XLFILL=b")</f>
        <v>#N/A Requesting Data...</v>
      </c>
      <c r="Q105" s="6" t="str">
        <f>_xll.BQL("NOW US Equity", "ADJ_PROFIT_MARGIN", "FPR=2021Y", "FPT=A", "FA_ACT_EST_DATA=E, EST_SOURCE=RHR", "ACT_EST_MAPPING=PRECISE", "FS=MRC", "CURRENCY=USD", "XLFILL=b")</f>
        <v>#N/A Requesting Data...</v>
      </c>
      <c r="R105" s="6" t="str">
        <f>_xll.BQL("NOW US Equity", "ADJ_PROFIT_MARGIN", "FPR=2021Y", "FPT=A", "FA_ACT_EST_DATA=E, EST_SOURCE=SNR", "ACT_EST_MAPPING=PRECISE", "FS=MRC", "CURRENCY=USD", "XLFILL=b")</f>
        <v>#N/A Requesting Data...</v>
      </c>
      <c r="S105" s="6" t="str">
        <f>_xll.BQL("NOW US Equity", "ADJ_PROFIT_MARGIN", "FPR=2021Y", "FPT=A", "FA_ACT_EST_DATA=E, EST_SOURCE=MSV", "ACT_EST_MAPPING=PRECISE", "FS=MRC", "CURRENCY=USD", "XLFILL=b")</f>
        <v>#N/A Requesting Data...</v>
      </c>
      <c r="T105" s="6" t="str">
        <f>_xll.BQL("NOW US Equity", "ADJ_PROFIT_MARGIN", "FPR=2021Y", "FPT=A", "FA_ACT_EST_DATA=E, EST_SOURCE=CAN", "ACT_EST_MAPPING=PRECISE", "FS=MRC", "CURRENCY=USD", "XLFILL=b")</f>
        <v>#N/A Requesting Data...</v>
      </c>
      <c r="U105" s="6" t="str">
        <f>_xll.BQL("NOW US Equity", "ADJ_PROFIT_MARGIN", "FPR=2021Y", "FPT=A", "FA_ACT_EST_DATA=E, EST_SOURCE=JMP", "ACT_EST_MAPPING=PRECISE", "FS=MRC", "CURRENCY=USD", "XLFILL=b")</f>
        <v>#N/A Requesting Data...</v>
      </c>
      <c r="V105" s="6" t="str">
        <f>_xll.BQL("NOW US Equity", "ADJ_PROFIT_MARGIN", "FPR=2021Y", "FPT=A", "FA_ACT_EST_DATA=E, EST_SOURCE=NDH", "ACT_EST_MAPPING=PRECISE", "FS=MRC", "CURRENCY=USD", "XLFILL=b")</f>
        <v>#N/A Requesting Data...</v>
      </c>
      <c r="W105" s="6" t="str">
        <f>_xll.BQL("NOW US Equity", "ADJ_PROFIT_MARGIN", "FPR=2021Y", "FPT=A", "FA_ACT_EST_DATA=E, EST_SOURCE=ZXS", "ACT_EST_MAPPING=PRECISE", "FS=MRC", "CURRENCY=USD", "XLFILL=b")</f>
        <v>#N/A Requesting Data...</v>
      </c>
      <c r="X105" s="6" t="str">
        <f>_xll.BQL("NOW US Equity", "ADJ_PROFIT_MARGIN", "FPR=2021Y", "FPT=A", "FA_ACT_EST_DATA=E, EST_SOURCE=CWN", "ACT_EST_MAPPING=PRECISE", "FS=MRC", "CURRENCY=USD", "XLFILL=b")</f>
        <v>#N/A Requesting Data...</v>
      </c>
      <c r="Y105" s="6" t="str">
        <f>_xll.BQL("NOW US Equity", "ADJ_PROFIT_MARGIN", "FPR=2021Y", "FPT=A", "FA_ACT_EST_DATA=E, EST_SOURCE=DBG", "ACT_EST_MAPPING=PRECISE", "FS=MRC", "CURRENCY=USD", "XLFILL=b")</f>
        <v>#N/A Requesting Data...</v>
      </c>
      <c r="Z105" s="6" t="str">
        <f>_xll.BQL("NOW US Equity", "ADJ_PROFIT_MARGIN", "FPR=2021Y", "FPT=A", "FA_ACT_EST_DATA=E, EST_SOURCE=UBS", "ACT_EST_MAPPING=PRECISE", "FS=MRC", "CURRENCY=USD", "XLFILL=b")</f>
        <v>#N/A Requesting Data...</v>
      </c>
      <c r="AA105" s="6" t="str">
        <f>_xll.BQL("NOW US Equity", "ADJ_PROFIT_MARGIN", "FPR=2021Y", "FPT=A", "FA_ACT_EST_DATA=E, EST_SOURCE=RBC", "ACT_EST_MAPPING=PRECISE", "FS=MRC", "CURRENCY=USD", "XLFILL=b")</f>
        <v>#N/A Requesting Data...</v>
      </c>
      <c r="AB105" s="6" t="str">
        <f>_xll.BQL("NOW US Equity", "ADJ_PROFIT_MARGIN", "FPR=2021Y", "FPT=A", "FA_ACT_EST_DATA=E, EST_SOURCE=EVR", "ACT_EST_MAPPING=PRECISE", "FS=MRC", "CURRENCY=USD", "XLFILL=b")</f>
        <v>#N/A Requesting Data...</v>
      </c>
      <c r="AC105" s="6" t="str">
        <f>_xll.BQL("NOW US Equity", "ADJ_PROFIT_MARGIN", "FPR=2021Y", "FPT=A", "FA_ACT_EST_DATA=E, EST_SOURCE=BNS", "ACT_EST_MAPPING=PRECISE", "FS=MRC", "CURRENCY=USD", "XLFILL=b")</f>
        <v>#N/A Requesting Data...</v>
      </c>
      <c r="AD105" s="6" t="str">
        <f>_xll.BQL("NOW US Equity", "ADJ_PROFIT_MARGIN", "FPR=2021Y", "FPT=A", "FA_ACT_EST_DATA=E, EST_SOURCE=BAM", "ACT_EST_MAPPING=PRECISE", "FS=MRC", "CURRENCY=USD", "XLFILL=b")</f>
        <v>#N/A Requesting Data...</v>
      </c>
      <c r="AE105" s="6" t="str">
        <f>_xll.BQL("NOW US Equity", "ADJ_PROFIT_MARGIN", "FPR=2021Y", "FPT=A", "FA_ACT_EST_DATA=E, EST_SOURCE=GSR", "ACT_EST_MAPPING=PRECISE", "FS=MRC", "CURRENCY=USD", "XLFILL=b")</f>
        <v>#N/A Requesting Data...</v>
      </c>
      <c r="AF105" s="6" t="str">
        <f>_xll.BQL("NOW US Equity", "ADJ_PROFIT_MARGIN", "FPR=2021Y", "FPT=A", "FA_ACT_EST_DATA=E, EST_SOURCE=FBC", "ACT_EST_MAPPING=PRECISE", "FS=MRC", "CURRENCY=USD", "XLFILL=b")</f>
        <v>#N/A Requesting Data...</v>
      </c>
      <c r="AG105" s="6" t="str">
        <f>_xll.BQL("NOW US Equity", "ADJ_PROFIT_MARGIN", "FPR=2021Y", "FPT=A", "FA_ACT_EST_DATA=E, EST_SOURCE=MAC", "ACT_EST_MAPPING=PRECISE", "FS=MRC", "CURRENCY=USD", "XLFILL=b")</f>
        <v>#N/A Requesting Data...</v>
      </c>
      <c r="AH105" s="6" t="str">
        <f>_xll.BQL("NOW US Equity", "ADJ_PROFIT_MARGIN", "FPR=2021Y", "FPT=A", "FA_ACT_EST_DATA=E, EST_SOURCE=PSG", "ACT_EST_MAPPING=PRECISE", "FS=MRC", "CURRENCY=USD", "XLFILL=b")</f>
        <v>#N/A Requesting Data...</v>
      </c>
      <c r="AI105" s="6" t="str">
        <f>_xll.BQL("NOW US Equity", "ADJ_PROFIT_MARGIN", "FPR=2021Y", "FPT=A", "FA_ACT_EST_DATA=E, EST_SOURCE=MSR", "ACT_EST_MAPPING=PRECISE", "FS=MRC", "CURRENCY=USD", "XLFILL=b")</f>
        <v>#N/A Requesting Data...</v>
      </c>
      <c r="AJ105" s="6" t="str">
        <f>_xll.BQL("NOW US Equity", "ADJ_PROFIT_MARGIN", "FPR=2021Y", "FPT=A", "FA_ACT_EST_DATA=E, EST_SOURCE=JEF", "ACT_EST_MAPPING=PRECISE", "FS=MRC", "CURRENCY=USD", "XLFILL=b")</f>
        <v>#N/A Requesting Data...</v>
      </c>
      <c r="AK105" s="6" t="str">
        <f>_xll.BQL("NOW US Equity", "ADJ_PROFIT_MARGIN", "FPR=2021Y", "FPT=A", "FA_ACT_EST_DATA=E, EST_SOURCE=TTC", "ACT_EST_MAPPING=PRECISE", "FS=MRC", "CURRENCY=USD", "XLFILL=b")</f>
        <v>#N/A Requesting Data...</v>
      </c>
      <c r="AL105" s="6" t="str">
        <f>_xll.BQL("NOW US Equity", "ADJ_PROFIT_MARGIN", "FPR=2021Y", "FPT=A", "FA_ACT_EST_DATA=E, EST_SOURCE=RWB", "ACT_EST_MAPPING=PRECISE", "FS=MRC", "CURRENCY=USD", "XLFILL=b")</f>
        <v>#N/A Requesting Data...</v>
      </c>
      <c r="AM105" s="6" t="str">
        <f>_xll.BQL("NOW US Equity", "ADJ_PROFIT_MARGIN", "FPR=2021Y", "FPT=A", "FA_ACT_EST_DATA=E, EST_SOURCE=DZB", "ACT_EST_MAPPING=PRECISE", "FS=MRC", "CURRENCY=USD", "XLFILL=b")</f>
        <v>#N/A Requesting Data...</v>
      </c>
      <c r="AN105" s="6" t="str">
        <f>_xll.BQL("NOW US Equity", "ADJ_PROFIT_MARGIN", "FPR=2021Y", "FPT=A", "FA_ACT_EST_DATA=E, EST_SOURCE=DWI", "ACT_EST_MAPPING=PRECISE", "FS=MRC", "CURRENCY=USD", "XLFILL=b")</f>
        <v>#N/A Requesting Data...</v>
      </c>
      <c r="AO105" s="6" t="str">
        <f>_xll.BQL("NOW US Equity", "ADJ_PROFIT_MARGIN", "FPR=2021Y", "FPT=A", "FA_ACT_EST_DATA=E, EST_SOURCE=ARG", "ACT_EST_MAPPING=PRECISE", "FS=MRC", "CURRENCY=USD", "XLFILL=b")</f>
        <v>#N/A Requesting Data...</v>
      </c>
      <c r="AP105" s="6" t="str">
        <f>_xll.BQL("NOW US Equity", "ADJ_PROFIT_MARGIN", "FPR=2021Y", "FPT=A", "FA_ACT_EST_DATA=E, EST_SOURCE=CTI", "ACT_EST_MAPPING=PRECISE", "FS=MRC", "CURRENCY=USD", "XLFILL=b")</f>
        <v>#N/A Requesting Data...</v>
      </c>
      <c r="AQ105" s="6" t="str">
        <f>_xll.BQL("NOW US Equity", "ADJ_PROFIT_MARGIN", "FPR=2021Y", "FPT=A", "FA_ACT_EST_DATA=E, EST_SOURCE=WFT", "ACT_EST_MAPPING=PRECISE", "FS=MRC", "CURRENCY=USD", "XLFILL=b")</f>
        <v>#N/A Requesting Data...</v>
      </c>
      <c r="AR105" s="6" t="str">
        <f>_xll.BQL("NOW US Equity", "ADJ_PROFIT_MARGIN", "FPR=2021Y", "FPT=A", "FA_ACT_EST_DATA=E, EST_SOURCE=ARE", "ACT_EST_MAPPING=PRECISE", "FS=MRC", "CURRENCY=USD", "XLFILL=b")</f>
        <v>#N/A Requesting Data...</v>
      </c>
      <c r="AS105" s="6" t="str">
        <f>_xll.BQL("NOW US Equity", "ADJ_PROFIT_MARGIN", "FPR=2021Y", "FPT=A", "FA_ACT_EST_DATA=E, EST_SOURCE=PJE", "ACT_EST_MAPPING=PRECISE", "FS=MRC", "CURRENCY=USD", "XLFILL=b")</f>
        <v>#N/A Requesting Data...</v>
      </c>
      <c r="AT105" s="6" t="str">
        <f>_xll.BQL("NOW US Equity", "ADJ_PROFIT_MARGIN", "FPR=2021Y", "FPT=A", "FA_ACT_EST_DATA=E, EST_SOURCE=MZS", "ACT_EST_MAPPING=PRECISE", "FS=MRC", "CURRENCY=USD", "XLFILL=b")</f>
        <v>#N/A Requesting Data...</v>
      </c>
      <c r="AU105" s="6" t="str">
        <f>_xll.BQL("NOW US Equity", "ADJ_PROFIT_MARGIN", "FPR=2021Y", "FPT=A", "FA_ACT_EST_DATA=E, EST_SOURCE=SUM", "ACT_EST_MAPPING=PRECISE", "FS=MRC", "CURRENCY=USD", "XLFILL=b")</f>
        <v>#N/A Requesting Data...</v>
      </c>
      <c r="AV105" s="6" t="str">
        <f>_xll.BQL("NOW US Equity", "ADJ_PROFIT_MARGIN", "FPR=2021Y", "FPT=A", "FA_ACT_EST_DATA=E, EST_SOURCE=CRC", "ACT_EST_MAPPING=PRECISE", "FS=MRC", "CURRENCY=USD", "XLFILL=b")</f>
        <v>#N/A Requesting Data...</v>
      </c>
      <c r="AW105" s="6" t="str">
        <f>_xll.BQL("NOW US Equity", "ADJ_PROFIT_MARGIN", "FPR=2021Y", "FPT=A", "FA_ACT_EST_DATA=E, EST_SOURCE=SCB", "ACT_EST_MAPPING=PRECISE", "FS=MRC", "CURRENCY=USD", "XLFILL=b")</f>
        <v>#N/A Requesting Data...</v>
      </c>
    </row>
    <row r="106" spans="1:49" x14ac:dyDescent="0.55000000000000004">
      <c r="A106" s="5" t="s">
        <v>23</v>
      </c>
      <c r="B106" s="2"/>
      <c r="C106" s="2"/>
      <c r="D106" s="2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</row>
    <row r="107" spans="1:49" x14ac:dyDescent="0.55000000000000004">
      <c r="A107" s="5" t="s">
        <v>165</v>
      </c>
      <c r="B107" s="2" t="s">
        <v>166</v>
      </c>
      <c r="C107" s="2" t="s">
        <v>167</v>
      </c>
      <c r="D107" s="2"/>
      <c r="E107" s="6" t="str">
        <f>_xll.BQL("NOW US Equity", "CB_IS_ADJ_DILUTED_AVG_SHS/1M", "FPR=2021Y", "FPT=A", "FA_ACT_EST_DATA=E", "ACT_EST_MAPPING=PRECISE", "FS=MRC", "CURRENCY=USD", "XLFILL=b")</f>
        <v>#N/A Requesting Data...</v>
      </c>
      <c r="F107" s="6">
        <f>_xll.BQL("NOW US Equity", "CONTRIBUTOR_STATS(CB_IS_ADJ_DILUTED_AVG_SHS, MIN)/1M", "FPR=2021Y", "FPT=A", "FA_ACT_EST_DATA=E", "ACT_EST_MAPPING=PRECISE", "FS=MRC", "CURRENCY=USD", "XLFILL=b")</f>
        <v>202.20595675858868</v>
      </c>
      <c r="G107" s="6">
        <f>_xll.BQL("NOW US Equity", "CONTRIBUTOR_STATS(CB_IS_ADJ_DILUTED_AVG_SHS, MAX)/1M", "FPR=2021Y", "FPT=A", "FA_ACT_EST_DATA=E", "ACT_EST_MAPPING=PRECISE", "FS=MRC", "CURRENCY=USD", "XLFILL=b")</f>
        <v>202.875</v>
      </c>
      <c r="H107" s="6" t="str">
        <f>_xll.BQL("NOW US Equity", "CONTRIBUTOR_STATS(CB_IS_ADJ_DILUTED_AVG_SHS, STD)/1M", "FPR=2021Y", "FPT=A", "FA_ACT_EST_DATA=E", "ACT_EST_MAPPING=PRECISE", "FS=MRC", "CURRENCY=USD", "XLFILL=b")</f>
        <v>#N/A Requesting Data...</v>
      </c>
      <c r="I107" s="6">
        <f>_xll.BQL("NOW US Equity", "CONTRIBUTOR_STATS(CB_IS_ADJ_DILUTED_AVG_SHS, MEDIAN)/1M", "FPR=2021Y", "FPT=A", "FA_ACT_EST_DATA=E", "ACT_EST_MAPPING=PRECISE", "FS=MRC", "CURRENCY=USD", "XLFILL=b")</f>
        <v>202.5</v>
      </c>
      <c r="J107" s="6" t="str">
        <f>_xll.BQL("NOW US Equity", "CB_IS_ADJ_DILUTED_AVG_SHS/1M", "FPR=2021Y", "FPT=A", "FA_ACT_EST_DATA=E, EST_SOURCE=CMPY", "ACT_EST_MAPPING=PRECISE", "FS=MRC", "CURRENCY=USD", "XLFILL=b")</f>
        <v>#N/A Requesting Data...</v>
      </c>
      <c r="K107" s="6" t="str">
        <f>_xll.BQL("NOW US Equity", "CB_IS_ADJ_DILUTED_AVG_SHS/1M", "FPR=2021Y", "FPT=A", "FA_ACT_EST_DATA=E, EST_SOURCE=JPM", "ACT_EST_MAPPING=PRECISE", "FS=MRC", "CURRENCY=USD", "XLFILL=b")</f>
        <v>#N/A Requesting Data...</v>
      </c>
      <c r="L107" s="6" t="str">
        <f>_xll.BQL("NOW US Equity", "CB_IS_ADJ_DILUTED_AVG_SHS/1M", "FPR=2021Y", "FPT=A", "FA_ACT_EST_DATA=E, EST_SOURCE=WBL", "ACT_EST_MAPPING=PRECISE", "FS=MRC", "CURRENCY=USD", "XLFILL=b")</f>
        <v>#N/A Requesting Data...</v>
      </c>
      <c r="M107" s="6" t="str">
        <f>_xll.BQL("NOW US Equity", "CB_IS_ADJ_DILUTED_AVG_SHS/1M", "FPR=2021Y", "FPT=A", "FA_ACT_EST_DATA=E, EST_SOURCE=KEY", "ACT_EST_MAPPING=PRECISE", "FS=MRC", "CURRENCY=USD", "XLFILL=b")</f>
        <v>#N/A Requesting Data...</v>
      </c>
      <c r="N107" s="6" t="str">
        <f>_xll.BQL("NOW US Equity", "CB_IS_ADJ_DILUTED_AVG_SHS/1M", "FPR=2021Y", "FPT=A", "FA_ACT_EST_DATA=E, EST_SOURCE=BMO", "ACT_EST_MAPPING=PRECISE", "FS=MRC", "CURRENCY=USD", "XLFILL=b")</f>
        <v>#N/A Requesting Data...</v>
      </c>
      <c r="O107" s="6" t="str">
        <f>_xll.BQL("NOW US Equity", "CB_IS_ADJ_DILUTED_AVG_SHS/1M", "FPR=2021Y", "FPT=A", "FA_ACT_EST_DATA=E, EST_SOURCE=OPY", "ACT_EST_MAPPING=PRECISE", "FS=MRC", "CURRENCY=USD", "XLFILL=b")</f>
        <v>#N/A Requesting Data...</v>
      </c>
      <c r="P107" s="6" t="str">
        <f>_xll.BQL("NOW US Equity", "CB_IS_ADJ_DILUTED_AVG_SHS/1M", "FPR=2021Y", "FPT=A", "FA_ACT_EST_DATA=E, EST_SOURCE=BCA", "ACT_EST_MAPPING=PRECISE", "FS=MRC", "CURRENCY=USD", "XLFILL=b")</f>
        <v>#N/A Requesting Data...</v>
      </c>
      <c r="Q107" s="6" t="str">
        <f>_xll.BQL("NOW US Equity", "CB_IS_ADJ_DILUTED_AVG_SHS/1M", "FPR=2021Y", "FPT=A", "FA_ACT_EST_DATA=E, EST_SOURCE=RHR", "ACT_EST_MAPPING=PRECISE", "FS=MRC", "CURRENCY=USD", "XLFILL=b")</f>
        <v>#N/A Requesting Data...</v>
      </c>
      <c r="R107" s="6" t="str">
        <f>_xll.BQL("NOW US Equity", "CB_IS_ADJ_DILUTED_AVG_SHS/1M", "FPR=2021Y", "FPT=A", "FA_ACT_EST_DATA=E, EST_SOURCE=SNR", "ACT_EST_MAPPING=PRECISE", "FS=MRC", "CURRENCY=USD", "XLFILL=b")</f>
        <v>#N/A Requesting Data...</v>
      </c>
      <c r="S107" s="6" t="str">
        <f>_xll.BQL("NOW US Equity", "CB_IS_ADJ_DILUTED_AVG_SHS/1M", "FPR=2021Y", "FPT=A", "FA_ACT_EST_DATA=E, EST_SOURCE=MSV", "ACT_EST_MAPPING=PRECISE", "FS=MRC", "CURRENCY=USD", "XLFILL=b")</f>
        <v>#N/A Requesting Data...</v>
      </c>
      <c r="T107" s="6" t="str">
        <f>_xll.BQL("NOW US Equity", "CB_IS_ADJ_DILUTED_AVG_SHS/1M", "FPR=2021Y", "FPT=A", "FA_ACT_EST_DATA=E, EST_SOURCE=CAN", "ACT_EST_MAPPING=PRECISE", "FS=MRC", "CURRENCY=USD", "XLFILL=b")</f>
        <v>#N/A Requesting Data...</v>
      </c>
      <c r="U107" s="6" t="str">
        <f>_xll.BQL("NOW US Equity", "CB_IS_ADJ_DILUTED_AVG_SHS/1M", "FPR=2021Y", "FPT=A", "FA_ACT_EST_DATA=E, EST_SOURCE=JMP", "ACT_EST_MAPPING=PRECISE", "FS=MRC", "CURRENCY=USD", "XLFILL=b")</f>
        <v>#N/A Requesting Data...</v>
      </c>
      <c r="V107" s="6" t="str">
        <f>_xll.BQL("NOW US Equity", "CB_IS_ADJ_DILUTED_AVG_SHS/1M", "FPR=2021Y", "FPT=A", "FA_ACT_EST_DATA=E, EST_SOURCE=NDH", "ACT_EST_MAPPING=PRECISE", "FS=MRC", "CURRENCY=USD", "XLFILL=b")</f>
        <v>#N/A Requesting Data...</v>
      </c>
      <c r="W107" s="6" t="str">
        <f>_xll.BQL("NOW US Equity", "CB_IS_ADJ_DILUTED_AVG_SHS/1M", "FPR=2021Y", "FPT=A", "FA_ACT_EST_DATA=E, EST_SOURCE=ZXS", "ACT_EST_MAPPING=PRECISE", "FS=MRC", "CURRENCY=USD", "XLFILL=b")</f>
        <v>#N/A Requesting Data...</v>
      </c>
      <c r="X107" s="6" t="str">
        <f>_xll.BQL("NOW US Equity", "CB_IS_ADJ_DILUTED_AVG_SHS/1M", "FPR=2021Y", "FPT=A", "FA_ACT_EST_DATA=E, EST_SOURCE=CWN", "ACT_EST_MAPPING=PRECISE", "FS=MRC", "CURRENCY=USD", "XLFILL=b")</f>
        <v>#N/A Requesting Data...</v>
      </c>
      <c r="Y107" s="6" t="str">
        <f>_xll.BQL("NOW US Equity", "CB_IS_ADJ_DILUTED_AVG_SHS/1M", "FPR=2021Y", "FPT=A", "FA_ACT_EST_DATA=E, EST_SOURCE=DBG", "ACT_EST_MAPPING=PRECISE", "FS=MRC", "CURRENCY=USD", "XLFILL=b")</f>
        <v>#N/A Requesting Data...</v>
      </c>
      <c r="Z107" s="6" t="str">
        <f>_xll.BQL("NOW US Equity", "CB_IS_ADJ_DILUTED_AVG_SHS/1M", "FPR=2021Y", "FPT=A", "FA_ACT_EST_DATA=E, EST_SOURCE=UBS", "ACT_EST_MAPPING=PRECISE", "FS=MRC", "CURRENCY=USD", "XLFILL=b")</f>
        <v>#N/A Requesting Data...</v>
      </c>
      <c r="AA107" s="6" t="str">
        <f>_xll.BQL("NOW US Equity", "CB_IS_ADJ_DILUTED_AVG_SHS/1M", "FPR=2021Y", "FPT=A", "FA_ACT_EST_DATA=E, EST_SOURCE=RBC", "ACT_EST_MAPPING=PRECISE", "FS=MRC", "CURRENCY=USD", "XLFILL=b")</f>
        <v>#N/A Requesting Data...</v>
      </c>
      <c r="AB107" s="6" t="str">
        <f>_xll.BQL("NOW US Equity", "CB_IS_ADJ_DILUTED_AVG_SHS/1M", "FPR=2021Y", "FPT=A", "FA_ACT_EST_DATA=E, EST_SOURCE=EVR", "ACT_EST_MAPPING=PRECISE", "FS=MRC", "CURRENCY=USD", "XLFILL=b")</f>
        <v>#N/A Requesting Data...</v>
      </c>
      <c r="AC107" s="6" t="str">
        <f>_xll.BQL("NOW US Equity", "CB_IS_ADJ_DILUTED_AVG_SHS/1M", "FPR=2021Y", "FPT=A", "FA_ACT_EST_DATA=E, EST_SOURCE=BNS", "ACT_EST_MAPPING=PRECISE", "FS=MRC", "CURRENCY=USD", "XLFILL=b")</f>
        <v>#N/A Requesting Data...</v>
      </c>
      <c r="AD107" s="6" t="str">
        <f>_xll.BQL("NOW US Equity", "CB_IS_ADJ_DILUTED_AVG_SHS/1M", "FPR=2021Y", "FPT=A", "FA_ACT_EST_DATA=E, EST_SOURCE=BAM", "ACT_EST_MAPPING=PRECISE", "FS=MRC", "CURRENCY=USD", "XLFILL=b")</f>
        <v>#N/A Requesting Data...</v>
      </c>
      <c r="AE107" s="6" t="str">
        <f>_xll.BQL("NOW US Equity", "CB_IS_ADJ_DILUTED_AVG_SHS/1M", "FPR=2021Y", "FPT=A", "FA_ACT_EST_DATA=E, EST_SOURCE=GSR", "ACT_EST_MAPPING=PRECISE", "FS=MRC", "CURRENCY=USD", "XLFILL=b")</f>
        <v>#N/A Requesting Data...</v>
      </c>
      <c r="AF107" s="6" t="str">
        <f>_xll.BQL("NOW US Equity", "CB_IS_ADJ_DILUTED_AVG_SHS/1M", "FPR=2021Y", "FPT=A", "FA_ACT_EST_DATA=E, EST_SOURCE=FBC", "ACT_EST_MAPPING=PRECISE", "FS=MRC", "CURRENCY=USD", "XLFILL=b")</f>
        <v>#N/A Requesting Data...</v>
      </c>
      <c r="AG107" s="6" t="str">
        <f>_xll.BQL("NOW US Equity", "CB_IS_ADJ_DILUTED_AVG_SHS/1M", "FPR=2021Y", "FPT=A", "FA_ACT_EST_DATA=E, EST_SOURCE=MAC", "ACT_EST_MAPPING=PRECISE", "FS=MRC", "CURRENCY=USD", "XLFILL=b")</f>
        <v>#N/A Requesting Data...</v>
      </c>
      <c r="AH107" s="6" t="str">
        <f>_xll.BQL("NOW US Equity", "CB_IS_ADJ_DILUTED_AVG_SHS/1M", "FPR=2021Y", "FPT=A", "FA_ACT_EST_DATA=E, EST_SOURCE=PSG", "ACT_EST_MAPPING=PRECISE", "FS=MRC", "CURRENCY=USD", "XLFILL=b")</f>
        <v>#N/A Requesting Data...</v>
      </c>
      <c r="AI107" s="6" t="str">
        <f>_xll.BQL("NOW US Equity", "CB_IS_ADJ_DILUTED_AVG_SHS/1M", "FPR=2021Y", "FPT=A", "FA_ACT_EST_DATA=E, EST_SOURCE=MSR", "ACT_EST_MAPPING=PRECISE", "FS=MRC", "CURRENCY=USD", "XLFILL=b")</f>
        <v>#N/A Requesting Data...</v>
      </c>
      <c r="AJ107" s="6" t="str">
        <f>_xll.BQL("NOW US Equity", "CB_IS_ADJ_DILUTED_AVG_SHS/1M", "FPR=2021Y", "FPT=A", "FA_ACT_EST_DATA=E, EST_SOURCE=JEF", "ACT_EST_MAPPING=PRECISE", "FS=MRC", "CURRENCY=USD", "XLFILL=b")</f>
        <v>#N/A Requesting Data...</v>
      </c>
      <c r="AK107" s="6" t="str">
        <f>_xll.BQL("NOW US Equity", "CB_IS_ADJ_DILUTED_AVG_SHS/1M", "FPR=2021Y", "FPT=A", "FA_ACT_EST_DATA=E, EST_SOURCE=TTC", "ACT_EST_MAPPING=PRECISE", "FS=MRC", "CURRENCY=USD", "XLFILL=b")</f>
        <v>#N/A Requesting Data...</v>
      </c>
      <c r="AL107" s="6" t="str">
        <f>_xll.BQL("NOW US Equity", "CB_IS_ADJ_DILUTED_AVG_SHS/1M", "FPR=2021Y", "FPT=A", "FA_ACT_EST_DATA=E, EST_SOURCE=RWB", "ACT_EST_MAPPING=PRECISE", "FS=MRC", "CURRENCY=USD", "XLFILL=b")</f>
        <v>#N/A Requesting Data...</v>
      </c>
      <c r="AM107" s="6" t="str">
        <f>_xll.BQL("NOW US Equity", "CB_IS_ADJ_DILUTED_AVG_SHS/1M", "FPR=2021Y", "FPT=A", "FA_ACT_EST_DATA=E, EST_SOURCE=DZB", "ACT_EST_MAPPING=PRECISE", "FS=MRC", "CURRENCY=USD", "XLFILL=b")</f>
        <v>#N/A Requesting Data...</v>
      </c>
      <c r="AN107" s="6" t="str">
        <f>_xll.BQL("NOW US Equity", "CB_IS_ADJ_DILUTED_AVG_SHS/1M", "FPR=2021Y", "FPT=A", "FA_ACT_EST_DATA=E, EST_SOURCE=DWI", "ACT_EST_MAPPING=PRECISE", "FS=MRC", "CURRENCY=USD", "XLFILL=b")</f>
        <v>#N/A Requesting Data...</v>
      </c>
      <c r="AO107" s="6" t="str">
        <f>_xll.BQL("NOW US Equity", "CB_IS_ADJ_DILUTED_AVG_SHS/1M", "FPR=2021Y", "FPT=A", "FA_ACT_EST_DATA=E, EST_SOURCE=ARG", "ACT_EST_MAPPING=PRECISE", "FS=MRC", "CURRENCY=USD", "XLFILL=b")</f>
        <v>#N/A Requesting Data...</v>
      </c>
      <c r="AP107" s="6" t="str">
        <f>_xll.BQL("NOW US Equity", "CB_IS_ADJ_DILUTED_AVG_SHS/1M", "FPR=2021Y", "FPT=A", "FA_ACT_EST_DATA=E, EST_SOURCE=CTI", "ACT_EST_MAPPING=PRECISE", "FS=MRC", "CURRENCY=USD", "XLFILL=b")</f>
        <v>#N/A Requesting Data...</v>
      </c>
      <c r="AQ107" s="6" t="str">
        <f>_xll.BQL("NOW US Equity", "CB_IS_ADJ_DILUTED_AVG_SHS/1M", "FPR=2021Y", "FPT=A", "FA_ACT_EST_DATA=E, EST_SOURCE=WFT", "ACT_EST_MAPPING=PRECISE", "FS=MRC", "CURRENCY=USD", "XLFILL=b")</f>
        <v>#N/A Requesting Data...</v>
      </c>
      <c r="AR107" s="6" t="str">
        <f>_xll.BQL("NOW US Equity", "CB_IS_ADJ_DILUTED_AVG_SHS/1M", "FPR=2021Y", "FPT=A", "FA_ACT_EST_DATA=E, EST_SOURCE=ARE", "ACT_EST_MAPPING=PRECISE", "FS=MRC", "CURRENCY=USD", "XLFILL=b")</f>
        <v>#N/A Requesting Data...</v>
      </c>
      <c r="AS107" s="6" t="str">
        <f>_xll.BQL("NOW US Equity", "CB_IS_ADJ_DILUTED_AVG_SHS/1M", "FPR=2021Y", "FPT=A", "FA_ACT_EST_DATA=E, EST_SOURCE=PJE", "ACT_EST_MAPPING=PRECISE", "FS=MRC", "CURRENCY=USD", "XLFILL=b")</f>
        <v>#N/A Requesting Data...</v>
      </c>
      <c r="AT107" s="6" t="str">
        <f>_xll.BQL("NOW US Equity", "CB_IS_ADJ_DILUTED_AVG_SHS/1M", "FPR=2021Y", "FPT=A", "FA_ACT_EST_DATA=E, EST_SOURCE=MZS", "ACT_EST_MAPPING=PRECISE", "FS=MRC", "CURRENCY=USD", "XLFILL=b")</f>
        <v>#N/A Requesting Data...</v>
      </c>
      <c r="AU107" s="6" t="str">
        <f>_xll.BQL("NOW US Equity", "CB_IS_ADJ_DILUTED_AVG_SHS/1M", "FPR=2021Y", "FPT=A", "FA_ACT_EST_DATA=E, EST_SOURCE=SUM", "ACT_EST_MAPPING=PRECISE", "FS=MRC", "CURRENCY=USD", "XLFILL=b")</f>
        <v>#N/A Requesting Data...</v>
      </c>
      <c r="AV107" s="6" t="str">
        <f>_xll.BQL("NOW US Equity", "CB_IS_ADJ_DILUTED_AVG_SHS/1M", "FPR=2021Y", "FPT=A", "FA_ACT_EST_DATA=E, EST_SOURCE=CRC", "ACT_EST_MAPPING=PRECISE", "FS=MRC", "CURRENCY=USD", "XLFILL=b")</f>
        <v>#N/A Requesting Data...</v>
      </c>
      <c r="AW107" s="6" t="str">
        <f>_xll.BQL("NOW US Equity", "CB_IS_ADJ_DILUTED_AVG_SHS/1M", "FPR=2021Y", "FPT=A", "FA_ACT_EST_DATA=E, EST_SOURCE=SCB", "ACT_EST_MAPPING=PRECISE", "FS=MRC", "CURRENCY=USD", "XLFILL=b")</f>
        <v>#N/A Requesting Data...</v>
      </c>
    </row>
    <row r="108" spans="1:49" x14ac:dyDescent="0.55000000000000004">
      <c r="A108" s="5" t="s">
        <v>168</v>
      </c>
      <c r="B108" s="2" t="s">
        <v>19</v>
      </c>
      <c r="C108" s="2" t="s">
        <v>169</v>
      </c>
      <c r="D108" s="2"/>
      <c r="E108" s="6" t="str">
        <f>_xll.BQL("NOW US Equity", "IS_COMP_EPS_EXCL_STOCK_COMP", "FPR=2021Y", "FPT=A", "FA_ACT_EST_DATA=E", "ACT_EST_MAPPING=PRECISE", "FS=MRC", "CURRENCY=USD", "XLFILL=b")</f>
        <v>#N/A Requesting Data...</v>
      </c>
      <c r="F108" s="6" t="str">
        <f>_xll.BQL("NOW US Equity", "CONTRIBUTOR_STATS(IS_COMP_EPS_EXCL_STOCK_COMP, MIN)", "FPR=2021Y", "FPT=A", "FA_ACT_EST_DATA=E", "ACT_EST_MAPPING=PRECISE", "FS=MRC", "CURRENCY=USD", "XLFILL=b")</f>
        <v>#N/A Requesting Data...</v>
      </c>
      <c r="G108" s="6" t="str">
        <f>_xll.BQL("NOW US Equity", "CONTRIBUTOR_STATS(IS_COMP_EPS_EXCL_STOCK_COMP, MAX)", "FPR=2021Y", "FPT=A", "FA_ACT_EST_DATA=E", "ACT_EST_MAPPING=PRECISE", "FS=MRC", "CURRENCY=USD", "XLFILL=b")</f>
        <v>#N/A Requesting Data...</v>
      </c>
      <c r="H108" s="6" t="str">
        <f>_xll.BQL("NOW US Equity", "CONTRIBUTOR_STATS(IS_COMP_EPS_EXCL_STOCK_COMP, STD)", "FPR=2021Y", "FPT=A", "FA_ACT_EST_DATA=E", "ACT_EST_MAPPING=PRECISE", "FS=MRC", "CURRENCY=USD", "XLFILL=b")</f>
        <v>#N/A Requesting Data...</v>
      </c>
      <c r="I108" s="6" t="str">
        <f>_xll.BQL("NOW US Equity", "CONTRIBUTOR_STATS(IS_COMP_EPS_EXCL_STOCK_COMP, MEDIAN)", "FPR=2021Y", "FPT=A", "FA_ACT_EST_DATA=E", "ACT_EST_MAPPING=PRECISE", "FS=MRC", "CURRENCY=USD", "XLFILL=b")</f>
        <v>#N/A Requesting Data...</v>
      </c>
      <c r="J108" s="6" t="str">
        <f>_xll.BQL("NOW US Equity", "IS_COMP_EPS_EXCL_STOCK_COMP", "FPR=2021Y", "FPT=A", "FA_ACT_EST_DATA=E, EST_SOURCE=CMPY", "ACT_EST_MAPPING=PRECISE", "FS=MRC", "CURRENCY=USD", "XLFILL=b")</f>
        <v>#N/A Requesting Data...</v>
      </c>
      <c r="K108" s="6" t="str">
        <f>_xll.BQL("NOW US Equity", "IS_COMP_EPS_EXCL_STOCK_COMP", "FPR=2021Y", "FPT=A", "FA_ACT_EST_DATA=E, EST_SOURCE=JPM", "ACT_EST_MAPPING=PRECISE", "FS=MRC", "CURRENCY=USD", "XLFILL=b")</f>
        <v>#N/A Requesting Data...</v>
      </c>
      <c r="L108" s="6" t="str">
        <f>_xll.BQL("NOW US Equity", "IS_COMP_EPS_EXCL_STOCK_COMP", "FPR=2021Y", "FPT=A", "FA_ACT_EST_DATA=E, EST_SOURCE=WBL", "ACT_EST_MAPPING=PRECISE", "FS=MRC", "CURRENCY=USD", "XLFILL=b")</f>
        <v>#N/A Requesting Data...</v>
      </c>
      <c r="M108" s="6" t="str">
        <f>_xll.BQL("NOW US Equity", "IS_COMP_EPS_EXCL_STOCK_COMP", "FPR=2021Y", "FPT=A", "FA_ACT_EST_DATA=E, EST_SOURCE=KEY", "ACT_EST_MAPPING=PRECISE", "FS=MRC", "CURRENCY=USD", "XLFILL=b")</f>
        <v>#N/A Requesting Data...</v>
      </c>
      <c r="N108" s="6" t="str">
        <f>_xll.BQL("NOW US Equity", "IS_COMP_EPS_EXCL_STOCK_COMP", "FPR=2021Y", "FPT=A", "FA_ACT_EST_DATA=E, EST_SOURCE=BMO", "ACT_EST_MAPPING=PRECISE", "FS=MRC", "CURRENCY=USD", "XLFILL=b")</f>
        <v>#N/A Requesting Data...</v>
      </c>
      <c r="O108" s="6" t="str">
        <f>_xll.BQL("NOW US Equity", "IS_COMP_EPS_EXCL_STOCK_COMP", "FPR=2021Y", "FPT=A", "FA_ACT_EST_DATA=E, EST_SOURCE=OPY", "ACT_EST_MAPPING=PRECISE", "FS=MRC", "CURRENCY=USD", "XLFILL=b")</f>
        <v>#N/A Requesting Data...</v>
      </c>
      <c r="P108" s="6" t="str">
        <f>_xll.BQL("NOW US Equity", "IS_COMP_EPS_EXCL_STOCK_COMP", "FPR=2021Y", "FPT=A", "FA_ACT_EST_DATA=E, EST_SOURCE=BCA", "ACT_EST_MAPPING=PRECISE", "FS=MRC", "CURRENCY=USD", "XLFILL=b")</f>
        <v>#N/A Requesting Data...</v>
      </c>
      <c r="Q108" s="6" t="str">
        <f>_xll.BQL("NOW US Equity", "IS_COMP_EPS_EXCL_STOCK_COMP", "FPR=2021Y", "FPT=A", "FA_ACT_EST_DATA=E, EST_SOURCE=RHR", "ACT_EST_MAPPING=PRECISE", "FS=MRC", "CURRENCY=USD", "XLFILL=b")</f>
        <v>#N/A Requesting Data...</v>
      </c>
      <c r="R108" s="6" t="str">
        <f>_xll.BQL("NOW US Equity", "IS_COMP_EPS_EXCL_STOCK_COMP", "FPR=2021Y", "FPT=A", "FA_ACT_EST_DATA=E, EST_SOURCE=SNR", "ACT_EST_MAPPING=PRECISE", "FS=MRC", "CURRENCY=USD", "XLFILL=b")</f>
        <v>#N/A Requesting Data...</v>
      </c>
      <c r="S108" s="6" t="str">
        <f>_xll.BQL("NOW US Equity", "IS_COMP_EPS_EXCL_STOCK_COMP", "FPR=2021Y", "FPT=A", "FA_ACT_EST_DATA=E, EST_SOURCE=MSV", "ACT_EST_MAPPING=PRECISE", "FS=MRC", "CURRENCY=USD", "XLFILL=b")</f>
        <v>#N/A Requesting Data...</v>
      </c>
      <c r="T108" s="6" t="str">
        <f>_xll.BQL("NOW US Equity", "IS_COMP_EPS_EXCL_STOCK_COMP", "FPR=2021Y", "FPT=A", "FA_ACT_EST_DATA=E, EST_SOURCE=CAN", "ACT_EST_MAPPING=PRECISE", "FS=MRC", "CURRENCY=USD", "XLFILL=b")</f>
        <v>#N/A Requesting Data...</v>
      </c>
      <c r="U108" s="6" t="str">
        <f>_xll.BQL("NOW US Equity", "IS_COMP_EPS_EXCL_STOCK_COMP", "FPR=2021Y", "FPT=A", "FA_ACT_EST_DATA=E, EST_SOURCE=JMP", "ACT_EST_MAPPING=PRECISE", "FS=MRC", "CURRENCY=USD", "XLFILL=b")</f>
        <v>#N/A Requesting Data...</v>
      </c>
      <c r="V108" s="6" t="str">
        <f>_xll.BQL("NOW US Equity", "IS_COMP_EPS_EXCL_STOCK_COMP", "FPR=2021Y", "FPT=A", "FA_ACT_EST_DATA=E, EST_SOURCE=NDH", "ACT_EST_MAPPING=PRECISE", "FS=MRC", "CURRENCY=USD", "XLFILL=b")</f>
        <v>#N/A Requesting Data...</v>
      </c>
      <c r="W108" s="6" t="str">
        <f>_xll.BQL("NOW US Equity", "IS_COMP_EPS_EXCL_STOCK_COMP", "FPR=2021Y", "FPT=A", "FA_ACT_EST_DATA=E, EST_SOURCE=ZXS", "ACT_EST_MAPPING=PRECISE", "FS=MRC", "CURRENCY=USD", "XLFILL=b")</f>
        <v>#N/A Requesting Data...</v>
      </c>
      <c r="X108" s="6" t="str">
        <f>_xll.BQL("NOW US Equity", "IS_COMP_EPS_EXCL_STOCK_COMP", "FPR=2021Y", "FPT=A", "FA_ACT_EST_DATA=E, EST_SOURCE=CWN", "ACT_EST_MAPPING=PRECISE", "FS=MRC", "CURRENCY=USD", "XLFILL=b")</f>
        <v>#N/A Requesting Data...</v>
      </c>
      <c r="Y108" s="6" t="str">
        <f>_xll.BQL("NOW US Equity", "IS_COMP_EPS_EXCL_STOCK_COMP", "FPR=2021Y", "FPT=A", "FA_ACT_EST_DATA=E, EST_SOURCE=DBG", "ACT_EST_MAPPING=PRECISE", "FS=MRC", "CURRENCY=USD", "XLFILL=b")</f>
        <v>#N/A Requesting Data...</v>
      </c>
      <c r="Z108" s="6" t="str">
        <f>_xll.BQL("NOW US Equity", "IS_COMP_EPS_EXCL_STOCK_COMP", "FPR=2021Y", "FPT=A", "FA_ACT_EST_DATA=E, EST_SOURCE=UBS", "ACT_EST_MAPPING=PRECISE", "FS=MRC", "CURRENCY=USD", "XLFILL=b")</f>
        <v>#N/A Requesting Data...</v>
      </c>
      <c r="AA108" s="6" t="str">
        <f>_xll.BQL("NOW US Equity", "IS_COMP_EPS_EXCL_STOCK_COMP", "FPR=2021Y", "FPT=A", "FA_ACT_EST_DATA=E, EST_SOURCE=RBC", "ACT_EST_MAPPING=PRECISE", "FS=MRC", "CURRENCY=USD", "XLFILL=b")</f>
        <v>#N/A Requesting Data...</v>
      </c>
      <c r="AB108" s="6" t="str">
        <f>_xll.BQL("NOW US Equity", "IS_COMP_EPS_EXCL_STOCK_COMP", "FPR=2021Y", "FPT=A", "FA_ACT_EST_DATA=E, EST_SOURCE=EVR", "ACT_EST_MAPPING=PRECISE", "FS=MRC", "CURRENCY=USD", "XLFILL=b")</f>
        <v>#N/A Requesting Data...</v>
      </c>
      <c r="AC108" s="6" t="str">
        <f>_xll.BQL("NOW US Equity", "IS_COMP_EPS_EXCL_STOCK_COMP", "FPR=2021Y", "FPT=A", "FA_ACT_EST_DATA=E, EST_SOURCE=BNS", "ACT_EST_MAPPING=PRECISE", "FS=MRC", "CURRENCY=USD", "XLFILL=b")</f>
        <v>#N/A Requesting Data...</v>
      </c>
      <c r="AD108" s="6" t="str">
        <f>_xll.BQL("NOW US Equity", "IS_COMP_EPS_EXCL_STOCK_COMP", "FPR=2021Y", "FPT=A", "FA_ACT_EST_DATA=E, EST_SOURCE=BAM", "ACT_EST_MAPPING=PRECISE", "FS=MRC", "CURRENCY=USD", "XLFILL=b")</f>
        <v>#N/A Requesting Data...</v>
      </c>
      <c r="AE108" s="6" t="str">
        <f>_xll.BQL("NOW US Equity", "IS_COMP_EPS_EXCL_STOCK_COMP", "FPR=2021Y", "FPT=A", "FA_ACT_EST_DATA=E, EST_SOURCE=GSR", "ACT_EST_MAPPING=PRECISE", "FS=MRC", "CURRENCY=USD", "XLFILL=b")</f>
        <v>#N/A Requesting Data...</v>
      </c>
      <c r="AF108" s="6" t="str">
        <f>_xll.BQL("NOW US Equity", "IS_COMP_EPS_EXCL_STOCK_COMP", "FPR=2021Y", "FPT=A", "FA_ACT_EST_DATA=E, EST_SOURCE=FBC", "ACT_EST_MAPPING=PRECISE", "FS=MRC", "CURRENCY=USD", "XLFILL=b")</f>
        <v>#N/A Requesting Data...</v>
      </c>
      <c r="AG108" s="6" t="str">
        <f>_xll.BQL("NOW US Equity", "IS_COMP_EPS_EXCL_STOCK_COMP", "FPR=2021Y", "FPT=A", "FA_ACT_EST_DATA=E, EST_SOURCE=MAC", "ACT_EST_MAPPING=PRECISE", "FS=MRC", "CURRENCY=USD", "XLFILL=b")</f>
        <v>#N/A Requesting Data...</v>
      </c>
      <c r="AH108" s="6" t="str">
        <f>_xll.BQL("NOW US Equity", "IS_COMP_EPS_EXCL_STOCK_COMP", "FPR=2021Y", "FPT=A", "FA_ACT_EST_DATA=E, EST_SOURCE=PSG", "ACT_EST_MAPPING=PRECISE", "FS=MRC", "CURRENCY=USD", "XLFILL=b")</f>
        <v>#N/A Requesting Data...</v>
      </c>
      <c r="AI108" s="6" t="str">
        <f>_xll.BQL("NOW US Equity", "IS_COMP_EPS_EXCL_STOCK_COMP", "FPR=2021Y", "FPT=A", "FA_ACT_EST_DATA=E, EST_SOURCE=MSR", "ACT_EST_MAPPING=PRECISE", "FS=MRC", "CURRENCY=USD", "XLFILL=b")</f>
        <v>#N/A Requesting Data...</v>
      </c>
      <c r="AJ108" s="6" t="str">
        <f>_xll.BQL("NOW US Equity", "IS_COMP_EPS_EXCL_STOCK_COMP", "FPR=2021Y", "FPT=A", "FA_ACT_EST_DATA=E, EST_SOURCE=JEF", "ACT_EST_MAPPING=PRECISE", "FS=MRC", "CURRENCY=USD", "XLFILL=b")</f>
        <v>#N/A Requesting Data...</v>
      </c>
      <c r="AK108" s="6" t="str">
        <f>_xll.BQL("NOW US Equity", "IS_COMP_EPS_EXCL_STOCK_COMP", "FPR=2021Y", "FPT=A", "FA_ACT_EST_DATA=E, EST_SOURCE=TTC", "ACT_EST_MAPPING=PRECISE", "FS=MRC", "CURRENCY=USD", "XLFILL=b")</f>
        <v>#N/A Requesting Data...</v>
      </c>
      <c r="AL108" s="6" t="str">
        <f>_xll.BQL("NOW US Equity", "IS_COMP_EPS_EXCL_STOCK_COMP", "FPR=2021Y", "FPT=A", "FA_ACT_EST_DATA=E, EST_SOURCE=RWB", "ACT_EST_MAPPING=PRECISE", "FS=MRC", "CURRENCY=USD", "XLFILL=b")</f>
        <v>#N/A Requesting Data...</v>
      </c>
      <c r="AM108" s="6">
        <f>_xll.BQL("NOW US Equity", "IS_COMP_EPS_EXCL_STOCK_COMP", "FPR=2021Y", "FPT=A", "FA_ACT_EST_DATA=E, EST_SOURCE=DZB", "ACT_EST_MAPPING=PRECISE", "FS=MRC", "CURRENCY=USD", "XLFILL=b")</f>
        <v>5.94</v>
      </c>
      <c r="AN108" s="6" t="str">
        <f>_xll.BQL("NOW US Equity", "IS_COMP_EPS_EXCL_STOCK_COMP", "FPR=2021Y", "FPT=A", "FA_ACT_EST_DATA=E, EST_SOURCE=DWI", "ACT_EST_MAPPING=PRECISE", "FS=MRC", "CURRENCY=USD", "XLFILL=b")</f>
        <v>#N/A Requesting Data...</v>
      </c>
      <c r="AO108" s="6" t="str">
        <f>_xll.BQL("NOW US Equity", "IS_COMP_EPS_EXCL_STOCK_COMP", "FPR=2021Y", "FPT=A", "FA_ACT_EST_DATA=E, EST_SOURCE=ARG", "ACT_EST_MAPPING=PRECISE", "FS=MRC", "CURRENCY=USD", "XLFILL=b")</f>
        <v>#N/A Requesting Data...</v>
      </c>
      <c r="AP108" s="6" t="str">
        <f>_xll.BQL("NOW US Equity", "IS_COMP_EPS_EXCL_STOCK_COMP", "FPR=2021Y", "FPT=A", "FA_ACT_EST_DATA=E, EST_SOURCE=CTI", "ACT_EST_MAPPING=PRECISE", "FS=MRC", "CURRENCY=USD", "XLFILL=b")</f>
        <v>#N/A Requesting Data...</v>
      </c>
      <c r="AQ108" s="6" t="str">
        <f>_xll.BQL("NOW US Equity", "IS_COMP_EPS_EXCL_STOCK_COMP", "FPR=2021Y", "FPT=A", "FA_ACT_EST_DATA=E, EST_SOURCE=WFT", "ACT_EST_MAPPING=PRECISE", "FS=MRC", "CURRENCY=USD", "XLFILL=b")</f>
        <v>#N/A Requesting Data...</v>
      </c>
      <c r="AR108" s="6" t="str">
        <f>_xll.BQL("NOW US Equity", "IS_COMP_EPS_EXCL_STOCK_COMP", "FPR=2021Y", "FPT=A", "FA_ACT_EST_DATA=E, EST_SOURCE=ARE", "ACT_EST_MAPPING=PRECISE", "FS=MRC", "CURRENCY=USD", "XLFILL=b")</f>
        <v>#N/A Requesting Data...</v>
      </c>
      <c r="AS108" s="6" t="str">
        <f>_xll.BQL("NOW US Equity", "IS_COMP_EPS_EXCL_STOCK_COMP", "FPR=2021Y", "FPT=A", "FA_ACT_EST_DATA=E, EST_SOURCE=PJE", "ACT_EST_MAPPING=PRECISE", "FS=MRC", "CURRENCY=USD", "XLFILL=b")</f>
        <v>#N/A Requesting Data...</v>
      </c>
      <c r="AT108" s="6" t="str">
        <f>_xll.BQL("NOW US Equity", "IS_COMP_EPS_EXCL_STOCK_COMP", "FPR=2021Y", "FPT=A", "FA_ACT_EST_DATA=E, EST_SOURCE=MZS", "ACT_EST_MAPPING=PRECISE", "FS=MRC", "CURRENCY=USD", "XLFILL=b")</f>
        <v/>
      </c>
      <c r="AU108" s="6" t="str">
        <f>_xll.BQL("NOW US Equity", "IS_COMP_EPS_EXCL_STOCK_COMP", "FPR=2021Y", "FPT=A", "FA_ACT_EST_DATA=E, EST_SOURCE=SUM", "ACT_EST_MAPPING=PRECISE", "FS=MRC", "CURRENCY=USD", "XLFILL=b")</f>
        <v>#N/A Requesting Data...</v>
      </c>
      <c r="AV108" s="6" t="str">
        <f>_xll.BQL("NOW US Equity", "IS_COMP_EPS_EXCL_STOCK_COMP", "FPR=2021Y", "FPT=A", "FA_ACT_EST_DATA=E, EST_SOURCE=CRC", "ACT_EST_MAPPING=PRECISE", "FS=MRC", "CURRENCY=USD", "XLFILL=b")</f>
        <v>#N/A Requesting Data...</v>
      </c>
      <c r="AW108" s="6" t="str">
        <f>_xll.BQL("NOW US Equity", "IS_COMP_EPS_EXCL_STOCK_COMP", "FPR=2021Y", "FPT=A", "FA_ACT_EST_DATA=E, EST_SOURCE=SCB", "ACT_EST_MAPPING=PRECISE", "FS=MRC", "CURRENCY=USD", "XLFILL=b")</f>
        <v>#N/A Requesting Data...</v>
      </c>
    </row>
    <row r="109" spans="1:49" x14ac:dyDescent="0.55000000000000004">
      <c r="A109" s="5" t="s">
        <v>23</v>
      </c>
      <c r="B109" s="2"/>
      <c r="C109" s="2"/>
      <c r="D109" s="2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</row>
    <row r="110" spans="1:49" x14ac:dyDescent="0.55000000000000004">
      <c r="A110" s="5" t="s">
        <v>170</v>
      </c>
      <c r="B110" s="2"/>
      <c r="C110" s="2" t="s">
        <v>171</v>
      </c>
      <c r="D110" s="2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</row>
    <row r="111" spans="1:49" x14ac:dyDescent="0.55000000000000004">
      <c r="A111" s="5" t="s">
        <v>106</v>
      </c>
      <c r="B111" s="2" t="s">
        <v>172</v>
      </c>
      <c r="C111" s="2" t="s">
        <v>108</v>
      </c>
      <c r="D111" s="2"/>
      <c r="E111" s="6" t="str">
        <f>_xll.BQL("NOW US Equity", "IS_COGS_TO_FE_AND_PP_AND_G/1M", "FPR=2021Y", "FPT=A", "FA_ACT_EST_DATA=E", "ACT_EST_MAPPING=PRECISE", "FS=MRC", "CURRENCY=USD", "XLFILL=b")</f>
        <v>#N/A Requesting Data...</v>
      </c>
      <c r="F111" s="6" t="str">
        <f>_xll.BQL("NOW US Equity", "CONTRIBUTOR_STATS(IS_COGS_TO_FE_AND_PP_AND_G, MIN)/1M", "FPR=2021Y", "FPT=A", "FA_ACT_EST_DATA=E", "ACT_EST_MAPPING=PRECISE", "FS=MRC", "CURRENCY=USD", "XLFILL=b")</f>
        <v>#N/A Requesting Data...</v>
      </c>
      <c r="G111" s="6" t="str">
        <f>_xll.BQL("NOW US Equity", "CONTRIBUTOR_STATS(IS_COGS_TO_FE_AND_PP_AND_G, MAX)/1M", "FPR=2021Y", "FPT=A", "FA_ACT_EST_DATA=E", "ACT_EST_MAPPING=PRECISE", "FS=MRC", "CURRENCY=USD", "XLFILL=b")</f>
        <v>#N/A Requesting Data...</v>
      </c>
      <c r="H111" s="6" t="str">
        <f>_xll.BQL("NOW US Equity", "CONTRIBUTOR_STATS(IS_COGS_TO_FE_AND_PP_AND_G, STD)/1M", "FPR=2021Y", "FPT=A", "FA_ACT_EST_DATA=E", "ACT_EST_MAPPING=PRECISE", "FS=MRC", "CURRENCY=USD", "XLFILL=b")</f>
        <v>#N/A Requesting Data...</v>
      </c>
      <c r="I111" s="6" t="str">
        <f>_xll.BQL("NOW US Equity", "CONTRIBUTOR_STATS(IS_COGS_TO_FE_AND_PP_AND_G, MEDIAN)/1M", "FPR=2021Y", "FPT=A", "FA_ACT_EST_DATA=E", "ACT_EST_MAPPING=PRECISE", "FS=MRC", "CURRENCY=USD", "XLFILL=b")</f>
        <v>#N/A Requesting Data...</v>
      </c>
      <c r="J111" s="6" t="str">
        <f>_xll.BQL("NOW US Equity", "IS_COGS_TO_FE_AND_PP_AND_G/1M", "FPR=2021Y", "FPT=A", "FA_ACT_EST_DATA=E, EST_SOURCE=CMPY", "ACT_EST_MAPPING=PRECISE", "FS=MRC", "CURRENCY=USD", "XLFILL=b")</f>
        <v>#N/A Requesting Data...</v>
      </c>
      <c r="K111" s="6" t="str">
        <f>_xll.BQL("NOW US Equity", "IS_COGS_TO_FE_AND_PP_AND_G/1M", "FPR=2021Y", "FPT=A", "FA_ACT_EST_DATA=E, EST_SOURCE=JPM", "ACT_EST_MAPPING=PRECISE", "FS=MRC", "CURRENCY=USD", "XLFILL=b")</f>
        <v>#N/A Requesting Data...</v>
      </c>
      <c r="L111" s="6" t="str">
        <f>_xll.BQL("NOW US Equity", "IS_COGS_TO_FE_AND_PP_AND_G/1M", "FPR=2021Y", "FPT=A", "FA_ACT_EST_DATA=E, EST_SOURCE=WBL", "ACT_EST_MAPPING=PRECISE", "FS=MRC", "CURRENCY=USD", "XLFILL=b")</f>
        <v>#N/A Requesting Data...</v>
      </c>
      <c r="M111" s="6" t="str">
        <f>_xll.BQL("NOW US Equity", "IS_COGS_TO_FE_AND_PP_AND_G/1M", "FPR=2021Y", "FPT=A", "FA_ACT_EST_DATA=E, EST_SOURCE=KEY", "ACT_EST_MAPPING=PRECISE", "FS=MRC", "CURRENCY=USD", "XLFILL=b")</f>
        <v>#N/A Requesting Data...</v>
      </c>
      <c r="N111" s="6" t="str">
        <f>_xll.BQL("NOW US Equity", "IS_COGS_TO_FE_AND_PP_AND_G/1M", "FPR=2021Y", "FPT=A", "FA_ACT_EST_DATA=E, EST_SOURCE=BMO", "ACT_EST_MAPPING=PRECISE", "FS=MRC", "CURRENCY=USD", "XLFILL=b")</f>
        <v>#N/A Requesting Data...</v>
      </c>
      <c r="O111" s="6" t="str">
        <f>_xll.BQL("NOW US Equity", "IS_COGS_TO_FE_AND_PP_AND_G/1M", "FPR=2021Y", "FPT=A", "FA_ACT_EST_DATA=E, EST_SOURCE=OPY", "ACT_EST_MAPPING=PRECISE", "FS=MRC", "CURRENCY=USD", "XLFILL=b")</f>
        <v>#N/A Requesting Data...</v>
      </c>
      <c r="P111" s="6" t="str">
        <f>_xll.BQL("NOW US Equity", "IS_COGS_TO_FE_AND_PP_AND_G/1M", "FPR=2021Y", "FPT=A", "FA_ACT_EST_DATA=E, EST_SOURCE=BCA", "ACT_EST_MAPPING=PRECISE", "FS=MRC", "CURRENCY=USD", "XLFILL=b")</f>
        <v>#N/A Requesting Data...</v>
      </c>
      <c r="Q111" s="6" t="str">
        <f>_xll.BQL("NOW US Equity", "IS_COGS_TO_FE_AND_PP_AND_G/1M", "FPR=2021Y", "FPT=A", "FA_ACT_EST_DATA=E, EST_SOURCE=RHR", "ACT_EST_MAPPING=PRECISE", "FS=MRC", "CURRENCY=USD", "XLFILL=b")</f>
        <v>#N/A Requesting Data...</v>
      </c>
      <c r="R111" s="6" t="str">
        <f>_xll.BQL("NOW US Equity", "IS_COGS_TO_FE_AND_PP_AND_G/1M", "FPR=2021Y", "FPT=A", "FA_ACT_EST_DATA=E, EST_SOURCE=SNR", "ACT_EST_MAPPING=PRECISE", "FS=MRC", "CURRENCY=USD", "XLFILL=b")</f>
        <v>#N/A Requesting Data...</v>
      </c>
      <c r="S111" s="6" t="str">
        <f>_xll.BQL("NOW US Equity", "IS_COGS_TO_FE_AND_PP_AND_G/1M", "FPR=2021Y", "FPT=A", "FA_ACT_EST_DATA=E, EST_SOURCE=MSV", "ACT_EST_MAPPING=PRECISE", "FS=MRC", "CURRENCY=USD", "XLFILL=b")</f>
        <v>#N/A Requesting Data...</v>
      </c>
      <c r="T111" s="6" t="str">
        <f>_xll.BQL("NOW US Equity", "IS_COGS_TO_FE_AND_PP_AND_G/1M", "FPR=2021Y", "FPT=A", "FA_ACT_EST_DATA=E, EST_SOURCE=CAN", "ACT_EST_MAPPING=PRECISE", "FS=MRC", "CURRENCY=USD", "XLFILL=b")</f>
        <v>#N/A Requesting Data...</v>
      </c>
      <c r="U111" s="6" t="str">
        <f>_xll.BQL("NOW US Equity", "IS_COGS_TO_FE_AND_PP_AND_G/1M", "FPR=2021Y", "FPT=A", "FA_ACT_EST_DATA=E, EST_SOURCE=JMP", "ACT_EST_MAPPING=PRECISE", "FS=MRC", "CURRENCY=USD", "XLFILL=b")</f>
        <v>#N/A Requesting Data...</v>
      </c>
      <c r="V111" s="6" t="str">
        <f>_xll.BQL("NOW US Equity", "IS_COGS_TO_FE_AND_PP_AND_G/1M", "FPR=2021Y", "FPT=A", "FA_ACT_EST_DATA=E, EST_SOURCE=NDH", "ACT_EST_MAPPING=PRECISE", "FS=MRC", "CURRENCY=USD", "XLFILL=b")</f>
        <v>#N/A Requesting Data...</v>
      </c>
      <c r="W111" s="6" t="str">
        <f>_xll.BQL("NOW US Equity", "IS_COGS_TO_FE_AND_PP_AND_G/1M", "FPR=2021Y", "FPT=A", "FA_ACT_EST_DATA=E, EST_SOURCE=ZXS", "ACT_EST_MAPPING=PRECISE", "FS=MRC", "CURRENCY=USD", "XLFILL=b")</f>
        <v>#N/A Requesting Data...</v>
      </c>
      <c r="X111" s="6" t="str">
        <f>_xll.BQL("NOW US Equity", "IS_COGS_TO_FE_AND_PP_AND_G/1M", "FPR=2021Y", "FPT=A", "FA_ACT_EST_DATA=E, EST_SOURCE=CWN", "ACT_EST_MAPPING=PRECISE", "FS=MRC", "CURRENCY=USD", "XLFILL=b")</f>
        <v>#N/A Requesting Data...</v>
      </c>
      <c r="Y111" s="6" t="str">
        <f>_xll.BQL("NOW US Equity", "IS_COGS_TO_FE_AND_PP_AND_G/1M", "FPR=2021Y", "FPT=A", "FA_ACT_EST_DATA=E, EST_SOURCE=DBG", "ACT_EST_MAPPING=PRECISE", "FS=MRC", "CURRENCY=USD", "XLFILL=b")</f>
        <v>#N/A Requesting Data...</v>
      </c>
      <c r="Z111" s="6" t="str">
        <f>_xll.BQL("NOW US Equity", "IS_COGS_TO_FE_AND_PP_AND_G/1M", "FPR=2021Y", "FPT=A", "FA_ACT_EST_DATA=E, EST_SOURCE=UBS", "ACT_EST_MAPPING=PRECISE", "FS=MRC", "CURRENCY=USD", "XLFILL=b")</f>
        <v>#N/A Requesting Data...</v>
      </c>
      <c r="AA111" s="6" t="str">
        <f>_xll.BQL("NOW US Equity", "IS_COGS_TO_FE_AND_PP_AND_G/1M", "FPR=2021Y", "FPT=A", "FA_ACT_EST_DATA=E, EST_SOURCE=RBC", "ACT_EST_MAPPING=PRECISE", "FS=MRC", "CURRENCY=USD", "XLFILL=b")</f>
        <v>#N/A Requesting Data...</v>
      </c>
      <c r="AB111" s="6" t="str">
        <f>_xll.BQL("NOW US Equity", "IS_COGS_TO_FE_AND_PP_AND_G/1M", "FPR=2021Y", "FPT=A", "FA_ACT_EST_DATA=E, EST_SOURCE=EVR", "ACT_EST_MAPPING=PRECISE", "FS=MRC", "CURRENCY=USD", "XLFILL=b")</f>
        <v>#N/A Requesting Data...</v>
      </c>
      <c r="AC111" s="6" t="str">
        <f>_xll.BQL("NOW US Equity", "IS_COGS_TO_FE_AND_PP_AND_G/1M", "FPR=2021Y", "FPT=A", "FA_ACT_EST_DATA=E, EST_SOURCE=BNS", "ACT_EST_MAPPING=PRECISE", "FS=MRC", "CURRENCY=USD", "XLFILL=b")</f>
        <v>#N/A Requesting Data...</v>
      </c>
      <c r="AD111" s="6" t="str">
        <f>_xll.BQL("NOW US Equity", "IS_COGS_TO_FE_AND_PP_AND_G/1M", "FPR=2021Y", "FPT=A", "FA_ACT_EST_DATA=E, EST_SOURCE=BAM", "ACT_EST_MAPPING=PRECISE", "FS=MRC", "CURRENCY=USD", "XLFILL=b")</f>
        <v>#N/A Requesting Data...</v>
      </c>
      <c r="AE111" s="6" t="str">
        <f>_xll.BQL("NOW US Equity", "IS_COGS_TO_FE_AND_PP_AND_G/1M", "FPR=2021Y", "FPT=A", "FA_ACT_EST_DATA=E, EST_SOURCE=GSR", "ACT_EST_MAPPING=PRECISE", "FS=MRC", "CURRENCY=USD", "XLFILL=b")</f>
        <v>#N/A Requesting Data...</v>
      </c>
      <c r="AF111" s="6" t="str">
        <f>_xll.BQL("NOW US Equity", "IS_COGS_TO_FE_AND_PP_AND_G/1M", "FPR=2021Y", "FPT=A", "FA_ACT_EST_DATA=E, EST_SOURCE=FBC", "ACT_EST_MAPPING=PRECISE", "FS=MRC", "CURRENCY=USD", "XLFILL=b")</f>
        <v>#N/A Requesting Data...</v>
      </c>
      <c r="AG111" s="6" t="str">
        <f>_xll.BQL("NOW US Equity", "IS_COGS_TO_FE_AND_PP_AND_G/1M", "FPR=2021Y", "FPT=A", "FA_ACT_EST_DATA=E, EST_SOURCE=MAC", "ACT_EST_MAPPING=PRECISE", "FS=MRC", "CURRENCY=USD", "XLFILL=b")</f>
        <v>#N/A Requesting Data...</v>
      </c>
      <c r="AH111" s="6" t="str">
        <f>_xll.BQL("NOW US Equity", "IS_COGS_TO_FE_AND_PP_AND_G/1M", "FPR=2021Y", "FPT=A", "FA_ACT_EST_DATA=E, EST_SOURCE=PSG", "ACT_EST_MAPPING=PRECISE", "FS=MRC", "CURRENCY=USD", "XLFILL=b")</f>
        <v>#N/A Requesting Data...</v>
      </c>
      <c r="AI111" s="6" t="str">
        <f>_xll.BQL("NOW US Equity", "IS_COGS_TO_FE_AND_PP_AND_G/1M", "FPR=2021Y", "FPT=A", "FA_ACT_EST_DATA=E, EST_SOURCE=MSR", "ACT_EST_MAPPING=PRECISE", "FS=MRC", "CURRENCY=USD", "XLFILL=b")</f>
        <v>#N/A Requesting Data...</v>
      </c>
      <c r="AJ111" s="6" t="str">
        <f>_xll.BQL("NOW US Equity", "IS_COGS_TO_FE_AND_PP_AND_G/1M", "FPR=2021Y", "FPT=A", "FA_ACT_EST_DATA=E, EST_SOURCE=JEF", "ACT_EST_MAPPING=PRECISE", "FS=MRC", "CURRENCY=USD", "XLFILL=b")</f>
        <v>#N/A Requesting Data...</v>
      </c>
      <c r="AK111" s="6" t="str">
        <f>_xll.BQL("NOW US Equity", "IS_COGS_TO_FE_AND_PP_AND_G/1M", "FPR=2021Y", "FPT=A", "FA_ACT_EST_DATA=E, EST_SOURCE=TTC", "ACT_EST_MAPPING=PRECISE", "FS=MRC", "CURRENCY=USD", "XLFILL=b")</f>
        <v>#N/A Requesting Data...</v>
      </c>
      <c r="AL111" s="6" t="str">
        <f>_xll.BQL("NOW US Equity", "IS_COGS_TO_FE_AND_PP_AND_G/1M", "FPR=2021Y", "FPT=A", "FA_ACT_EST_DATA=E, EST_SOURCE=RWB", "ACT_EST_MAPPING=PRECISE", "FS=MRC", "CURRENCY=USD", "XLFILL=b")</f>
        <v>#N/A Requesting Data...</v>
      </c>
      <c r="AM111" s="6" t="str">
        <f>_xll.BQL("NOW US Equity", "IS_COGS_TO_FE_AND_PP_AND_G/1M", "FPR=2021Y", "FPT=A", "FA_ACT_EST_DATA=E, EST_SOURCE=DZB", "ACT_EST_MAPPING=PRECISE", "FS=MRC", "CURRENCY=USD", "XLFILL=b")</f>
        <v>#N/A Requesting Data...</v>
      </c>
      <c r="AN111" s="6" t="str">
        <f>_xll.BQL("NOW US Equity", "IS_COGS_TO_FE_AND_PP_AND_G/1M", "FPR=2021Y", "FPT=A", "FA_ACT_EST_DATA=E, EST_SOURCE=DWI", "ACT_EST_MAPPING=PRECISE", "FS=MRC", "CURRENCY=USD", "XLFILL=b")</f>
        <v>#N/A Requesting Data...</v>
      </c>
      <c r="AO111" s="6" t="str">
        <f>_xll.BQL("NOW US Equity", "IS_COGS_TO_FE_AND_PP_AND_G/1M", "FPR=2021Y", "FPT=A", "FA_ACT_EST_DATA=E, EST_SOURCE=ARG", "ACT_EST_MAPPING=PRECISE", "FS=MRC", "CURRENCY=USD", "XLFILL=b")</f>
        <v>#N/A Requesting Data...</v>
      </c>
      <c r="AP111" s="6" t="str">
        <f>_xll.BQL("NOW US Equity", "IS_COGS_TO_FE_AND_PP_AND_G/1M", "FPR=2021Y", "FPT=A", "FA_ACT_EST_DATA=E, EST_SOURCE=CTI", "ACT_EST_MAPPING=PRECISE", "FS=MRC", "CURRENCY=USD", "XLFILL=b")</f>
        <v>#N/A Requesting Data...</v>
      </c>
      <c r="AQ111" s="6" t="str">
        <f>_xll.BQL("NOW US Equity", "IS_COGS_TO_FE_AND_PP_AND_G/1M", "FPR=2021Y", "FPT=A", "FA_ACT_EST_DATA=E, EST_SOURCE=WFT", "ACT_EST_MAPPING=PRECISE", "FS=MRC", "CURRENCY=USD", "XLFILL=b")</f>
        <v>#N/A Requesting Data...</v>
      </c>
      <c r="AR111" s="6" t="str">
        <f>_xll.BQL("NOW US Equity", "IS_COGS_TO_FE_AND_PP_AND_G/1M", "FPR=2021Y", "FPT=A", "FA_ACT_EST_DATA=E, EST_SOURCE=ARE", "ACT_EST_MAPPING=PRECISE", "FS=MRC", "CURRENCY=USD", "XLFILL=b")</f>
        <v>#N/A Requesting Data...</v>
      </c>
      <c r="AS111" s="6" t="str">
        <f>_xll.BQL("NOW US Equity", "IS_COGS_TO_FE_AND_PP_AND_G/1M", "FPR=2021Y", "FPT=A", "FA_ACT_EST_DATA=E, EST_SOURCE=PJE", "ACT_EST_MAPPING=PRECISE", "FS=MRC", "CURRENCY=USD", "XLFILL=b")</f>
        <v>#N/A Requesting Data...</v>
      </c>
      <c r="AT111" s="6" t="str">
        <f>_xll.BQL("NOW US Equity", "IS_COGS_TO_FE_AND_PP_AND_G/1M", "FPR=2021Y", "FPT=A", "FA_ACT_EST_DATA=E, EST_SOURCE=MZS", "ACT_EST_MAPPING=PRECISE", "FS=MRC", "CURRENCY=USD", "XLFILL=b")</f>
        <v>#N/A Requesting Data...</v>
      </c>
      <c r="AU111" s="6" t="str">
        <f>_xll.BQL("NOW US Equity", "IS_COGS_TO_FE_AND_PP_AND_G/1M", "FPR=2021Y", "FPT=A", "FA_ACT_EST_DATA=E, EST_SOURCE=SUM", "ACT_EST_MAPPING=PRECISE", "FS=MRC", "CURRENCY=USD", "XLFILL=b")</f>
        <v>#N/A Requesting Data...</v>
      </c>
      <c r="AV111" s="6" t="str">
        <f>_xll.BQL("NOW US Equity", "IS_COGS_TO_FE_AND_PP_AND_G/1M", "FPR=2021Y", "FPT=A", "FA_ACT_EST_DATA=E, EST_SOURCE=CRC", "ACT_EST_MAPPING=PRECISE", "FS=MRC", "CURRENCY=USD", "XLFILL=b")</f>
        <v>#N/A Requesting Data...</v>
      </c>
      <c r="AW111" s="6" t="str">
        <f>_xll.BQL("NOW US Equity", "IS_COGS_TO_FE_AND_PP_AND_G/1M", "FPR=2021Y", "FPT=A", "FA_ACT_EST_DATA=E, EST_SOURCE=SCB", "ACT_EST_MAPPING=PRECISE", "FS=MRC", "CURRENCY=USD", "XLFILL=b")</f>
        <v>#N/A Requesting Data...</v>
      </c>
    </row>
    <row r="112" spans="1:49" x14ac:dyDescent="0.55000000000000004">
      <c r="A112" s="5" t="s">
        <v>173</v>
      </c>
      <c r="B112" s="2" t="s">
        <v>172</v>
      </c>
      <c r="C112" s="2" t="s">
        <v>174</v>
      </c>
      <c r="D112" s="2" t="s">
        <v>37</v>
      </c>
      <c r="E112" s="6" t="str">
        <f>_xll.BQL("SEG0000230975 Segment", "IS_COGS_TO_FE_AND_PP_AND_G/1M", "FPR=2021Y", "FPT=A", "FA_ACT_EST_DATA=E", "ACT_EST_MAPPING=PRECISE", "FS=MRC", "CURRENCY=USD", "XLFILL=b")</f>
        <v>#N/A Requesting Data...</v>
      </c>
      <c r="F112" s="6" t="str">
        <f>_xll.BQL("SEG0000230975 Segment", "CONTRIBUTOR_STATS(IS_COGS_TO_FE_AND_PP_AND_G, MIN)/1M", "FPR=2021Y", "FPT=A", "FA_ACT_EST_DATA=E", "ACT_EST_MAPPING=PRECISE", "FS=MRC", "CURRENCY=USD", "XLFILL=b")</f>
        <v>#N/A Requesting Data...</v>
      </c>
      <c r="G112" s="6" t="str">
        <f>_xll.BQL("SEG0000230975 Segment", "CONTRIBUTOR_STATS(IS_COGS_TO_FE_AND_PP_AND_G, MAX)/1M", "FPR=2021Y", "FPT=A", "FA_ACT_EST_DATA=E", "ACT_EST_MAPPING=PRECISE", "FS=MRC", "CURRENCY=USD", "XLFILL=b")</f>
        <v>#N/A Requesting Data...</v>
      </c>
      <c r="H112" s="6" t="str">
        <f>_xll.BQL("SEG0000230975 Segment", "CONTRIBUTOR_STATS(IS_COGS_TO_FE_AND_PP_AND_G, STD)/1M", "FPR=2021Y", "FPT=A", "FA_ACT_EST_DATA=E", "ACT_EST_MAPPING=PRECISE", "FS=MRC", "CURRENCY=USD", "XLFILL=b")</f>
        <v>#N/A Requesting Data...</v>
      </c>
      <c r="I112" s="6" t="str">
        <f>_xll.BQL("SEG0000230975 Segment", "CONTRIBUTOR_STATS(IS_COGS_TO_FE_AND_PP_AND_G, MEDIAN)/1M", "FPR=2021Y", "FPT=A", "FA_ACT_EST_DATA=E", "ACT_EST_MAPPING=PRECISE", "FS=MRC", "CURRENCY=USD", "XLFILL=b")</f>
        <v>#N/A Requesting Data...</v>
      </c>
      <c r="J112" s="6" t="str">
        <f>_xll.BQL("SEG0000230975 Segment", "IS_COGS_TO_FE_AND_PP_AND_G/1M", "FPR=2021Y", "FPT=A", "FA_ACT_EST_DATA=E, EST_SOURCE=CMPY", "ACT_EST_MAPPING=PRECISE", "FS=MRC", "CURRENCY=USD", "XLFILL=b")</f>
        <v>#N/A Requesting Data...</v>
      </c>
      <c r="K112" s="6" t="str">
        <f>_xll.BQL("SEG0000230975 Segment", "IS_COGS_TO_FE_AND_PP_AND_G/1M", "FPR=2021Y", "FPT=A", "FA_ACT_EST_DATA=E, EST_SOURCE=JPM", "ACT_EST_MAPPING=PRECISE", "FS=MRC", "CURRENCY=USD", "XLFILL=b")</f>
        <v>#N/A Requesting Data...</v>
      </c>
      <c r="L112" s="6" t="str">
        <f>_xll.BQL("SEG0000230975 Segment", "IS_COGS_TO_FE_AND_PP_AND_G/1M", "FPR=2021Y", "FPT=A", "FA_ACT_EST_DATA=E, EST_SOURCE=WBL", "ACT_EST_MAPPING=PRECISE", "FS=MRC", "CURRENCY=USD", "XLFILL=b")</f>
        <v/>
      </c>
      <c r="M112" s="6">
        <f>_xll.BQL("SEG0000230975 Segment", "IS_COGS_TO_FE_AND_PP_AND_G/1M", "FPR=2021Y", "FPT=A", "FA_ACT_EST_DATA=E, EST_SOURCE=KEY", "ACT_EST_MAPPING=PRECISE", "FS=MRC", "CURRENCY=USD", "XLFILL=b")</f>
        <v>1024.2075459991988</v>
      </c>
      <c r="N112" s="6" t="str">
        <f>_xll.BQL("SEG0000230975 Segment", "IS_COGS_TO_FE_AND_PP_AND_G/1M", "FPR=2021Y", "FPT=A", "FA_ACT_EST_DATA=E, EST_SOURCE=BMO", "ACT_EST_MAPPING=PRECISE", "FS=MRC", "CURRENCY=USD", "XLFILL=b")</f>
        <v>#N/A Requesting Data...</v>
      </c>
      <c r="O112" s="6" t="str">
        <f>_xll.BQL("SEG0000230975 Segment", "IS_COGS_TO_FE_AND_PP_AND_G/1M", "FPR=2021Y", "FPT=A", "FA_ACT_EST_DATA=E, EST_SOURCE=OPY", "ACT_EST_MAPPING=PRECISE", "FS=MRC", "CURRENCY=USD", "XLFILL=b")</f>
        <v>#N/A Requesting Data...</v>
      </c>
      <c r="P112" s="6">
        <f>_xll.BQL("SEG0000230975 Segment", "IS_COGS_TO_FE_AND_PP_AND_G/1M", "FPR=2021Y", "FPT=A", "FA_ACT_EST_DATA=E, EST_SOURCE=BCA", "ACT_EST_MAPPING=PRECISE", "FS=MRC", "CURRENCY=USD", "XLFILL=b")</f>
        <v>1020.126091482844</v>
      </c>
      <c r="Q112" s="6" t="str">
        <f>_xll.BQL("SEG0000230975 Segment", "IS_COGS_TO_FE_AND_PP_AND_G/1M", "FPR=2021Y", "FPT=A", "FA_ACT_EST_DATA=E, EST_SOURCE=RHR", "ACT_EST_MAPPING=PRECISE", "FS=MRC", "CURRENCY=USD", "XLFILL=b")</f>
        <v>#N/A Requesting Data...</v>
      </c>
      <c r="R112" s="6" t="str">
        <f>_xll.BQL("SEG0000230975 Segment", "IS_COGS_TO_FE_AND_PP_AND_G/1M", "FPR=2021Y", "FPT=A", "FA_ACT_EST_DATA=E, EST_SOURCE=SNR", "ACT_EST_MAPPING=PRECISE", "FS=MRC", "CURRENCY=USD", "XLFILL=b")</f>
        <v>#N/A Requesting Data...</v>
      </c>
      <c r="S112" s="6" t="str">
        <f>_xll.BQL("SEG0000230975 Segment", "IS_COGS_TO_FE_AND_PP_AND_G/1M", "FPR=2021Y", "FPT=A", "FA_ACT_EST_DATA=E, EST_SOURCE=MSV", "ACT_EST_MAPPING=PRECISE", "FS=MRC", "CURRENCY=USD", "XLFILL=b")</f>
        <v>#N/A Requesting Data...</v>
      </c>
      <c r="T112" s="6" t="str">
        <f>_xll.BQL("SEG0000230975 Segment", "IS_COGS_TO_FE_AND_PP_AND_G/1M", "FPR=2021Y", "FPT=A", "FA_ACT_EST_DATA=E, EST_SOURCE=CAN", "ACT_EST_MAPPING=PRECISE", "FS=MRC", "CURRENCY=USD", "XLFILL=b")</f>
        <v/>
      </c>
      <c r="U112" s="6" t="str">
        <f>_xll.BQL("SEG0000230975 Segment", "IS_COGS_TO_FE_AND_PP_AND_G/1M", "FPR=2021Y", "FPT=A", "FA_ACT_EST_DATA=E, EST_SOURCE=JMP", "ACT_EST_MAPPING=PRECISE", "FS=MRC", "CURRENCY=USD", "XLFILL=b")</f>
        <v>#N/A Requesting Data...</v>
      </c>
      <c r="V112" s="6">
        <f>_xll.BQL("SEG0000230975 Segment", "IS_COGS_TO_FE_AND_PP_AND_G/1M", "FPR=2021Y", "FPT=A", "FA_ACT_EST_DATA=E, EST_SOURCE=NDH", "ACT_EST_MAPPING=PRECISE", "FS=MRC", "CURRENCY=USD", "XLFILL=b")</f>
        <v>1007.545686190361</v>
      </c>
      <c r="W112" s="6" t="str">
        <f>_xll.BQL("SEG0000230975 Segment", "IS_COGS_TO_FE_AND_PP_AND_G/1M", "FPR=2021Y", "FPT=A", "FA_ACT_EST_DATA=E, EST_SOURCE=ZXS", "ACT_EST_MAPPING=PRECISE", "FS=MRC", "CURRENCY=USD", "XLFILL=b")</f>
        <v>#N/A Requesting Data...</v>
      </c>
      <c r="X112" s="6" t="str">
        <f>_xll.BQL("SEG0000230975 Segment", "IS_COGS_TO_FE_AND_PP_AND_G/1M", "FPR=2021Y", "FPT=A", "FA_ACT_EST_DATA=E, EST_SOURCE=CWN", "ACT_EST_MAPPING=PRECISE", "FS=MRC", "CURRENCY=USD", "XLFILL=b")</f>
        <v>#N/A Requesting Data...</v>
      </c>
      <c r="Y112" s="6" t="str">
        <f>_xll.BQL("SEG0000230975 Segment", "IS_COGS_TO_FE_AND_PP_AND_G/1M", "FPR=2021Y", "FPT=A", "FA_ACT_EST_DATA=E, EST_SOURCE=DBG", "ACT_EST_MAPPING=PRECISE", "FS=MRC", "CURRENCY=USD", "XLFILL=b")</f>
        <v/>
      </c>
      <c r="Z112" s="6" t="str">
        <f>_xll.BQL("SEG0000230975 Segment", "IS_COGS_TO_FE_AND_PP_AND_G/1M", "FPR=2021Y", "FPT=A", "FA_ACT_EST_DATA=E, EST_SOURCE=UBS", "ACT_EST_MAPPING=PRECISE", "FS=MRC", "CURRENCY=USD", "XLFILL=b")</f>
        <v/>
      </c>
      <c r="AA112" s="6" t="str">
        <f>_xll.BQL("SEG0000230975 Segment", "IS_COGS_TO_FE_AND_PP_AND_G/1M", "FPR=2021Y", "FPT=A", "FA_ACT_EST_DATA=E, EST_SOURCE=RBC", "ACT_EST_MAPPING=PRECISE", "FS=MRC", "CURRENCY=USD", "XLFILL=b")</f>
        <v/>
      </c>
      <c r="AB112" s="6" t="str">
        <f>_xll.BQL("SEG0000230975 Segment", "IS_COGS_TO_FE_AND_PP_AND_G/1M", "FPR=2021Y", "FPT=A", "FA_ACT_EST_DATA=E, EST_SOURCE=EVR", "ACT_EST_MAPPING=PRECISE", "FS=MRC", "CURRENCY=USD", "XLFILL=b")</f>
        <v>#N/A Requesting Data...</v>
      </c>
      <c r="AC112" s="6" t="str">
        <f>_xll.BQL("SEG0000230975 Segment", "IS_COGS_TO_FE_AND_PP_AND_G/1M", "FPR=2021Y", "FPT=A", "FA_ACT_EST_DATA=E, EST_SOURCE=BNS", "ACT_EST_MAPPING=PRECISE", "FS=MRC", "CURRENCY=USD", "XLFILL=b")</f>
        <v>#N/A Requesting Data...</v>
      </c>
      <c r="AD112" s="6" t="str">
        <f>_xll.BQL("SEG0000230975 Segment", "IS_COGS_TO_FE_AND_PP_AND_G/1M", "FPR=2021Y", "FPT=A", "FA_ACT_EST_DATA=E, EST_SOURCE=BAM", "ACT_EST_MAPPING=PRECISE", "FS=MRC", "CURRENCY=USD", "XLFILL=b")</f>
        <v/>
      </c>
      <c r="AE112" s="6" t="str">
        <f>_xll.BQL("SEG0000230975 Segment", "IS_COGS_TO_FE_AND_PP_AND_G/1M", "FPR=2021Y", "FPT=A", "FA_ACT_EST_DATA=E, EST_SOURCE=GSR", "ACT_EST_MAPPING=PRECISE", "FS=MRC", "CURRENCY=USD", "XLFILL=b")</f>
        <v>#N/A Requesting Data...</v>
      </c>
      <c r="AF112" s="6" t="str">
        <f>_xll.BQL("SEG0000230975 Segment", "IS_COGS_TO_FE_AND_PP_AND_G/1M", "FPR=2021Y", "FPT=A", "FA_ACT_EST_DATA=E, EST_SOURCE=FBC", "ACT_EST_MAPPING=PRECISE", "FS=MRC", "CURRENCY=USD", "XLFILL=b")</f>
        <v/>
      </c>
      <c r="AG112" s="6" t="str">
        <f>_xll.BQL("SEG0000230975 Segment", "IS_COGS_TO_FE_AND_PP_AND_G/1M", "FPR=2021Y", "FPT=A", "FA_ACT_EST_DATA=E, EST_SOURCE=MAC", "ACT_EST_MAPPING=PRECISE", "FS=MRC", "CURRENCY=USD", "XLFILL=b")</f>
        <v/>
      </c>
      <c r="AH112" s="6" t="str">
        <f>_xll.BQL("SEG0000230975 Segment", "IS_COGS_TO_FE_AND_PP_AND_G/1M", "FPR=2021Y", "FPT=A", "FA_ACT_EST_DATA=E, EST_SOURCE=PSG", "ACT_EST_MAPPING=PRECISE", "FS=MRC", "CURRENCY=USD", "XLFILL=b")</f>
        <v>#N/A Requesting Data...</v>
      </c>
      <c r="AI112" s="6" t="str">
        <f>_xll.BQL("SEG0000230975 Segment", "IS_COGS_TO_FE_AND_PP_AND_G/1M", "FPR=2021Y", "FPT=A", "FA_ACT_EST_DATA=E, EST_SOURCE=MSR", "ACT_EST_MAPPING=PRECISE", "FS=MRC", "CURRENCY=USD", "XLFILL=b")</f>
        <v>#N/A Requesting Data...</v>
      </c>
      <c r="AJ112" s="6" t="str">
        <f>_xll.BQL("SEG0000230975 Segment", "IS_COGS_TO_FE_AND_PP_AND_G/1M", "FPR=2021Y", "FPT=A", "FA_ACT_EST_DATA=E, EST_SOURCE=JEF", "ACT_EST_MAPPING=PRECISE", "FS=MRC", "CURRENCY=USD", "XLFILL=b")</f>
        <v/>
      </c>
      <c r="AK112" s="6" t="str">
        <f>_xll.BQL("SEG0000230975 Segment", "IS_COGS_TO_FE_AND_PP_AND_G/1M", "FPR=2021Y", "FPT=A", "FA_ACT_EST_DATA=E, EST_SOURCE=TTC", "ACT_EST_MAPPING=PRECISE", "FS=MRC", "CURRENCY=USD", "XLFILL=b")</f>
        <v>#N/A Requesting Data...</v>
      </c>
      <c r="AL112" s="6" t="str">
        <f>_xll.BQL("SEG0000230975 Segment", "IS_COGS_TO_FE_AND_PP_AND_G/1M", "FPR=2021Y", "FPT=A", "FA_ACT_EST_DATA=E, EST_SOURCE=RWB", "ACT_EST_MAPPING=PRECISE", "FS=MRC", "CURRENCY=USD", "XLFILL=b")</f>
        <v>#N/A Requesting Data...</v>
      </c>
      <c r="AM112" s="6" t="str">
        <f>_xll.BQL("SEG0000230975 Segment", "IS_COGS_TO_FE_AND_PP_AND_G/1M", "FPR=2021Y", "FPT=A", "FA_ACT_EST_DATA=E, EST_SOURCE=DZB", "ACT_EST_MAPPING=PRECISE", "FS=MRC", "CURRENCY=USD", "XLFILL=b")</f>
        <v>#N/A Requesting Data...</v>
      </c>
      <c r="AN112" s="6" t="str">
        <f>_xll.BQL("SEG0000230975 Segment", "IS_COGS_TO_FE_AND_PP_AND_G/1M", "FPR=2021Y", "FPT=A", "FA_ACT_EST_DATA=E, EST_SOURCE=DWI", "ACT_EST_MAPPING=PRECISE", "FS=MRC", "CURRENCY=USD", "XLFILL=b")</f>
        <v>#N/A Requesting Data...</v>
      </c>
      <c r="AO112" s="6" t="str">
        <f>_xll.BQL("SEG0000230975 Segment", "IS_COGS_TO_FE_AND_PP_AND_G/1M", "FPR=2021Y", "FPT=A", "FA_ACT_EST_DATA=E, EST_SOURCE=ARG", "ACT_EST_MAPPING=PRECISE", "FS=MRC", "CURRENCY=USD", "XLFILL=b")</f>
        <v>#N/A Requesting Data...</v>
      </c>
      <c r="AP112" s="6" t="str">
        <f>_xll.BQL("SEG0000230975 Segment", "IS_COGS_TO_FE_AND_PP_AND_G/1M", "FPR=2021Y", "FPT=A", "FA_ACT_EST_DATA=E, EST_SOURCE=CTI", "ACT_EST_MAPPING=PRECISE", "FS=MRC", "CURRENCY=USD", "XLFILL=b")</f>
        <v>#N/A Requesting Data...</v>
      </c>
      <c r="AQ112" s="6" t="str">
        <f>_xll.BQL("SEG0000230975 Segment", "IS_COGS_TO_FE_AND_PP_AND_G/1M", "FPR=2021Y", "FPT=A", "FA_ACT_EST_DATA=E, EST_SOURCE=WFT", "ACT_EST_MAPPING=PRECISE", "FS=MRC", "CURRENCY=USD", "XLFILL=b")</f>
        <v/>
      </c>
      <c r="AR112" s="6" t="str">
        <f>_xll.BQL("SEG0000230975 Segment", "IS_COGS_TO_FE_AND_PP_AND_G/1M", "FPR=2021Y", "FPT=A", "FA_ACT_EST_DATA=E, EST_SOURCE=ARE", "ACT_EST_MAPPING=PRECISE", "FS=MRC", "CURRENCY=USD", "XLFILL=b")</f>
        <v>#N/A Requesting Data...</v>
      </c>
      <c r="AS112" s="6" t="str">
        <f>_xll.BQL("SEG0000230975 Segment", "IS_COGS_TO_FE_AND_PP_AND_G/1M", "FPR=2021Y", "FPT=A", "FA_ACT_EST_DATA=E, EST_SOURCE=PJE", "ACT_EST_MAPPING=PRECISE", "FS=MRC", "CURRENCY=USD", "XLFILL=b")</f>
        <v>#N/A Requesting Data...</v>
      </c>
      <c r="AT112" s="6" t="str">
        <f>_xll.BQL("SEG0000230975 Segment", "IS_COGS_TO_FE_AND_PP_AND_G/1M", "FPR=2021Y", "FPT=A", "FA_ACT_EST_DATA=E, EST_SOURCE=MZS", "ACT_EST_MAPPING=PRECISE", "FS=MRC", "CURRENCY=USD", "XLFILL=b")</f>
        <v>#N/A Requesting Data...</v>
      </c>
      <c r="AU112" s="6" t="str">
        <f>_xll.BQL("SEG0000230975 Segment", "IS_COGS_TO_FE_AND_PP_AND_G/1M", "FPR=2021Y", "FPT=A", "FA_ACT_EST_DATA=E, EST_SOURCE=SUM", "ACT_EST_MAPPING=PRECISE", "FS=MRC", "CURRENCY=USD", "XLFILL=b")</f>
        <v>#N/A Requesting Data...</v>
      </c>
      <c r="AV112" s="6" t="str">
        <f>_xll.BQL("SEG0000230975 Segment", "IS_COGS_TO_FE_AND_PP_AND_G/1M", "FPR=2021Y", "FPT=A", "FA_ACT_EST_DATA=E, EST_SOURCE=CRC", "ACT_EST_MAPPING=PRECISE", "FS=MRC", "CURRENCY=USD", "XLFILL=b")</f>
        <v>#N/A Requesting Data...</v>
      </c>
      <c r="AW112" s="6" t="str">
        <f>_xll.BQL("SEG0000230975 Segment", "IS_COGS_TO_FE_AND_PP_AND_G/1M", "FPR=2021Y", "FPT=A", "FA_ACT_EST_DATA=E, EST_SOURCE=SCB", "ACT_EST_MAPPING=PRECISE", "FS=MRC", "CURRENCY=USD", "XLFILL=b")</f>
        <v/>
      </c>
    </row>
    <row r="113" spans="1:49" x14ac:dyDescent="0.55000000000000004">
      <c r="A113" s="5" t="s">
        <v>175</v>
      </c>
      <c r="B113" s="2" t="s">
        <v>172</v>
      </c>
      <c r="C113" s="2" t="s">
        <v>176</v>
      </c>
      <c r="D113" s="2" t="s">
        <v>51</v>
      </c>
      <c r="E113" s="6" t="str">
        <f>_xll.BQL("SEG0000230986 Segment", "IS_COGS_TO_FE_AND_PP_AND_G/1M", "FPR=2021Y", "FPT=A", "FA_ACT_EST_DATA=E", "ACT_EST_MAPPING=PRECISE", "FS=MRC", "CURRENCY=USD", "XLFILL=b")</f>
        <v>#N/A Requesting Data...</v>
      </c>
      <c r="F113" s="6" t="str">
        <f>_xll.BQL("SEG0000230986 Segment", "CONTRIBUTOR_STATS(IS_COGS_TO_FE_AND_PP_AND_G, MIN)/1M", "FPR=2021Y", "FPT=A", "FA_ACT_EST_DATA=E", "ACT_EST_MAPPING=PRECISE", "FS=MRC", "CURRENCY=USD", "XLFILL=b")</f>
        <v>#N/A Requesting Data...</v>
      </c>
      <c r="G113" s="6" t="str">
        <f>_xll.BQL("SEG0000230986 Segment", "CONTRIBUTOR_STATS(IS_COGS_TO_FE_AND_PP_AND_G, MAX)/1M", "FPR=2021Y", "FPT=A", "FA_ACT_EST_DATA=E", "ACT_EST_MAPPING=PRECISE", "FS=MRC", "CURRENCY=USD", "XLFILL=b")</f>
        <v>#N/A Requesting Data...</v>
      </c>
      <c r="H113" s="6" t="str">
        <f>_xll.BQL("SEG0000230986 Segment", "CONTRIBUTOR_STATS(IS_COGS_TO_FE_AND_PP_AND_G, STD)/1M", "FPR=2021Y", "FPT=A", "FA_ACT_EST_DATA=E", "ACT_EST_MAPPING=PRECISE", "FS=MRC", "CURRENCY=USD", "XLFILL=b")</f>
        <v>#N/A Requesting Data...</v>
      </c>
      <c r="I113" s="6" t="str">
        <f>_xll.BQL("SEG0000230986 Segment", "CONTRIBUTOR_STATS(IS_COGS_TO_FE_AND_PP_AND_G, MEDIAN)/1M", "FPR=2021Y", "FPT=A", "FA_ACT_EST_DATA=E", "ACT_EST_MAPPING=PRECISE", "FS=MRC", "CURRENCY=USD", "XLFILL=b")</f>
        <v>#N/A Requesting Data...</v>
      </c>
      <c r="J113" s="6" t="str">
        <f>_xll.BQL("SEG0000230986 Segment", "IS_COGS_TO_FE_AND_PP_AND_G/1M", "FPR=2021Y", "FPT=A", "FA_ACT_EST_DATA=E, EST_SOURCE=CMPY", "ACT_EST_MAPPING=PRECISE", "FS=MRC", "CURRENCY=USD", "XLFILL=b")</f>
        <v>#N/A Requesting Data...</v>
      </c>
      <c r="K113" s="6" t="str">
        <f>_xll.BQL("SEG0000230986 Segment", "IS_COGS_TO_FE_AND_PP_AND_G/1M", "FPR=2021Y", "FPT=A", "FA_ACT_EST_DATA=E, EST_SOURCE=JPM", "ACT_EST_MAPPING=PRECISE", "FS=MRC", "CURRENCY=USD", "XLFILL=b")</f>
        <v>#N/A Requesting Data...</v>
      </c>
      <c r="L113" s="6" t="str">
        <f>_xll.BQL("SEG0000230986 Segment", "IS_COGS_TO_FE_AND_PP_AND_G/1M", "FPR=2021Y", "FPT=A", "FA_ACT_EST_DATA=E, EST_SOURCE=WBL", "ACT_EST_MAPPING=PRECISE", "FS=MRC", "CURRENCY=USD", "XLFILL=b")</f>
        <v>#N/A Requesting Data...</v>
      </c>
      <c r="M113" s="6" t="str">
        <f>_xll.BQL("SEG0000230986 Segment", "IS_COGS_TO_FE_AND_PP_AND_G/1M", "FPR=2021Y", "FPT=A", "FA_ACT_EST_DATA=E, EST_SOURCE=KEY", "ACT_EST_MAPPING=PRECISE", "FS=MRC", "CURRENCY=USD", "XLFILL=b")</f>
        <v>#N/A Requesting Data...</v>
      </c>
      <c r="N113" s="6" t="str">
        <f>_xll.BQL("SEG0000230986 Segment", "IS_COGS_TO_FE_AND_PP_AND_G/1M", "FPR=2021Y", "FPT=A", "FA_ACT_EST_DATA=E, EST_SOURCE=BMO", "ACT_EST_MAPPING=PRECISE", "FS=MRC", "CURRENCY=USD", "XLFILL=b")</f>
        <v/>
      </c>
      <c r="O113" s="6" t="str">
        <f>_xll.BQL("SEG0000230986 Segment", "IS_COGS_TO_FE_AND_PP_AND_G/1M", "FPR=2021Y", "FPT=A", "FA_ACT_EST_DATA=E, EST_SOURCE=OPY", "ACT_EST_MAPPING=PRECISE", "FS=MRC", "CURRENCY=USD", "XLFILL=b")</f>
        <v>#N/A Requesting Data...</v>
      </c>
      <c r="P113" s="6" t="str">
        <f>_xll.BQL("SEG0000230986 Segment", "IS_COGS_TO_FE_AND_PP_AND_G/1M", "FPR=2021Y", "FPT=A", "FA_ACT_EST_DATA=E, EST_SOURCE=BCA", "ACT_EST_MAPPING=PRECISE", "FS=MRC", "CURRENCY=USD", "XLFILL=b")</f>
        <v>#N/A Requesting Data...</v>
      </c>
      <c r="Q113" s="6" t="str">
        <f>_xll.BQL("SEG0000230986 Segment", "IS_COGS_TO_FE_AND_PP_AND_G/1M", "FPR=2021Y", "FPT=A", "FA_ACT_EST_DATA=E, EST_SOURCE=RHR", "ACT_EST_MAPPING=PRECISE", "FS=MRC", "CURRENCY=USD", "XLFILL=b")</f>
        <v/>
      </c>
      <c r="R113" s="6" t="str">
        <f>_xll.BQL("SEG0000230986 Segment", "IS_COGS_TO_FE_AND_PP_AND_G/1M", "FPR=2021Y", "FPT=A", "FA_ACT_EST_DATA=E, EST_SOURCE=SNR", "ACT_EST_MAPPING=PRECISE", "FS=MRC", "CURRENCY=USD", "XLFILL=b")</f>
        <v>#N/A Requesting Data...</v>
      </c>
      <c r="S113" s="6" t="str">
        <f>_xll.BQL("SEG0000230986 Segment", "IS_COGS_TO_FE_AND_PP_AND_G/1M", "FPR=2021Y", "FPT=A", "FA_ACT_EST_DATA=E, EST_SOURCE=MSV", "ACT_EST_MAPPING=PRECISE", "FS=MRC", "CURRENCY=USD", "XLFILL=b")</f>
        <v>#N/A Requesting Data...</v>
      </c>
      <c r="T113" s="6" t="str">
        <f>_xll.BQL("SEG0000230986 Segment", "IS_COGS_TO_FE_AND_PP_AND_G/1M", "FPR=2021Y", "FPT=A", "FA_ACT_EST_DATA=E, EST_SOURCE=CAN", "ACT_EST_MAPPING=PRECISE", "FS=MRC", "CURRENCY=USD", "XLFILL=b")</f>
        <v>#N/A Requesting Data...</v>
      </c>
      <c r="U113" s="6">
        <f>_xll.BQL("SEG0000230986 Segment", "IS_COGS_TO_FE_AND_PP_AND_G/1M", "FPR=2021Y", "FPT=A", "FA_ACT_EST_DATA=E, EST_SOURCE=JMP", "ACT_EST_MAPPING=PRECISE", "FS=MRC", "CURRENCY=USD", "XLFILL=b")</f>
        <v>325.56778250000002</v>
      </c>
      <c r="V113" s="6" t="str">
        <f>_xll.BQL("SEG0000230986 Segment", "IS_COGS_TO_FE_AND_PP_AND_G/1M", "FPR=2021Y", "FPT=A", "FA_ACT_EST_DATA=E, EST_SOURCE=NDH", "ACT_EST_MAPPING=PRECISE", "FS=MRC", "CURRENCY=USD", "XLFILL=b")</f>
        <v>#N/A Requesting Data...</v>
      </c>
      <c r="W113" s="6" t="str">
        <f>_xll.BQL("SEG0000230986 Segment", "IS_COGS_TO_FE_AND_PP_AND_G/1M", "FPR=2021Y", "FPT=A", "FA_ACT_EST_DATA=E, EST_SOURCE=ZXS", "ACT_EST_MAPPING=PRECISE", "FS=MRC", "CURRENCY=USD", "XLFILL=b")</f>
        <v>#N/A Requesting Data...</v>
      </c>
      <c r="X113" s="6" t="str">
        <f>_xll.BQL("SEG0000230986 Segment", "IS_COGS_TO_FE_AND_PP_AND_G/1M", "FPR=2021Y", "FPT=A", "FA_ACT_EST_DATA=E, EST_SOURCE=CWN", "ACT_EST_MAPPING=PRECISE", "FS=MRC", "CURRENCY=USD", "XLFILL=b")</f>
        <v>#N/A Requesting Data...</v>
      </c>
      <c r="Y113" s="6" t="str">
        <f>_xll.BQL("SEG0000230986 Segment", "IS_COGS_TO_FE_AND_PP_AND_G/1M", "FPR=2021Y", "FPT=A", "FA_ACT_EST_DATA=E, EST_SOURCE=DBG", "ACT_EST_MAPPING=PRECISE", "FS=MRC", "CURRENCY=USD", "XLFILL=b")</f>
        <v>#N/A Requesting Data...</v>
      </c>
      <c r="Z113" s="6" t="str">
        <f>_xll.BQL("SEG0000230986 Segment", "IS_COGS_TO_FE_AND_PP_AND_G/1M", "FPR=2021Y", "FPT=A", "FA_ACT_EST_DATA=E, EST_SOURCE=UBS", "ACT_EST_MAPPING=PRECISE", "FS=MRC", "CURRENCY=USD", "XLFILL=b")</f>
        <v>#N/A Requesting Data...</v>
      </c>
      <c r="AA113" s="6" t="str">
        <f>_xll.BQL("SEG0000230986 Segment", "IS_COGS_TO_FE_AND_PP_AND_G/1M", "FPR=2021Y", "FPT=A", "FA_ACT_EST_DATA=E, EST_SOURCE=RBC", "ACT_EST_MAPPING=PRECISE", "FS=MRC", "CURRENCY=USD", "XLFILL=b")</f>
        <v>#N/A Requesting Data...</v>
      </c>
      <c r="AB113" s="6" t="str">
        <f>_xll.BQL("SEG0000230986 Segment", "IS_COGS_TO_FE_AND_PP_AND_G/1M", "FPR=2021Y", "FPT=A", "FA_ACT_EST_DATA=E, EST_SOURCE=EVR", "ACT_EST_MAPPING=PRECISE", "FS=MRC", "CURRENCY=USD", "XLFILL=b")</f>
        <v>#N/A Requesting Data...</v>
      </c>
      <c r="AC113" s="6" t="str">
        <f>_xll.BQL("SEG0000230986 Segment", "IS_COGS_TO_FE_AND_PP_AND_G/1M", "FPR=2021Y", "FPT=A", "FA_ACT_EST_DATA=E, EST_SOURCE=BNS", "ACT_EST_MAPPING=PRECISE", "FS=MRC", "CURRENCY=USD", "XLFILL=b")</f>
        <v>#N/A Requesting Data...</v>
      </c>
      <c r="AD113" s="6" t="str">
        <f>_xll.BQL("SEG0000230986 Segment", "IS_COGS_TO_FE_AND_PP_AND_G/1M", "FPR=2021Y", "FPT=A", "FA_ACT_EST_DATA=E, EST_SOURCE=BAM", "ACT_EST_MAPPING=PRECISE", "FS=MRC", "CURRENCY=USD", "XLFILL=b")</f>
        <v>#N/A Requesting Data...</v>
      </c>
      <c r="AE113" s="6" t="str">
        <f>_xll.BQL("SEG0000230986 Segment", "IS_COGS_TO_FE_AND_PP_AND_G/1M", "FPR=2021Y", "FPT=A", "FA_ACT_EST_DATA=E, EST_SOURCE=GSR", "ACT_EST_MAPPING=PRECISE", "FS=MRC", "CURRENCY=USD", "XLFILL=b")</f>
        <v>#N/A Requesting Data...</v>
      </c>
      <c r="AF113" s="6" t="str">
        <f>_xll.BQL("SEG0000230986 Segment", "IS_COGS_TO_FE_AND_PP_AND_G/1M", "FPR=2021Y", "FPT=A", "FA_ACT_EST_DATA=E, EST_SOURCE=FBC", "ACT_EST_MAPPING=PRECISE", "FS=MRC", "CURRENCY=USD", "XLFILL=b")</f>
        <v>#N/A Requesting Data...</v>
      </c>
      <c r="AG113" s="6" t="str">
        <f>_xll.BQL("SEG0000230986 Segment", "IS_COGS_TO_FE_AND_PP_AND_G/1M", "FPR=2021Y", "FPT=A", "FA_ACT_EST_DATA=E, EST_SOURCE=MAC", "ACT_EST_MAPPING=PRECISE", "FS=MRC", "CURRENCY=USD", "XLFILL=b")</f>
        <v>#N/A Requesting Data...</v>
      </c>
      <c r="AH113" s="6" t="str">
        <f>_xll.BQL("SEG0000230986 Segment", "IS_COGS_TO_FE_AND_PP_AND_G/1M", "FPR=2021Y", "FPT=A", "FA_ACT_EST_DATA=E, EST_SOURCE=PSG", "ACT_EST_MAPPING=PRECISE", "FS=MRC", "CURRENCY=USD", "XLFILL=b")</f>
        <v>#N/A Requesting Data...</v>
      </c>
      <c r="AI113" s="6" t="str">
        <f>_xll.BQL("SEG0000230986 Segment", "IS_COGS_TO_FE_AND_PP_AND_G/1M", "FPR=2021Y", "FPT=A", "FA_ACT_EST_DATA=E, EST_SOURCE=MSR", "ACT_EST_MAPPING=PRECISE", "FS=MRC", "CURRENCY=USD", "XLFILL=b")</f>
        <v>#N/A Requesting Data...</v>
      </c>
      <c r="AJ113" s="6" t="str">
        <f>_xll.BQL("SEG0000230986 Segment", "IS_COGS_TO_FE_AND_PP_AND_G/1M", "FPR=2021Y", "FPT=A", "FA_ACT_EST_DATA=E, EST_SOURCE=JEF", "ACT_EST_MAPPING=PRECISE", "FS=MRC", "CURRENCY=USD", "XLFILL=b")</f>
        <v>#N/A Requesting Data...</v>
      </c>
      <c r="AK113" s="6" t="str">
        <f>_xll.BQL("SEG0000230986 Segment", "IS_COGS_TO_FE_AND_PP_AND_G/1M", "FPR=2021Y", "FPT=A", "FA_ACT_EST_DATA=E, EST_SOURCE=TTC", "ACT_EST_MAPPING=PRECISE", "FS=MRC", "CURRENCY=USD", "XLFILL=b")</f>
        <v>#N/A Requesting Data...</v>
      </c>
      <c r="AL113" s="6" t="str">
        <f>_xll.BQL("SEG0000230986 Segment", "IS_COGS_TO_FE_AND_PP_AND_G/1M", "FPR=2021Y", "FPT=A", "FA_ACT_EST_DATA=E, EST_SOURCE=RWB", "ACT_EST_MAPPING=PRECISE", "FS=MRC", "CURRENCY=USD", "XLFILL=b")</f>
        <v>#N/A Requesting Data...</v>
      </c>
      <c r="AM113" s="6" t="str">
        <f>_xll.BQL("SEG0000230986 Segment", "IS_COGS_TO_FE_AND_PP_AND_G/1M", "FPR=2021Y", "FPT=A", "FA_ACT_EST_DATA=E, EST_SOURCE=DZB", "ACT_EST_MAPPING=PRECISE", "FS=MRC", "CURRENCY=USD", "XLFILL=b")</f>
        <v>#N/A Requesting Data...</v>
      </c>
      <c r="AN113" s="6" t="str">
        <f>_xll.BQL("SEG0000230986 Segment", "IS_COGS_TO_FE_AND_PP_AND_G/1M", "FPR=2021Y", "FPT=A", "FA_ACT_EST_DATA=E, EST_SOURCE=DWI", "ACT_EST_MAPPING=PRECISE", "FS=MRC", "CURRENCY=USD", "XLFILL=b")</f>
        <v>#N/A Requesting Data...</v>
      </c>
      <c r="AO113" s="6" t="str">
        <f>_xll.BQL("SEG0000230986 Segment", "IS_COGS_TO_FE_AND_PP_AND_G/1M", "FPR=2021Y", "FPT=A", "FA_ACT_EST_DATA=E, EST_SOURCE=ARG", "ACT_EST_MAPPING=PRECISE", "FS=MRC", "CURRENCY=USD", "XLFILL=b")</f>
        <v>#N/A Requesting Data...</v>
      </c>
      <c r="AP113" s="6" t="str">
        <f>_xll.BQL("SEG0000230986 Segment", "IS_COGS_TO_FE_AND_PP_AND_G/1M", "FPR=2021Y", "FPT=A", "FA_ACT_EST_DATA=E, EST_SOURCE=CTI", "ACT_EST_MAPPING=PRECISE", "FS=MRC", "CURRENCY=USD", "XLFILL=b")</f>
        <v>#N/A Requesting Data...</v>
      </c>
      <c r="AQ113" s="6" t="str">
        <f>_xll.BQL("SEG0000230986 Segment", "IS_COGS_TO_FE_AND_PP_AND_G/1M", "FPR=2021Y", "FPT=A", "FA_ACT_EST_DATA=E, EST_SOURCE=WFT", "ACT_EST_MAPPING=PRECISE", "FS=MRC", "CURRENCY=USD", "XLFILL=b")</f>
        <v>#N/A Requesting Data...</v>
      </c>
      <c r="AR113" s="6" t="str">
        <f>_xll.BQL("SEG0000230986 Segment", "IS_COGS_TO_FE_AND_PP_AND_G/1M", "FPR=2021Y", "FPT=A", "FA_ACT_EST_DATA=E, EST_SOURCE=ARE", "ACT_EST_MAPPING=PRECISE", "FS=MRC", "CURRENCY=USD", "XLFILL=b")</f>
        <v>#N/A Requesting Data...</v>
      </c>
      <c r="AS113" s="6" t="str">
        <f>_xll.BQL("SEG0000230986 Segment", "IS_COGS_TO_FE_AND_PP_AND_G/1M", "FPR=2021Y", "FPT=A", "FA_ACT_EST_DATA=E, EST_SOURCE=PJE", "ACT_EST_MAPPING=PRECISE", "FS=MRC", "CURRENCY=USD", "XLFILL=b")</f>
        <v/>
      </c>
      <c r="AT113" s="6" t="str">
        <f>_xll.BQL("SEG0000230986 Segment", "IS_COGS_TO_FE_AND_PP_AND_G/1M", "FPR=2021Y", "FPT=A", "FA_ACT_EST_DATA=E, EST_SOURCE=MZS", "ACT_EST_MAPPING=PRECISE", "FS=MRC", "CURRENCY=USD", "XLFILL=b")</f>
        <v>#N/A Requesting Data...</v>
      </c>
      <c r="AU113" s="6" t="str">
        <f>_xll.BQL("SEG0000230986 Segment", "IS_COGS_TO_FE_AND_PP_AND_G/1M", "FPR=2021Y", "FPT=A", "FA_ACT_EST_DATA=E, EST_SOURCE=SUM", "ACT_EST_MAPPING=PRECISE", "FS=MRC", "CURRENCY=USD", "XLFILL=b")</f>
        <v>#N/A Requesting Data...</v>
      </c>
      <c r="AV113" s="6" t="str">
        <f>_xll.BQL("SEG0000230986 Segment", "IS_COGS_TO_FE_AND_PP_AND_G/1M", "FPR=2021Y", "FPT=A", "FA_ACT_EST_DATA=E, EST_SOURCE=CRC", "ACT_EST_MAPPING=PRECISE", "FS=MRC", "CURRENCY=USD", "XLFILL=b")</f>
        <v>#N/A Requesting Data...</v>
      </c>
      <c r="AW113" s="6" t="str">
        <f>_xll.BQL("SEG0000230986 Segment", "IS_COGS_TO_FE_AND_PP_AND_G/1M", "FPR=2021Y", "FPT=A", "FA_ACT_EST_DATA=E, EST_SOURCE=SCB", "ACT_EST_MAPPING=PRECISE", "FS=MRC", "CURRENCY=USD", "XLFILL=b")</f>
        <v>#N/A Requesting Data...</v>
      </c>
    </row>
    <row r="114" spans="1:49" x14ac:dyDescent="0.55000000000000004">
      <c r="A114" s="5" t="s">
        <v>177</v>
      </c>
      <c r="B114" s="2" t="s">
        <v>114</v>
      </c>
      <c r="C114" s="2" t="s">
        <v>63</v>
      </c>
      <c r="D114" s="2" t="s">
        <v>51</v>
      </c>
      <c r="E114" s="6" t="str">
        <f>_xll.BQL("SEG0000230986 Segment", "CB_IS_GROSS_MARGIN", "FPR=2021Y", "FPT=A", "FA_ACT_EST_DATA=E", "ACT_EST_MAPPING=PRECISE", "FS=MRC", "CURRENCY=USD", "XLFILL=b")</f>
        <v>#N/A Requesting Data...</v>
      </c>
      <c r="F114" s="6" t="str">
        <f>_xll.BQL("SEG0000230986 Segment", "CONTRIBUTOR_STATS(CB_IS_GROSS_MARGIN, MIN)", "FPR=2021Y", "FPT=A", "FA_ACT_EST_DATA=E", "ACT_EST_MAPPING=PRECISE", "FS=MRC", "CURRENCY=USD", "XLFILL=b")</f>
        <v>#N/A Requesting Data...</v>
      </c>
      <c r="G114" s="6" t="str">
        <f>_xll.BQL("SEG0000230986 Segment", "CONTRIBUTOR_STATS(CB_IS_GROSS_MARGIN, MAX)", "FPR=2021Y", "FPT=A", "FA_ACT_EST_DATA=E", "ACT_EST_MAPPING=PRECISE", "FS=MRC", "CURRENCY=USD", "XLFILL=b")</f>
        <v>#N/A Requesting Data...</v>
      </c>
      <c r="H114" s="6" t="str">
        <f>_xll.BQL("SEG0000230986 Segment", "CONTRIBUTOR_STATS(CB_IS_GROSS_MARGIN, STD)", "FPR=2021Y", "FPT=A", "FA_ACT_EST_DATA=E", "ACT_EST_MAPPING=PRECISE", "FS=MRC", "CURRENCY=USD", "XLFILL=b")</f>
        <v>#N/A Requesting Data...</v>
      </c>
      <c r="I114" s="6" t="str">
        <f>_xll.BQL("SEG0000230986 Segment", "CONTRIBUTOR_STATS(CB_IS_GROSS_MARGIN, MEDIAN)", "FPR=2021Y", "FPT=A", "FA_ACT_EST_DATA=E", "ACT_EST_MAPPING=PRECISE", "FS=MRC", "CURRENCY=USD", "XLFILL=b")</f>
        <v>#N/A Requesting Data...</v>
      </c>
      <c r="J114" s="6" t="str">
        <f>_xll.BQL("SEG0000230986 Segment", "CB_IS_GROSS_MARGIN", "FPR=2021Y", "FPT=A", "FA_ACT_EST_DATA=E, EST_SOURCE=CMPY", "ACT_EST_MAPPING=PRECISE", "FS=MRC", "CURRENCY=USD", "XLFILL=b")</f>
        <v>#N/A Requesting Data...</v>
      </c>
      <c r="K114" s="6" t="str">
        <f>_xll.BQL("SEG0000230986 Segment", "CB_IS_GROSS_MARGIN", "FPR=2021Y", "FPT=A", "FA_ACT_EST_DATA=E, EST_SOURCE=JPM", "ACT_EST_MAPPING=PRECISE", "FS=MRC", "CURRENCY=USD", "XLFILL=b")</f>
        <v>#N/A Requesting Data...</v>
      </c>
      <c r="L114" s="6" t="str">
        <f>_xll.BQL("SEG0000230986 Segment", "CB_IS_GROSS_MARGIN", "FPR=2021Y", "FPT=A", "FA_ACT_EST_DATA=E, EST_SOURCE=WBL", "ACT_EST_MAPPING=PRECISE", "FS=MRC", "CURRENCY=USD", "XLFILL=b")</f>
        <v>#N/A Requesting Data...</v>
      </c>
      <c r="M114" s="6" t="str">
        <f>_xll.BQL("SEG0000230986 Segment", "CB_IS_GROSS_MARGIN", "FPR=2021Y", "FPT=A", "FA_ACT_EST_DATA=E, EST_SOURCE=KEY", "ACT_EST_MAPPING=PRECISE", "FS=MRC", "CURRENCY=USD", "XLFILL=b")</f>
        <v>#N/A Requesting Data...</v>
      </c>
      <c r="N114" s="6" t="str">
        <f>_xll.BQL("SEG0000230986 Segment", "CB_IS_GROSS_MARGIN", "FPR=2021Y", "FPT=A", "FA_ACT_EST_DATA=E, EST_SOURCE=BMO", "ACT_EST_MAPPING=PRECISE", "FS=MRC", "CURRENCY=USD", "XLFILL=b")</f>
        <v>#N/A Requesting Data...</v>
      </c>
      <c r="O114" s="6" t="str">
        <f>_xll.BQL("SEG0000230986 Segment", "CB_IS_GROSS_MARGIN", "FPR=2021Y", "FPT=A", "FA_ACT_EST_DATA=E, EST_SOURCE=OPY", "ACT_EST_MAPPING=PRECISE", "FS=MRC", "CURRENCY=USD", "XLFILL=b")</f>
        <v>#N/A Requesting Data...</v>
      </c>
      <c r="P114" s="6" t="str">
        <f>_xll.BQL("SEG0000230986 Segment", "CB_IS_GROSS_MARGIN", "FPR=2021Y", "FPT=A", "FA_ACT_EST_DATA=E, EST_SOURCE=BCA", "ACT_EST_MAPPING=PRECISE", "FS=MRC", "CURRENCY=USD", "XLFILL=b")</f>
        <v>#N/A Requesting Data...</v>
      </c>
      <c r="Q114" s="6" t="str">
        <f>_xll.BQL("SEG0000230986 Segment", "CB_IS_GROSS_MARGIN", "FPR=2021Y", "FPT=A", "FA_ACT_EST_DATA=E, EST_SOURCE=RHR", "ACT_EST_MAPPING=PRECISE", "FS=MRC", "CURRENCY=USD", "XLFILL=b")</f>
        <v>#N/A Requesting Data...</v>
      </c>
      <c r="R114" s="6" t="str">
        <f>_xll.BQL("SEG0000230986 Segment", "CB_IS_GROSS_MARGIN", "FPR=2021Y", "FPT=A", "FA_ACT_EST_DATA=E, EST_SOURCE=SNR", "ACT_EST_MAPPING=PRECISE", "FS=MRC", "CURRENCY=USD", "XLFILL=b")</f>
        <v>#N/A Requesting Data...</v>
      </c>
      <c r="S114" s="6" t="str">
        <f>_xll.BQL("SEG0000230986 Segment", "CB_IS_GROSS_MARGIN", "FPR=2021Y", "FPT=A", "FA_ACT_EST_DATA=E, EST_SOURCE=MSV", "ACT_EST_MAPPING=PRECISE", "FS=MRC", "CURRENCY=USD", "XLFILL=b")</f>
        <v>#N/A Requesting Data...</v>
      </c>
      <c r="T114" s="6" t="str">
        <f>_xll.BQL("SEG0000230986 Segment", "CB_IS_GROSS_MARGIN", "FPR=2021Y", "FPT=A", "FA_ACT_EST_DATA=E, EST_SOURCE=CAN", "ACT_EST_MAPPING=PRECISE", "FS=MRC", "CURRENCY=USD", "XLFILL=b")</f>
        <v>#N/A Requesting Data...</v>
      </c>
      <c r="U114" s="6" t="str">
        <f>_xll.BQL("SEG0000230986 Segment", "CB_IS_GROSS_MARGIN", "FPR=2021Y", "FPT=A", "FA_ACT_EST_DATA=E, EST_SOURCE=JMP", "ACT_EST_MAPPING=PRECISE", "FS=MRC", "CURRENCY=USD", "XLFILL=b")</f>
        <v>#N/A Requesting Data...</v>
      </c>
      <c r="V114" s="6" t="str">
        <f>_xll.BQL("SEG0000230986 Segment", "CB_IS_GROSS_MARGIN", "FPR=2021Y", "FPT=A", "FA_ACT_EST_DATA=E, EST_SOURCE=NDH", "ACT_EST_MAPPING=PRECISE", "FS=MRC", "CURRENCY=USD", "XLFILL=b")</f>
        <v>#N/A Requesting Data...</v>
      </c>
      <c r="W114" s="6" t="str">
        <f>_xll.BQL("SEG0000230986 Segment", "CB_IS_GROSS_MARGIN", "FPR=2021Y", "FPT=A", "FA_ACT_EST_DATA=E, EST_SOURCE=ZXS", "ACT_EST_MAPPING=PRECISE", "FS=MRC", "CURRENCY=USD", "XLFILL=b")</f>
        <v>#N/A Requesting Data...</v>
      </c>
      <c r="X114" s="6" t="str">
        <f>_xll.BQL("SEG0000230986 Segment", "CB_IS_GROSS_MARGIN", "FPR=2021Y", "FPT=A", "FA_ACT_EST_DATA=E, EST_SOURCE=CWN", "ACT_EST_MAPPING=PRECISE", "FS=MRC", "CURRENCY=USD", "XLFILL=b")</f>
        <v>#N/A Requesting Data...</v>
      </c>
      <c r="Y114" s="6" t="str">
        <f>_xll.BQL("SEG0000230986 Segment", "CB_IS_GROSS_MARGIN", "FPR=2021Y", "FPT=A", "FA_ACT_EST_DATA=E, EST_SOURCE=DBG", "ACT_EST_MAPPING=PRECISE", "FS=MRC", "CURRENCY=USD", "XLFILL=b")</f>
        <v>#N/A Requesting Data...</v>
      </c>
      <c r="Z114" s="6" t="str">
        <f>_xll.BQL("SEG0000230986 Segment", "CB_IS_GROSS_MARGIN", "FPR=2021Y", "FPT=A", "FA_ACT_EST_DATA=E, EST_SOURCE=UBS", "ACT_EST_MAPPING=PRECISE", "FS=MRC", "CURRENCY=USD", "XLFILL=b")</f>
        <v>#N/A Requesting Data...</v>
      </c>
      <c r="AA114" s="6" t="str">
        <f>_xll.BQL("SEG0000230986 Segment", "CB_IS_GROSS_MARGIN", "FPR=2021Y", "FPT=A", "FA_ACT_EST_DATA=E, EST_SOURCE=RBC", "ACT_EST_MAPPING=PRECISE", "FS=MRC", "CURRENCY=USD", "XLFILL=b")</f>
        <v>#N/A Requesting Data...</v>
      </c>
      <c r="AB114" s="6" t="str">
        <f>_xll.BQL("SEG0000230986 Segment", "CB_IS_GROSS_MARGIN", "FPR=2021Y", "FPT=A", "FA_ACT_EST_DATA=E, EST_SOURCE=EVR", "ACT_EST_MAPPING=PRECISE", "FS=MRC", "CURRENCY=USD", "XLFILL=b")</f>
        <v>#N/A Requesting Data...</v>
      </c>
      <c r="AC114" s="6" t="str">
        <f>_xll.BQL("SEG0000230986 Segment", "CB_IS_GROSS_MARGIN", "FPR=2021Y", "FPT=A", "FA_ACT_EST_DATA=E, EST_SOURCE=BNS", "ACT_EST_MAPPING=PRECISE", "FS=MRC", "CURRENCY=USD", "XLFILL=b")</f>
        <v>#N/A Requesting Data...</v>
      </c>
      <c r="AD114" s="6" t="str">
        <f>_xll.BQL("SEG0000230986 Segment", "CB_IS_GROSS_MARGIN", "FPR=2021Y", "FPT=A", "FA_ACT_EST_DATA=E, EST_SOURCE=BAM", "ACT_EST_MAPPING=PRECISE", "FS=MRC", "CURRENCY=USD", "XLFILL=b")</f>
        <v>#N/A Requesting Data...</v>
      </c>
      <c r="AE114" s="6" t="str">
        <f>_xll.BQL("SEG0000230986 Segment", "CB_IS_GROSS_MARGIN", "FPR=2021Y", "FPT=A", "FA_ACT_EST_DATA=E, EST_SOURCE=GSR", "ACT_EST_MAPPING=PRECISE", "FS=MRC", "CURRENCY=USD", "XLFILL=b")</f>
        <v>#N/A Requesting Data...</v>
      </c>
      <c r="AF114" s="6" t="str">
        <f>_xll.BQL("SEG0000230986 Segment", "CB_IS_GROSS_MARGIN", "FPR=2021Y", "FPT=A", "FA_ACT_EST_DATA=E, EST_SOURCE=FBC", "ACT_EST_MAPPING=PRECISE", "FS=MRC", "CURRENCY=USD", "XLFILL=b")</f>
        <v>#N/A Requesting Data...</v>
      </c>
      <c r="AG114" s="6" t="str">
        <f>_xll.BQL("SEG0000230986 Segment", "CB_IS_GROSS_MARGIN", "FPR=2021Y", "FPT=A", "FA_ACT_EST_DATA=E, EST_SOURCE=MAC", "ACT_EST_MAPPING=PRECISE", "FS=MRC", "CURRENCY=USD", "XLFILL=b")</f>
        <v>#N/A Requesting Data...</v>
      </c>
      <c r="AH114" s="6" t="str">
        <f>_xll.BQL("SEG0000230986 Segment", "CB_IS_GROSS_MARGIN", "FPR=2021Y", "FPT=A", "FA_ACT_EST_DATA=E, EST_SOURCE=PSG", "ACT_EST_MAPPING=PRECISE", "FS=MRC", "CURRENCY=USD", "XLFILL=b")</f>
        <v>#N/A Requesting Data...</v>
      </c>
      <c r="AI114" s="6" t="str">
        <f>_xll.BQL("SEG0000230986 Segment", "CB_IS_GROSS_MARGIN", "FPR=2021Y", "FPT=A", "FA_ACT_EST_DATA=E, EST_SOURCE=MSR", "ACT_EST_MAPPING=PRECISE", "FS=MRC", "CURRENCY=USD", "XLFILL=b")</f>
        <v>#N/A Requesting Data...</v>
      </c>
      <c r="AJ114" s="6" t="str">
        <f>_xll.BQL("SEG0000230986 Segment", "CB_IS_GROSS_MARGIN", "FPR=2021Y", "FPT=A", "FA_ACT_EST_DATA=E, EST_SOURCE=JEF", "ACT_EST_MAPPING=PRECISE", "FS=MRC", "CURRENCY=USD", "XLFILL=b")</f>
        <v>#N/A Requesting Data...</v>
      </c>
      <c r="AK114" s="6" t="str">
        <f>_xll.BQL("SEG0000230986 Segment", "CB_IS_GROSS_MARGIN", "FPR=2021Y", "FPT=A", "FA_ACT_EST_DATA=E, EST_SOURCE=TTC", "ACT_EST_MAPPING=PRECISE", "FS=MRC", "CURRENCY=USD", "XLFILL=b")</f>
        <v>#N/A Requesting Data...</v>
      </c>
      <c r="AL114" s="6" t="str">
        <f>_xll.BQL("SEG0000230986 Segment", "CB_IS_GROSS_MARGIN", "FPR=2021Y", "FPT=A", "FA_ACT_EST_DATA=E, EST_SOURCE=RWB", "ACT_EST_MAPPING=PRECISE", "FS=MRC", "CURRENCY=USD", "XLFILL=b")</f>
        <v>#N/A Requesting Data...</v>
      </c>
      <c r="AM114" s="6" t="str">
        <f>_xll.BQL("SEG0000230986 Segment", "CB_IS_GROSS_MARGIN", "FPR=2021Y", "FPT=A", "FA_ACT_EST_DATA=E, EST_SOURCE=DZB", "ACT_EST_MAPPING=PRECISE", "FS=MRC", "CURRENCY=USD", "XLFILL=b")</f>
        <v>#N/A Requesting Data...</v>
      </c>
      <c r="AN114" s="6" t="str">
        <f>_xll.BQL("SEG0000230986 Segment", "CB_IS_GROSS_MARGIN", "FPR=2021Y", "FPT=A", "FA_ACT_EST_DATA=E, EST_SOURCE=DWI", "ACT_EST_MAPPING=PRECISE", "FS=MRC", "CURRENCY=USD", "XLFILL=b")</f>
        <v>#N/A Requesting Data...</v>
      </c>
      <c r="AO114" s="6" t="str">
        <f>_xll.BQL("SEG0000230986 Segment", "CB_IS_GROSS_MARGIN", "FPR=2021Y", "FPT=A", "FA_ACT_EST_DATA=E, EST_SOURCE=ARG", "ACT_EST_MAPPING=PRECISE", "FS=MRC", "CURRENCY=USD", "XLFILL=b")</f>
        <v>#N/A Requesting Data...</v>
      </c>
      <c r="AP114" s="6" t="str">
        <f>_xll.BQL("SEG0000230986 Segment", "CB_IS_GROSS_MARGIN", "FPR=2021Y", "FPT=A", "FA_ACT_EST_DATA=E, EST_SOURCE=CTI", "ACT_EST_MAPPING=PRECISE", "FS=MRC", "CURRENCY=USD", "XLFILL=b")</f>
        <v>#N/A Requesting Data...</v>
      </c>
      <c r="AQ114" s="6" t="str">
        <f>_xll.BQL("SEG0000230986 Segment", "CB_IS_GROSS_MARGIN", "FPR=2021Y", "FPT=A", "FA_ACT_EST_DATA=E, EST_SOURCE=WFT", "ACT_EST_MAPPING=PRECISE", "FS=MRC", "CURRENCY=USD", "XLFILL=b")</f>
        <v>#N/A Requesting Data...</v>
      </c>
      <c r="AR114" s="6" t="str">
        <f>_xll.BQL("SEG0000230986 Segment", "CB_IS_GROSS_MARGIN", "FPR=2021Y", "FPT=A", "FA_ACT_EST_DATA=E, EST_SOURCE=ARE", "ACT_EST_MAPPING=PRECISE", "FS=MRC", "CURRENCY=USD", "XLFILL=b")</f>
        <v>#N/A Requesting Data...</v>
      </c>
      <c r="AS114" s="6" t="str">
        <f>_xll.BQL("SEG0000230986 Segment", "CB_IS_GROSS_MARGIN", "FPR=2021Y", "FPT=A", "FA_ACT_EST_DATA=E, EST_SOURCE=PJE", "ACT_EST_MAPPING=PRECISE", "FS=MRC", "CURRENCY=USD", "XLFILL=b")</f>
        <v>#N/A Requesting Data...</v>
      </c>
      <c r="AT114" s="6" t="str">
        <f>_xll.BQL("SEG0000230986 Segment", "CB_IS_GROSS_MARGIN", "FPR=2021Y", "FPT=A", "FA_ACT_EST_DATA=E, EST_SOURCE=MZS", "ACT_EST_MAPPING=PRECISE", "FS=MRC", "CURRENCY=USD", "XLFILL=b")</f>
        <v>#N/A Requesting Data...</v>
      </c>
      <c r="AU114" s="6" t="str">
        <f>_xll.BQL("SEG0000230986 Segment", "CB_IS_GROSS_MARGIN", "FPR=2021Y", "FPT=A", "FA_ACT_EST_DATA=E, EST_SOURCE=SUM", "ACT_EST_MAPPING=PRECISE", "FS=MRC", "CURRENCY=USD", "XLFILL=b")</f>
        <v>#N/A Requesting Data...</v>
      </c>
      <c r="AV114" s="6" t="str">
        <f>_xll.BQL("SEG0000230986 Segment", "CB_IS_GROSS_MARGIN", "FPR=2021Y", "FPT=A", "FA_ACT_EST_DATA=E, EST_SOURCE=CRC", "ACT_EST_MAPPING=PRECISE", "FS=MRC", "CURRENCY=USD", "XLFILL=b")</f>
        <v>#N/A Requesting Data...</v>
      </c>
      <c r="AW114" s="6" t="str">
        <f>_xll.BQL("SEG0000230986 Segment", "CB_IS_GROSS_MARGIN", "FPR=2021Y", "FPT=A", "FA_ACT_EST_DATA=E, EST_SOURCE=SCB", "ACT_EST_MAPPING=PRECISE", "FS=MRC", "CURRENCY=USD", "XLFILL=b")</f>
        <v>#N/A Requesting Data...</v>
      </c>
    </row>
    <row r="115" spans="1:49" x14ac:dyDescent="0.55000000000000004">
      <c r="A115" s="5" t="s">
        <v>109</v>
      </c>
      <c r="B115" s="2" t="s">
        <v>178</v>
      </c>
      <c r="C115" s="2" t="s">
        <v>2</v>
      </c>
      <c r="D115" s="2"/>
      <c r="E115" s="6" t="str">
        <f>_xll.BQL("NOW US Equity", "GROSS_PROFIT/1M", "FPR=2021Y", "FPT=A", "FA_ACT_EST_DATA=E", "ACT_EST_MAPPING=PRECISE", "FS=MRC", "CURRENCY=USD", "XLFILL=b")</f>
        <v>#N/A Requesting Data...</v>
      </c>
      <c r="F115" s="6">
        <f>_xll.BQL("NOW US Equity", "CONTRIBUTOR_STATS(GROSS_PROFIT, MIN)/1M", "FPR=2021Y", "FPT=A", "FA_ACT_EST_DATA=E", "ACT_EST_MAPPING=PRECISE", "FS=MRC", "CURRENCY=USD", "XLFILL=b")</f>
        <v>4526.3212106362835</v>
      </c>
      <c r="G115" s="6">
        <f>_xll.BQL("NOW US Equity", "CONTRIBUTOR_STATS(GROSS_PROFIT, MAX)/1M", "FPR=2021Y", "FPT=A", "FA_ACT_EST_DATA=E", "ACT_EST_MAPPING=PRECISE", "FS=MRC", "CURRENCY=USD", "XLFILL=b")</f>
        <v>4592.0075800499999</v>
      </c>
      <c r="H115" s="6">
        <f>_xll.BQL("NOW US Equity", "CONTRIBUTOR_STATS(GROSS_PROFIT, STD)/1M", "FPR=2021Y", "FPT=A", "FA_ACT_EST_DATA=E", "ACT_EST_MAPPING=PRECISE", "FS=MRC", "CURRENCY=USD", "XLFILL=b")</f>
        <v>18.728849094544884</v>
      </c>
      <c r="I115" s="6" t="str">
        <f>_xll.BQL("NOW US Equity", "CONTRIBUTOR_STATS(GROSS_PROFIT, MEDIAN)/1M", "FPR=2021Y", "FPT=A", "FA_ACT_EST_DATA=E", "ACT_EST_MAPPING=PRECISE", "FS=MRC", "CURRENCY=USD", "XLFILL=b")</f>
        <v>#N/A Requesting Data...</v>
      </c>
      <c r="J115" s="6" t="str">
        <f>_xll.BQL("NOW US Equity", "GROSS_PROFIT/1M", "FPR=2021Y", "FPT=A", "FA_ACT_EST_DATA=E, EST_SOURCE=CMPY", "ACT_EST_MAPPING=PRECISE", "FS=MRC", "CURRENCY=USD", "XLFILL=b")</f>
        <v>#N/A Requesting Data...</v>
      </c>
      <c r="K115" s="6" t="str">
        <f>_xll.BQL("NOW US Equity", "GROSS_PROFIT/1M", "FPR=2021Y", "FPT=A", "FA_ACT_EST_DATA=E, EST_SOURCE=JPM", "ACT_EST_MAPPING=PRECISE", "FS=MRC", "CURRENCY=USD", "XLFILL=b")</f>
        <v>#N/A Requesting Data...</v>
      </c>
      <c r="L115" s="6" t="str">
        <f>_xll.BQL("NOW US Equity", "GROSS_PROFIT/1M", "FPR=2021Y", "FPT=A", "FA_ACT_EST_DATA=E, EST_SOURCE=WBL", "ACT_EST_MAPPING=PRECISE", "FS=MRC", "CURRENCY=USD", "XLFILL=b")</f>
        <v>#N/A Requesting Data...</v>
      </c>
      <c r="M115" s="6" t="str">
        <f>_xll.BQL("NOW US Equity", "GROSS_PROFIT/1M", "FPR=2021Y", "FPT=A", "FA_ACT_EST_DATA=E, EST_SOURCE=KEY", "ACT_EST_MAPPING=PRECISE", "FS=MRC", "CURRENCY=USD", "XLFILL=b")</f>
        <v>#N/A Requesting Data...</v>
      </c>
      <c r="N115" s="6" t="str">
        <f>_xll.BQL("NOW US Equity", "GROSS_PROFIT/1M", "FPR=2021Y", "FPT=A", "FA_ACT_EST_DATA=E, EST_SOURCE=BMO", "ACT_EST_MAPPING=PRECISE", "FS=MRC", "CURRENCY=USD", "XLFILL=b")</f>
        <v>#N/A Requesting Data...</v>
      </c>
      <c r="O115" s="6" t="str">
        <f>_xll.BQL("NOW US Equity", "GROSS_PROFIT/1M", "FPR=2021Y", "FPT=A", "FA_ACT_EST_DATA=E, EST_SOURCE=OPY", "ACT_EST_MAPPING=PRECISE", "FS=MRC", "CURRENCY=USD", "XLFILL=b")</f>
        <v>#N/A Requesting Data...</v>
      </c>
      <c r="P115" s="6" t="str">
        <f>_xll.BQL("NOW US Equity", "GROSS_PROFIT/1M", "FPR=2021Y", "FPT=A", "FA_ACT_EST_DATA=E, EST_SOURCE=BCA", "ACT_EST_MAPPING=PRECISE", "FS=MRC", "CURRENCY=USD", "XLFILL=b")</f>
        <v>#N/A Requesting Data...</v>
      </c>
      <c r="Q115" s="6" t="str">
        <f>_xll.BQL("NOW US Equity", "GROSS_PROFIT/1M", "FPR=2021Y", "FPT=A", "FA_ACT_EST_DATA=E, EST_SOURCE=RHR", "ACT_EST_MAPPING=PRECISE", "FS=MRC", "CURRENCY=USD", "XLFILL=b")</f>
        <v>#N/A Requesting Data...</v>
      </c>
      <c r="R115" s="6" t="str">
        <f>_xll.BQL("NOW US Equity", "GROSS_PROFIT/1M", "FPR=2021Y", "FPT=A", "FA_ACT_EST_DATA=E, EST_SOURCE=SNR", "ACT_EST_MAPPING=PRECISE", "FS=MRC", "CURRENCY=USD", "XLFILL=b")</f>
        <v>#N/A Requesting Data...</v>
      </c>
      <c r="S115" s="6" t="str">
        <f>_xll.BQL("NOW US Equity", "GROSS_PROFIT/1M", "FPR=2021Y", "FPT=A", "FA_ACT_EST_DATA=E, EST_SOURCE=MSV", "ACT_EST_MAPPING=PRECISE", "FS=MRC", "CURRENCY=USD", "XLFILL=b")</f>
        <v>#N/A Requesting Data...</v>
      </c>
      <c r="T115" s="6" t="str">
        <f>_xll.BQL("NOW US Equity", "GROSS_PROFIT/1M", "FPR=2021Y", "FPT=A", "FA_ACT_EST_DATA=E, EST_SOURCE=CAN", "ACT_EST_MAPPING=PRECISE", "FS=MRC", "CURRENCY=USD", "XLFILL=b")</f>
        <v>#N/A Requesting Data...</v>
      </c>
      <c r="U115" s="6" t="str">
        <f>_xll.BQL("NOW US Equity", "GROSS_PROFIT/1M", "FPR=2021Y", "FPT=A", "FA_ACT_EST_DATA=E, EST_SOURCE=JMP", "ACT_EST_MAPPING=PRECISE", "FS=MRC", "CURRENCY=USD", "XLFILL=b")</f>
        <v>#N/A Requesting Data...</v>
      </c>
      <c r="V115" s="6" t="str">
        <f>_xll.BQL("NOW US Equity", "GROSS_PROFIT/1M", "FPR=2021Y", "FPT=A", "FA_ACT_EST_DATA=E, EST_SOURCE=NDH", "ACT_EST_MAPPING=PRECISE", "FS=MRC", "CURRENCY=USD", "XLFILL=b")</f>
        <v>#N/A Requesting Data...</v>
      </c>
      <c r="W115" s="6" t="str">
        <f>_xll.BQL("NOW US Equity", "GROSS_PROFIT/1M", "FPR=2021Y", "FPT=A", "FA_ACT_EST_DATA=E, EST_SOURCE=ZXS", "ACT_EST_MAPPING=PRECISE", "FS=MRC", "CURRENCY=USD", "XLFILL=b")</f>
        <v>#N/A Requesting Data...</v>
      </c>
      <c r="X115" s="6" t="str">
        <f>_xll.BQL("NOW US Equity", "GROSS_PROFIT/1M", "FPR=2021Y", "FPT=A", "FA_ACT_EST_DATA=E, EST_SOURCE=CWN", "ACT_EST_MAPPING=PRECISE", "FS=MRC", "CURRENCY=USD", "XLFILL=b")</f>
        <v>#N/A Requesting Data...</v>
      </c>
      <c r="Y115" s="6" t="str">
        <f>_xll.BQL("NOW US Equity", "GROSS_PROFIT/1M", "FPR=2021Y", "FPT=A", "FA_ACT_EST_DATA=E, EST_SOURCE=DBG", "ACT_EST_MAPPING=PRECISE", "FS=MRC", "CURRENCY=USD", "XLFILL=b")</f>
        <v>#N/A Requesting Data...</v>
      </c>
      <c r="Z115" s="6" t="str">
        <f>_xll.BQL("NOW US Equity", "GROSS_PROFIT/1M", "FPR=2021Y", "FPT=A", "FA_ACT_EST_DATA=E, EST_SOURCE=UBS", "ACT_EST_MAPPING=PRECISE", "FS=MRC", "CURRENCY=USD", "XLFILL=b")</f>
        <v>#N/A Requesting Data...</v>
      </c>
      <c r="AA115" s="6" t="str">
        <f>_xll.BQL("NOW US Equity", "GROSS_PROFIT/1M", "FPR=2021Y", "FPT=A", "FA_ACT_EST_DATA=E, EST_SOURCE=RBC", "ACT_EST_MAPPING=PRECISE", "FS=MRC", "CURRENCY=USD", "XLFILL=b")</f>
        <v>#N/A Requesting Data...</v>
      </c>
      <c r="AB115" s="6" t="str">
        <f>_xll.BQL("NOW US Equity", "GROSS_PROFIT/1M", "FPR=2021Y", "FPT=A", "FA_ACT_EST_DATA=E, EST_SOURCE=EVR", "ACT_EST_MAPPING=PRECISE", "FS=MRC", "CURRENCY=USD", "XLFILL=b")</f>
        <v>#N/A Requesting Data...</v>
      </c>
      <c r="AC115" s="6" t="str">
        <f>_xll.BQL("NOW US Equity", "GROSS_PROFIT/1M", "FPR=2021Y", "FPT=A", "FA_ACT_EST_DATA=E, EST_SOURCE=BNS", "ACT_EST_MAPPING=PRECISE", "FS=MRC", "CURRENCY=USD", "XLFILL=b")</f>
        <v>#N/A Requesting Data...</v>
      </c>
      <c r="AD115" s="6" t="str">
        <f>_xll.BQL("NOW US Equity", "GROSS_PROFIT/1M", "FPR=2021Y", "FPT=A", "FA_ACT_EST_DATA=E, EST_SOURCE=BAM", "ACT_EST_MAPPING=PRECISE", "FS=MRC", "CURRENCY=USD", "XLFILL=b")</f>
        <v>#N/A Requesting Data...</v>
      </c>
      <c r="AE115" s="6" t="str">
        <f>_xll.BQL("NOW US Equity", "GROSS_PROFIT/1M", "FPR=2021Y", "FPT=A", "FA_ACT_EST_DATA=E, EST_SOURCE=GSR", "ACT_EST_MAPPING=PRECISE", "FS=MRC", "CURRENCY=USD", "XLFILL=b")</f>
        <v>#N/A Requesting Data...</v>
      </c>
      <c r="AF115" s="6" t="str">
        <f>_xll.BQL("NOW US Equity", "GROSS_PROFIT/1M", "FPR=2021Y", "FPT=A", "FA_ACT_EST_DATA=E, EST_SOURCE=FBC", "ACT_EST_MAPPING=PRECISE", "FS=MRC", "CURRENCY=USD", "XLFILL=b")</f>
        <v>#N/A Requesting Data...</v>
      </c>
      <c r="AG115" s="6" t="str">
        <f>_xll.BQL("NOW US Equity", "GROSS_PROFIT/1M", "FPR=2021Y", "FPT=A", "FA_ACT_EST_DATA=E, EST_SOURCE=MAC", "ACT_EST_MAPPING=PRECISE", "FS=MRC", "CURRENCY=USD", "XLFILL=b")</f>
        <v>#N/A Requesting Data...</v>
      </c>
      <c r="AH115" s="6" t="str">
        <f>_xll.BQL("NOW US Equity", "GROSS_PROFIT/1M", "FPR=2021Y", "FPT=A", "FA_ACT_EST_DATA=E, EST_SOURCE=PSG", "ACT_EST_MAPPING=PRECISE", "FS=MRC", "CURRENCY=USD", "XLFILL=b")</f>
        <v>#N/A Requesting Data...</v>
      </c>
      <c r="AI115" s="6" t="str">
        <f>_xll.BQL("NOW US Equity", "GROSS_PROFIT/1M", "FPR=2021Y", "FPT=A", "FA_ACT_EST_DATA=E, EST_SOURCE=MSR", "ACT_EST_MAPPING=PRECISE", "FS=MRC", "CURRENCY=USD", "XLFILL=b")</f>
        <v>#N/A Requesting Data...</v>
      </c>
      <c r="AJ115" s="6" t="str">
        <f>_xll.BQL("NOW US Equity", "GROSS_PROFIT/1M", "FPR=2021Y", "FPT=A", "FA_ACT_EST_DATA=E, EST_SOURCE=JEF", "ACT_EST_MAPPING=PRECISE", "FS=MRC", "CURRENCY=USD", "XLFILL=b")</f>
        <v>#N/A Requesting Data...</v>
      </c>
      <c r="AK115" s="6" t="str">
        <f>_xll.BQL("NOW US Equity", "GROSS_PROFIT/1M", "FPR=2021Y", "FPT=A", "FA_ACT_EST_DATA=E, EST_SOURCE=TTC", "ACT_EST_MAPPING=PRECISE", "FS=MRC", "CURRENCY=USD", "XLFILL=b")</f>
        <v>#N/A Requesting Data...</v>
      </c>
      <c r="AL115" s="6" t="str">
        <f>_xll.BQL("NOW US Equity", "GROSS_PROFIT/1M", "FPR=2021Y", "FPT=A", "FA_ACT_EST_DATA=E, EST_SOURCE=RWB", "ACT_EST_MAPPING=PRECISE", "FS=MRC", "CURRENCY=USD", "XLFILL=b")</f>
        <v>#N/A Requesting Data...</v>
      </c>
      <c r="AM115" s="6" t="str">
        <f>_xll.BQL("NOW US Equity", "GROSS_PROFIT/1M", "FPR=2021Y", "FPT=A", "FA_ACT_EST_DATA=E, EST_SOURCE=DZB", "ACT_EST_MAPPING=PRECISE", "FS=MRC", "CURRENCY=USD", "XLFILL=b")</f>
        <v>#N/A Requesting Data...</v>
      </c>
      <c r="AN115" s="6" t="str">
        <f>_xll.BQL("NOW US Equity", "GROSS_PROFIT/1M", "FPR=2021Y", "FPT=A", "FA_ACT_EST_DATA=E, EST_SOURCE=DWI", "ACT_EST_MAPPING=PRECISE", "FS=MRC", "CURRENCY=USD", "XLFILL=b")</f>
        <v>#N/A Requesting Data...</v>
      </c>
      <c r="AO115" s="6" t="str">
        <f>_xll.BQL("NOW US Equity", "GROSS_PROFIT/1M", "FPR=2021Y", "FPT=A", "FA_ACT_EST_DATA=E, EST_SOURCE=ARG", "ACT_EST_MAPPING=PRECISE", "FS=MRC", "CURRENCY=USD", "XLFILL=b")</f>
        <v>#N/A Requesting Data...</v>
      </c>
      <c r="AP115" s="6" t="str">
        <f>_xll.BQL("NOW US Equity", "GROSS_PROFIT/1M", "FPR=2021Y", "FPT=A", "FA_ACT_EST_DATA=E, EST_SOURCE=CTI", "ACT_EST_MAPPING=PRECISE", "FS=MRC", "CURRENCY=USD", "XLFILL=b")</f>
        <v>#N/A Requesting Data...</v>
      </c>
      <c r="AQ115" s="6" t="str">
        <f>_xll.BQL("NOW US Equity", "GROSS_PROFIT/1M", "FPR=2021Y", "FPT=A", "FA_ACT_EST_DATA=E, EST_SOURCE=WFT", "ACT_EST_MAPPING=PRECISE", "FS=MRC", "CURRENCY=USD", "XLFILL=b")</f>
        <v>#N/A Requesting Data...</v>
      </c>
      <c r="AR115" s="6" t="str">
        <f>_xll.BQL("NOW US Equity", "GROSS_PROFIT/1M", "FPR=2021Y", "FPT=A", "FA_ACT_EST_DATA=E, EST_SOURCE=ARE", "ACT_EST_MAPPING=PRECISE", "FS=MRC", "CURRENCY=USD", "XLFILL=b")</f>
        <v>#N/A Requesting Data...</v>
      </c>
      <c r="AS115" s="6" t="str">
        <f>_xll.BQL("NOW US Equity", "GROSS_PROFIT/1M", "FPR=2021Y", "FPT=A", "FA_ACT_EST_DATA=E, EST_SOURCE=PJE", "ACT_EST_MAPPING=PRECISE", "FS=MRC", "CURRENCY=USD", "XLFILL=b")</f>
        <v>#N/A Requesting Data...</v>
      </c>
      <c r="AT115" s="6" t="str">
        <f>_xll.BQL("NOW US Equity", "GROSS_PROFIT/1M", "FPR=2021Y", "FPT=A", "FA_ACT_EST_DATA=E, EST_SOURCE=MZS", "ACT_EST_MAPPING=PRECISE", "FS=MRC", "CURRENCY=USD", "XLFILL=b")</f>
        <v>#N/A Requesting Data...</v>
      </c>
      <c r="AU115" s="6" t="str">
        <f>_xll.BQL("NOW US Equity", "GROSS_PROFIT/1M", "FPR=2021Y", "FPT=A", "FA_ACT_EST_DATA=E, EST_SOURCE=SUM", "ACT_EST_MAPPING=PRECISE", "FS=MRC", "CURRENCY=USD", "XLFILL=b")</f>
        <v>#N/A Requesting Data...</v>
      </c>
      <c r="AV115" s="6" t="str">
        <f>_xll.BQL("NOW US Equity", "GROSS_PROFIT/1M", "FPR=2021Y", "FPT=A", "FA_ACT_EST_DATA=E, EST_SOURCE=CRC", "ACT_EST_MAPPING=PRECISE", "FS=MRC", "CURRENCY=USD", "XLFILL=b")</f>
        <v>#N/A Requesting Data...</v>
      </c>
      <c r="AW115" s="6" t="str">
        <f>_xll.BQL("NOW US Equity", "GROSS_PROFIT/1M", "FPR=2021Y", "FPT=A", "FA_ACT_EST_DATA=E, EST_SOURCE=SCB", "ACT_EST_MAPPING=PRECISE", "FS=MRC", "CURRENCY=USD", "XLFILL=b")</f>
        <v>#N/A Requesting Data...</v>
      </c>
    </row>
    <row r="116" spans="1:49" x14ac:dyDescent="0.55000000000000004">
      <c r="A116" s="5" t="s">
        <v>110</v>
      </c>
      <c r="B116" s="2" t="s">
        <v>179</v>
      </c>
      <c r="C116" s="2" t="s">
        <v>48</v>
      </c>
      <c r="D116" s="2"/>
      <c r="E116" s="6" t="str">
        <f>_xll.BQL("NOW US Equity", "GROSS_MARGIN", "FPR=2021Y", "FPT=A", "FA_ACT_EST_DATA=E", "ACT_EST_MAPPING=PRECISE", "FS=MRC", "CURRENCY=USD", "XLFILL=b")</f>
        <v>#N/A Requesting Data...</v>
      </c>
      <c r="F116" s="6" t="str">
        <f>_xll.BQL("NOW US Equity", "CONTRIBUTOR_STATS(GROSS_MARGIN, MIN)", "FPR=2021Y", "FPT=A", "FA_ACT_EST_DATA=E", "ACT_EST_MAPPING=PRECISE", "FS=MRC", "CURRENCY=USD", "XLFILL=b")</f>
        <v>#N/A Requesting Data...</v>
      </c>
      <c r="G116" s="6" t="str">
        <f>_xll.BQL("NOW US Equity", "CONTRIBUTOR_STATS(GROSS_MARGIN, MAX)", "FPR=2021Y", "FPT=A", "FA_ACT_EST_DATA=E", "ACT_EST_MAPPING=PRECISE", "FS=MRC", "CURRENCY=USD", "XLFILL=b")</f>
        <v>#N/A Requesting Data...</v>
      </c>
      <c r="H116" s="6">
        <f>_xll.BQL("NOW US Equity", "CONTRIBUTOR_STATS(GROSS_MARGIN, STD)", "FPR=2021Y", "FPT=A", "FA_ACT_EST_DATA=E", "ACT_EST_MAPPING=PRECISE", "FS=MRC", "CURRENCY=USD", "XLFILL=b")</f>
        <v>0.5652575900455602</v>
      </c>
      <c r="I116" s="6" t="str">
        <f>_xll.BQL("NOW US Equity", "CONTRIBUTOR_STATS(GROSS_MARGIN, MEDIAN)", "FPR=2021Y", "FPT=A", "FA_ACT_EST_DATA=E", "ACT_EST_MAPPING=PRECISE", "FS=MRC", "CURRENCY=USD", "XLFILL=b")</f>
        <v>#N/A Requesting Data...</v>
      </c>
      <c r="J116" s="6" t="str">
        <f>_xll.BQL("NOW US Equity", "GROSS_MARGIN", "FPR=2021Y", "FPT=A", "FA_ACT_EST_DATA=E, EST_SOURCE=CMPY", "ACT_EST_MAPPING=PRECISE", "FS=MRC", "CURRENCY=USD", "XLFILL=b")</f>
        <v>#N/A Requesting Data...</v>
      </c>
      <c r="K116" s="6" t="str">
        <f>_xll.BQL("NOW US Equity", "GROSS_MARGIN", "FPR=2021Y", "FPT=A", "FA_ACT_EST_DATA=E, EST_SOURCE=JPM", "ACT_EST_MAPPING=PRECISE", "FS=MRC", "CURRENCY=USD", "XLFILL=b")</f>
        <v>#N/A Requesting Data...</v>
      </c>
      <c r="L116" s="6" t="str">
        <f>_xll.BQL("NOW US Equity", "GROSS_MARGIN", "FPR=2021Y", "FPT=A", "FA_ACT_EST_DATA=E, EST_SOURCE=WBL", "ACT_EST_MAPPING=PRECISE", "FS=MRC", "CURRENCY=USD", "XLFILL=b")</f>
        <v>#N/A Requesting Data...</v>
      </c>
      <c r="M116" s="6" t="str">
        <f>_xll.BQL("NOW US Equity", "GROSS_MARGIN", "FPR=2021Y", "FPT=A", "FA_ACT_EST_DATA=E, EST_SOURCE=KEY", "ACT_EST_MAPPING=PRECISE", "FS=MRC", "CURRENCY=USD", "XLFILL=b")</f>
        <v>#N/A Requesting Data...</v>
      </c>
      <c r="N116" s="6" t="str">
        <f>_xll.BQL("NOW US Equity", "GROSS_MARGIN", "FPR=2021Y", "FPT=A", "FA_ACT_EST_DATA=E, EST_SOURCE=BMO", "ACT_EST_MAPPING=PRECISE", "FS=MRC", "CURRENCY=USD", "XLFILL=b")</f>
        <v>#N/A Requesting Data...</v>
      </c>
      <c r="O116" s="6" t="str">
        <f>_xll.BQL("NOW US Equity", "GROSS_MARGIN", "FPR=2021Y", "FPT=A", "FA_ACT_EST_DATA=E, EST_SOURCE=OPY", "ACT_EST_MAPPING=PRECISE", "FS=MRC", "CURRENCY=USD", "XLFILL=b")</f>
        <v>#N/A Requesting Data...</v>
      </c>
      <c r="P116" s="6" t="str">
        <f>_xll.BQL("NOW US Equity", "GROSS_MARGIN", "FPR=2021Y", "FPT=A", "FA_ACT_EST_DATA=E, EST_SOURCE=BCA", "ACT_EST_MAPPING=PRECISE", "FS=MRC", "CURRENCY=USD", "XLFILL=b")</f>
        <v>#N/A Requesting Data...</v>
      </c>
      <c r="Q116" s="6" t="str">
        <f>_xll.BQL("NOW US Equity", "GROSS_MARGIN", "FPR=2021Y", "FPT=A", "FA_ACT_EST_DATA=E, EST_SOURCE=RHR", "ACT_EST_MAPPING=PRECISE", "FS=MRC", "CURRENCY=USD", "XLFILL=b")</f>
        <v>#N/A Requesting Data...</v>
      </c>
      <c r="R116" s="6" t="str">
        <f>_xll.BQL("NOW US Equity", "GROSS_MARGIN", "FPR=2021Y", "FPT=A", "FA_ACT_EST_DATA=E, EST_SOURCE=SNR", "ACT_EST_MAPPING=PRECISE", "FS=MRC", "CURRENCY=USD", "XLFILL=b")</f>
        <v>#N/A Requesting Data...</v>
      </c>
      <c r="S116" s="6" t="str">
        <f>_xll.BQL("NOW US Equity", "GROSS_MARGIN", "FPR=2021Y", "FPT=A", "FA_ACT_EST_DATA=E, EST_SOURCE=MSV", "ACT_EST_MAPPING=PRECISE", "FS=MRC", "CURRENCY=USD", "XLFILL=b")</f>
        <v>#N/A Requesting Data...</v>
      </c>
      <c r="T116" s="6" t="str">
        <f>_xll.BQL("NOW US Equity", "GROSS_MARGIN", "FPR=2021Y", "FPT=A", "FA_ACT_EST_DATA=E, EST_SOURCE=CAN", "ACT_EST_MAPPING=PRECISE", "FS=MRC", "CURRENCY=USD", "XLFILL=b")</f>
        <v>#N/A Requesting Data...</v>
      </c>
      <c r="U116" s="6" t="str">
        <f>_xll.BQL("NOW US Equity", "GROSS_MARGIN", "FPR=2021Y", "FPT=A", "FA_ACT_EST_DATA=E, EST_SOURCE=JMP", "ACT_EST_MAPPING=PRECISE", "FS=MRC", "CURRENCY=USD", "XLFILL=b")</f>
        <v>#N/A Requesting Data...</v>
      </c>
      <c r="V116" s="6" t="str">
        <f>_xll.BQL("NOW US Equity", "GROSS_MARGIN", "FPR=2021Y", "FPT=A", "FA_ACT_EST_DATA=E, EST_SOURCE=NDH", "ACT_EST_MAPPING=PRECISE", "FS=MRC", "CURRENCY=USD", "XLFILL=b")</f>
        <v>#N/A Requesting Data...</v>
      </c>
      <c r="W116" s="6" t="str">
        <f>_xll.BQL("NOW US Equity", "GROSS_MARGIN", "FPR=2021Y", "FPT=A", "FA_ACT_EST_DATA=E, EST_SOURCE=ZXS", "ACT_EST_MAPPING=PRECISE", "FS=MRC", "CURRENCY=USD", "XLFILL=b")</f>
        <v>#N/A Requesting Data...</v>
      </c>
      <c r="X116" s="6" t="str">
        <f>_xll.BQL("NOW US Equity", "GROSS_MARGIN", "FPR=2021Y", "FPT=A", "FA_ACT_EST_DATA=E, EST_SOURCE=CWN", "ACT_EST_MAPPING=PRECISE", "FS=MRC", "CURRENCY=USD", "XLFILL=b")</f>
        <v>#N/A Requesting Data...</v>
      </c>
      <c r="Y116" s="6" t="str">
        <f>_xll.BQL("NOW US Equity", "GROSS_MARGIN", "FPR=2021Y", "FPT=A", "FA_ACT_EST_DATA=E, EST_SOURCE=DBG", "ACT_EST_MAPPING=PRECISE", "FS=MRC", "CURRENCY=USD", "XLFILL=b")</f>
        <v>#N/A Requesting Data...</v>
      </c>
      <c r="Z116" s="6" t="str">
        <f>_xll.BQL("NOW US Equity", "GROSS_MARGIN", "FPR=2021Y", "FPT=A", "FA_ACT_EST_DATA=E, EST_SOURCE=UBS", "ACT_EST_MAPPING=PRECISE", "FS=MRC", "CURRENCY=USD", "XLFILL=b")</f>
        <v>#N/A Requesting Data...</v>
      </c>
      <c r="AA116" s="6" t="str">
        <f>_xll.BQL("NOW US Equity", "GROSS_MARGIN", "FPR=2021Y", "FPT=A", "FA_ACT_EST_DATA=E, EST_SOURCE=RBC", "ACT_EST_MAPPING=PRECISE", "FS=MRC", "CURRENCY=USD", "XLFILL=b")</f>
        <v>#N/A Requesting Data...</v>
      </c>
      <c r="AB116" s="6" t="str">
        <f>_xll.BQL("NOW US Equity", "GROSS_MARGIN", "FPR=2021Y", "FPT=A", "FA_ACT_EST_DATA=E, EST_SOURCE=EVR", "ACT_EST_MAPPING=PRECISE", "FS=MRC", "CURRENCY=USD", "XLFILL=b")</f>
        <v>#N/A Requesting Data...</v>
      </c>
      <c r="AC116" s="6" t="str">
        <f>_xll.BQL("NOW US Equity", "GROSS_MARGIN", "FPR=2021Y", "FPT=A", "FA_ACT_EST_DATA=E, EST_SOURCE=BNS", "ACT_EST_MAPPING=PRECISE", "FS=MRC", "CURRENCY=USD", "XLFILL=b")</f>
        <v>#N/A Requesting Data...</v>
      </c>
      <c r="AD116" s="6" t="str">
        <f>_xll.BQL("NOW US Equity", "GROSS_MARGIN", "FPR=2021Y", "FPT=A", "FA_ACT_EST_DATA=E, EST_SOURCE=BAM", "ACT_EST_MAPPING=PRECISE", "FS=MRC", "CURRENCY=USD", "XLFILL=b")</f>
        <v>#N/A Requesting Data...</v>
      </c>
      <c r="AE116" s="6" t="str">
        <f>_xll.BQL("NOW US Equity", "GROSS_MARGIN", "FPR=2021Y", "FPT=A", "FA_ACT_EST_DATA=E, EST_SOURCE=GSR", "ACT_EST_MAPPING=PRECISE", "FS=MRC", "CURRENCY=USD", "XLFILL=b")</f>
        <v>#N/A Requesting Data...</v>
      </c>
      <c r="AF116" s="6" t="str">
        <f>_xll.BQL("NOW US Equity", "GROSS_MARGIN", "FPR=2021Y", "FPT=A", "FA_ACT_EST_DATA=E, EST_SOURCE=FBC", "ACT_EST_MAPPING=PRECISE", "FS=MRC", "CURRENCY=USD", "XLFILL=b")</f>
        <v>#N/A Requesting Data...</v>
      </c>
      <c r="AG116" s="6" t="str">
        <f>_xll.BQL("NOW US Equity", "GROSS_MARGIN", "FPR=2021Y", "FPT=A", "FA_ACT_EST_DATA=E, EST_SOURCE=MAC", "ACT_EST_MAPPING=PRECISE", "FS=MRC", "CURRENCY=USD", "XLFILL=b")</f>
        <v>#N/A Requesting Data...</v>
      </c>
      <c r="AH116" s="6" t="str">
        <f>_xll.BQL("NOW US Equity", "GROSS_MARGIN", "FPR=2021Y", "FPT=A", "FA_ACT_EST_DATA=E, EST_SOURCE=PSG", "ACT_EST_MAPPING=PRECISE", "FS=MRC", "CURRENCY=USD", "XLFILL=b")</f>
        <v>#N/A Requesting Data...</v>
      </c>
      <c r="AI116" s="6" t="str">
        <f>_xll.BQL("NOW US Equity", "GROSS_MARGIN", "FPR=2021Y", "FPT=A", "FA_ACT_EST_DATA=E, EST_SOURCE=MSR", "ACT_EST_MAPPING=PRECISE", "FS=MRC", "CURRENCY=USD", "XLFILL=b")</f>
        <v>#N/A Requesting Data...</v>
      </c>
      <c r="AJ116" s="6" t="str">
        <f>_xll.BQL("NOW US Equity", "GROSS_MARGIN", "FPR=2021Y", "FPT=A", "FA_ACT_EST_DATA=E, EST_SOURCE=JEF", "ACT_EST_MAPPING=PRECISE", "FS=MRC", "CURRENCY=USD", "XLFILL=b")</f>
        <v>#N/A Requesting Data...</v>
      </c>
      <c r="AK116" s="6" t="str">
        <f>_xll.BQL("NOW US Equity", "GROSS_MARGIN", "FPR=2021Y", "FPT=A", "FA_ACT_EST_DATA=E, EST_SOURCE=TTC", "ACT_EST_MAPPING=PRECISE", "FS=MRC", "CURRENCY=USD", "XLFILL=b")</f>
        <v>#N/A Requesting Data...</v>
      </c>
      <c r="AL116" s="6" t="str">
        <f>_xll.BQL("NOW US Equity", "GROSS_MARGIN", "FPR=2021Y", "FPT=A", "FA_ACT_EST_DATA=E, EST_SOURCE=RWB", "ACT_EST_MAPPING=PRECISE", "FS=MRC", "CURRENCY=USD", "XLFILL=b")</f>
        <v>#N/A Requesting Data...</v>
      </c>
      <c r="AM116" s="6" t="str">
        <f>_xll.BQL("NOW US Equity", "GROSS_MARGIN", "FPR=2021Y", "FPT=A", "FA_ACT_EST_DATA=E, EST_SOURCE=DZB", "ACT_EST_MAPPING=PRECISE", "FS=MRC", "CURRENCY=USD", "XLFILL=b")</f>
        <v>#N/A Requesting Data...</v>
      </c>
      <c r="AN116" s="6" t="str">
        <f>_xll.BQL("NOW US Equity", "GROSS_MARGIN", "FPR=2021Y", "FPT=A", "FA_ACT_EST_DATA=E, EST_SOURCE=DWI", "ACT_EST_MAPPING=PRECISE", "FS=MRC", "CURRENCY=USD", "XLFILL=b")</f>
        <v>#N/A Requesting Data...</v>
      </c>
      <c r="AO116" s="6" t="str">
        <f>_xll.BQL("NOW US Equity", "GROSS_MARGIN", "FPR=2021Y", "FPT=A", "FA_ACT_EST_DATA=E, EST_SOURCE=ARG", "ACT_EST_MAPPING=PRECISE", "FS=MRC", "CURRENCY=USD", "XLFILL=b")</f>
        <v>#N/A Requesting Data...</v>
      </c>
      <c r="AP116" s="6" t="str">
        <f>_xll.BQL("NOW US Equity", "GROSS_MARGIN", "FPR=2021Y", "FPT=A", "FA_ACT_EST_DATA=E, EST_SOURCE=CTI", "ACT_EST_MAPPING=PRECISE", "FS=MRC", "CURRENCY=USD", "XLFILL=b")</f>
        <v>#N/A Requesting Data...</v>
      </c>
      <c r="AQ116" s="6" t="str">
        <f>_xll.BQL("NOW US Equity", "GROSS_MARGIN", "FPR=2021Y", "FPT=A", "FA_ACT_EST_DATA=E, EST_SOURCE=WFT", "ACT_EST_MAPPING=PRECISE", "FS=MRC", "CURRENCY=USD", "XLFILL=b")</f>
        <v>#N/A Requesting Data...</v>
      </c>
      <c r="AR116" s="6" t="str">
        <f>_xll.BQL("NOW US Equity", "GROSS_MARGIN", "FPR=2021Y", "FPT=A", "FA_ACT_EST_DATA=E, EST_SOURCE=ARE", "ACT_EST_MAPPING=PRECISE", "FS=MRC", "CURRENCY=USD", "XLFILL=b")</f>
        <v>#N/A Requesting Data...</v>
      </c>
      <c r="AS116" s="6" t="str">
        <f>_xll.BQL("NOW US Equity", "GROSS_MARGIN", "FPR=2021Y", "FPT=A", "FA_ACT_EST_DATA=E, EST_SOURCE=PJE", "ACT_EST_MAPPING=PRECISE", "FS=MRC", "CURRENCY=USD", "XLFILL=b")</f>
        <v>#N/A Requesting Data...</v>
      </c>
      <c r="AT116" s="6" t="str">
        <f>_xll.BQL("NOW US Equity", "GROSS_MARGIN", "FPR=2021Y", "FPT=A", "FA_ACT_EST_DATA=E, EST_SOURCE=MZS", "ACT_EST_MAPPING=PRECISE", "FS=MRC", "CURRENCY=USD", "XLFILL=b")</f>
        <v>#N/A Requesting Data...</v>
      </c>
      <c r="AU116" s="6" t="str">
        <f>_xll.BQL("NOW US Equity", "GROSS_MARGIN", "FPR=2021Y", "FPT=A", "FA_ACT_EST_DATA=E, EST_SOURCE=SUM", "ACT_EST_MAPPING=PRECISE", "FS=MRC", "CURRENCY=USD", "XLFILL=b")</f>
        <v>#N/A Requesting Data...</v>
      </c>
      <c r="AV116" s="6" t="str">
        <f>_xll.BQL("NOW US Equity", "GROSS_MARGIN", "FPR=2021Y", "FPT=A", "FA_ACT_EST_DATA=E, EST_SOURCE=CRC", "ACT_EST_MAPPING=PRECISE", "FS=MRC", "CURRENCY=USD", "XLFILL=b")</f>
        <v>#N/A Requesting Data...</v>
      </c>
      <c r="AW116" s="6" t="str">
        <f>_xll.BQL("NOW US Equity", "GROSS_MARGIN", "FPR=2021Y", "FPT=A", "FA_ACT_EST_DATA=E, EST_SOURCE=SCB", "ACT_EST_MAPPING=PRECISE", "FS=MRC", "CURRENCY=USD", "XLFILL=b")</f>
        <v>#N/A Requesting Data...</v>
      </c>
    </row>
    <row r="117" spans="1:49" x14ac:dyDescent="0.55000000000000004">
      <c r="A117" s="5" t="s">
        <v>180</v>
      </c>
      <c r="B117" s="2" t="s">
        <v>181</v>
      </c>
      <c r="C117" s="2" t="s">
        <v>131</v>
      </c>
      <c r="D117" s="2"/>
      <c r="E117" s="6" t="str">
        <f>_xll.BQL("NOW US Equity", "IS_TOT_OPER_EXP/1M", "FPR=2021Y", "FPT=A", "FA_ACT_EST_DATA=E", "ACT_EST_MAPPING=PRECISE", "FS=MRC", "CURRENCY=USD", "XLFILL=b")</f>
        <v>#N/A Requesting Data...</v>
      </c>
      <c r="F117" s="6" t="str">
        <f>_xll.BQL("NOW US Equity", "CONTRIBUTOR_STATS(IS_TOT_OPER_EXP, MIN)/1M", "FPR=2021Y", "FPT=A", "FA_ACT_EST_DATA=E", "ACT_EST_MAPPING=PRECISE", "FS=MRC", "CURRENCY=USD", "XLFILL=b")</f>
        <v>#N/A Requesting Data...</v>
      </c>
      <c r="G117" s="6" t="str">
        <f>_xll.BQL("NOW US Equity", "CONTRIBUTOR_STATS(IS_TOT_OPER_EXP, MAX)/1M", "FPR=2021Y", "FPT=A", "FA_ACT_EST_DATA=E", "ACT_EST_MAPPING=PRECISE", "FS=MRC", "CURRENCY=USD", "XLFILL=b")</f>
        <v>#N/A Requesting Data...</v>
      </c>
      <c r="H117" s="6" t="str">
        <f>_xll.BQL("NOW US Equity", "CONTRIBUTOR_STATS(IS_TOT_OPER_EXP, STD)/1M", "FPR=2021Y", "FPT=A", "FA_ACT_EST_DATA=E", "ACT_EST_MAPPING=PRECISE", "FS=MRC", "CURRENCY=USD", "XLFILL=b")</f>
        <v>#N/A Requesting Data...</v>
      </c>
      <c r="I117" s="6" t="str">
        <f>_xll.BQL("NOW US Equity", "CONTRIBUTOR_STATS(IS_TOT_OPER_EXP, MEDIAN)/1M", "FPR=2021Y", "FPT=A", "FA_ACT_EST_DATA=E", "ACT_EST_MAPPING=PRECISE", "FS=MRC", "CURRENCY=USD", "XLFILL=b")</f>
        <v>#N/A Requesting Data...</v>
      </c>
      <c r="J117" s="6" t="str">
        <f>_xll.BQL("NOW US Equity", "IS_TOT_OPER_EXP/1M", "FPR=2021Y", "FPT=A", "FA_ACT_EST_DATA=E, EST_SOURCE=CMPY", "ACT_EST_MAPPING=PRECISE", "FS=MRC", "CURRENCY=USD", "XLFILL=b")</f>
        <v>#N/A Requesting Data...</v>
      </c>
      <c r="K117" s="6" t="str">
        <f>_xll.BQL("NOW US Equity", "IS_TOT_OPER_EXP/1M", "FPR=2021Y", "FPT=A", "FA_ACT_EST_DATA=E, EST_SOURCE=JPM", "ACT_EST_MAPPING=PRECISE", "FS=MRC", "CURRENCY=USD", "XLFILL=b")</f>
        <v>#N/A Requesting Data...</v>
      </c>
      <c r="L117" s="6" t="str">
        <f>_xll.BQL("NOW US Equity", "IS_TOT_OPER_EXP/1M", "FPR=2021Y", "FPT=A", "FA_ACT_EST_DATA=E, EST_SOURCE=WBL", "ACT_EST_MAPPING=PRECISE", "FS=MRC", "CURRENCY=USD", "XLFILL=b")</f>
        <v>#N/A Requesting Data...</v>
      </c>
      <c r="M117" s="6" t="str">
        <f>_xll.BQL("NOW US Equity", "IS_TOT_OPER_EXP/1M", "FPR=2021Y", "FPT=A", "FA_ACT_EST_DATA=E, EST_SOURCE=KEY", "ACT_EST_MAPPING=PRECISE", "FS=MRC", "CURRENCY=USD", "XLFILL=b")</f>
        <v>#N/A Requesting Data...</v>
      </c>
      <c r="N117" s="6" t="str">
        <f>_xll.BQL("NOW US Equity", "IS_TOT_OPER_EXP/1M", "FPR=2021Y", "FPT=A", "FA_ACT_EST_DATA=E, EST_SOURCE=BMO", "ACT_EST_MAPPING=PRECISE", "FS=MRC", "CURRENCY=USD", "XLFILL=b")</f>
        <v>#N/A Requesting Data...</v>
      </c>
      <c r="O117" s="6" t="str">
        <f>_xll.BQL("NOW US Equity", "IS_TOT_OPER_EXP/1M", "FPR=2021Y", "FPT=A", "FA_ACT_EST_DATA=E, EST_SOURCE=OPY", "ACT_EST_MAPPING=PRECISE", "FS=MRC", "CURRENCY=USD", "XLFILL=b")</f>
        <v>#N/A Requesting Data...</v>
      </c>
      <c r="P117" s="6" t="str">
        <f>_xll.BQL("NOW US Equity", "IS_TOT_OPER_EXP/1M", "FPR=2021Y", "FPT=A", "FA_ACT_EST_DATA=E, EST_SOURCE=BCA", "ACT_EST_MAPPING=PRECISE", "FS=MRC", "CURRENCY=USD", "XLFILL=b")</f>
        <v>#N/A Requesting Data...</v>
      </c>
      <c r="Q117" s="6" t="str">
        <f>_xll.BQL("NOW US Equity", "IS_TOT_OPER_EXP/1M", "FPR=2021Y", "FPT=A", "FA_ACT_EST_DATA=E, EST_SOURCE=RHR", "ACT_EST_MAPPING=PRECISE", "FS=MRC", "CURRENCY=USD", "XLFILL=b")</f>
        <v>#N/A Requesting Data...</v>
      </c>
      <c r="R117" s="6" t="str">
        <f>_xll.BQL("NOW US Equity", "IS_TOT_OPER_EXP/1M", "FPR=2021Y", "FPT=A", "FA_ACT_EST_DATA=E, EST_SOURCE=SNR", "ACT_EST_MAPPING=PRECISE", "FS=MRC", "CURRENCY=USD", "XLFILL=b")</f>
        <v>#N/A Requesting Data...</v>
      </c>
      <c r="S117" s="6" t="str">
        <f>_xll.BQL("NOW US Equity", "IS_TOT_OPER_EXP/1M", "FPR=2021Y", "FPT=A", "FA_ACT_EST_DATA=E, EST_SOURCE=MSV", "ACT_EST_MAPPING=PRECISE", "FS=MRC", "CURRENCY=USD", "XLFILL=b")</f>
        <v>#N/A Requesting Data...</v>
      </c>
      <c r="T117" s="6" t="str">
        <f>_xll.BQL("NOW US Equity", "IS_TOT_OPER_EXP/1M", "FPR=2021Y", "FPT=A", "FA_ACT_EST_DATA=E, EST_SOURCE=CAN", "ACT_EST_MAPPING=PRECISE", "FS=MRC", "CURRENCY=USD", "XLFILL=b")</f>
        <v>#N/A Requesting Data...</v>
      </c>
      <c r="U117" s="6" t="str">
        <f>_xll.BQL("NOW US Equity", "IS_TOT_OPER_EXP/1M", "FPR=2021Y", "FPT=A", "FA_ACT_EST_DATA=E, EST_SOURCE=JMP", "ACT_EST_MAPPING=PRECISE", "FS=MRC", "CURRENCY=USD", "XLFILL=b")</f>
        <v>#N/A Requesting Data...</v>
      </c>
      <c r="V117" s="6" t="str">
        <f>_xll.BQL("NOW US Equity", "IS_TOT_OPER_EXP/1M", "FPR=2021Y", "FPT=A", "FA_ACT_EST_DATA=E, EST_SOURCE=NDH", "ACT_EST_MAPPING=PRECISE", "FS=MRC", "CURRENCY=USD", "XLFILL=b")</f>
        <v>#N/A Requesting Data...</v>
      </c>
      <c r="W117" s="6" t="str">
        <f>_xll.BQL("NOW US Equity", "IS_TOT_OPER_EXP/1M", "FPR=2021Y", "FPT=A", "FA_ACT_EST_DATA=E, EST_SOURCE=ZXS", "ACT_EST_MAPPING=PRECISE", "FS=MRC", "CURRENCY=USD", "XLFILL=b")</f>
        <v>#N/A Requesting Data...</v>
      </c>
      <c r="X117" s="6" t="str">
        <f>_xll.BQL("NOW US Equity", "IS_TOT_OPER_EXP/1M", "FPR=2021Y", "FPT=A", "FA_ACT_EST_DATA=E, EST_SOURCE=CWN", "ACT_EST_MAPPING=PRECISE", "FS=MRC", "CURRENCY=USD", "XLFILL=b")</f>
        <v>#N/A Requesting Data...</v>
      </c>
      <c r="Y117" s="6" t="str">
        <f>_xll.BQL("NOW US Equity", "IS_TOT_OPER_EXP/1M", "FPR=2021Y", "FPT=A", "FA_ACT_EST_DATA=E, EST_SOURCE=DBG", "ACT_EST_MAPPING=PRECISE", "FS=MRC", "CURRENCY=USD", "XLFILL=b")</f>
        <v>#N/A Requesting Data...</v>
      </c>
      <c r="Z117" s="6" t="str">
        <f>_xll.BQL("NOW US Equity", "IS_TOT_OPER_EXP/1M", "FPR=2021Y", "FPT=A", "FA_ACT_EST_DATA=E, EST_SOURCE=UBS", "ACT_EST_MAPPING=PRECISE", "FS=MRC", "CURRENCY=USD", "XLFILL=b")</f>
        <v>#N/A Requesting Data...</v>
      </c>
      <c r="AA117" s="6" t="str">
        <f>_xll.BQL("NOW US Equity", "IS_TOT_OPER_EXP/1M", "FPR=2021Y", "FPT=A", "FA_ACT_EST_DATA=E, EST_SOURCE=RBC", "ACT_EST_MAPPING=PRECISE", "FS=MRC", "CURRENCY=USD", "XLFILL=b")</f>
        <v>#N/A Requesting Data...</v>
      </c>
      <c r="AB117" s="6" t="str">
        <f>_xll.BQL("NOW US Equity", "IS_TOT_OPER_EXP/1M", "FPR=2021Y", "FPT=A", "FA_ACT_EST_DATA=E, EST_SOURCE=EVR", "ACT_EST_MAPPING=PRECISE", "FS=MRC", "CURRENCY=USD", "XLFILL=b")</f>
        <v>#N/A Requesting Data...</v>
      </c>
      <c r="AC117" s="6" t="str">
        <f>_xll.BQL("NOW US Equity", "IS_TOT_OPER_EXP/1M", "FPR=2021Y", "FPT=A", "FA_ACT_EST_DATA=E, EST_SOURCE=BNS", "ACT_EST_MAPPING=PRECISE", "FS=MRC", "CURRENCY=USD", "XLFILL=b")</f>
        <v>#N/A Requesting Data...</v>
      </c>
      <c r="AD117" s="6" t="str">
        <f>_xll.BQL("NOW US Equity", "IS_TOT_OPER_EXP/1M", "FPR=2021Y", "FPT=A", "FA_ACT_EST_DATA=E, EST_SOURCE=BAM", "ACT_EST_MAPPING=PRECISE", "FS=MRC", "CURRENCY=USD", "XLFILL=b")</f>
        <v>#N/A Requesting Data...</v>
      </c>
      <c r="AE117" s="6" t="str">
        <f>_xll.BQL("NOW US Equity", "IS_TOT_OPER_EXP/1M", "FPR=2021Y", "FPT=A", "FA_ACT_EST_DATA=E, EST_SOURCE=GSR", "ACT_EST_MAPPING=PRECISE", "FS=MRC", "CURRENCY=USD", "XLFILL=b")</f>
        <v>#N/A Requesting Data...</v>
      </c>
      <c r="AF117" s="6" t="str">
        <f>_xll.BQL("NOW US Equity", "IS_TOT_OPER_EXP/1M", "FPR=2021Y", "FPT=A", "FA_ACT_EST_DATA=E, EST_SOURCE=FBC", "ACT_EST_MAPPING=PRECISE", "FS=MRC", "CURRENCY=USD", "XLFILL=b")</f>
        <v>#N/A Requesting Data...</v>
      </c>
      <c r="AG117" s="6" t="str">
        <f>_xll.BQL("NOW US Equity", "IS_TOT_OPER_EXP/1M", "FPR=2021Y", "FPT=A", "FA_ACT_EST_DATA=E, EST_SOURCE=MAC", "ACT_EST_MAPPING=PRECISE", "FS=MRC", "CURRENCY=USD", "XLFILL=b")</f>
        <v>#N/A Requesting Data...</v>
      </c>
      <c r="AH117" s="6" t="str">
        <f>_xll.BQL("NOW US Equity", "IS_TOT_OPER_EXP/1M", "FPR=2021Y", "FPT=A", "FA_ACT_EST_DATA=E, EST_SOURCE=PSG", "ACT_EST_MAPPING=PRECISE", "FS=MRC", "CURRENCY=USD", "XLFILL=b")</f>
        <v>#N/A Requesting Data...</v>
      </c>
      <c r="AI117" s="6" t="str">
        <f>_xll.BQL("NOW US Equity", "IS_TOT_OPER_EXP/1M", "FPR=2021Y", "FPT=A", "FA_ACT_EST_DATA=E, EST_SOURCE=MSR", "ACT_EST_MAPPING=PRECISE", "FS=MRC", "CURRENCY=USD", "XLFILL=b")</f>
        <v>#N/A Requesting Data...</v>
      </c>
      <c r="AJ117" s="6" t="str">
        <f>_xll.BQL("NOW US Equity", "IS_TOT_OPER_EXP/1M", "FPR=2021Y", "FPT=A", "FA_ACT_EST_DATA=E, EST_SOURCE=JEF", "ACT_EST_MAPPING=PRECISE", "FS=MRC", "CURRENCY=USD", "XLFILL=b")</f>
        <v>#N/A Requesting Data...</v>
      </c>
      <c r="AK117" s="6" t="str">
        <f>_xll.BQL("NOW US Equity", "IS_TOT_OPER_EXP/1M", "FPR=2021Y", "FPT=A", "FA_ACT_EST_DATA=E, EST_SOURCE=TTC", "ACT_EST_MAPPING=PRECISE", "FS=MRC", "CURRENCY=USD", "XLFILL=b")</f>
        <v>#N/A Requesting Data...</v>
      </c>
      <c r="AL117" s="6" t="str">
        <f>_xll.BQL("NOW US Equity", "IS_TOT_OPER_EXP/1M", "FPR=2021Y", "FPT=A", "FA_ACT_EST_DATA=E, EST_SOURCE=RWB", "ACT_EST_MAPPING=PRECISE", "FS=MRC", "CURRENCY=USD", "XLFILL=b")</f>
        <v>#N/A Requesting Data...</v>
      </c>
      <c r="AM117" s="6" t="str">
        <f>_xll.BQL("NOW US Equity", "IS_TOT_OPER_EXP/1M", "FPR=2021Y", "FPT=A", "FA_ACT_EST_DATA=E, EST_SOURCE=DZB", "ACT_EST_MAPPING=PRECISE", "FS=MRC", "CURRENCY=USD", "XLFILL=b")</f>
        <v>#N/A Requesting Data...</v>
      </c>
      <c r="AN117" s="6" t="str">
        <f>_xll.BQL("NOW US Equity", "IS_TOT_OPER_EXP/1M", "FPR=2021Y", "FPT=A", "FA_ACT_EST_DATA=E, EST_SOURCE=DWI", "ACT_EST_MAPPING=PRECISE", "FS=MRC", "CURRENCY=USD", "XLFILL=b")</f>
        <v>#N/A Requesting Data...</v>
      </c>
      <c r="AO117" s="6" t="str">
        <f>_xll.BQL("NOW US Equity", "IS_TOT_OPER_EXP/1M", "FPR=2021Y", "FPT=A", "FA_ACT_EST_DATA=E, EST_SOURCE=ARG", "ACT_EST_MAPPING=PRECISE", "FS=MRC", "CURRENCY=USD", "XLFILL=b")</f>
        <v>#N/A Requesting Data...</v>
      </c>
      <c r="AP117" s="6" t="str">
        <f>_xll.BQL("NOW US Equity", "IS_TOT_OPER_EXP/1M", "FPR=2021Y", "FPT=A", "FA_ACT_EST_DATA=E, EST_SOURCE=CTI", "ACT_EST_MAPPING=PRECISE", "FS=MRC", "CURRENCY=USD", "XLFILL=b")</f>
        <v>#N/A Requesting Data...</v>
      </c>
      <c r="AQ117" s="6" t="str">
        <f>_xll.BQL("NOW US Equity", "IS_TOT_OPER_EXP/1M", "FPR=2021Y", "FPT=A", "FA_ACT_EST_DATA=E, EST_SOURCE=WFT", "ACT_EST_MAPPING=PRECISE", "FS=MRC", "CURRENCY=USD", "XLFILL=b")</f>
        <v>#N/A Requesting Data...</v>
      </c>
      <c r="AR117" s="6" t="str">
        <f>_xll.BQL("NOW US Equity", "IS_TOT_OPER_EXP/1M", "FPR=2021Y", "FPT=A", "FA_ACT_EST_DATA=E, EST_SOURCE=ARE", "ACT_EST_MAPPING=PRECISE", "FS=MRC", "CURRENCY=USD", "XLFILL=b")</f>
        <v>#N/A Requesting Data...</v>
      </c>
      <c r="AS117" s="6" t="str">
        <f>_xll.BQL("NOW US Equity", "IS_TOT_OPER_EXP/1M", "FPR=2021Y", "FPT=A", "FA_ACT_EST_DATA=E, EST_SOURCE=PJE", "ACT_EST_MAPPING=PRECISE", "FS=MRC", "CURRENCY=USD", "XLFILL=b")</f>
        <v>#N/A Requesting Data...</v>
      </c>
      <c r="AT117" s="6" t="str">
        <f>_xll.BQL("NOW US Equity", "IS_TOT_OPER_EXP/1M", "FPR=2021Y", "FPT=A", "FA_ACT_EST_DATA=E, EST_SOURCE=MZS", "ACT_EST_MAPPING=PRECISE", "FS=MRC", "CURRENCY=USD", "XLFILL=b")</f>
        <v>#N/A Requesting Data...</v>
      </c>
      <c r="AU117" s="6" t="str">
        <f>_xll.BQL("NOW US Equity", "IS_TOT_OPER_EXP/1M", "FPR=2021Y", "FPT=A", "FA_ACT_EST_DATA=E, EST_SOURCE=SUM", "ACT_EST_MAPPING=PRECISE", "FS=MRC", "CURRENCY=USD", "XLFILL=b")</f>
        <v>#N/A Requesting Data...</v>
      </c>
      <c r="AV117" s="6" t="str">
        <f>_xll.BQL("NOW US Equity", "IS_TOT_OPER_EXP/1M", "FPR=2021Y", "FPT=A", "FA_ACT_EST_DATA=E, EST_SOURCE=CRC", "ACT_EST_MAPPING=PRECISE", "FS=MRC", "CURRENCY=USD", "XLFILL=b")</f>
        <v>#N/A Requesting Data...</v>
      </c>
      <c r="AW117" s="6" t="str">
        <f>_xll.BQL("NOW US Equity", "IS_TOT_OPER_EXP/1M", "FPR=2021Y", "FPT=A", "FA_ACT_EST_DATA=E, EST_SOURCE=SCB", "ACT_EST_MAPPING=PRECISE", "FS=MRC", "CURRENCY=USD", "XLFILL=b")</f>
        <v>#N/A Requesting Data...</v>
      </c>
    </row>
    <row r="118" spans="1:49" x14ac:dyDescent="0.55000000000000004">
      <c r="A118" s="5" t="s">
        <v>104</v>
      </c>
      <c r="B118" s="2" t="s">
        <v>182</v>
      </c>
      <c r="C118" s="2" t="s">
        <v>63</v>
      </c>
      <c r="D118" s="2"/>
      <c r="E118" s="6" t="str">
        <f>_xll.BQL("NOW US Equity", "OPERATING_EXPENSES_TO_NET_SALES", "FPR=2021Y", "FPT=A", "FA_ACT_EST_DATA=E", "ACT_EST_MAPPING=PRECISE", "FS=MRC", "CURRENCY=USD", "XLFILL=b")</f>
        <v>#N/A Requesting Data...</v>
      </c>
      <c r="F118" s="6" t="str">
        <f>_xll.BQL("NOW US Equity", "CONTRIBUTOR_STATS(OPERATING_EXPENSES_TO_NET_SALES, MIN)", "FPR=2021Y", "FPT=A", "FA_ACT_EST_DATA=E", "ACT_EST_MAPPING=PRECISE", "FS=MRC", "CURRENCY=USD", "XLFILL=b")</f>
        <v>#N/A Requesting Data...</v>
      </c>
      <c r="G118" s="6" t="str">
        <f>_xll.BQL("NOW US Equity", "CONTRIBUTOR_STATS(OPERATING_EXPENSES_TO_NET_SALES, MAX)", "FPR=2021Y", "FPT=A", "FA_ACT_EST_DATA=E", "ACT_EST_MAPPING=PRECISE", "FS=MRC", "CURRENCY=USD", "XLFILL=b")</f>
        <v>#N/A Requesting Data...</v>
      </c>
      <c r="H118" s="6" t="str">
        <f>_xll.BQL("NOW US Equity", "CONTRIBUTOR_STATS(OPERATING_EXPENSES_TO_NET_SALES, STD)", "FPR=2021Y", "FPT=A", "FA_ACT_EST_DATA=E", "ACT_EST_MAPPING=PRECISE", "FS=MRC", "CURRENCY=USD", "XLFILL=b")</f>
        <v>#N/A Requesting Data...</v>
      </c>
      <c r="I118" s="6" t="str">
        <f>_xll.BQL("NOW US Equity", "CONTRIBUTOR_STATS(OPERATING_EXPENSES_TO_NET_SALES, MEDIAN)", "FPR=2021Y", "FPT=A", "FA_ACT_EST_DATA=E", "ACT_EST_MAPPING=PRECISE", "FS=MRC", "CURRENCY=USD", "XLFILL=b")</f>
        <v>#N/A Requesting Data...</v>
      </c>
      <c r="J118" s="6" t="str">
        <f>_xll.BQL("NOW US Equity", "OPERATING_EXPENSES_TO_NET_SALES", "FPR=2021Y", "FPT=A", "FA_ACT_EST_DATA=E, EST_SOURCE=CMPY", "ACT_EST_MAPPING=PRECISE", "FS=MRC", "CURRENCY=USD", "XLFILL=b")</f>
        <v>#N/A Requesting Data...</v>
      </c>
      <c r="K118" s="6" t="str">
        <f>_xll.BQL("NOW US Equity", "OPERATING_EXPENSES_TO_NET_SALES", "FPR=2021Y", "FPT=A", "FA_ACT_EST_DATA=E, EST_SOURCE=JPM", "ACT_EST_MAPPING=PRECISE", "FS=MRC", "CURRENCY=USD", "XLFILL=b")</f>
        <v>#N/A Requesting Data...</v>
      </c>
      <c r="L118" s="6" t="str">
        <f>_xll.BQL("NOW US Equity", "OPERATING_EXPENSES_TO_NET_SALES", "FPR=2021Y", "FPT=A", "FA_ACT_EST_DATA=E, EST_SOURCE=WBL", "ACT_EST_MAPPING=PRECISE", "FS=MRC", "CURRENCY=USD", "XLFILL=b")</f>
        <v>#N/A Requesting Data...</v>
      </c>
      <c r="M118" s="6" t="str">
        <f>_xll.BQL("NOW US Equity", "OPERATING_EXPENSES_TO_NET_SALES", "FPR=2021Y", "FPT=A", "FA_ACT_EST_DATA=E, EST_SOURCE=KEY", "ACT_EST_MAPPING=PRECISE", "FS=MRC", "CURRENCY=USD", "XLFILL=b")</f>
        <v>#N/A Requesting Data...</v>
      </c>
      <c r="N118" s="6" t="str">
        <f>_xll.BQL("NOW US Equity", "OPERATING_EXPENSES_TO_NET_SALES", "FPR=2021Y", "FPT=A", "FA_ACT_EST_DATA=E, EST_SOURCE=BMO", "ACT_EST_MAPPING=PRECISE", "FS=MRC", "CURRENCY=USD", "XLFILL=b")</f>
        <v>#N/A Requesting Data...</v>
      </c>
      <c r="O118" s="6" t="str">
        <f>_xll.BQL("NOW US Equity", "OPERATING_EXPENSES_TO_NET_SALES", "FPR=2021Y", "FPT=A", "FA_ACT_EST_DATA=E, EST_SOURCE=OPY", "ACT_EST_MAPPING=PRECISE", "FS=MRC", "CURRENCY=USD", "XLFILL=b")</f>
        <v>#N/A Requesting Data...</v>
      </c>
      <c r="P118" s="6" t="str">
        <f>_xll.BQL("NOW US Equity", "OPERATING_EXPENSES_TO_NET_SALES", "FPR=2021Y", "FPT=A", "FA_ACT_EST_DATA=E, EST_SOURCE=BCA", "ACT_EST_MAPPING=PRECISE", "FS=MRC", "CURRENCY=USD", "XLFILL=b")</f>
        <v>#N/A Requesting Data...</v>
      </c>
      <c r="Q118" s="6" t="str">
        <f>_xll.BQL("NOW US Equity", "OPERATING_EXPENSES_TO_NET_SALES", "FPR=2021Y", "FPT=A", "FA_ACT_EST_DATA=E, EST_SOURCE=RHR", "ACT_EST_MAPPING=PRECISE", "FS=MRC", "CURRENCY=USD", "XLFILL=b")</f>
        <v>#N/A Requesting Data...</v>
      </c>
      <c r="R118" s="6" t="str">
        <f>_xll.BQL("NOW US Equity", "OPERATING_EXPENSES_TO_NET_SALES", "FPR=2021Y", "FPT=A", "FA_ACT_EST_DATA=E, EST_SOURCE=SNR", "ACT_EST_MAPPING=PRECISE", "FS=MRC", "CURRENCY=USD", "XLFILL=b")</f>
        <v>#N/A Requesting Data...</v>
      </c>
      <c r="S118" s="6" t="str">
        <f>_xll.BQL("NOW US Equity", "OPERATING_EXPENSES_TO_NET_SALES", "FPR=2021Y", "FPT=A", "FA_ACT_EST_DATA=E, EST_SOURCE=MSV", "ACT_EST_MAPPING=PRECISE", "FS=MRC", "CURRENCY=USD", "XLFILL=b")</f>
        <v>#N/A Requesting Data...</v>
      </c>
      <c r="T118" s="6" t="str">
        <f>_xll.BQL("NOW US Equity", "OPERATING_EXPENSES_TO_NET_SALES", "FPR=2021Y", "FPT=A", "FA_ACT_EST_DATA=E, EST_SOURCE=CAN", "ACT_EST_MAPPING=PRECISE", "FS=MRC", "CURRENCY=USD", "XLFILL=b")</f>
        <v>#N/A Requesting Data...</v>
      </c>
      <c r="U118" s="6" t="str">
        <f>_xll.BQL("NOW US Equity", "OPERATING_EXPENSES_TO_NET_SALES", "FPR=2021Y", "FPT=A", "FA_ACT_EST_DATA=E, EST_SOURCE=JMP", "ACT_EST_MAPPING=PRECISE", "FS=MRC", "CURRENCY=USD", "XLFILL=b")</f>
        <v>#N/A Requesting Data...</v>
      </c>
      <c r="V118" s="6" t="str">
        <f>_xll.BQL("NOW US Equity", "OPERATING_EXPENSES_TO_NET_SALES", "FPR=2021Y", "FPT=A", "FA_ACT_EST_DATA=E, EST_SOURCE=NDH", "ACT_EST_MAPPING=PRECISE", "FS=MRC", "CURRENCY=USD", "XLFILL=b")</f>
        <v>#N/A Requesting Data...</v>
      </c>
      <c r="W118" s="6" t="str">
        <f>_xll.BQL("NOW US Equity", "OPERATING_EXPENSES_TO_NET_SALES", "FPR=2021Y", "FPT=A", "FA_ACT_EST_DATA=E, EST_SOURCE=ZXS", "ACT_EST_MAPPING=PRECISE", "FS=MRC", "CURRENCY=USD", "XLFILL=b")</f>
        <v>#N/A Requesting Data...</v>
      </c>
      <c r="X118" s="6" t="str">
        <f>_xll.BQL("NOW US Equity", "OPERATING_EXPENSES_TO_NET_SALES", "FPR=2021Y", "FPT=A", "FA_ACT_EST_DATA=E, EST_SOURCE=CWN", "ACT_EST_MAPPING=PRECISE", "FS=MRC", "CURRENCY=USD", "XLFILL=b")</f>
        <v>#N/A Requesting Data...</v>
      </c>
      <c r="Y118" s="6" t="str">
        <f>_xll.BQL("NOW US Equity", "OPERATING_EXPENSES_TO_NET_SALES", "FPR=2021Y", "FPT=A", "FA_ACT_EST_DATA=E, EST_SOURCE=DBG", "ACT_EST_MAPPING=PRECISE", "FS=MRC", "CURRENCY=USD", "XLFILL=b")</f>
        <v>#N/A Requesting Data...</v>
      </c>
      <c r="Z118" s="6" t="str">
        <f>_xll.BQL("NOW US Equity", "OPERATING_EXPENSES_TO_NET_SALES", "FPR=2021Y", "FPT=A", "FA_ACT_EST_DATA=E, EST_SOURCE=UBS", "ACT_EST_MAPPING=PRECISE", "FS=MRC", "CURRENCY=USD", "XLFILL=b")</f>
        <v>#N/A Requesting Data...</v>
      </c>
      <c r="AA118" s="6" t="str">
        <f>_xll.BQL("NOW US Equity", "OPERATING_EXPENSES_TO_NET_SALES", "FPR=2021Y", "FPT=A", "FA_ACT_EST_DATA=E, EST_SOURCE=RBC", "ACT_EST_MAPPING=PRECISE", "FS=MRC", "CURRENCY=USD", "XLFILL=b")</f>
        <v>#N/A Requesting Data...</v>
      </c>
      <c r="AB118" s="6" t="str">
        <f>_xll.BQL("NOW US Equity", "OPERATING_EXPENSES_TO_NET_SALES", "FPR=2021Y", "FPT=A", "FA_ACT_EST_DATA=E, EST_SOURCE=EVR", "ACT_EST_MAPPING=PRECISE", "FS=MRC", "CURRENCY=USD", "XLFILL=b")</f>
        <v>#N/A Requesting Data...</v>
      </c>
      <c r="AC118" s="6" t="str">
        <f>_xll.BQL("NOW US Equity", "OPERATING_EXPENSES_TO_NET_SALES", "FPR=2021Y", "FPT=A", "FA_ACT_EST_DATA=E, EST_SOURCE=BNS", "ACT_EST_MAPPING=PRECISE", "FS=MRC", "CURRENCY=USD", "XLFILL=b")</f>
        <v>#N/A Requesting Data...</v>
      </c>
      <c r="AD118" s="6" t="str">
        <f>_xll.BQL("NOW US Equity", "OPERATING_EXPENSES_TO_NET_SALES", "FPR=2021Y", "FPT=A", "FA_ACT_EST_DATA=E, EST_SOURCE=BAM", "ACT_EST_MAPPING=PRECISE", "FS=MRC", "CURRENCY=USD", "XLFILL=b")</f>
        <v>#N/A Requesting Data...</v>
      </c>
      <c r="AE118" s="6" t="str">
        <f>_xll.BQL("NOW US Equity", "OPERATING_EXPENSES_TO_NET_SALES", "FPR=2021Y", "FPT=A", "FA_ACT_EST_DATA=E, EST_SOURCE=GSR", "ACT_EST_MAPPING=PRECISE", "FS=MRC", "CURRENCY=USD", "XLFILL=b")</f>
        <v>#N/A Requesting Data...</v>
      </c>
      <c r="AF118" s="6" t="str">
        <f>_xll.BQL("NOW US Equity", "OPERATING_EXPENSES_TO_NET_SALES", "FPR=2021Y", "FPT=A", "FA_ACT_EST_DATA=E, EST_SOURCE=FBC", "ACT_EST_MAPPING=PRECISE", "FS=MRC", "CURRENCY=USD", "XLFILL=b")</f>
        <v>#N/A Requesting Data...</v>
      </c>
      <c r="AG118" s="6" t="str">
        <f>_xll.BQL("NOW US Equity", "OPERATING_EXPENSES_TO_NET_SALES", "FPR=2021Y", "FPT=A", "FA_ACT_EST_DATA=E, EST_SOURCE=MAC", "ACT_EST_MAPPING=PRECISE", "FS=MRC", "CURRENCY=USD", "XLFILL=b")</f>
        <v>#N/A Requesting Data...</v>
      </c>
      <c r="AH118" s="6" t="str">
        <f>_xll.BQL("NOW US Equity", "OPERATING_EXPENSES_TO_NET_SALES", "FPR=2021Y", "FPT=A", "FA_ACT_EST_DATA=E, EST_SOURCE=PSG", "ACT_EST_MAPPING=PRECISE", "FS=MRC", "CURRENCY=USD", "XLFILL=b")</f>
        <v>#N/A Requesting Data...</v>
      </c>
      <c r="AI118" s="6" t="str">
        <f>_xll.BQL("NOW US Equity", "OPERATING_EXPENSES_TO_NET_SALES", "FPR=2021Y", "FPT=A", "FA_ACT_EST_DATA=E, EST_SOURCE=MSR", "ACT_EST_MAPPING=PRECISE", "FS=MRC", "CURRENCY=USD", "XLFILL=b")</f>
        <v>#N/A Requesting Data...</v>
      </c>
      <c r="AJ118" s="6" t="str">
        <f>_xll.BQL("NOW US Equity", "OPERATING_EXPENSES_TO_NET_SALES", "FPR=2021Y", "FPT=A", "FA_ACT_EST_DATA=E, EST_SOURCE=JEF", "ACT_EST_MAPPING=PRECISE", "FS=MRC", "CURRENCY=USD", "XLFILL=b")</f>
        <v>#N/A Requesting Data...</v>
      </c>
      <c r="AK118" s="6" t="str">
        <f>_xll.BQL("NOW US Equity", "OPERATING_EXPENSES_TO_NET_SALES", "FPR=2021Y", "FPT=A", "FA_ACT_EST_DATA=E, EST_SOURCE=TTC", "ACT_EST_MAPPING=PRECISE", "FS=MRC", "CURRENCY=USD", "XLFILL=b")</f>
        <v>#N/A Requesting Data...</v>
      </c>
      <c r="AL118" s="6" t="str">
        <f>_xll.BQL("NOW US Equity", "OPERATING_EXPENSES_TO_NET_SALES", "FPR=2021Y", "FPT=A", "FA_ACT_EST_DATA=E, EST_SOURCE=RWB", "ACT_EST_MAPPING=PRECISE", "FS=MRC", "CURRENCY=USD", "XLFILL=b")</f>
        <v>#N/A Requesting Data...</v>
      </c>
      <c r="AM118" s="6" t="str">
        <f>_xll.BQL("NOW US Equity", "OPERATING_EXPENSES_TO_NET_SALES", "FPR=2021Y", "FPT=A", "FA_ACT_EST_DATA=E, EST_SOURCE=DZB", "ACT_EST_MAPPING=PRECISE", "FS=MRC", "CURRENCY=USD", "XLFILL=b")</f>
        <v>#N/A Requesting Data...</v>
      </c>
      <c r="AN118" s="6" t="str">
        <f>_xll.BQL("NOW US Equity", "OPERATING_EXPENSES_TO_NET_SALES", "FPR=2021Y", "FPT=A", "FA_ACT_EST_DATA=E, EST_SOURCE=DWI", "ACT_EST_MAPPING=PRECISE", "FS=MRC", "CURRENCY=USD", "XLFILL=b")</f>
        <v>#N/A Requesting Data...</v>
      </c>
      <c r="AO118" s="6" t="str">
        <f>_xll.BQL("NOW US Equity", "OPERATING_EXPENSES_TO_NET_SALES", "FPR=2021Y", "FPT=A", "FA_ACT_EST_DATA=E, EST_SOURCE=ARG", "ACT_EST_MAPPING=PRECISE", "FS=MRC", "CURRENCY=USD", "XLFILL=b")</f>
        <v>#N/A Requesting Data...</v>
      </c>
      <c r="AP118" s="6" t="str">
        <f>_xll.BQL("NOW US Equity", "OPERATING_EXPENSES_TO_NET_SALES", "FPR=2021Y", "FPT=A", "FA_ACT_EST_DATA=E, EST_SOURCE=CTI", "ACT_EST_MAPPING=PRECISE", "FS=MRC", "CURRENCY=USD", "XLFILL=b")</f>
        <v>#N/A Requesting Data...</v>
      </c>
      <c r="AQ118" s="6" t="str">
        <f>_xll.BQL("NOW US Equity", "OPERATING_EXPENSES_TO_NET_SALES", "FPR=2021Y", "FPT=A", "FA_ACT_EST_DATA=E, EST_SOURCE=WFT", "ACT_EST_MAPPING=PRECISE", "FS=MRC", "CURRENCY=USD", "XLFILL=b")</f>
        <v>#N/A Requesting Data...</v>
      </c>
      <c r="AR118" s="6" t="str">
        <f>_xll.BQL("NOW US Equity", "OPERATING_EXPENSES_TO_NET_SALES", "FPR=2021Y", "FPT=A", "FA_ACT_EST_DATA=E, EST_SOURCE=ARE", "ACT_EST_MAPPING=PRECISE", "FS=MRC", "CURRENCY=USD", "XLFILL=b")</f>
        <v>#N/A Requesting Data...</v>
      </c>
      <c r="AS118" s="6" t="str">
        <f>_xll.BQL("NOW US Equity", "OPERATING_EXPENSES_TO_NET_SALES", "FPR=2021Y", "FPT=A", "FA_ACT_EST_DATA=E, EST_SOURCE=PJE", "ACT_EST_MAPPING=PRECISE", "FS=MRC", "CURRENCY=USD", "XLFILL=b")</f>
        <v>#N/A Requesting Data...</v>
      </c>
      <c r="AT118" s="6" t="str">
        <f>_xll.BQL("NOW US Equity", "OPERATING_EXPENSES_TO_NET_SALES", "FPR=2021Y", "FPT=A", "FA_ACT_EST_DATA=E, EST_SOURCE=MZS", "ACT_EST_MAPPING=PRECISE", "FS=MRC", "CURRENCY=USD", "XLFILL=b")</f>
        <v>#N/A Requesting Data...</v>
      </c>
      <c r="AU118" s="6" t="str">
        <f>_xll.BQL("NOW US Equity", "OPERATING_EXPENSES_TO_NET_SALES", "FPR=2021Y", "FPT=A", "FA_ACT_EST_DATA=E, EST_SOURCE=SUM", "ACT_EST_MAPPING=PRECISE", "FS=MRC", "CURRENCY=USD", "XLFILL=b")</f>
        <v>#N/A Requesting Data...</v>
      </c>
      <c r="AV118" s="6" t="str">
        <f>_xll.BQL("NOW US Equity", "OPERATING_EXPENSES_TO_NET_SALES", "FPR=2021Y", "FPT=A", "FA_ACT_EST_DATA=E, EST_SOURCE=CRC", "ACT_EST_MAPPING=PRECISE", "FS=MRC", "CURRENCY=USD", "XLFILL=b")</f>
        <v>#N/A Requesting Data...</v>
      </c>
      <c r="AW118" s="6" t="str">
        <f>_xll.BQL("NOW US Equity", "OPERATING_EXPENSES_TO_NET_SALES", "FPR=2021Y", "FPT=A", "FA_ACT_EST_DATA=E, EST_SOURCE=SCB", "ACT_EST_MAPPING=PRECISE", "FS=MRC", "CURRENCY=USD", "XLFILL=b")</f>
        <v>#N/A Requesting Data...</v>
      </c>
    </row>
    <row r="119" spans="1:49" x14ac:dyDescent="0.55000000000000004">
      <c r="A119" s="5" t="s">
        <v>183</v>
      </c>
      <c r="B119" s="2" t="s">
        <v>184</v>
      </c>
      <c r="C119" s="2" t="s">
        <v>133</v>
      </c>
      <c r="D119" s="2"/>
      <c r="E119" s="6" t="str">
        <f>_xll.BQL("NOW US Equity", "CB_IS_S_AND_M_EXPENSE/1M", "FPR=2021Y", "FPT=A", "FA_ACT_EST_DATA=E", "ACT_EST_MAPPING=PRECISE", "FS=MRC", "CURRENCY=USD", "XLFILL=b")</f>
        <v>#N/A Requesting Data...</v>
      </c>
      <c r="F119" s="6" t="str">
        <f>_xll.BQL("NOW US Equity", "CONTRIBUTOR_STATS(CB_IS_S_AND_M_EXPENSE, MIN)/1M", "FPR=2021Y", "FPT=A", "FA_ACT_EST_DATA=E", "ACT_EST_MAPPING=PRECISE", "FS=MRC", "CURRENCY=USD", "XLFILL=b")</f>
        <v>#N/A Requesting Data...</v>
      </c>
      <c r="G119" s="6" t="str">
        <f>_xll.BQL("NOW US Equity", "CONTRIBUTOR_STATS(CB_IS_S_AND_M_EXPENSE, MAX)/1M", "FPR=2021Y", "FPT=A", "FA_ACT_EST_DATA=E", "ACT_EST_MAPPING=PRECISE", "FS=MRC", "CURRENCY=USD", "XLFILL=b")</f>
        <v>#N/A Requesting Data...</v>
      </c>
      <c r="H119" s="6" t="str">
        <f>_xll.BQL("NOW US Equity", "CONTRIBUTOR_STATS(CB_IS_S_AND_M_EXPENSE, STD)/1M", "FPR=2021Y", "FPT=A", "FA_ACT_EST_DATA=E", "ACT_EST_MAPPING=PRECISE", "FS=MRC", "CURRENCY=USD", "XLFILL=b")</f>
        <v>#N/A Requesting Data...</v>
      </c>
      <c r="I119" s="6" t="str">
        <f>_xll.BQL("NOW US Equity", "CONTRIBUTOR_STATS(CB_IS_S_AND_M_EXPENSE, MEDIAN)/1M", "FPR=2021Y", "FPT=A", "FA_ACT_EST_DATA=E", "ACT_EST_MAPPING=PRECISE", "FS=MRC", "CURRENCY=USD", "XLFILL=b")</f>
        <v>#N/A Requesting Data...</v>
      </c>
      <c r="J119" s="6" t="str">
        <f>_xll.BQL("NOW US Equity", "CB_IS_S_AND_M_EXPENSE/1M", "FPR=2021Y", "FPT=A", "FA_ACT_EST_DATA=E, EST_SOURCE=CMPY", "ACT_EST_MAPPING=PRECISE", "FS=MRC", "CURRENCY=USD", "XLFILL=b")</f>
        <v>#N/A Requesting Data...</v>
      </c>
      <c r="K119" s="6" t="str">
        <f>_xll.BQL("NOW US Equity", "CB_IS_S_AND_M_EXPENSE/1M", "FPR=2021Y", "FPT=A", "FA_ACT_EST_DATA=E, EST_SOURCE=JPM", "ACT_EST_MAPPING=PRECISE", "FS=MRC", "CURRENCY=USD", "XLFILL=b")</f>
        <v>#N/A Requesting Data...</v>
      </c>
      <c r="L119" s="6" t="str">
        <f>_xll.BQL("NOW US Equity", "CB_IS_S_AND_M_EXPENSE/1M", "FPR=2021Y", "FPT=A", "FA_ACT_EST_DATA=E, EST_SOURCE=WBL", "ACT_EST_MAPPING=PRECISE", "FS=MRC", "CURRENCY=USD", "XLFILL=b")</f>
        <v>#N/A Requesting Data...</v>
      </c>
      <c r="M119" s="6" t="str">
        <f>_xll.BQL("NOW US Equity", "CB_IS_S_AND_M_EXPENSE/1M", "FPR=2021Y", "FPT=A", "FA_ACT_EST_DATA=E, EST_SOURCE=KEY", "ACT_EST_MAPPING=PRECISE", "FS=MRC", "CURRENCY=USD", "XLFILL=b")</f>
        <v>#N/A Requesting Data...</v>
      </c>
      <c r="N119" s="6" t="str">
        <f>_xll.BQL("NOW US Equity", "CB_IS_S_AND_M_EXPENSE/1M", "FPR=2021Y", "FPT=A", "FA_ACT_EST_DATA=E, EST_SOURCE=BMO", "ACT_EST_MAPPING=PRECISE", "FS=MRC", "CURRENCY=USD", "XLFILL=b")</f>
        <v>#N/A Requesting Data...</v>
      </c>
      <c r="O119" s="6" t="str">
        <f>_xll.BQL("NOW US Equity", "CB_IS_S_AND_M_EXPENSE/1M", "FPR=2021Y", "FPT=A", "FA_ACT_EST_DATA=E, EST_SOURCE=OPY", "ACT_EST_MAPPING=PRECISE", "FS=MRC", "CURRENCY=USD", "XLFILL=b")</f>
        <v>#N/A Requesting Data...</v>
      </c>
      <c r="P119" s="6" t="str">
        <f>_xll.BQL("NOW US Equity", "CB_IS_S_AND_M_EXPENSE/1M", "FPR=2021Y", "FPT=A", "FA_ACT_EST_DATA=E, EST_SOURCE=BCA", "ACT_EST_MAPPING=PRECISE", "FS=MRC", "CURRENCY=USD", "XLFILL=b")</f>
        <v>#N/A Requesting Data...</v>
      </c>
      <c r="Q119" s="6" t="str">
        <f>_xll.BQL("NOW US Equity", "CB_IS_S_AND_M_EXPENSE/1M", "FPR=2021Y", "FPT=A", "FA_ACT_EST_DATA=E, EST_SOURCE=RHR", "ACT_EST_MAPPING=PRECISE", "FS=MRC", "CURRENCY=USD", "XLFILL=b")</f>
        <v>#N/A Requesting Data...</v>
      </c>
      <c r="R119" s="6" t="str">
        <f>_xll.BQL("NOW US Equity", "CB_IS_S_AND_M_EXPENSE/1M", "FPR=2021Y", "FPT=A", "FA_ACT_EST_DATA=E, EST_SOURCE=SNR", "ACT_EST_MAPPING=PRECISE", "FS=MRC", "CURRENCY=USD", "XLFILL=b")</f>
        <v>#N/A Requesting Data...</v>
      </c>
      <c r="S119" s="6" t="str">
        <f>_xll.BQL("NOW US Equity", "CB_IS_S_AND_M_EXPENSE/1M", "FPR=2021Y", "FPT=A", "FA_ACT_EST_DATA=E, EST_SOURCE=MSV", "ACT_EST_MAPPING=PRECISE", "FS=MRC", "CURRENCY=USD", "XLFILL=b")</f>
        <v>#N/A Requesting Data...</v>
      </c>
      <c r="T119" s="6" t="str">
        <f>_xll.BQL("NOW US Equity", "CB_IS_S_AND_M_EXPENSE/1M", "FPR=2021Y", "FPT=A", "FA_ACT_EST_DATA=E, EST_SOURCE=CAN", "ACT_EST_MAPPING=PRECISE", "FS=MRC", "CURRENCY=USD", "XLFILL=b")</f>
        <v>#N/A Requesting Data...</v>
      </c>
      <c r="U119" s="6" t="str">
        <f>_xll.BQL("NOW US Equity", "CB_IS_S_AND_M_EXPENSE/1M", "FPR=2021Y", "FPT=A", "FA_ACT_EST_DATA=E, EST_SOURCE=JMP", "ACT_EST_MAPPING=PRECISE", "FS=MRC", "CURRENCY=USD", "XLFILL=b")</f>
        <v>#N/A Requesting Data...</v>
      </c>
      <c r="V119" s="6" t="str">
        <f>_xll.BQL("NOW US Equity", "CB_IS_S_AND_M_EXPENSE/1M", "FPR=2021Y", "FPT=A", "FA_ACT_EST_DATA=E, EST_SOURCE=NDH", "ACT_EST_MAPPING=PRECISE", "FS=MRC", "CURRENCY=USD", "XLFILL=b")</f>
        <v>#N/A Requesting Data...</v>
      </c>
      <c r="W119" s="6" t="str">
        <f>_xll.BQL("NOW US Equity", "CB_IS_S_AND_M_EXPENSE/1M", "FPR=2021Y", "FPT=A", "FA_ACT_EST_DATA=E, EST_SOURCE=ZXS", "ACT_EST_MAPPING=PRECISE", "FS=MRC", "CURRENCY=USD", "XLFILL=b")</f>
        <v>#N/A Requesting Data...</v>
      </c>
      <c r="X119" s="6" t="str">
        <f>_xll.BQL("NOW US Equity", "CB_IS_S_AND_M_EXPENSE/1M", "FPR=2021Y", "FPT=A", "FA_ACT_EST_DATA=E, EST_SOURCE=CWN", "ACT_EST_MAPPING=PRECISE", "FS=MRC", "CURRENCY=USD", "XLFILL=b")</f>
        <v>#N/A Requesting Data...</v>
      </c>
      <c r="Y119" s="6" t="str">
        <f>_xll.BQL("NOW US Equity", "CB_IS_S_AND_M_EXPENSE/1M", "FPR=2021Y", "FPT=A", "FA_ACT_EST_DATA=E, EST_SOURCE=DBG", "ACT_EST_MAPPING=PRECISE", "FS=MRC", "CURRENCY=USD", "XLFILL=b")</f>
        <v>#N/A Requesting Data...</v>
      </c>
      <c r="Z119" s="6" t="str">
        <f>_xll.BQL("NOW US Equity", "CB_IS_S_AND_M_EXPENSE/1M", "FPR=2021Y", "FPT=A", "FA_ACT_EST_DATA=E, EST_SOURCE=UBS", "ACT_EST_MAPPING=PRECISE", "FS=MRC", "CURRENCY=USD", "XLFILL=b")</f>
        <v>#N/A Requesting Data...</v>
      </c>
      <c r="AA119" s="6" t="str">
        <f>_xll.BQL("NOW US Equity", "CB_IS_S_AND_M_EXPENSE/1M", "FPR=2021Y", "FPT=A", "FA_ACT_EST_DATA=E, EST_SOURCE=RBC", "ACT_EST_MAPPING=PRECISE", "FS=MRC", "CURRENCY=USD", "XLFILL=b")</f>
        <v>#N/A Requesting Data...</v>
      </c>
      <c r="AB119" s="6" t="str">
        <f>_xll.BQL("NOW US Equity", "CB_IS_S_AND_M_EXPENSE/1M", "FPR=2021Y", "FPT=A", "FA_ACT_EST_DATA=E, EST_SOURCE=EVR", "ACT_EST_MAPPING=PRECISE", "FS=MRC", "CURRENCY=USD", "XLFILL=b")</f>
        <v>#N/A Requesting Data...</v>
      </c>
      <c r="AC119" s="6" t="str">
        <f>_xll.BQL("NOW US Equity", "CB_IS_S_AND_M_EXPENSE/1M", "FPR=2021Y", "FPT=A", "FA_ACT_EST_DATA=E, EST_SOURCE=BNS", "ACT_EST_MAPPING=PRECISE", "FS=MRC", "CURRENCY=USD", "XLFILL=b")</f>
        <v>#N/A Requesting Data...</v>
      </c>
      <c r="AD119" s="6" t="str">
        <f>_xll.BQL("NOW US Equity", "CB_IS_S_AND_M_EXPENSE/1M", "FPR=2021Y", "FPT=A", "FA_ACT_EST_DATA=E, EST_SOURCE=BAM", "ACT_EST_MAPPING=PRECISE", "FS=MRC", "CURRENCY=USD", "XLFILL=b")</f>
        <v>#N/A Requesting Data...</v>
      </c>
      <c r="AE119" s="6" t="str">
        <f>_xll.BQL("NOW US Equity", "CB_IS_S_AND_M_EXPENSE/1M", "FPR=2021Y", "FPT=A", "FA_ACT_EST_DATA=E, EST_SOURCE=GSR", "ACT_EST_MAPPING=PRECISE", "FS=MRC", "CURRENCY=USD", "XLFILL=b")</f>
        <v>#N/A Requesting Data...</v>
      </c>
      <c r="AF119" s="6" t="str">
        <f>_xll.BQL("NOW US Equity", "CB_IS_S_AND_M_EXPENSE/1M", "FPR=2021Y", "FPT=A", "FA_ACT_EST_DATA=E, EST_SOURCE=FBC", "ACT_EST_MAPPING=PRECISE", "FS=MRC", "CURRENCY=USD", "XLFILL=b")</f>
        <v>#N/A Requesting Data...</v>
      </c>
      <c r="AG119" s="6" t="str">
        <f>_xll.BQL("NOW US Equity", "CB_IS_S_AND_M_EXPENSE/1M", "FPR=2021Y", "FPT=A", "FA_ACT_EST_DATA=E, EST_SOURCE=MAC", "ACT_EST_MAPPING=PRECISE", "FS=MRC", "CURRENCY=USD", "XLFILL=b")</f>
        <v>#N/A Requesting Data...</v>
      </c>
      <c r="AH119" s="6" t="str">
        <f>_xll.BQL("NOW US Equity", "CB_IS_S_AND_M_EXPENSE/1M", "FPR=2021Y", "FPT=A", "FA_ACT_EST_DATA=E, EST_SOURCE=PSG", "ACT_EST_MAPPING=PRECISE", "FS=MRC", "CURRENCY=USD", "XLFILL=b")</f>
        <v>#N/A Requesting Data...</v>
      </c>
      <c r="AI119" s="6" t="str">
        <f>_xll.BQL("NOW US Equity", "CB_IS_S_AND_M_EXPENSE/1M", "FPR=2021Y", "FPT=A", "FA_ACT_EST_DATA=E, EST_SOURCE=MSR", "ACT_EST_MAPPING=PRECISE", "FS=MRC", "CURRENCY=USD", "XLFILL=b")</f>
        <v>#N/A Requesting Data...</v>
      </c>
      <c r="AJ119" s="6" t="str">
        <f>_xll.BQL("NOW US Equity", "CB_IS_S_AND_M_EXPENSE/1M", "FPR=2021Y", "FPT=A", "FA_ACT_EST_DATA=E, EST_SOURCE=JEF", "ACT_EST_MAPPING=PRECISE", "FS=MRC", "CURRENCY=USD", "XLFILL=b")</f>
        <v>#N/A Requesting Data...</v>
      </c>
      <c r="AK119" s="6" t="str">
        <f>_xll.BQL("NOW US Equity", "CB_IS_S_AND_M_EXPENSE/1M", "FPR=2021Y", "FPT=A", "FA_ACT_EST_DATA=E, EST_SOURCE=TTC", "ACT_EST_MAPPING=PRECISE", "FS=MRC", "CURRENCY=USD", "XLFILL=b")</f>
        <v>#N/A Requesting Data...</v>
      </c>
      <c r="AL119" s="6" t="str">
        <f>_xll.BQL("NOW US Equity", "CB_IS_S_AND_M_EXPENSE/1M", "FPR=2021Y", "FPT=A", "FA_ACT_EST_DATA=E, EST_SOURCE=RWB", "ACT_EST_MAPPING=PRECISE", "FS=MRC", "CURRENCY=USD", "XLFILL=b")</f>
        <v>#N/A Requesting Data...</v>
      </c>
      <c r="AM119" s="6" t="str">
        <f>_xll.BQL("NOW US Equity", "CB_IS_S_AND_M_EXPENSE/1M", "FPR=2021Y", "FPT=A", "FA_ACT_EST_DATA=E, EST_SOURCE=DZB", "ACT_EST_MAPPING=PRECISE", "FS=MRC", "CURRENCY=USD", "XLFILL=b")</f>
        <v>#N/A Requesting Data...</v>
      </c>
      <c r="AN119" s="6" t="str">
        <f>_xll.BQL("NOW US Equity", "CB_IS_S_AND_M_EXPENSE/1M", "FPR=2021Y", "FPT=A", "FA_ACT_EST_DATA=E, EST_SOURCE=DWI", "ACT_EST_MAPPING=PRECISE", "FS=MRC", "CURRENCY=USD", "XLFILL=b")</f>
        <v>#N/A Requesting Data...</v>
      </c>
      <c r="AO119" s="6" t="str">
        <f>_xll.BQL("NOW US Equity", "CB_IS_S_AND_M_EXPENSE/1M", "FPR=2021Y", "FPT=A", "FA_ACT_EST_DATA=E, EST_SOURCE=ARG", "ACT_EST_MAPPING=PRECISE", "FS=MRC", "CURRENCY=USD", "XLFILL=b")</f>
        <v>#N/A Requesting Data...</v>
      </c>
      <c r="AP119" s="6" t="str">
        <f>_xll.BQL("NOW US Equity", "CB_IS_S_AND_M_EXPENSE/1M", "FPR=2021Y", "FPT=A", "FA_ACT_EST_DATA=E, EST_SOURCE=CTI", "ACT_EST_MAPPING=PRECISE", "FS=MRC", "CURRENCY=USD", "XLFILL=b")</f>
        <v>#N/A Requesting Data...</v>
      </c>
      <c r="AQ119" s="6" t="str">
        <f>_xll.BQL("NOW US Equity", "CB_IS_S_AND_M_EXPENSE/1M", "FPR=2021Y", "FPT=A", "FA_ACT_EST_DATA=E, EST_SOURCE=WFT", "ACT_EST_MAPPING=PRECISE", "FS=MRC", "CURRENCY=USD", "XLFILL=b")</f>
        <v>#N/A Requesting Data...</v>
      </c>
      <c r="AR119" s="6" t="str">
        <f>_xll.BQL("NOW US Equity", "CB_IS_S_AND_M_EXPENSE/1M", "FPR=2021Y", "FPT=A", "FA_ACT_EST_DATA=E, EST_SOURCE=ARE", "ACT_EST_MAPPING=PRECISE", "FS=MRC", "CURRENCY=USD", "XLFILL=b")</f>
        <v>#N/A Requesting Data...</v>
      </c>
      <c r="AS119" s="6" t="str">
        <f>_xll.BQL("NOW US Equity", "CB_IS_S_AND_M_EXPENSE/1M", "FPR=2021Y", "FPT=A", "FA_ACT_EST_DATA=E, EST_SOURCE=PJE", "ACT_EST_MAPPING=PRECISE", "FS=MRC", "CURRENCY=USD", "XLFILL=b")</f>
        <v>#N/A Requesting Data...</v>
      </c>
      <c r="AT119" s="6" t="str">
        <f>_xll.BQL("NOW US Equity", "CB_IS_S_AND_M_EXPENSE/1M", "FPR=2021Y", "FPT=A", "FA_ACT_EST_DATA=E, EST_SOURCE=MZS", "ACT_EST_MAPPING=PRECISE", "FS=MRC", "CURRENCY=USD", "XLFILL=b")</f>
        <v>#N/A Requesting Data...</v>
      </c>
      <c r="AU119" s="6" t="str">
        <f>_xll.BQL("NOW US Equity", "CB_IS_S_AND_M_EXPENSE/1M", "FPR=2021Y", "FPT=A", "FA_ACT_EST_DATA=E, EST_SOURCE=SUM", "ACT_EST_MAPPING=PRECISE", "FS=MRC", "CURRENCY=USD", "XLFILL=b")</f>
        <v>#N/A Requesting Data...</v>
      </c>
      <c r="AV119" s="6" t="str">
        <f>_xll.BQL("NOW US Equity", "CB_IS_S_AND_M_EXPENSE/1M", "FPR=2021Y", "FPT=A", "FA_ACT_EST_DATA=E, EST_SOURCE=CRC", "ACT_EST_MAPPING=PRECISE", "FS=MRC", "CURRENCY=USD", "XLFILL=b")</f>
        <v>#N/A Requesting Data...</v>
      </c>
      <c r="AW119" s="6" t="str">
        <f>_xll.BQL("NOW US Equity", "CB_IS_S_AND_M_EXPENSE/1M", "FPR=2021Y", "FPT=A", "FA_ACT_EST_DATA=E, EST_SOURCE=SCB", "ACT_EST_MAPPING=PRECISE", "FS=MRC", "CURRENCY=USD", "XLFILL=b")</f>
        <v>#N/A Requesting Data...</v>
      </c>
    </row>
    <row r="120" spans="1:49" x14ac:dyDescent="0.55000000000000004">
      <c r="A120" s="5" t="s">
        <v>185</v>
      </c>
      <c r="B120" s="2" t="s">
        <v>186</v>
      </c>
      <c r="C120" s="2" t="s">
        <v>136</v>
      </c>
      <c r="D120" s="2"/>
      <c r="E120" s="6" t="str">
        <f>_xll.BQL("NOW US Equity", "IS_OPEX_R_AND_D_GAAP/1M", "FPR=2021Y", "FPT=A", "FA_ACT_EST_DATA=E", "ACT_EST_MAPPING=PRECISE", "FS=MRC", "CURRENCY=USD", "XLFILL=b")</f>
        <v>#N/A Requesting Data...</v>
      </c>
      <c r="F120" s="6" t="str">
        <f>_xll.BQL("NOW US Equity", "CONTRIBUTOR_STATS(IS_OPEX_R_AND_D_GAAP, MIN)/1M", "FPR=2021Y", "FPT=A", "FA_ACT_EST_DATA=E", "ACT_EST_MAPPING=PRECISE", "FS=MRC", "CURRENCY=USD", "XLFILL=b")</f>
        <v>#N/A Requesting Data...</v>
      </c>
      <c r="G120" s="6" t="str">
        <f>_xll.BQL("NOW US Equity", "CONTRIBUTOR_STATS(IS_OPEX_R_AND_D_GAAP, MAX)/1M", "FPR=2021Y", "FPT=A", "FA_ACT_EST_DATA=E", "ACT_EST_MAPPING=PRECISE", "FS=MRC", "CURRENCY=USD", "XLFILL=b")</f>
        <v>#N/A Requesting Data...</v>
      </c>
      <c r="H120" s="6" t="str">
        <f>_xll.BQL("NOW US Equity", "CONTRIBUTOR_STATS(IS_OPEX_R_AND_D_GAAP, STD)/1M", "FPR=2021Y", "FPT=A", "FA_ACT_EST_DATA=E", "ACT_EST_MAPPING=PRECISE", "FS=MRC", "CURRENCY=USD", "XLFILL=b")</f>
        <v>#N/A Requesting Data...</v>
      </c>
      <c r="I120" s="6" t="str">
        <f>_xll.BQL("NOW US Equity", "CONTRIBUTOR_STATS(IS_OPEX_R_AND_D_GAAP, MEDIAN)/1M", "FPR=2021Y", "FPT=A", "FA_ACT_EST_DATA=E", "ACT_EST_MAPPING=PRECISE", "FS=MRC", "CURRENCY=USD", "XLFILL=b")</f>
        <v>#N/A Requesting Data...</v>
      </c>
      <c r="J120" s="6" t="str">
        <f>_xll.BQL("NOW US Equity", "IS_OPEX_R_AND_D_GAAP/1M", "FPR=2021Y", "FPT=A", "FA_ACT_EST_DATA=E, EST_SOURCE=CMPY", "ACT_EST_MAPPING=PRECISE", "FS=MRC", "CURRENCY=USD", "XLFILL=b")</f>
        <v>#N/A Requesting Data...</v>
      </c>
      <c r="K120" s="6" t="str">
        <f>_xll.BQL("NOW US Equity", "IS_OPEX_R_AND_D_GAAP/1M", "FPR=2021Y", "FPT=A", "FA_ACT_EST_DATA=E, EST_SOURCE=JPM", "ACT_EST_MAPPING=PRECISE", "FS=MRC", "CURRENCY=USD", "XLFILL=b")</f>
        <v>#N/A Requesting Data...</v>
      </c>
      <c r="L120" s="6" t="str">
        <f>_xll.BQL("NOW US Equity", "IS_OPEX_R_AND_D_GAAP/1M", "FPR=2021Y", "FPT=A", "FA_ACT_EST_DATA=E, EST_SOURCE=WBL", "ACT_EST_MAPPING=PRECISE", "FS=MRC", "CURRENCY=USD", "XLFILL=b")</f>
        <v>#N/A Requesting Data...</v>
      </c>
      <c r="M120" s="6" t="str">
        <f>_xll.BQL("NOW US Equity", "IS_OPEX_R_AND_D_GAAP/1M", "FPR=2021Y", "FPT=A", "FA_ACT_EST_DATA=E, EST_SOURCE=KEY", "ACT_EST_MAPPING=PRECISE", "FS=MRC", "CURRENCY=USD", "XLFILL=b")</f>
        <v>#N/A Requesting Data...</v>
      </c>
      <c r="N120" s="6" t="str">
        <f>_xll.BQL("NOW US Equity", "IS_OPEX_R_AND_D_GAAP/1M", "FPR=2021Y", "FPT=A", "FA_ACT_EST_DATA=E, EST_SOURCE=BMO", "ACT_EST_MAPPING=PRECISE", "FS=MRC", "CURRENCY=USD", "XLFILL=b")</f>
        <v>#N/A Requesting Data...</v>
      </c>
      <c r="O120" s="6" t="str">
        <f>_xll.BQL("NOW US Equity", "IS_OPEX_R_AND_D_GAAP/1M", "FPR=2021Y", "FPT=A", "FA_ACT_EST_DATA=E, EST_SOURCE=OPY", "ACT_EST_MAPPING=PRECISE", "FS=MRC", "CURRENCY=USD", "XLFILL=b")</f>
        <v>#N/A Requesting Data...</v>
      </c>
      <c r="P120" s="6" t="str">
        <f>_xll.BQL("NOW US Equity", "IS_OPEX_R_AND_D_GAAP/1M", "FPR=2021Y", "FPT=A", "FA_ACT_EST_DATA=E, EST_SOURCE=BCA", "ACT_EST_MAPPING=PRECISE", "FS=MRC", "CURRENCY=USD", "XLFILL=b")</f>
        <v>#N/A Requesting Data...</v>
      </c>
      <c r="Q120" s="6" t="str">
        <f>_xll.BQL("NOW US Equity", "IS_OPEX_R_AND_D_GAAP/1M", "FPR=2021Y", "FPT=A", "FA_ACT_EST_DATA=E, EST_SOURCE=RHR", "ACT_EST_MAPPING=PRECISE", "FS=MRC", "CURRENCY=USD", "XLFILL=b")</f>
        <v>#N/A Requesting Data...</v>
      </c>
      <c r="R120" s="6" t="str">
        <f>_xll.BQL("NOW US Equity", "IS_OPEX_R_AND_D_GAAP/1M", "FPR=2021Y", "FPT=A", "FA_ACT_EST_DATA=E, EST_SOURCE=SNR", "ACT_EST_MAPPING=PRECISE", "FS=MRC", "CURRENCY=USD", "XLFILL=b")</f>
        <v>#N/A Requesting Data...</v>
      </c>
      <c r="S120" s="6" t="str">
        <f>_xll.BQL("NOW US Equity", "IS_OPEX_R_AND_D_GAAP/1M", "FPR=2021Y", "FPT=A", "FA_ACT_EST_DATA=E, EST_SOURCE=MSV", "ACT_EST_MAPPING=PRECISE", "FS=MRC", "CURRENCY=USD", "XLFILL=b")</f>
        <v>#N/A Requesting Data...</v>
      </c>
      <c r="T120" s="6" t="str">
        <f>_xll.BQL("NOW US Equity", "IS_OPEX_R_AND_D_GAAP/1M", "FPR=2021Y", "FPT=A", "FA_ACT_EST_DATA=E, EST_SOURCE=CAN", "ACT_EST_MAPPING=PRECISE", "FS=MRC", "CURRENCY=USD", "XLFILL=b")</f>
        <v>#N/A Requesting Data...</v>
      </c>
      <c r="U120" s="6" t="str">
        <f>_xll.BQL("NOW US Equity", "IS_OPEX_R_AND_D_GAAP/1M", "FPR=2021Y", "FPT=A", "FA_ACT_EST_DATA=E, EST_SOURCE=JMP", "ACT_EST_MAPPING=PRECISE", "FS=MRC", "CURRENCY=USD", "XLFILL=b")</f>
        <v>#N/A Requesting Data...</v>
      </c>
      <c r="V120" s="6" t="str">
        <f>_xll.BQL("NOW US Equity", "IS_OPEX_R_AND_D_GAAP/1M", "FPR=2021Y", "FPT=A", "FA_ACT_EST_DATA=E, EST_SOURCE=NDH", "ACT_EST_MAPPING=PRECISE", "FS=MRC", "CURRENCY=USD", "XLFILL=b")</f>
        <v>#N/A Requesting Data...</v>
      </c>
      <c r="W120" s="6" t="str">
        <f>_xll.BQL("NOW US Equity", "IS_OPEX_R_AND_D_GAAP/1M", "FPR=2021Y", "FPT=A", "FA_ACT_EST_DATA=E, EST_SOURCE=ZXS", "ACT_EST_MAPPING=PRECISE", "FS=MRC", "CURRENCY=USD", "XLFILL=b")</f>
        <v>#N/A Requesting Data...</v>
      </c>
      <c r="X120" s="6" t="str">
        <f>_xll.BQL("NOW US Equity", "IS_OPEX_R_AND_D_GAAP/1M", "FPR=2021Y", "FPT=A", "FA_ACT_EST_DATA=E, EST_SOURCE=CWN", "ACT_EST_MAPPING=PRECISE", "FS=MRC", "CURRENCY=USD", "XLFILL=b")</f>
        <v>#N/A Requesting Data...</v>
      </c>
      <c r="Y120" s="6" t="str">
        <f>_xll.BQL("NOW US Equity", "IS_OPEX_R_AND_D_GAAP/1M", "FPR=2021Y", "FPT=A", "FA_ACT_EST_DATA=E, EST_SOURCE=DBG", "ACT_EST_MAPPING=PRECISE", "FS=MRC", "CURRENCY=USD", "XLFILL=b")</f>
        <v>#N/A Requesting Data...</v>
      </c>
      <c r="Z120" s="6" t="str">
        <f>_xll.BQL("NOW US Equity", "IS_OPEX_R_AND_D_GAAP/1M", "FPR=2021Y", "FPT=A", "FA_ACT_EST_DATA=E, EST_SOURCE=UBS", "ACT_EST_MAPPING=PRECISE", "FS=MRC", "CURRENCY=USD", "XLFILL=b")</f>
        <v>#N/A Requesting Data...</v>
      </c>
      <c r="AA120" s="6" t="str">
        <f>_xll.BQL("NOW US Equity", "IS_OPEX_R_AND_D_GAAP/1M", "FPR=2021Y", "FPT=A", "FA_ACT_EST_DATA=E, EST_SOURCE=RBC", "ACT_EST_MAPPING=PRECISE", "FS=MRC", "CURRENCY=USD", "XLFILL=b")</f>
        <v>#N/A Requesting Data...</v>
      </c>
      <c r="AB120" s="6" t="str">
        <f>_xll.BQL("NOW US Equity", "IS_OPEX_R_AND_D_GAAP/1M", "FPR=2021Y", "FPT=A", "FA_ACT_EST_DATA=E, EST_SOURCE=EVR", "ACT_EST_MAPPING=PRECISE", "FS=MRC", "CURRENCY=USD", "XLFILL=b")</f>
        <v>#N/A Requesting Data...</v>
      </c>
      <c r="AC120" s="6" t="str">
        <f>_xll.BQL("NOW US Equity", "IS_OPEX_R_AND_D_GAAP/1M", "FPR=2021Y", "FPT=A", "FA_ACT_EST_DATA=E, EST_SOURCE=BNS", "ACT_EST_MAPPING=PRECISE", "FS=MRC", "CURRENCY=USD", "XLFILL=b")</f>
        <v>#N/A Requesting Data...</v>
      </c>
      <c r="AD120" s="6" t="str">
        <f>_xll.BQL("NOW US Equity", "IS_OPEX_R_AND_D_GAAP/1M", "FPR=2021Y", "FPT=A", "FA_ACT_EST_DATA=E, EST_SOURCE=BAM", "ACT_EST_MAPPING=PRECISE", "FS=MRC", "CURRENCY=USD", "XLFILL=b")</f>
        <v>#N/A Requesting Data...</v>
      </c>
      <c r="AE120" s="6" t="str">
        <f>_xll.BQL("NOW US Equity", "IS_OPEX_R_AND_D_GAAP/1M", "FPR=2021Y", "FPT=A", "FA_ACT_EST_DATA=E, EST_SOURCE=GSR", "ACT_EST_MAPPING=PRECISE", "FS=MRC", "CURRENCY=USD", "XLFILL=b")</f>
        <v>#N/A Requesting Data...</v>
      </c>
      <c r="AF120" s="6" t="str">
        <f>_xll.BQL("NOW US Equity", "IS_OPEX_R_AND_D_GAAP/1M", "FPR=2021Y", "FPT=A", "FA_ACT_EST_DATA=E, EST_SOURCE=FBC", "ACT_EST_MAPPING=PRECISE", "FS=MRC", "CURRENCY=USD", "XLFILL=b")</f>
        <v>#N/A Requesting Data...</v>
      </c>
      <c r="AG120" s="6" t="str">
        <f>_xll.BQL("NOW US Equity", "IS_OPEX_R_AND_D_GAAP/1M", "FPR=2021Y", "FPT=A", "FA_ACT_EST_DATA=E, EST_SOURCE=MAC", "ACT_EST_MAPPING=PRECISE", "FS=MRC", "CURRENCY=USD", "XLFILL=b")</f>
        <v>#N/A Requesting Data...</v>
      </c>
      <c r="AH120" s="6" t="str">
        <f>_xll.BQL("NOW US Equity", "IS_OPEX_R_AND_D_GAAP/1M", "FPR=2021Y", "FPT=A", "FA_ACT_EST_DATA=E, EST_SOURCE=PSG", "ACT_EST_MAPPING=PRECISE", "FS=MRC", "CURRENCY=USD", "XLFILL=b")</f>
        <v>#N/A Requesting Data...</v>
      </c>
      <c r="AI120" s="6" t="str">
        <f>_xll.BQL("NOW US Equity", "IS_OPEX_R_AND_D_GAAP/1M", "FPR=2021Y", "FPT=A", "FA_ACT_EST_DATA=E, EST_SOURCE=MSR", "ACT_EST_MAPPING=PRECISE", "FS=MRC", "CURRENCY=USD", "XLFILL=b")</f>
        <v>#N/A Requesting Data...</v>
      </c>
      <c r="AJ120" s="6" t="str">
        <f>_xll.BQL("NOW US Equity", "IS_OPEX_R_AND_D_GAAP/1M", "FPR=2021Y", "FPT=A", "FA_ACT_EST_DATA=E, EST_SOURCE=JEF", "ACT_EST_MAPPING=PRECISE", "FS=MRC", "CURRENCY=USD", "XLFILL=b")</f>
        <v>#N/A Requesting Data...</v>
      </c>
      <c r="AK120" s="6" t="str">
        <f>_xll.BQL("NOW US Equity", "IS_OPEX_R_AND_D_GAAP/1M", "FPR=2021Y", "FPT=A", "FA_ACT_EST_DATA=E, EST_SOURCE=TTC", "ACT_EST_MAPPING=PRECISE", "FS=MRC", "CURRENCY=USD", "XLFILL=b")</f>
        <v>#N/A Requesting Data...</v>
      </c>
      <c r="AL120" s="6" t="str">
        <f>_xll.BQL("NOW US Equity", "IS_OPEX_R_AND_D_GAAP/1M", "FPR=2021Y", "FPT=A", "FA_ACT_EST_DATA=E, EST_SOURCE=RWB", "ACT_EST_MAPPING=PRECISE", "FS=MRC", "CURRENCY=USD", "XLFILL=b")</f>
        <v>#N/A Requesting Data...</v>
      </c>
      <c r="AM120" s="6" t="str">
        <f>_xll.BQL("NOW US Equity", "IS_OPEX_R_AND_D_GAAP/1M", "FPR=2021Y", "FPT=A", "FA_ACT_EST_DATA=E, EST_SOURCE=DZB", "ACT_EST_MAPPING=PRECISE", "FS=MRC", "CURRENCY=USD", "XLFILL=b")</f>
        <v>#N/A Requesting Data...</v>
      </c>
      <c r="AN120" s="6" t="str">
        <f>_xll.BQL("NOW US Equity", "IS_OPEX_R_AND_D_GAAP/1M", "FPR=2021Y", "FPT=A", "FA_ACT_EST_DATA=E, EST_SOURCE=DWI", "ACT_EST_MAPPING=PRECISE", "FS=MRC", "CURRENCY=USD", "XLFILL=b")</f>
        <v>#N/A Requesting Data...</v>
      </c>
      <c r="AO120" s="6" t="str">
        <f>_xll.BQL("NOW US Equity", "IS_OPEX_R_AND_D_GAAP/1M", "FPR=2021Y", "FPT=A", "FA_ACT_EST_DATA=E, EST_SOURCE=ARG", "ACT_EST_MAPPING=PRECISE", "FS=MRC", "CURRENCY=USD", "XLFILL=b")</f>
        <v>#N/A Requesting Data...</v>
      </c>
      <c r="AP120" s="6" t="str">
        <f>_xll.BQL("NOW US Equity", "IS_OPEX_R_AND_D_GAAP/1M", "FPR=2021Y", "FPT=A", "FA_ACT_EST_DATA=E, EST_SOURCE=CTI", "ACT_EST_MAPPING=PRECISE", "FS=MRC", "CURRENCY=USD", "XLFILL=b")</f>
        <v>#N/A Requesting Data...</v>
      </c>
      <c r="AQ120" s="6" t="str">
        <f>_xll.BQL("NOW US Equity", "IS_OPEX_R_AND_D_GAAP/1M", "FPR=2021Y", "FPT=A", "FA_ACT_EST_DATA=E, EST_SOURCE=WFT", "ACT_EST_MAPPING=PRECISE", "FS=MRC", "CURRENCY=USD", "XLFILL=b")</f>
        <v>#N/A Requesting Data...</v>
      </c>
      <c r="AR120" s="6" t="str">
        <f>_xll.BQL("NOW US Equity", "IS_OPEX_R_AND_D_GAAP/1M", "FPR=2021Y", "FPT=A", "FA_ACT_EST_DATA=E, EST_SOURCE=ARE", "ACT_EST_MAPPING=PRECISE", "FS=MRC", "CURRENCY=USD", "XLFILL=b")</f>
        <v>#N/A Requesting Data...</v>
      </c>
      <c r="AS120" s="6" t="str">
        <f>_xll.BQL("NOW US Equity", "IS_OPEX_R_AND_D_GAAP/1M", "FPR=2021Y", "FPT=A", "FA_ACT_EST_DATA=E, EST_SOURCE=PJE", "ACT_EST_MAPPING=PRECISE", "FS=MRC", "CURRENCY=USD", "XLFILL=b")</f>
        <v>#N/A Requesting Data...</v>
      </c>
      <c r="AT120" s="6" t="str">
        <f>_xll.BQL("NOW US Equity", "IS_OPEX_R_AND_D_GAAP/1M", "FPR=2021Y", "FPT=A", "FA_ACT_EST_DATA=E, EST_SOURCE=MZS", "ACT_EST_MAPPING=PRECISE", "FS=MRC", "CURRENCY=USD", "XLFILL=b")</f>
        <v>#N/A Requesting Data...</v>
      </c>
      <c r="AU120" s="6" t="str">
        <f>_xll.BQL("NOW US Equity", "IS_OPEX_R_AND_D_GAAP/1M", "FPR=2021Y", "FPT=A", "FA_ACT_EST_DATA=E, EST_SOURCE=SUM", "ACT_EST_MAPPING=PRECISE", "FS=MRC", "CURRENCY=USD", "XLFILL=b")</f>
        <v>#N/A Requesting Data...</v>
      </c>
      <c r="AV120" s="6" t="str">
        <f>_xll.BQL("NOW US Equity", "IS_OPEX_R_AND_D_GAAP/1M", "FPR=2021Y", "FPT=A", "FA_ACT_EST_DATA=E, EST_SOURCE=CRC", "ACT_EST_MAPPING=PRECISE", "FS=MRC", "CURRENCY=USD", "XLFILL=b")</f>
        <v>#N/A Requesting Data...</v>
      </c>
      <c r="AW120" s="6" t="str">
        <f>_xll.BQL("NOW US Equity", "IS_OPEX_R_AND_D_GAAP/1M", "FPR=2021Y", "FPT=A", "FA_ACT_EST_DATA=E, EST_SOURCE=SCB", "ACT_EST_MAPPING=PRECISE", "FS=MRC", "CURRENCY=USD", "XLFILL=b")</f>
        <v>#N/A Requesting Data...</v>
      </c>
    </row>
    <row r="121" spans="1:49" x14ac:dyDescent="0.55000000000000004">
      <c r="A121" s="5" t="s">
        <v>187</v>
      </c>
      <c r="B121" s="2" t="s">
        <v>188</v>
      </c>
      <c r="C121" s="2" t="s">
        <v>140</v>
      </c>
      <c r="D121" s="2"/>
      <c r="E121" s="6" t="str">
        <f>_xll.BQL("NOW US Equity", "CB_IS_GENL_AND_ADMIN_EXPN/1M", "FPR=2021Y", "FPT=A", "FA_ACT_EST_DATA=E", "ACT_EST_MAPPING=PRECISE", "FS=MRC", "CURRENCY=USD", "XLFILL=b")</f>
        <v>#N/A Requesting Data...</v>
      </c>
      <c r="F121" s="6" t="str">
        <f>_xll.BQL("NOW US Equity", "CONTRIBUTOR_STATS(CB_IS_GENL_AND_ADMIN_EXPN, MIN)/1M", "FPR=2021Y", "FPT=A", "FA_ACT_EST_DATA=E", "ACT_EST_MAPPING=PRECISE", "FS=MRC", "CURRENCY=USD", "XLFILL=b")</f>
        <v>#N/A Requesting Data...</v>
      </c>
      <c r="G121" s="6" t="str">
        <f>_xll.BQL("NOW US Equity", "CONTRIBUTOR_STATS(CB_IS_GENL_AND_ADMIN_EXPN, MAX)/1M", "FPR=2021Y", "FPT=A", "FA_ACT_EST_DATA=E", "ACT_EST_MAPPING=PRECISE", "FS=MRC", "CURRENCY=USD", "XLFILL=b")</f>
        <v>#N/A Requesting Data...</v>
      </c>
      <c r="H121" s="6" t="str">
        <f>_xll.BQL("NOW US Equity", "CONTRIBUTOR_STATS(CB_IS_GENL_AND_ADMIN_EXPN, STD)/1M", "FPR=2021Y", "FPT=A", "FA_ACT_EST_DATA=E", "ACT_EST_MAPPING=PRECISE", "FS=MRC", "CURRENCY=USD", "XLFILL=b")</f>
        <v>#N/A Requesting Data...</v>
      </c>
      <c r="I121" s="6" t="str">
        <f>_xll.BQL("NOW US Equity", "CONTRIBUTOR_STATS(CB_IS_GENL_AND_ADMIN_EXPN, MEDIAN)/1M", "FPR=2021Y", "FPT=A", "FA_ACT_EST_DATA=E", "ACT_EST_MAPPING=PRECISE", "FS=MRC", "CURRENCY=USD", "XLFILL=b")</f>
        <v>#N/A Requesting Data...</v>
      </c>
      <c r="J121" s="6" t="str">
        <f>_xll.BQL("NOW US Equity", "CB_IS_GENL_AND_ADMIN_EXPN/1M", "FPR=2021Y", "FPT=A", "FA_ACT_EST_DATA=E, EST_SOURCE=CMPY", "ACT_EST_MAPPING=PRECISE", "FS=MRC", "CURRENCY=USD", "XLFILL=b")</f>
        <v>#N/A Requesting Data...</v>
      </c>
      <c r="K121" s="6" t="str">
        <f>_xll.BQL("NOW US Equity", "CB_IS_GENL_AND_ADMIN_EXPN/1M", "FPR=2021Y", "FPT=A", "FA_ACT_EST_DATA=E, EST_SOURCE=JPM", "ACT_EST_MAPPING=PRECISE", "FS=MRC", "CURRENCY=USD", "XLFILL=b")</f>
        <v>#N/A Requesting Data...</v>
      </c>
      <c r="L121" s="6" t="str">
        <f>_xll.BQL("NOW US Equity", "CB_IS_GENL_AND_ADMIN_EXPN/1M", "FPR=2021Y", "FPT=A", "FA_ACT_EST_DATA=E, EST_SOURCE=WBL", "ACT_EST_MAPPING=PRECISE", "FS=MRC", "CURRENCY=USD", "XLFILL=b")</f>
        <v>#N/A Requesting Data...</v>
      </c>
      <c r="M121" s="6" t="str">
        <f>_xll.BQL("NOW US Equity", "CB_IS_GENL_AND_ADMIN_EXPN/1M", "FPR=2021Y", "FPT=A", "FA_ACT_EST_DATA=E, EST_SOURCE=KEY", "ACT_EST_MAPPING=PRECISE", "FS=MRC", "CURRENCY=USD", "XLFILL=b")</f>
        <v>#N/A Requesting Data...</v>
      </c>
      <c r="N121" s="6" t="str">
        <f>_xll.BQL("NOW US Equity", "CB_IS_GENL_AND_ADMIN_EXPN/1M", "FPR=2021Y", "FPT=A", "FA_ACT_EST_DATA=E, EST_SOURCE=BMO", "ACT_EST_MAPPING=PRECISE", "FS=MRC", "CURRENCY=USD", "XLFILL=b")</f>
        <v>#N/A Requesting Data...</v>
      </c>
      <c r="O121" s="6" t="str">
        <f>_xll.BQL("NOW US Equity", "CB_IS_GENL_AND_ADMIN_EXPN/1M", "FPR=2021Y", "FPT=A", "FA_ACT_EST_DATA=E, EST_SOURCE=OPY", "ACT_EST_MAPPING=PRECISE", "FS=MRC", "CURRENCY=USD", "XLFILL=b")</f>
        <v>#N/A Requesting Data...</v>
      </c>
      <c r="P121" s="6" t="str">
        <f>_xll.BQL("NOW US Equity", "CB_IS_GENL_AND_ADMIN_EXPN/1M", "FPR=2021Y", "FPT=A", "FA_ACT_EST_DATA=E, EST_SOURCE=BCA", "ACT_EST_MAPPING=PRECISE", "FS=MRC", "CURRENCY=USD", "XLFILL=b")</f>
        <v>#N/A Requesting Data...</v>
      </c>
      <c r="Q121" s="6" t="str">
        <f>_xll.BQL("NOW US Equity", "CB_IS_GENL_AND_ADMIN_EXPN/1M", "FPR=2021Y", "FPT=A", "FA_ACT_EST_DATA=E, EST_SOURCE=RHR", "ACT_EST_MAPPING=PRECISE", "FS=MRC", "CURRENCY=USD", "XLFILL=b")</f>
        <v>#N/A Requesting Data...</v>
      </c>
      <c r="R121" s="6" t="str">
        <f>_xll.BQL("NOW US Equity", "CB_IS_GENL_AND_ADMIN_EXPN/1M", "FPR=2021Y", "FPT=A", "FA_ACT_EST_DATA=E, EST_SOURCE=SNR", "ACT_EST_MAPPING=PRECISE", "FS=MRC", "CURRENCY=USD", "XLFILL=b")</f>
        <v>#N/A Requesting Data...</v>
      </c>
      <c r="S121" s="6" t="str">
        <f>_xll.BQL("NOW US Equity", "CB_IS_GENL_AND_ADMIN_EXPN/1M", "FPR=2021Y", "FPT=A", "FA_ACT_EST_DATA=E, EST_SOURCE=MSV", "ACT_EST_MAPPING=PRECISE", "FS=MRC", "CURRENCY=USD", "XLFILL=b")</f>
        <v>#N/A Requesting Data...</v>
      </c>
      <c r="T121" s="6" t="str">
        <f>_xll.BQL("NOW US Equity", "CB_IS_GENL_AND_ADMIN_EXPN/1M", "FPR=2021Y", "FPT=A", "FA_ACT_EST_DATA=E, EST_SOURCE=CAN", "ACT_EST_MAPPING=PRECISE", "FS=MRC", "CURRENCY=USD", "XLFILL=b")</f>
        <v>#N/A Requesting Data...</v>
      </c>
      <c r="U121" s="6" t="str">
        <f>_xll.BQL("NOW US Equity", "CB_IS_GENL_AND_ADMIN_EXPN/1M", "FPR=2021Y", "FPT=A", "FA_ACT_EST_DATA=E, EST_SOURCE=JMP", "ACT_EST_MAPPING=PRECISE", "FS=MRC", "CURRENCY=USD", "XLFILL=b")</f>
        <v>#N/A Requesting Data...</v>
      </c>
      <c r="V121" s="6" t="str">
        <f>_xll.BQL("NOW US Equity", "CB_IS_GENL_AND_ADMIN_EXPN/1M", "FPR=2021Y", "FPT=A", "FA_ACT_EST_DATA=E, EST_SOURCE=NDH", "ACT_EST_MAPPING=PRECISE", "FS=MRC", "CURRENCY=USD", "XLFILL=b")</f>
        <v>#N/A Requesting Data...</v>
      </c>
      <c r="W121" s="6" t="str">
        <f>_xll.BQL("NOW US Equity", "CB_IS_GENL_AND_ADMIN_EXPN/1M", "FPR=2021Y", "FPT=A", "FA_ACT_EST_DATA=E, EST_SOURCE=ZXS", "ACT_EST_MAPPING=PRECISE", "FS=MRC", "CURRENCY=USD", "XLFILL=b")</f>
        <v>#N/A Requesting Data...</v>
      </c>
      <c r="X121" s="6" t="str">
        <f>_xll.BQL("NOW US Equity", "CB_IS_GENL_AND_ADMIN_EXPN/1M", "FPR=2021Y", "FPT=A", "FA_ACT_EST_DATA=E, EST_SOURCE=CWN", "ACT_EST_MAPPING=PRECISE", "FS=MRC", "CURRENCY=USD", "XLFILL=b")</f>
        <v>#N/A Requesting Data...</v>
      </c>
      <c r="Y121" s="6" t="str">
        <f>_xll.BQL("NOW US Equity", "CB_IS_GENL_AND_ADMIN_EXPN/1M", "FPR=2021Y", "FPT=A", "FA_ACT_EST_DATA=E, EST_SOURCE=DBG", "ACT_EST_MAPPING=PRECISE", "FS=MRC", "CURRENCY=USD", "XLFILL=b")</f>
        <v>#N/A Requesting Data...</v>
      </c>
      <c r="Z121" s="6" t="str">
        <f>_xll.BQL("NOW US Equity", "CB_IS_GENL_AND_ADMIN_EXPN/1M", "FPR=2021Y", "FPT=A", "FA_ACT_EST_DATA=E, EST_SOURCE=UBS", "ACT_EST_MAPPING=PRECISE", "FS=MRC", "CURRENCY=USD", "XLFILL=b")</f>
        <v>#N/A Requesting Data...</v>
      </c>
      <c r="AA121" s="6" t="str">
        <f>_xll.BQL("NOW US Equity", "CB_IS_GENL_AND_ADMIN_EXPN/1M", "FPR=2021Y", "FPT=A", "FA_ACT_EST_DATA=E, EST_SOURCE=RBC", "ACT_EST_MAPPING=PRECISE", "FS=MRC", "CURRENCY=USD", "XLFILL=b")</f>
        <v>#N/A Requesting Data...</v>
      </c>
      <c r="AB121" s="6" t="str">
        <f>_xll.BQL("NOW US Equity", "CB_IS_GENL_AND_ADMIN_EXPN/1M", "FPR=2021Y", "FPT=A", "FA_ACT_EST_DATA=E, EST_SOURCE=EVR", "ACT_EST_MAPPING=PRECISE", "FS=MRC", "CURRENCY=USD", "XLFILL=b")</f>
        <v>#N/A Requesting Data...</v>
      </c>
      <c r="AC121" s="6" t="str">
        <f>_xll.BQL("NOW US Equity", "CB_IS_GENL_AND_ADMIN_EXPN/1M", "FPR=2021Y", "FPT=A", "FA_ACT_EST_DATA=E, EST_SOURCE=BNS", "ACT_EST_MAPPING=PRECISE", "FS=MRC", "CURRENCY=USD", "XLFILL=b")</f>
        <v>#N/A Requesting Data...</v>
      </c>
      <c r="AD121" s="6" t="str">
        <f>_xll.BQL("NOW US Equity", "CB_IS_GENL_AND_ADMIN_EXPN/1M", "FPR=2021Y", "FPT=A", "FA_ACT_EST_DATA=E, EST_SOURCE=BAM", "ACT_EST_MAPPING=PRECISE", "FS=MRC", "CURRENCY=USD", "XLFILL=b")</f>
        <v>#N/A Requesting Data...</v>
      </c>
      <c r="AE121" s="6" t="str">
        <f>_xll.BQL("NOW US Equity", "CB_IS_GENL_AND_ADMIN_EXPN/1M", "FPR=2021Y", "FPT=A", "FA_ACT_EST_DATA=E, EST_SOURCE=GSR", "ACT_EST_MAPPING=PRECISE", "FS=MRC", "CURRENCY=USD", "XLFILL=b")</f>
        <v>#N/A Requesting Data...</v>
      </c>
      <c r="AF121" s="6" t="str">
        <f>_xll.BQL("NOW US Equity", "CB_IS_GENL_AND_ADMIN_EXPN/1M", "FPR=2021Y", "FPT=A", "FA_ACT_EST_DATA=E, EST_SOURCE=FBC", "ACT_EST_MAPPING=PRECISE", "FS=MRC", "CURRENCY=USD", "XLFILL=b")</f>
        <v>#N/A Requesting Data...</v>
      </c>
      <c r="AG121" s="6" t="str">
        <f>_xll.BQL("NOW US Equity", "CB_IS_GENL_AND_ADMIN_EXPN/1M", "FPR=2021Y", "FPT=A", "FA_ACT_EST_DATA=E, EST_SOURCE=MAC", "ACT_EST_MAPPING=PRECISE", "FS=MRC", "CURRENCY=USD", "XLFILL=b")</f>
        <v>#N/A Requesting Data...</v>
      </c>
      <c r="AH121" s="6" t="str">
        <f>_xll.BQL("NOW US Equity", "CB_IS_GENL_AND_ADMIN_EXPN/1M", "FPR=2021Y", "FPT=A", "FA_ACT_EST_DATA=E, EST_SOURCE=PSG", "ACT_EST_MAPPING=PRECISE", "FS=MRC", "CURRENCY=USD", "XLFILL=b")</f>
        <v>#N/A Requesting Data...</v>
      </c>
      <c r="AI121" s="6" t="str">
        <f>_xll.BQL("NOW US Equity", "CB_IS_GENL_AND_ADMIN_EXPN/1M", "FPR=2021Y", "FPT=A", "FA_ACT_EST_DATA=E, EST_SOURCE=MSR", "ACT_EST_MAPPING=PRECISE", "FS=MRC", "CURRENCY=USD", "XLFILL=b")</f>
        <v>#N/A Requesting Data...</v>
      </c>
      <c r="AJ121" s="6" t="str">
        <f>_xll.BQL("NOW US Equity", "CB_IS_GENL_AND_ADMIN_EXPN/1M", "FPR=2021Y", "FPT=A", "FA_ACT_EST_DATA=E, EST_SOURCE=JEF", "ACT_EST_MAPPING=PRECISE", "FS=MRC", "CURRENCY=USD", "XLFILL=b")</f>
        <v>#N/A Requesting Data...</v>
      </c>
      <c r="AK121" s="6" t="str">
        <f>_xll.BQL("NOW US Equity", "CB_IS_GENL_AND_ADMIN_EXPN/1M", "FPR=2021Y", "FPT=A", "FA_ACT_EST_DATA=E, EST_SOURCE=TTC", "ACT_EST_MAPPING=PRECISE", "FS=MRC", "CURRENCY=USD", "XLFILL=b")</f>
        <v>#N/A Requesting Data...</v>
      </c>
      <c r="AL121" s="6" t="str">
        <f>_xll.BQL("NOW US Equity", "CB_IS_GENL_AND_ADMIN_EXPN/1M", "FPR=2021Y", "FPT=A", "FA_ACT_EST_DATA=E, EST_SOURCE=RWB", "ACT_EST_MAPPING=PRECISE", "FS=MRC", "CURRENCY=USD", "XLFILL=b")</f>
        <v>#N/A Requesting Data...</v>
      </c>
      <c r="AM121" s="6" t="str">
        <f>_xll.BQL("NOW US Equity", "CB_IS_GENL_AND_ADMIN_EXPN/1M", "FPR=2021Y", "FPT=A", "FA_ACT_EST_DATA=E, EST_SOURCE=DZB", "ACT_EST_MAPPING=PRECISE", "FS=MRC", "CURRENCY=USD", "XLFILL=b")</f>
        <v>#N/A Requesting Data...</v>
      </c>
      <c r="AN121" s="6" t="str">
        <f>_xll.BQL("NOW US Equity", "CB_IS_GENL_AND_ADMIN_EXPN/1M", "FPR=2021Y", "FPT=A", "FA_ACT_EST_DATA=E, EST_SOURCE=DWI", "ACT_EST_MAPPING=PRECISE", "FS=MRC", "CURRENCY=USD", "XLFILL=b")</f>
        <v>#N/A Requesting Data...</v>
      </c>
      <c r="AO121" s="6" t="str">
        <f>_xll.BQL("NOW US Equity", "CB_IS_GENL_AND_ADMIN_EXPN/1M", "FPR=2021Y", "FPT=A", "FA_ACT_EST_DATA=E, EST_SOURCE=ARG", "ACT_EST_MAPPING=PRECISE", "FS=MRC", "CURRENCY=USD", "XLFILL=b")</f>
        <v>#N/A Requesting Data...</v>
      </c>
      <c r="AP121" s="6" t="str">
        <f>_xll.BQL("NOW US Equity", "CB_IS_GENL_AND_ADMIN_EXPN/1M", "FPR=2021Y", "FPT=A", "FA_ACT_EST_DATA=E, EST_SOURCE=CTI", "ACT_EST_MAPPING=PRECISE", "FS=MRC", "CURRENCY=USD", "XLFILL=b")</f>
        <v>#N/A Requesting Data...</v>
      </c>
      <c r="AQ121" s="6" t="str">
        <f>_xll.BQL("NOW US Equity", "CB_IS_GENL_AND_ADMIN_EXPN/1M", "FPR=2021Y", "FPT=A", "FA_ACT_EST_DATA=E, EST_SOURCE=WFT", "ACT_EST_MAPPING=PRECISE", "FS=MRC", "CURRENCY=USD", "XLFILL=b")</f>
        <v>#N/A Requesting Data...</v>
      </c>
      <c r="AR121" s="6" t="str">
        <f>_xll.BQL("NOW US Equity", "CB_IS_GENL_AND_ADMIN_EXPN/1M", "FPR=2021Y", "FPT=A", "FA_ACT_EST_DATA=E, EST_SOURCE=ARE", "ACT_EST_MAPPING=PRECISE", "FS=MRC", "CURRENCY=USD", "XLFILL=b")</f>
        <v>#N/A Requesting Data...</v>
      </c>
      <c r="AS121" s="6" t="str">
        <f>_xll.BQL("NOW US Equity", "CB_IS_GENL_AND_ADMIN_EXPN/1M", "FPR=2021Y", "FPT=A", "FA_ACT_EST_DATA=E, EST_SOURCE=PJE", "ACT_EST_MAPPING=PRECISE", "FS=MRC", "CURRENCY=USD", "XLFILL=b")</f>
        <v>#N/A Requesting Data...</v>
      </c>
      <c r="AT121" s="6" t="str">
        <f>_xll.BQL("NOW US Equity", "CB_IS_GENL_AND_ADMIN_EXPN/1M", "FPR=2021Y", "FPT=A", "FA_ACT_EST_DATA=E, EST_SOURCE=MZS", "ACT_EST_MAPPING=PRECISE", "FS=MRC", "CURRENCY=USD", "XLFILL=b")</f>
        <v>#N/A Requesting Data...</v>
      </c>
      <c r="AU121" s="6" t="str">
        <f>_xll.BQL("NOW US Equity", "CB_IS_GENL_AND_ADMIN_EXPN/1M", "FPR=2021Y", "FPT=A", "FA_ACT_EST_DATA=E, EST_SOURCE=SUM", "ACT_EST_MAPPING=PRECISE", "FS=MRC", "CURRENCY=USD", "XLFILL=b")</f>
        <v>#N/A Requesting Data...</v>
      </c>
      <c r="AV121" s="6" t="str">
        <f>_xll.BQL("NOW US Equity", "CB_IS_GENL_AND_ADMIN_EXPN/1M", "FPR=2021Y", "FPT=A", "FA_ACT_EST_DATA=E, EST_SOURCE=CRC", "ACT_EST_MAPPING=PRECISE", "FS=MRC", "CURRENCY=USD", "XLFILL=b")</f>
        <v>#N/A Requesting Data...</v>
      </c>
      <c r="AW121" s="6" t="str">
        <f>_xll.BQL("NOW US Equity", "CB_IS_GENL_AND_ADMIN_EXPN/1M", "FPR=2021Y", "FPT=A", "FA_ACT_EST_DATA=E, EST_SOURCE=SCB", "ACT_EST_MAPPING=PRECISE", "FS=MRC", "CURRENCY=USD", "XLFILL=b")</f>
        <v>#N/A Requesting Data...</v>
      </c>
    </row>
    <row r="122" spans="1:49" x14ac:dyDescent="0.55000000000000004">
      <c r="A122" s="5" t="s">
        <v>189</v>
      </c>
      <c r="B122" s="2" t="s">
        <v>190</v>
      </c>
      <c r="C122" s="2" t="s">
        <v>191</v>
      </c>
      <c r="D122" s="2"/>
      <c r="E122" s="6" t="str">
        <f>_xll.BQL("NOW US Equity", "IS_MERGER_AND_ACQUIS_EXPN_OP/1M", "FPR=2021Y", "FPT=A", "FA_ACT_EST_DATA=E", "ACT_EST_MAPPING=PRECISE", "FS=MRC", "CURRENCY=USD", "XLFILL=b")</f>
        <v>#N/A Requesting Data...</v>
      </c>
      <c r="F122" s="6" t="str">
        <f>_xll.BQL("NOW US Equity", "CONTRIBUTOR_STATS(IS_MERGER_AND_ACQUIS_EXPN_OP, MIN)/1M", "FPR=2021Y", "FPT=A", "FA_ACT_EST_DATA=E", "ACT_EST_MAPPING=PRECISE", "FS=MRC", "CURRENCY=USD", "XLFILL=b")</f>
        <v>#N/A Requesting Data...</v>
      </c>
      <c r="G122" s="6" t="str">
        <f>_xll.BQL("NOW US Equity", "CONTRIBUTOR_STATS(IS_MERGER_AND_ACQUIS_EXPN_OP, MAX)/1M", "FPR=2021Y", "FPT=A", "FA_ACT_EST_DATA=E", "ACT_EST_MAPPING=PRECISE", "FS=MRC", "CURRENCY=USD", "XLFILL=b")</f>
        <v>#N/A Requesting Data...</v>
      </c>
      <c r="H122" s="6" t="str">
        <f>_xll.BQL("NOW US Equity", "CONTRIBUTOR_STATS(IS_MERGER_AND_ACQUIS_EXPN_OP, STD)/1M", "FPR=2021Y", "FPT=A", "FA_ACT_EST_DATA=E", "ACT_EST_MAPPING=PRECISE", "FS=MRC", "CURRENCY=USD", "XLFILL=b")</f>
        <v>#N/A Requesting Data...</v>
      </c>
      <c r="I122" s="6" t="str">
        <f>_xll.BQL("NOW US Equity", "CONTRIBUTOR_STATS(IS_MERGER_AND_ACQUIS_EXPN_OP, MEDIAN)/1M", "FPR=2021Y", "FPT=A", "FA_ACT_EST_DATA=E", "ACT_EST_MAPPING=PRECISE", "FS=MRC", "CURRENCY=USD", "XLFILL=b")</f>
        <v>#N/A Requesting Data...</v>
      </c>
      <c r="J122" s="6" t="str">
        <f>_xll.BQL("NOW US Equity", "IS_MERGER_AND_ACQUIS_EXPN_OP/1M", "FPR=2021Y", "FPT=A", "FA_ACT_EST_DATA=E, EST_SOURCE=CMPY", "ACT_EST_MAPPING=PRECISE", "FS=MRC", "CURRENCY=USD", "XLFILL=b")</f>
        <v>#N/A Requesting Data...</v>
      </c>
      <c r="K122" s="6" t="str">
        <f>_xll.BQL("NOW US Equity", "IS_MERGER_AND_ACQUIS_EXPN_OP/1M", "FPR=2021Y", "FPT=A", "FA_ACT_EST_DATA=E, EST_SOURCE=JPM", "ACT_EST_MAPPING=PRECISE", "FS=MRC", "CURRENCY=USD", "XLFILL=b")</f>
        <v>#N/A Requesting Data...</v>
      </c>
      <c r="L122" s="6" t="str">
        <f>_xll.BQL("NOW US Equity", "IS_MERGER_AND_ACQUIS_EXPN_OP/1M", "FPR=2021Y", "FPT=A", "FA_ACT_EST_DATA=E, EST_SOURCE=WBL", "ACT_EST_MAPPING=PRECISE", "FS=MRC", "CURRENCY=USD", "XLFILL=b")</f>
        <v>#N/A Requesting Data...</v>
      </c>
      <c r="M122" s="6" t="str">
        <f>_xll.BQL("NOW US Equity", "IS_MERGER_AND_ACQUIS_EXPN_OP/1M", "FPR=2021Y", "FPT=A", "FA_ACT_EST_DATA=E, EST_SOURCE=KEY", "ACT_EST_MAPPING=PRECISE", "FS=MRC", "CURRENCY=USD", "XLFILL=b")</f>
        <v>#N/A Requesting Data...</v>
      </c>
      <c r="N122" s="6" t="str">
        <f>_xll.BQL("NOW US Equity", "IS_MERGER_AND_ACQUIS_EXPN_OP/1M", "FPR=2021Y", "FPT=A", "FA_ACT_EST_DATA=E, EST_SOURCE=BMO", "ACT_EST_MAPPING=PRECISE", "FS=MRC", "CURRENCY=USD", "XLFILL=b")</f>
        <v>#N/A Requesting Data...</v>
      </c>
      <c r="O122" s="6" t="str">
        <f>_xll.BQL("NOW US Equity", "IS_MERGER_AND_ACQUIS_EXPN_OP/1M", "FPR=2021Y", "FPT=A", "FA_ACT_EST_DATA=E, EST_SOURCE=OPY", "ACT_EST_MAPPING=PRECISE", "FS=MRC", "CURRENCY=USD", "XLFILL=b")</f>
        <v>#N/A Requesting Data...</v>
      </c>
      <c r="P122" s="6" t="str">
        <f>_xll.BQL("NOW US Equity", "IS_MERGER_AND_ACQUIS_EXPN_OP/1M", "FPR=2021Y", "FPT=A", "FA_ACT_EST_DATA=E, EST_SOURCE=BCA", "ACT_EST_MAPPING=PRECISE", "FS=MRC", "CURRENCY=USD", "XLFILL=b")</f>
        <v>#N/A Requesting Data...</v>
      </c>
      <c r="Q122" s="6" t="str">
        <f>_xll.BQL("NOW US Equity", "IS_MERGER_AND_ACQUIS_EXPN_OP/1M", "FPR=2021Y", "FPT=A", "FA_ACT_EST_DATA=E, EST_SOURCE=RHR", "ACT_EST_MAPPING=PRECISE", "FS=MRC", "CURRENCY=USD", "XLFILL=b")</f>
        <v>#N/A Requesting Data...</v>
      </c>
      <c r="R122" s="6" t="str">
        <f>_xll.BQL("NOW US Equity", "IS_MERGER_AND_ACQUIS_EXPN_OP/1M", "FPR=2021Y", "FPT=A", "FA_ACT_EST_DATA=E, EST_SOURCE=SNR", "ACT_EST_MAPPING=PRECISE", "FS=MRC", "CURRENCY=USD", "XLFILL=b")</f>
        <v>#N/A Requesting Data...</v>
      </c>
      <c r="S122" s="6" t="str">
        <f>_xll.BQL("NOW US Equity", "IS_MERGER_AND_ACQUIS_EXPN_OP/1M", "FPR=2021Y", "FPT=A", "FA_ACT_EST_DATA=E, EST_SOURCE=MSV", "ACT_EST_MAPPING=PRECISE", "FS=MRC", "CURRENCY=USD", "XLFILL=b")</f>
        <v>#N/A Requesting Data...</v>
      </c>
      <c r="T122" s="6" t="str">
        <f>_xll.BQL("NOW US Equity", "IS_MERGER_AND_ACQUIS_EXPN_OP/1M", "FPR=2021Y", "FPT=A", "FA_ACT_EST_DATA=E, EST_SOURCE=CAN", "ACT_EST_MAPPING=PRECISE", "FS=MRC", "CURRENCY=USD", "XLFILL=b")</f>
        <v>#N/A Requesting Data...</v>
      </c>
      <c r="U122" s="6" t="str">
        <f>_xll.BQL("NOW US Equity", "IS_MERGER_AND_ACQUIS_EXPN_OP/1M", "FPR=2021Y", "FPT=A", "FA_ACT_EST_DATA=E, EST_SOURCE=JMP", "ACT_EST_MAPPING=PRECISE", "FS=MRC", "CURRENCY=USD", "XLFILL=b")</f>
        <v>#N/A Requesting Data...</v>
      </c>
      <c r="V122" s="6" t="str">
        <f>_xll.BQL("NOW US Equity", "IS_MERGER_AND_ACQUIS_EXPN_OP/1M", "FPR=2021Y", "FPT=A", "FA_ACT_EST_DATA=E, EST_SOURCE=NDH", "ACT_EST_MAPPING=PRECISE", "FS=MRC", "CURRENCY=USD", "XLFILL=b")</f>
        <v>#N/A Requesting Data...</v>
      </c>
      <c r="W122" s="6" t="str">
        <f>_xll.BQL("NOW US Equity", "IS_MERGER_AND_ACQUIS_EXPN_OP/1M", "FPR=2021Y", "FPT=A", "FA_ACT_EST_DATA=E, EST_SOURCE=ZXS", "ACT_EST_MAPPING=PRECISE", "FS=MRC", "CURRENCY=USD", "XLFILL=b")</f>
        <v>#N/A Requesting Data...</v>
      </c>
      <c r="X122" s="6" t="str">
        <f>_xll.BQL("NOW US Equity", "IS_MERGER_AND_ACQUIS_EXPN_OP/1M", "FPR=2021Y", "FPT=A", "FA_ACT_EST_DATA=E, EST_SOURCE=CWN", "ACT_EST_MAPPING=PRECISE", "FS=MRC", "CURRENCY=USD", "XLFILL=b")</f>
        <v>#N/A Requesting Data...</v>
      </c>
      <c r="Y122" s="6" t="str">
        <f>_xll.BQL("NOW US Equity", "IS_MERGER_AND_ACQUIS_EXPN_OP/1M", "FPR=2021Y", "FPT=A", "FA_ACT_EST_DATA=E, EST_SOURCE=DBG", "ACT_EST_MAPPING=PRECISE", "FS=MRC", "CURRENCY=USD", "XLFILL=b")</f>
        <v>#N/A Requesting Data...</v>
      </c>
      <c r="Z122" s="6" t="str">
        <f>_xll.BQL("NOW US Equity", "IS_MERGER_AND_ACQUIS_EXPN_OP/1M", "FPR=2021Y", "FPT=A", "FA_ACT_EST_DATA=E, EST_SOURCE=UBS", "ACT_EST_MAPPING=PRECISE", "FS=MRC", "CURRENCY=USD", "XLFILL=b")</f>
        <v>#N/A Requesting Data...</v>
      </c>
      <c r="AA122" s="6" t="str">
        <f>_xll.BQL("NOW US Equity", "IS_MERGER_AND_ACQUIS_EXPN_OP/1M", "FPR=2021Y", "FPT=A", "FA_ACT_EST_DATA=E, EST_SOURCE=RBC", "ACT_EST_MAPPING=PRECISE", "FS=MRC", "CURRENCY=USD", "XLFILL=b")</f>
        <v>#N/A Requesting Data...</v>
      </c>
      <c r="AB122" s="6" t="str">
        <f>_xll.BQL("NOW US Equity", "IS_MERGER_AND_ACQUIS_EXPN_OP/1M", "FPR=2021Y", "FPT=A", "FA_ACT_EST_DATA=E, EST_SOURCE=EVR", "ACT_EST_MAPPING=PRECISE", "FS=MRC", "CURRENCY=USD", "XLFILL=b")</f>
        <v>#N/A Requesting Data...</v>
      </c>
      <c r="AC122" s="6" t="str">
        <f>_xll.BQL("NOW US Equity", "IS_MERGER_AND_ACQUIS_EXPN_OP/1M", "FPR=2021Y", "FPT=A", "FA_ACT_EST_DATA=E, EST_SOURCE=BNS", "ACT_EST_MAPPING=PRECISE", "FS=MRC", "CURRENCY=USD", "XLFILL=b")</f>
        <v>#N/A Requesting Data...</v>
      </c>
      <c r="AD122" s="6" t="str">
        <f>_xll.BQL("NOW US Equity", "IS_MERGER_AND_ACQUIS_EXPN_OP/1M", "FPR=2021Y", "FPT=A", "FA_ACT_EST_DATA=E, EST_SOURCE=BAM", "ACT_EST_MAPPING=PRECISE", "FS=MRC", "CURRENCY=USD", "XLFILL=b")</f>
        <v>#N/A Requesting Data...</v>
      </c>
      <c r="AE122" s="6" t="str">
        <f>_xll.BQL("NOW US Equity", "IS_MERGER_AND_ACQUIS_EXPN_OP/1M", "FPR=2021Y", "FPT=A", "FA_ACT_EST_DATA=E, EST_SOURCE=GSR", "ACT_EST_MAPPING=PRECISE", "FS=MRC", "CURRENCY=USD", "XLFILL=b")</f>
        <v>#N/A Requesting Data...</v>
      </c>
      <c r="AF122" s="6" t="str">
        <f>_xll.BQL("NOW US Equity", "IS_MERGER_AND_ACQUIS_EXPN_OP/1M", "FPR=2021Y", "FPT=A", "FA_ACT_EST_DATA=E, EST_SOURCE=FBC", "ACT_EST_MAPPING=PRECISE", "FS=MRC", "CURRENCY=USD", "XLFILL=b")</f>
        <v>#N/A Requesting Data...</v>
      </c>
      <c r="AG122" s="6" t="str">
        <f>_xll.BQL("NOW US Equity", "IS_MERGER_AND_ACQUIS_EXPN_OP/1M", "FPR=2021Y", "FPT=A", "FA_ACT_EST_DATA=E, EST_SOURCE=MAC", "ACT_EST_MAPPING=PRECISE", "FS=MRC", "CURRENCY=USD", "XLFILL=b")</f>
        <v>#N/A Requesting Data...</v>
      </c>
      <c r="AH122" s="6" t="str">
        <f>_xll.BQL("NOW US Equity", "IS_MERGER_AND_ACQUIS_EXPN_OP/1M", "FPR=2021Y", "FPT=A", "FA_ACT_EST_DATA=E, EST_SOURCE=PSG", "ACT_EST_MAPPING=PRECISE", "FS=MRC", "CURRENCY=USD", "XLFILL=b")</f>
        <v>#N/A Requesting Data...</v>
      </c>
      <c r="AI122" s="6" t="str">
        <f>_xll.BQL("NOW US Equity", "IS_MERGER_AND_ACQUIS_EXPN_OP/1M", "FPR=2021Y", "FPT=A", "FA_ACT_EST_DATA=E, EST_SOURCE=MSR", "ACT_EST_MAPPING=PRECISE", "FS=MRC", "CURRENCY=USD", "XLFILL=b")</f>
        <v>#N/A Requesting Data...</v>
      </c>
      <c r="AJ122" s="6" t="str">
        <f>_xll.BQL("NOW US Equity", "IS_MERGER_AND_ACQUIS_EXPN_OP/1M", "FPR=2021Y", "FPT=A", "FA_ACT_EST_DATA=E, EST_SOURCE=JEF", "ACT_EST_MAPPING=PRECISE", "FS=MRC", "CURRENCY=USD", "XLFILL=b")</f>
        <v>#N/A Requesting Data...</v>
      </c>
      <c r="AK122" s="6" t="str">
        <f>_xll.BQL("NOW US Equity", "IS_MERGER_AND_ACQUIS_EXPN_OP/1M", "FPR=2021Y", "FPT=A", "FA_ACT_EST_DATA=E, EST_SOURCE=TTC", "ACT_EST_MAPPING=PRECISE", "FS=MRC", "CURRENCY=USD", "XLFILL=b")</f>
        <v>#N/A Requesting Data...</v>
      </c>
      <c r="AL122" s="6" t="str">
        <f>_xll.BQL("NOW US Equity", "IS_MERGER_AND_ACQUIS_EXPN_OP/1M", "FPR=2021Y", "FPT=A", "FA_ACT_EST_DATA=E, EST_SOURCE=RWB", "ACT_EST_MAPPING=PRECISE", "FS=MRC", "CURRENCY=USD", "XLFILL=b")</f>
        <v>#N/A Requesting Data...</v>
      </c>
      <c r="AM122" s="6" t="str">
        <f>_xll.BQL("NOW US Equity", "IS_MERGER_AND_ACQUIS_EXPN_OP/1M", "FPR=2021Y", "FPT=A", "FA_ACT_EST_DATA=E, EST_SOURCE=DZB", "ACT_EST_MAPPING=PRECISE", "FS=MRC", "CURRENCY=USD", "XLFILL=b")</f>
        <v>#N/A Requesting Data...</v>
      </c>
      <c r="AN122" s="6" t="str">
        <f>_xll.BQL("NOW US Equity", "IS_MERGER_AND_ACQUIS_EXPN_OP/1M", "FPR=2021Y", "FPT=A", "FA_ACT_EST_DATA=E, EST_SOURCE=DWI", "ACT_EST_MAPPING=PRECISE", "FS=MRC", "CURRENCY=USD", "XLFILL=b")</f>
        <v>#N/A Requesting Data...</v>
      </c>
      <c r="AO122" s="6" t="str">
        <f>_xll.BQL("NOW US Equity", "IS_MERGER_AND_ACQUIS_EXPN_OP/1M", "FPR=2021Y", "FPT=A", "FA_ACT_EST_DATA=E, EST_SOURCE=ARG", "ACT_EST_MAPPING=PRECISE", "FS=MRC", "CURRENCY=USD", "XLFILL=b")</f>
        <v>#N/A Requesting Data...</v>
      </c>
      <c r="AP122" s="6" t="str">
        <f>_xll.BQL("NOW US Equity", "IS_MERGER_AND_ACQUIS_EXPN_OP/1M", "FPR=2021Y", "FPT=A", "FA_ACT_EST_DATA=E, EST_SOURCE=CTI", "ACT_EST_MAPPING=PRECISE", "FS=MRC", "CURRENCY=USD", "XLFILL=b")</f>
        <v>#N/A Requesting Data...</v>
      </c>
      <c r="AQ122" s="6" t="str">
        <f>_xll.BQL("NOW US Equity", "IS_MERGER_AND_ACQUIS_EXPN_OP/1M", "FPR=2021Y", "FPT=A", "FA_ACT_EST_DATA=E, EST_SOURCE=WFT", "ACT_EST_MAPPING=PRECISE", "FS=MRC", "CURRENCY=USD", "XLFILL=b")</f>
        <v>#N/A Requesting Data...</v>
      </c>
      <c r="AR122" s="6" t="str">
        <f>_xll.BQL("NOW US Equity", "IS_MERGER_AND_ACQUIS_EXPN_OP/1M", "FPR=2021Y", "FPT=A", "FA_ACT_EST_DATA=E, EST_SOURCE=ARE", "ACT_EST_MAPPING=PRECISE", "FS=MRC", "CURRENCY=USD", "XLFILL=b")</f>
        <v>#N/A Requesting Data...</v>
      </c>
      <c r="AS122" s="6" t="str">
        <f>_xll.BQL("NOW US Equity", "IS_MERGER_AND_ACQUIS_EXPN_OP/1M", "FPR=2021Y", "FPT=A", "FA_ACT_EST_DATA=E, EST_SOURCE=PJE", "ACT_EST_MAPPING=PRECISE", "FS=MRC", "CURRENCY=USD", "XLFILL=b")</f>
        <v>#N/A Requesting Data...</v>
      </c>
      <c r="AT122" s="6" t="str">
        <f>_xll.BQL("NOW US Equity", "IS_MERGER_AND_ACQUIS_EXPN_OP/1M", "FPR=2021Y", "FPT=A", "FA_ACT_EST_DATA=E, EST_SOURCE=MZS", "ACT_EST_MAPPING=PRECISE", "FS=MRC", "CURRENCY=USD", "XLFILL=b")</f>
        <v>#N/A Requesting Data...</v>
      </c>
      <c r="AU122" s="6" t="str">
        <f>_xll.BQL("NOW US Equity", "IS_MERGER_AND_ACQUIS_EXPN_OP/1M", "FPR=2021Y", "FPT=A", "FA_ACT_EST_DATA=E, EST_SOURCE=SUM", "ACT_EST_MAPPING=PRECISE", "FS=MRC", "CURRENCY=USD", "XLFILL=b")</f>
        <v>#N/A Requesting Data...</v>
      </c>
      <c r="AV122" s="6" t="str">
        <f>_xll.BQL("NOW US Equity", "IS_MERGER_AND_ACQUIS_EXPN_OP/1M", "FPR=2021Y", "FPT=A", "FA_ACT_EST_DATA=E, EST_SOURCE=CRC", "ACT_EST_MAPPING=PRECISE", "FS=MRC", "CURRENCY=USD", "XLFILL=b")</f>
        <v>#N/A Requesting Data...</v>
      </c>
      <c r="AW122" s="6" t="str">
        <f>_xll.BQL("NOW US Equity", "IS_MERGER_AND_ACQUIS_EXPN_OP/1M", "FPR=2021Y", "FPT=A", "FA_ACT_EST_DATA=E, EST_SOURCE=SCB", "ACT_EST_MAPPING=PRECISE", "FS=MRC", "CURRENCY=USD", "XLFILL=b")</f>
        <v>#N/A Requesting Data...</v>
      </c>
    </row>
    <row r="123" spans="1:49" x14ac:dyDescent="0.55000000000000004">
      <c r="A123" s="5" t="s">
        <v>192</v>
      </c>
      <c r="B123" s="2" t="s">
        <v>193</v>
      </c>
      <c r="C123" s="2" t="s">
        <v>194</v>
      </c>
      <c r="D123" s="2"/>
      <c r="E123" s="6" t="str">
        <f>_xll.BQL("NOW US Equity", "TOTAL_OPERATING_EXPENSES_RATIO/1M", "FPR=2021Y", "FPT=A", "FA_ACT_EST_DATA=E", "ACT_EST_MAPPING=PRECISE", "FS=MRC", "CURRENCY=USD", "XLFILL=b")</f>
        <v>#N/A Requesting Data...</v>
      </c>
      <c r="F123" s="6" t="str">
        <f>_xll.BQL("NOW US Equity", "CONTRIBUTOR_STATS(TOTAL_OPERATING_EXPENSES_RATIO, MIN)/1M", "FPR=2021Y", "FPT=A", "FA_ACT_EST_DATA=E", "ACT_EST_MAPPING=PRECISE", "FS=MRC", "CURRENCY=USD", "XLFILL=b")</f>
        <v>#N/A Requesting Data...</v>
      </c>
      <c r="G123" s="6" t="str">
        <f>_xll.BQL("NOW US Equity", "CONTRIBUTOR_STATS(TOTAL_OPERATING_EXPENSES_RATIO, MAX)/1M", "FPR=2021Y", "FPT=A", "FA_ACT_EST_DATA=E", "ACT_EST_MAPPING=PRECISE", "FS=MRC", "CURRENCY=USD", "XLFILL=b")</f>
        <v>#N/A Requesting Data...</v>
      </c>
      <c r="H123" s="6" t="str">
        <f>_xll.BQL("NOW US Equity", "CONTRIBUTOR_STATS(TOTAL_OPERATING_EXPENSES_RATIO, STD)/1M", "FPR=2021Y", "FPT=A", "FA_ACT_EST_DATA=E", "ACT_EST_MAPPING=PRECISE", "FS=MRC", "CURRENCY=USD", "XLFILL=b")</f>
        <v>#N/A Requesting Data...</v>
      </c>
      <c r="I123" s="6" t="str">
        <f>_xll.BQL("NOW US Equity", "CONTRIBUTOR_STATS(TOTAL_OPERATING_EXPENSES_RATIO, MEDIAN)/1M", "FPR=2021Y", "FPT=A", "FA_ACT_EST_DATA=E", "ACT_EST_MAPPING=PRECISE", "FS=MRC", "CURRENCY=USD", "XLFILL=b")</f>
        <v>#N/A Requesting Data...</v>
      </c>
      <c r="J123" s="6" t="str">
        <f>_xll.BQL("NOW US Equity", "TOTAL_OPERATING_EXPENSES_RATIO/1M", "FPR=2021Y", "FPT=A", "FA_ACT_EST_DATA=E, EST_SOURCE=CMPY", "ACT_EST_MAPPING=PRECISE", "FS=MRC", "CURRENCY=USD", "XLFILL=b")</f>
        <v>#N/A Requesting Data...</v>
      </c>
      <c r="K123" s="6" t="str">
        <f>_xll.BQL("NOW US Equity", "TOTAL_OPERATING_EXPENSES_RATIO/1M", "FPR=2021Y", "FPT=A", "FA_ACT_EST_DATA=E, EST_SOURCE=JPM", "ACT_EST_MAPPING=PRECISE", "FS=MRC", "CURRENCY=USD", "XLFILL=b")</f>
        <v>#N/A Requesting Data...</v>
      </c>
      <c r="L123" s="6" t="str">
        <f>_xll.BQL("NOW US Equity", "TOTAL_OPERATING_EXPENSES_RATIO/1M", "FPR=2021Y", "FPT=A", "FA_ACT_EST_DATA=E, EST_SOURCE=WBL", "ACT_EST_MAPPING=PRECISE", "FS=MRC", "CURRENCY=USD", "XLFILL=b")</f>
        <v>#N/A Requesting Data...</v>
      </c>
      <c r="M123" s="6" t="str">
        <f>_xll.BQL("NOW US Equity", "TOTAL_OPERATING_EXPENSES_RATIO/1M", "FPR=2021Y", "FPT=A", "FA_ACT_EST_DATA=E, EST_SOURCE=KEY", "ACT_EST_MAPPING=PRECISE", "FS=MRC", "CURRENCY=USD", "XLFILL=b")</f>
        <v>#N/A Requesting Data...</v>
      </c>
      <c r="N123" s="6" t="str">
        <f>_xll.BQL("NOW US Equity", "TOTAL_OPERATING_EXPENSES_RATIO/1M", "FPR=2021Y", "FPT=A", "FA_ACT_EST_DATA=E, EST_SOURCE=BMO", "ACT_EST_MAPPING=PRECISE", "FS=MRC", "CURRENCY=USD", "XLFILL=b")</f>
        <v>#N/A Requesting Data...</v>
      </c>
      <c r="O123" s="6" t="str">
        <f>_xll.BQL("NOW US Equity", "TOTAL_OPERATING_EXPENSES_RATIO/1M", "FPR=2021Y", "FPT=A", "FA_ACT_EST_DATA=E, EST_SOURCE=OPY", "ACT_EST_MAPPING=PRECISE", "FS=MRC", "CURRENCY=USD", "XLFILL=b")</f>
        <v>#N/A Requesting Data...</v>
      </c>
      <c r="P123" s="6" t="str">
        <f>_xll.BQL("NOW US Equity", "TOTAL_OPERATING_EXPENSES_RATIO/1M", "FPR=2021Y", "FPT=A", "FA_ACT_EST_DATA=E, EST_SOURCE=BCA", "ACT_EST_MAPPING=PRECISE", "FS=MRC", "CURRENCY=USD", "XLFILL=b")</f>
        <v>#N/A Requesting Data...</v>
      </c>
      <c r="Q123" s="6" t="str">
        <f>_xll.BQL("NOW US Equity", "TOTAL_OPERATING_EXPENSES_RATIO/1M", "FPR=2021Y", "FPT=A", "FA_ACT_EST_DATA=E, EST_SOURCE=RHR", "ACT_EST_MAPPING=PRECISE", "FS=MRC", "CURRENCY=USD", "XLFILL=b")</f>
        <v>#N/A Requesting Data...</v>
      </c>
      <c r="R123" s="6" t="str">
        <f>_xll.BQL("NOW US Equity", "TOTAL_OPERATING_EXPENSES_RATIO/1M", "FPR=2021Y", "FPT=A", "FA_ACT_EST_DATA=E, EST_SOURCE=SNR", "ACT_EST_MAPPING=PRECISE", "FS=MRC", "CURRENCY=USD", "XLFILL=b")</f>
        <v>#N/A Requesting Data...</v>
      </c>
      <c r="S123" s="6" t="str">
        <f>_xll.BQL("NOW US Equity", "TOTAL_OPERATING_EXPENSES_RATIO/1M", "FPR=2021Y", "FPT=A", "FA_ACT_EST_DATA=E, EST_SOURCE=MSV", "ACT_EST_MAPPING=PRECISE", "FS=MRC", "CURRENCY=USD", "XLFILL=b")</f>
        <v>#N/A Requesting Data...</v>
      </c>
      <c r="T123" s="6" t="str">
        <f>_xll.BQL("NOW US Equity", "TOTAL_OPERATING_EXPENSES_RATIO/1M", "FPR=2021Y", "FPT=A", "FA_ACT_EST_DATA=E, EST_SOURCE=CAN", "ACT_EST_MAPPING=PRECISE", "FS=MRC", "CURRENCY=USD", "XLFILL=b")</f>
        <v>#N/A Requesting Data...</v>
      </c>
      <c r="U123" s="6" t="str">
        <f>_xll.BQL("NOW US Equity", "TOTAL_OPERATING_EXPENSES_RATIO/1M", "FPR=2021Y", "FPT=A", "FA_ACT_EST_DATA=E, EST_SOURCE=JMP", "ACT_EST_MAPPING=PRECISE", "FS=MRC", "CURRENCY=USD", "XLFILL=b")</f>
        <v>#N/A Requesting Data...</v>
      </c>
      <c r="V123" s="6" t="str">
        <f>_xll.BQL("NOW US Equity", "TOTAL_OPERATING_EXPENSES_RATIO/1M", "FPR=2021Y", "FPT=A", "FA_ACT_EST_DATA=E, EST_SOURCE=NDH", "ACT_EST_MAPPING=PRECISE", "FS=MRC", "CURRENCY=USD", "XLFILL=b")</f>
        <v>#N/A Requesting Data...</v>
      </c>
      <c r="W123" s="6" t="str">
        <f>_xll.BQL("NOW US Equity", "TOTAL_OPERATING_EXPENSES_RATIO/1M", "FPR=2021Y", "FPT=A", "FA_ACT_EST_DATA=E, EST_SOURCE=ZXS", "ACT_EST_MAPPING=PRECISE", "FS=MRC", "CURRENCY=USD", "XLFILL=b")</f>
        <v>#N/A Requesting Data...</v>
      </c>
      <c r="X123" s="6" t="str">
        <f>_xll.BQL("NOW US Equity", "TOTAL_OPERATING_EXPENSES_RATIO/1M", "FPR=2021Y", "FPT=A", "FA_ACT_EST_DATA=E, EST_SOURCE=CWN", "ACT_EST_MAPPING=PRECISE", "FS=MRC", "CURRENCY=USD", "XLFILL=b")</f>
        <v>#N/A Requesting Data...</v>
      </c>
      <c r="Y123" s="6" t="str">
        <f>_xll.BQL("NOW US Equity", "TOTAL_OPERATING_EXPENSES_RATIO/1M", "FPR=2021Y", "FPT=A", "FA_ACT_EST_DATA=E, EST_SOURCE=DBG", "ACT_EST_MAPPING=PRECISE", "FS=MRC", "CURRENCY=USD", "XLFILL=b")</f>
        <v>#N/A Requesting Data...</v>
      </c>
      <c r="Z123" s="6" t="str">
        <f>_xll.BQL("NOW US Equity", "TOTAL_OPERATING_EXPENSES_RATIO/1M", "FPR=2021Y", "FPT=A", "FA_ACT_EST_DATA=E, EST_SOURCE=UBS", "ACT_EST_MAPPING=PRECISE", "FS=MRC", "CURRENCY=USD", "XLFILL=b")</f>
        <v>#N/A Requesting Data...</v>
      </c>
      <c r="AA123" s="6" t="str">
        <f>_xll.BQL("NOW US Equity", "TOTAL_OPERATING_EXPENSES_RATIO/1M", "FPR=2021Y", "FPT=A", "FA_ACT_EST_DATA=E, EST_SOURCE=RBC", "ACT_EST_MAPPING=PRECISE", "FS=MRC", "CURRENCY=USD", "XLFILL=b")</f>
        <v>#N/A Requesting Data...</v>
      </c>
      <c r="AB123" s="6" t="str">
        <f>_xll.BQL("NOW US Equity", "TOTAL_OPERATING_EXPENSES_RATIO/1M", "FPR=2021Y", "FPT=A", "FA_ACT_EST_DATA=E, EST_SOURCE=EVR", "ACT_EST_MAPPING=PRECISE", "FS=MRC", "CURRENCY=USD", "XLFILL=b")</f>
        <v>#N/A Requesting Data...</v>
      </c>
      <c r="AC123" s="6" t="str">
        <f>_xll.BQL("NOW US Equity", "TOTAL_OPERATING_EXPENSES_RATIO/1M", "FPR=2021Y", "FPT=A", "FA_ACT_EST_DATA=E, EST_SOURCE=BNS", "ACT_EST_MAPPING=PRECISE", "FS=MRC", "CURRENCY=USD", "XLFILL=b")</f>
        <v>#N/A Requesting Data...</v>
      </c>
      <c r="AD123" s="6" t="str">
        <f>_xll.BQL("NOW US Equity", "TOTAL_OPERATING_EXPENSES_RATIO/1M", "FPR=2021Y", "FPT=A", "FA_ACT_EST_DATA=E, EST_SOURCE=BAM", "ACT_EST_MAPPING=PRECISE", "FS=MRC", "CURRENCY=USD", "XLFILL=b")</f>
        <v>#N/A Requesting Data...</v>
      </c>
      <c r="AE123" s="6" t="str">
        <f>_xll.BQL("NOW US Equity", "TOTAL_OPERATING_EXPENSES_RATIO/1M", "FPR=2021Y", "FPT=A", "FA_ACT_EST_DATA=E, EST_SOURCE=GSR", "ACT_EST_MAPPING=PRECISE", "FS=MRC", "CURRENCY=USD", "XLFILL=b")</f>
        <v>#N/A Requesting Data...</v>
      </c>
      <c r="AF123" s="6" t="str">
        <f>_xll.BQL("NOW US Equity", "TOTAL_OPERATING_EXPENSES_RATIO/1M", "FPR=2021Y", "FPT=A", "FA_ACT_EST_DATA=E, EST_SOURCE=FBC", "ACT_EST_MAPPING=PRECISE", "FS=MRC", "CURRENCY=USD", "XLFILL=b")</f>
        <v>#N/A Requesting Data...</v>
      </c>
      <c r="AG123" s="6" t="str">
        <f>_xll.BQL("NOW US Equity", "TOTAL_OPERATING_EXPENSES_RATIO/1M", "FPR=2021Y", "FPT=A", "FA_ACT_EST_DATA=E, EST_SOURCE=MAC", "ACT_EST_MAPPING=PRECISE", "FS=MRC", "CURRENCY=USD", "XLFILL=b")</f>
        <v>#N/A Requesting Data...</v>
      </c>
      <c r="AH123" s="6" t="str">
        <f>_xll.BQL("NOW US Equity", "TOTAL_OPERATING_EXPENSES_RATIO/1M", "FPR=2021Y", "FPT=A", "FA_ACT_EST_DATA=E, EST_SOURCE=PSG", "ACT_EST_MAPPING=PRECISE", "FS=MRC", "CURRENCY=USD", "XLFILL=b")</f>
        <v>#N/A Requesting Data...</v>
      </c>
      <c r="AI123" s="6" t="str">
        <f>_xll.BQL("NOW US Equity", "TOTAL_OPERATING_EXPENSES_RATIO/1M", "FPR=2021Y", "FPT=A", "FA_ACT_EST_DATA=E, EST_SOURCE=MSR", "ACT_EST_MAPPING=PRECISE", "FS=MRC", "CURRENCY=USD", "XLFILL=b")</f>
        <v>#N/A Requesting Data...</v>
      </c>
      <c r="AJ123" s="6" t="str">
        <f>_xll.BQL("NOW US Equity", "TOTAL_OPERATING_EXPENSES_RATIO/1M", "FPR=2021Y", "FPT=A", "FA_ACT_EST_DATA=E, EST_SOURCE=JEF", "ACT_EST_MAPPING=PRECISE", "FS=MRC", "CURRENCY=USD", "XLFILL=b")</f>
        <v>#N/A Requesting Data...</v>
      </c>
      <c r="AK123" s="6" t="str">
        <f>_xll.BQL("NOW US Equity", "TOTAL_OPERATING_EXPENSES_RATIO/1M", "FPR=2021Y", "FPT=A", "FA_ACT_EST_DATA=E, EST_SOURCE=TTC", "ACT_EST_MAPPING=PRECISE", "FS=MRC", "CURRENCY=USD", "XLFILL=b")</f>
        <v>#N/A Requesting Data...</v>
      </c>
      <c r="AL123" s="6" t="str">
        <f>_xll.BQL("NOW US Equity", "TOTAL_OPERATING_EXPENSES_RATIO/1M", "FPR=2021Y", "FPT=A", "FA_ACT_EST_DATA=E, EST_SOURCE=RWB", "ACT_EST_MAPPING=PRECISE", "FS=MRC", "CURRENCY=USD", "XLFILL=b")</f>
        <v>#N/A Requesting Data...</v>
      </c>
      <c r="AM123" s="6" t="str">
        <f>_xll.BQL("NOW US Equity", "TOTAL_OPERATING_EXPENSES_RATIO/1M", "FPR=2021Y", "FPT=A", "FA_ACT_EST_DATA=E, EST_SOURCE=DZB", "ACT_EST_MAPPING=PRECISE", "FS=MRC", "CURRENCY=USD", "XLFILL=b")</f>
        <v>#N/A Requesting Data...</v>
      </c>
      <c r="AN123" s="6" t="str">
        <f>_xll.BQL("NOW US Equity", "TOTAL_OPERATING_EXPENSES_RATIO/1M", "FPR=2021Y", "FPT=A", "FA_ACT_EST_DATA=E, EST_SOURCE=DWI", "ACT_EST_MAPPING=PRECISE", "FS=MRC", "CURRENCY=USD", "XLFILL=b")</f>
        <v>#N/A Requesting Data...</v>
      </c>
      <c r="AO123" s="6" t="str">
        <f>_xll.BQL("NOW US Equity", "TOTAL_OPERATING_EXPENSES_RATIO/1M", "FPR=2021Y", "FPT=A", "FA_ACT_EST_DATA=E, EST_SOURCE=ARG", "ACT_EST_MAPPING=PRECISE", "FS=MRC", "CURRENCY=USD", "XLFILL=b")</f>
        <v>#N/A Requesting Data...</v>
      </c>
      <c r="AP123" s="6" t="str">
        <f>_xll.BQL("NOW US Equity", "TOTAL_OPERATING_EXPENSES_RATIO/1M", "FPR=2021Y", "FPT=A", "FA_ACT_EST_DATA=E, EST_SOURCE=CTI", "ACT_EST_MAPPING=PRECISE", "FS=MRC", "CURRENCY=USD", "XLFILL=b")</f>
        <v>#N/A Requesting Data...</v>
      </c>
      <c r="AQ123" s="6" t="str">
        <f>_xll.BQL("NOW US Equity", "TOTAL_OPERATING_EXPENSES_RATIO/1M", "FPR=2021Y", "FPT=A", "FA_ACT_EST_DATA=E, EST_SOURCE=WFT", "ACT_EST_MAPPING=PRECISE", "FS=MRC", "CURRENCY=USD", "XLFILL=b")</f>
        <v>#N/A Requesting Data...</v>
      </c>
      <c r="AR123" s="6" t="str">
        <f>_xll.BQL("NOW US Equity", "TOTAL_OPERATING_EXPENSES_RATIO/1M", "FPR=2021Y", "FPT=A", "FA_ACT_EST_DATA=E, EST_SOURCE=ARE", "ACT_EST_MAPPING=PRECISE", "FS=MRC", "CURRENCY=USD", "XLFILL=b")</f>
        <v>#N/A Requesting Data...</v>
      </c>
      <c r="AS123" s="6" t="str">
        <f>_xll.BQL("NOW US Equity", "TOTAL_OPERATING_EXPENSES_RATIO/1M", "FPR=2021Y", "FPT=A", "FA_ACT_EST_DATA=E, EST_SOURCE=PJE", "ACT_EST_MAPPING=PRECISE", "FS=MRC", "CURRENCY=USD", "XLFILL=b")</f>
        <v>#N/A Requesting Data...</v>
      </c>
      <c r="AT123" s="6" t="str">
        <f>_xll.BQL("NOW US Equity", "TOTAL_OPERATING_EXPENSES_RATIO/1M", "FPR=2021Y", "FPT=A", "FA_ACT_EST_DATA=E, EST_SOURCE=MZS", "ACT_EST_MAPPING=PRECISE", "FS=MRC", "CURRENCY=USD", "XLFILL=b")</f>
        <v>#N/A Requesting Data...</v>
      </c>
      <c r="AU123" s="6" t="str">
        <f>_xll.BQL("NOW US Equity", "TOTAL_OPERATING_EXPENSES_RATIO/1M", "FPR=2021Y", "FPT=A", "FA_ACT_EST_DATA=E, EST_SOURCE=SUM", "ACT_EST_MAPPING=PRECISE", "FS=MRC", "CURRENCY=USD", "XLFILL=b")</f>
        <v>#N/A Requesting Data...</v>
      </c>
      <c r="AV123" s="6" t="str">
        <f>_xll.BQL("NOW US Equity", "TOTAL_OPERATING_EXPENSES_RATIO/1M", "FPR=2021Y", "FPT=A", "FA_ACT_EST_DATA=E, EST_SOURCE=CRC", "ACT_EST_MAPPING=PRECISE", "FS=MRC", "CURRENCY=USD", "XLFILL=b")</f>
        <v>#N/A Requesting Data...</v>
      </c>
      <c r="AW123" s="6" t="str">
        <f>_xll.BQL("NOW US Equity", "TOTAL_OPERATING_EXPENSES_RATIO/1M", "FPR=2021Y", "FPT=A", "FA_ACT_EST_DATA=E, EST_SOURCE=SCB", "ACT_EST_MAPPING=PRECISE", "FS=MRC", "CURRENCY=USD", "XLFILL=b")</f>
        <v>#N/A Requesting Data...</v>
      </c>
    </row>
    <row r="124" spans="1:49" x14ac:dyDescent="0.55000000000000004">
      <c r="A124" s="5" t="s">
        <v>195</v>
      </c>
      <c r="B124" s="2" t="s">
        <v>196</v>
      </c>
      <c r="C124" s="2" t="s">
        <v>144</v>
      </c>
      <c r="D124" s="2"/>
      <c r="E124" s="6" t="str">
        <f>_xll.BQL("NOW US Equity", "IS_EBIT_AS_REPORTED/1M", "FPR=2021Y", "FPT=A", "FA_ACT_EST_DATA=E", "ACT_EST_MAPPING=PRECISE", "FS=MRC", "CURRENCY=USD", "XLFILL=b")</f>
        <v>#N/A Requesting Data...</v>
      </c>
      <c r="F124" s="6" t="str">
        <f>_xll.BQL("NOW US Equity", "CONTRIBUTOR_STATS(IS_EBIT_AS_REPORTED, MIN)/1M", "FPR=2021Y", "FPT=A", "FA_ACT_EST_DATA=E", "ACT_EST_MAPPING=PRECISE", "FS=MRC", "CURRENCY=USD", "XLFILL=b")</f>
        <v>#N/A Requesting Data...</v>
      </c>
      <c r="G124" s="6" t="str">
        <f>_xll.BQL("NOW US Equity", "CONTRIBUTOR_STATS(IS_EBIT_AS_REPORTED, MAX)/1M", "FPR=2021Y", "FPT=A", "FA_ACT_EST_DATA=E", "ACT_EST_MAPPING=PRECISE", "FS=MRC", "CURRENCY=USD", "XLFILL=b")</f>
        <v>#N/A Requesting Data...</v>
      </c>
      <c r="H124" s="6" t="str">
        <f>_xll.BQL("NOW US Equity", "CONTRIBUTOR_STATS(IS_EBIT_AS_REPORTED, STD)/1M", "FPR=2021Y", "FPT=A", "FA_ACT_EST_DATA=E", "ACT_EST_MAPPING=PRECISE", "FS=MRC", "CURRENCY=USD", "XLFILL=b")</f>
        <v>#N/A Requesting Data...</v>
      </c>
      <c r="I124" s="6" t="str">
        <f>_xll.BQL("NOW US Equity", "CONTRIBUTOR_STATS(IS_EBIT_AS_REPORTED, MEDIAN)/1M", "FPR=2021Y", "FPT=A", "FA_ACT_EST_DATA=E", "ACT_EST_MAPPING=PRECISE", "FS=MRC", "CURRENCY=USD", "XLFILL=b")</f>
        <v>#N/A Requesting Data...</v>
      </c>
      <c r="J124" s="6" t="str">
        <f>_xll.BQL("NOW US Equity", "IS_EBIT_AS_REPORTED/1M", "FPR=2021Y", "FPT=A", "FA_ACT_EST_DATA=E, EST_SOURCE=CMPY", "ACT_EST_MAPPING=PRECISE", "FS=MRC", "CURRENCY=USD", "XLFILL=b")</f>
        <v>#N/A Requesting Data...</v>
      </c>
      <c r="K124" s="6" t="str">
        <f>_xll.BQL("NOW US Equity", "IS_EBIT_AS_REPORTED/1M", "FPR=2021Y", "FPT=A", "FA_ACT_EST_DATA=E, EST_SOURCE=JPM", "ACT_EST_MAPPING=PRECISE", "FS=MRC", "CURRENCY=USD", "XLFILL=b")</f>
        <v>#N/A Requesting Data...</v>
      </c>
      <c r="L124" s="6" t="str">
        <f>_xll.BQL("NOW US Equity", "IS_EBIT_AS_REPORTED/1M", "FPR=2021Y", "FPT=A", "FA_ACT_EST_DATA=E, EST_SOURCE=WBL", "ACT_EST_MAPPING=PRECISE", "FS=MRC", "CURRENCY=USD", "XLFILL=b")</f>
        <v>#N/A Requesting Data...</v>
      </c>
      <c r="M124" s="6" t="str">
        <f>_xll.BQL("NOW US Equity", "IS_EBIT_AS_REPORTED/1M", "FPR=2021Y", "FPT=A", "FA_ACT_EST_DATA=E, EST_SOURCE=KEY", "ACT_EST_MAPPING=PRECISE", "FS=MRC", "CURRENCY=USD", "XLFILL=b")</f>
        <v>#N/A Requesting Data...</v>
      </c>
      <c r="N124" s="6" t="str">
        <f>_xll.BQL("NOW US Equity", "IS_EBIT_AS_REPORTED/1M", "FPR=2021Y", "FPT=A", "FA_ACT_EST_DATA=E, EST_SOURCE=BMO", "ACT_EST_MAPPING=PRECISE", "FS=MRC", "CURRENCY=USD", "XLFILL=b")</f>
        <v>#N/A Requesting Data...</v>
      </c>
      <c r="O124" s="6" t="str">
        <f>_xll.BQL("NOW US Equity", "IS_EBIT_AS_REPORTED/1M", "FPR=2021Y", "FPT=A", "FA_ACT_EST_DATA=E, EST_SOURCE=OPY", "ACT_EST_MAPPING=PRECISE", "FS=MRC", "CURRENCY=USD", "XLFILL=b")</f>
        <v>#N/A Requesting Data...</v>
      </c>
      <c r="P124" s="6" t="str">
        <f>_xll.BQL("NOW US Equity", "IS_EBIT_AS_REPORTED/1M", "FPR=2021Y", "FPT=A", "FA_ACT_EST_DATA=E, EST_SOURCE=BCA", "ACT_EST_MAPPING=PRECISE", "FS=MRC", "CURRENCY=USD", "XLFILL=b")</f>
        <v>#N/A Requesting Data...</v>
      </c>
      <c r="Q124" s="6" t="str">
        <f>_xll.BQL("NOW US Equity", "IS_EBIT_AS_REPORTED/1M", "FPR=2021Y", "FPT=A", "FA_ACT_EST_DATA=E, EST_SOURCE=RHR", "ACT_EST_MAPPING=PRECISE", "FS=MRC", "CURRENCY=USD", "XLFILL=b")</f>
        <v>#N/A Requesting Data...</v>
      </c>
      <c r="R124" s="6" t="str">
        <f>_xll.BQL("NOW US Equity", "IS_EBIT_AS_REPORTED/1M", "FPR=2021Y", "FPT=A", "FA_ACT_EST_DATA=E, EST_SOURCE=SNR", "ACT_EST_MAPPING=PRECISE", "FS=MRC", "CURRENCY=USD", "XLFILL=b")</f>
        <v>#N/A Requesting Data...</v>
      </c>
      <c r="S124" s="6" t="str">
        <f>_xll.BQL("NOW US Equity", "IS_EBIT_AS_REPORTED/1M", "FPR=2021Y", "FPT=A", "FA_ACT_EST_DATA=E, EST_SOURCE=MSV", "ACT_EST_MAPPING=PRECISE", "FS=MRC", "CURRENCY=USD", "XLFILL=b")</f>
        <v>#N/A Requesting Data...</v>
      </c>
      <c r="T124" s="6" t="str">
        <f>_xll.BQL("NOW US Equity", "IS_EBIT_AS_REPORTED/1M", "FPR=2021Y", "FPT=A", "FA_ACT_EST_DATA=E, EST_SOURCE=CAN", "ACT_EST_MAPPING=PRECISE", "FS=MRC", "CURRENCY=USD", "XLFILL=b")</f>
        <v>#N/A Requesting Data...</v>
      </c>
      <c r="U124" s="6" t="str">
        <f>_xll.BQL("NOW US Equity", "IS_EBIT_AS_REPORTED/1M", "FPR=2021Y", "FPT=A", "FA_ACT_EST_DATA=E, EST_SOURCE=JMP", "ACT_EST_MAPPING=PRECISE", "FS=MRC", "CURRENCY=USD", "XLFILL=b")</f>
        <v>#N/A Requesting Data...</v>
      </c>
      <c r="V124" s="6" t="str">
        <f>_xll.BQL("NOW US Equity", "IS_EBIT_AS_REPORTED/1M", "FPR=2021Y", "FPT=A", "FA_ACT_EST_DATA=E, EST_SOURCE=NDH", "ACT_EST_MAPPING=PRECISE", "FS=MRC", "CURRENCY=USD", "XLFILL=b")</f>
        <v>#N/A Requesting Data...</v>
      </c>
      <c r="W124" s="6" t="str">
        <f>_xll.BQL("NOW US Equity", "IS_EBIT_AS_REPORTED/1M", "FPR=2021Y", "FPT=A", "FA_ACT_EST_DATA=E, EST_SOURCE=ZXS", "ACT_EST_MAPPING=PRECISE", "FS=MRC", "CURRENCY=USD", "XLFILL=b")</f>
        <v>#N/A Requesting Data...</v>
      </c>
      <c r="X124" s="6" t="str">
        <f>_xll.BQL("NOW US Equity", "IS_EBIT_AS_REPORTED/1M", "FPR=2021Y", "FPT=A", "FA_ACT_EST_DATA=E, EST_SOURCE=CWN", "ACT_EST_MAPPING=PRECISE", "FS=MRC", "CURRENCY=USD", "XLFILL=b")</f>
        <v>#N/A Requesting Data...</v>
      </c>
      <c r="Y124" s="6" t="str">
        <f>_xll.BQL("NOW US Equity", "IS_EBIT_AS_REPORTED/1M", "FPR=2021Y", "FPT=A", "FA_ACT_EST_DATA=E, EST_SOURCE=DBG", "ACT_EST_MAPPING=PRECISE", "FS=MRC", "CURRENCY=USD", "XLFILL=b")</f>
        <v>#N/A Requesting Data...</v>
      </c>
      <c r="Z124" s="6" t="str">
        <f>_xll.BQL("NOW US Equity", "IS_EBIT_AS_REPORTED/1M", "FPR=2021Y", "FPT=A", "FA_ACT_EST_DATA=E, EST_SOURCE=UBS", "ACT_EST_MAPPING=PRECISE", "FS=MRC", "CURRENCY=USD", "XLFILL=b")</f>
        <v>#N/A Requesting Data...</v>
      </c>
      <c r="AA124" s="6" t="str">
        <f>_xll.BQL("NOW US Equity", "IS_EBIT_AS_REPORTED/1M", "FPR=2021Y", "FPT=A", "FA_ACT_EST_DATA=E, EST_SOURCE=RBC", "ACT_EST_MAPPING=PRECISE", "FS=MRC", "CURRENCY=USD", "XLFILL=b")</f>
        <v>#N/A Requesting Data...</v>
      </c>
      <c r="AB124" s="6" t="str">
        <f>_xll.BQL("NOW US Equity", "IS_EBIT_AS_REPORTED/1M", "FPR=2021Y", "FPT=A", "FA_ACT_EST_DATA=E, EST_SOURCE=EVR", "ACT_EST_MAPPING=PRECISE", "FS=MRC", "CURRENCY=USD", "XLFILL=b")</f>
        <v>#N/A Requesting Data...</v>
      </c>
      <c r="AC124" s="6" t="str">
        <f>_xll.BQL("NOW US Equity", "IS_EBIT_AS_REPORTED/1M", "FPR=2021Y", "FPT=A", "FA_ACT_EST_DATA=E, EST_SOURCE=BNS", "ACT_EST_MAPPING=PRECISE", "FS=MRC", "CURRENCY=USD", "XLFILL=b")</f>
        <v>#N/A Requesting Data...</v>
      </c>
      <c r="AD124" s="6" t="str">
        <f>_xll.BQL("NOW US Equity", "IS_EBIT_AS_REPORTED/1M", "FPR=2021Y", "FPT=A", "FA_ACT_EST_DATA=E, EST_SOURCE=BAM", "ACT_EST_MAPPING=PRECISE", "FS=MRC", "CURRENCY=USD", "XLFILL=b")</f>
        <v>#N/A Requesting Data...</v>
      </c>
      <c r="AE124" s="6" t="str">
        <f>_xll.BQL("NOW US Equity", "IS_EBIT_AS_REPORTED/1M", "FPR=2021Y", "FPT=A", "FA_ACT_EST_DATA=E, EST_SOURCE=GSR", "ACT_EST_MAPPING=PRECISE", "FS=MRC", "CURRENCY=USD", "XLFILL=b")</f>
        <v>#N/A Requesting Data...</v>
      </c>
      <c r="AF124" s="6" t="str">
        <f>_xll.BQL("NOW US Equity", "IS_EBIT_AS_REPORTED/1M", "FPR=2021Y", "FPT=A", "FA_ACT_EST_DATA=E, EST_SOURCE=FBC", "ACT_EST_MAPPING=PRECISE", "FS=MRC", "CURRENCY=USD", "XLFILL=b")</f>
        <v>#N/A Requesting Data...</v>
      </c>
      <c r="AG124" s="6" t="str">
        <f>_xll.BQL("NOW US Equity", "IS_EBIT_AS_REPORTED/1M", "FPR=2021Y", "FPT=A", "FA_ACT_EST_DATA=E, EST_SOURCE=MAC", "ACT_EST_MAPPING=PRECISE", "FS=MRC", "CURRENCY=USD", "XLFILL=b")</f>
        <v>#N/A Requesting Data...</v>
      </c>
      <c r="AH124" s="6" t="str">
        <f>_xll.BQL("NOW US Equity", "IS_EBIT_AS_REPORTED/1M", "FPR=2021Y", "FPT=A", "FA_ACT_EST_DATA=E, EST_SOURCE=PSG", "ACT_EST_MAPPING=PRECISE", "FS=MRC", "CURRENCY=USD", "XLFILL=b")</f>
        <v>#N/A Requesting Data...</v>
      </c>
      <c r="AI124" s="6" t="str">
        <f>_xll.BQL("NOW US Equity", "IS_EBIT_AS_REPORTED/1M", "FPR=2021Y", "FPT=A", "FA_ACT_EST_DATA=E, EST_SOURCE=MSR", "ACT_EST_MAPPING=PRECISE", "FS=MRC", "CURRENCY=USD", "XLFILL=b")</f>
        <v>#N/A Requesting Data...</v>
      </c>
      <c r="AJ124" s="6" t="str">
        <f>_xll.BQL("NOW US Equity", "IS_EBIT_AS_REPORTED/1M", "FPR=2021Y", "FPT=A", "FA_ACT_EST_DATA=E, EST_SOURCE=JEF", "ACT_EST_MAPPING=PRECISE", "FS=MRC", "CURRENCY=USD", "XLFILL=b")</f>
        <v>#N/A Requesting Data...</v>
      </c>
      <c r="AK124" s="6" t="str">
        <f>_xll.BQL("NOW US Equity", "IS_EBIT_AS_REPORTED/1M", "FPR=2021Y", "FPT=A", "FA_ACT_EST_DATA=E, EST_SOURCE=TTC", "ACT_EST_MAPPING=PRECISE", "FS=MRC", "CURRENCY=USD", "XLFILL=b")</f>
        <v>#N/A Requesting Data...</v>
      </c>
      <c r="AL124" s="6" t="str">
        <f>_xll.BQL("NOW US Equity", "IS_EBIT_AS_REPORTED/1M", "FPR=2021Y", "FPT=A", "FA_ACT_EST_DATA=E, EST_SOURCE=RWB", "ACT_EST_MAPPING=PRECISE", "FS=MRC", "CURRENCY=USD", "XLFILL=b")</f>
        <v>#N/A Requesting Data...</v>
      </c>
      <c r="AM124" s="6" t="str">
        <f>_xll.BQL("NOW US Equity", "IS_EBIT_AS_REPORTED/1M", "FPR=2021Y", "FPT=A", "FA_ACT_EST_DATA=E, EST_SOURCE=DZB", "ACT_EST_MAPPING=PRECISE", "FS=MRC", "CURRENCY=USD", "XLFILL=b")</f>
        <v>#N/A Requesting Data...</v>
      </c>
      <c r="AN124" s="6" t="str">
        <f>_xll.BQL("NOW US Equity", "IS_EBIT_AS_REPORTED/1M", "FPR=2021Y", "FPT=A", "FA_ACT_EST_DATA=E, EST_SOURCE=DWI", "ACT_EST_MAPPING=PRECISE", "FS=MRC", "CURRENCY=USD", "XLFILL=b")</f>
        <v>#N/A Requesting Data...</v>
      </c>
      <c r="AO124" s="6" t="str">
        <f>_xll.BQL("NOW US Equity", "IS_EBIT_AS_REPORTED/1M", "FPR=2021Y", "FPT=A", "FA_ACT_EST_DATA=E, EST_SOURCE=ARG", "ACT_EST_MAPPING=PRECISE", "FS=MRC", "CURRENCY=USD", "XLFILL=b")</f>
        <v>#N/A Requesting Data...</v>
      </c>
      <c r="AP124" s="6" t="str">
        <f>_xll.BQL("NOW US Equity", "IS_EBIT_AS_REPORTED/1M", "FPR=2021Y", "FPT=A", "FA_ACT_EST_DATA=E, EST_SOURCE=CTI", "ACT_EST_MAPPING=PRECISE", "FS=MRC", "CURRENCY=USD", "XLFILL=b")</f>
        <v>#N/A Requesting Data...</v>
      </c>
      <c r="AQ124" s="6" t="str">
        <f>_xll.BQL("NOW US Equity", "IS_EBIT_AS_REPORTED/1M", "FPR=2021Y", "FPT=A", "FA_ACT_EST_DATA=E, EST_SOURCE=WFT", "ACT_EST_MAPPING=PRECISE", "FS=MRC", "CURRENCY=USD", "XLFILL=b")</f>
        <v>#N/A Requesting Data...</v>
      </c>
      <c r="AR124" s="6" t="str">
        <f>_xll.BQL("NOW US Equity", "IS_EBIT_AS_REPORTED/1M", "FPR=2021Y", "FPT=A", "FA_ACT_EST_DATA=E, EST_SOURCE=ARE", "ACT_EST_MAPPING=PRECISE", "FS=MRC", "CURRENCY=USD", "XLFILL=b")</f>
        <v>#N/A Requesting Data...</v>
      </c>
      <c r="AS124" s="6" t="str">
        <f>_xll.BQL("NOW US Equity", "IS_EBIT_AS_REPORTED/1M", "FPR=2021Y", "FPT=A", "FA_ACT_EST_DATA=E, EST_SOURCE=PJE", "ACT_EST_MAPPING=PRECISE", "FS=MRC", "CURRENCY=USD", "XLFILL=b")</f>
        <v>#N/A Requesting Data...</v>
      </c>
      <c r="AT124" s="6" t="str">
        <f>_xll.BQL("NOW US Equity", "IS_EBIT_AS_REPORTED/1M", "FPR=2021Y", "FPT=A", "FA_ACT_EST_DATA=E, EST_SOURCE=MZS", "ACT_EST_MAPPING=PRECISE", "FS=MRC", "CURRENCY=USD", "XLFILL=b")</f>
        <v>#N/A Requesting Data...</v>
      </c>
      <c r="AU124" s="6" t="str">
        <f>_xll.BQL("NOW US Equity", "IS_EBIT_AS_REPORTED/1M", "FPR=2021Y", "FPT=A", "FA_ACT_EST_DATA=E, EST_SOURCE=SUM", "ACT_EST_MAPPING=PRECISE", "FS=MRC", "CURRENCY=USD", "XLFILL=b")</f>
        <v>#N/A Requesting Data...</v>
      </c>
      <c r="AV124" s="6" t="str">
        <f>_xll.BQL("NOW US Equity", "IS_EBIT_AS_REPORTED/1M", "FPR=2021Y", "FPT=A", "FA_ACT_EST_DATA=E, EST_SOURCE=CRC", "ACT_EST_MAPPING=PRECISE", "FS=MRC", "CURRENCY=USD", "XLFILL=b")</f>
        <v>#N/A Requesting Data...</v>
      </c>
      <c r="AW124" s="6" t="str">
        <f>_xll.BQL("NOW US Equity", "IS_EBIT_AS_REPORTED/1M", "FPR=2021Y", "FPT=A", "FA_ACT_EST_DATA=E, EST_SOURCE=SCB", "ACT_EST_MAPPING=PRECISE", "FS=MRC", "CURRENCY=USD", "XLFILL=b")</f>
        <v>#N/A Requesting Data...</v>
      </c>
    </row>
    <row r="125" spans="1:49" x14ac:dyDescent="0.55000000000000004">
      <c r="A125" s="5" t="s">
        <v>197</v>
      </c>
      <c r="B125" s="2" t="s">
        <v>198</v>
      </c>
      <c r="C125" s="2" t="s">
        <v>146</v>
      </c>
      <c r="D125" s="2"/>
      <c r="E125" s="6" t="str">
        <f>_xll.BQL("NOW US Equity", "OPER_INC_TO_NET_SALES", "FPR=2021Y", "FPT=A", "FA_ACT_EST_DATA=E", "ACT_EST_MAPPING=PRECISE", "FS=MRC", "CURRENCY=USD", "XLFILL=b")</f>
        <v>#N/A Requesting Data...</v>
      </c>
      <c r="F125" s="6" t="str">
        <f>_xll.BQL("NOW US Equity", "CONTRIBUTOR_STATS(OPER_INC_TO_NET_SALES, MIN)", "FPR=2021Y", "FPT=A", "FA_ACT_EST_DATA=E", "ACT_EST_MAPPING=PRECISE", "FS=MRC", "CURRENCY=USD", "XLFILL=b")</f>
        <v>#N/A Requesting Data...</v>
      </c>
      <c r="G125" s="6" t="str">
        <f>_xll.BQL("NOW US Equity", "CONTRIBUTOR_STATS(OPER_INC_TO_NET_SALES, MAX)", "FPR=2021Y", "FPT=A", "FA_ACT_EST_DATA=E", "ACT_EST_MAPPING=PRECISE", "FS=MRC", "CURRENCY=USD", "XLFILL=b")</f>
        <v>#N/A Requesting Data...</v>
      </c>
      <c r="H125" s="6" t="str">
        <f>_xll.BQL("NOW US Equity", "CONTRIBUTOR_STATS(OPER_INC_TO_NET_SALES, STD)", "FPR=2021Y", "FPT=A", "FA_ACT_EST_DATA=E", "ACT_EST_MAPPING=PRECISE", "FS=MRC", "CURRENCY=USD", "XLFILL=b")</f>
        <v>#N/A Requesting Data...</v>
      </c>
      <c r="I125" s="6" t="str">
        <f>_xll.BQL("NOW US Equity", "CONTRIBUTOR_STATS(OPER_INC_TO_NET_SALES, MEDIAN)", "FPR=2021Y", "FPT=A", "FA_ACT_EST_DATA=E", "ACT_EST_MAPPING=PRECISE", "FS=MRC", "CURRENCY=USD", "XLFILL=b")</f>
        <v>#N/A Requesting Data...</v>
      </c>
      <c r="J125" s="6" t="str">
        <f>_xll.BQL("NOW US Equity", "OPER_INC_TO_NET_SALES", "FPR=2021Y", "FPT=A", "FA_ACT_EST_DATA=E, EST_SOURCE=CMPY", "ACT_EST_MAPPING=PRECISE", "FS=MRC", "CURRENCY=USD", "XLFILL=b")</f>
        <v>#N/A Requesting Data...</v>
      </c>
      <c r="K125" s="6" t="str">
        <f>_xll.BQL("NOW US Equity", "OPER_INC_TO_NET_SALES", "FPR=2021Y", "FPT=A", "FA_ACT_EST_DATA=E, EST_SOURCE=JPM", "ACT_EST_MAPPING=PRECISE", "FS=MRC", "CURRENCY=USD", "XLFILL=b")</f>
        <v>#N/A Requesting Data...</v>
      </c>
      <c r="L125" s="6" t="str">
        <f>_xll.BQL("NOW US Equity", "OPER_INC_TO_NET_SALES", "FPR=2021Y", "FPT=A", "FA_ACT_EST_DATA=E, EST_SOURCE=WBL", "ACT_EST_MAPPING=PRECISE", "FS=MRC", "CURRENCY=USD", "XLFILL=b")</f>
        <v>#N/A Requesting Data...</v>
      </c>
      <c r="M125" s="6" t="str">
        <f>_xll.BQL("NOW US Equity", "OPER_INC_TO_NET_SALES", "FPR=2021Y", "FPT=A", "FA_ACT_EST_DATA=E, EST_SOURCE=KEY", "ACT_EST_MAPPING=PRECISE", "FS=MRC", "CURRENCY=USD", "XLFILL=b")</f>
        <v>#N/A Requesting Data...</v>
      </c>
      <c r="N125" s="6" t="str">
        <f>_xll.BQL("NOW US Equity", "OPER_INC_TO_NET_SALES", "FPR=2021Y", "FPT=A", "FA_ACT_EST_DATA=E, EST_SOURCE=BMO", "ACT_EST_MAPPING=PRECISE", "FS=MRC", "CURRENCY=USD", "XLFILL=b")</f>
        <v>#N/A Requesting Data...</v>
      </c>
      <c r="O125" s="6" t="str">
        <f>_xll.BQL("NOW US Equity", "OPER_INC_TO_NET_SALES", "FPR=2021Y", "FPT=A", "FA_ACT_EST_DATA=E, EST_SOURCE=OPY", "ACT_EST_MAPPING=PRECISE", "FS=MRC", "CURRENCY=USD", "XLFILL=b")</f>
        <v>#N/A Requesting Data...</v>
      </c>
      <c r="P125" s="6" t="str">
        <f>_xll.BQL("NOW US Equity", "OPER_INC_TO_NET_SALES", "FPR=2021Y", "FPT=A", "FA_ACT_EST_DATA=E, EST_SOURCE=BCA", "ACT_EST_MAPPING=PRECISE", "FS=MRC", "CURRENCY=USD", "XLFILL=b")</f>
        <v>#N/A Requesting Data...</v>
      </c>
      <c r="Q125" s="6" t="str">
        <f>_xll.BQL("NOW US Equity", "OPER_INC_TO_NET_SALES", "FPR=2021Y", "FPT=A", "FA_ACT_EST_DATA=E, EST_SOURCE=RHR", "ACT_EST_MAPPING=PRECISE", "FS=MRC", "CURRENCY=USD", "XLFILL=b")</f>
        <v>#N/A Requesting Data...</v>
      </c>
      <c r="R125" s="6" t="str">
        <f>_xll.BQL("NOW US Equity", "OPER_INC_TO_NET_SALES", "FPR=2021Y", "FPT=A", "FA_ACT_EST_DATA=E, EST_SOURCE=SNR", "ACT_EST_MAPPING=PRECISE", "FS=MRC", "CURRENCY=USD", "XLFILL=b")</f>
        <v>#N/A Requesting Data...</v>
      </c>
      <c r="S125" s="6" t="str">
        <f>_xll.BQL("NOW US Equity", "OPER_INC_TO_NET_SALES", "FPR=2021Y", "FPT=A", "FA_ACT_EST_DATA=E, EST_SOURCE=MSV", "ACT_EST_MAPPING=PRECISE", "FS=MRC", "CURRENCY=USD", "XLFILL=b")</f>
        <v>#N/A Requesting Data...</v>
      </c>
      <c r="T125" s="6" t="str">
        <f>_xll.BQL("NOW US Equity", "OPER_INC_TO_NET_SALES", "FPR=2021Y", "FPT=A", "FA_ACT_EST_DATA=E, EST_SOURCE=CAN", "ACT_EST_MAPPING=PRECISE", "FS=MRC", "CURRENCY=USD", "XLFILL=b")</f>
        <v>#N/A Requesting Data...</v>
      </c>
      <c r="U125" s="6" t="str">
        <f>_xll.BQL("NOW US Equity", "OPER_INC_TO_NET_SALES", "FPR=2021Y", "FPT=A", "FA_ACT_EST_DATA=E, EST_SOURCE=JMP", "ACT_EST_MAPPING=PRECISE", "FS=MRC", "CURRENCY=USD", "XLFILL=b")</f>
        <v>#N/A Requesting Data...</v>
      </c>
      <c r="V125" s="6" t="str">
        <f>_xll.BQL("NOW US Equity", "OPER_INC_TO_NET_SALES", "FPR=2021Y", "FPT=A", "FA_ACT_EST_DATA=E, EST_SOURCE=NDH", "ACT_EST_MAPPING=PRECISE", "FS=MRC", "CURRENCY=USD", "XLFILL=b")</f>
        <v>#N/A Requesting Data...</v>
      </c>
      <c r="W125" s="6" t="str">
        <f>_xll.BQL("NOW US Equity", "OPER_INC_TO_NET_SALES", "FPR=2021Y", "FPT=A", "FA_ACT_EST_DATA=E, EST_SOURCE=ZXS", "ACT_EST_MAPPING=PRECISE", "FS=MRC", "CURRENCY=USD", "XLFILL=b")</f>
        <v>#N/A Requesting Data...</v>
      </c>
      <c r="X125" s="6" t="str">
        <f>_xll.BQL("NOW US Equity", "OPER_INC_TO_NET_SALES", "FPR=2021Y", "FPT=A", "FA_ACT_EST_DATA=E, EST_SOURCE=CWN", "ACT_EST_MAPPING=PRECISE", "FS=MRC", "CURRENCY=USD", "XLFILL=b")</f>
        <v>#N/A Requesting Data...</v>
      </c>
      <c r="Y125" s="6" t="str">
        <f>_xll.BQL("NOW US Equity", "OPER_INC_TO_NET_SALES", "FPR=2021Y", "FPT=A", "FA_ACT_EST_DATA=E, EST_SOURCE=DBG", "ACT_EST_MAPPING=PRECISE", "FS=MRC", "CURRENCY=USD", "XLFILL=b")</f>
        <v>#N/A Requesting Data...</v>
      </c>
      <c r="Z125" s="6" t="str">
        <f>_xll.BQL("NOW US Equity", "OPER_INC_TO_NET_SALES", "FPR=2021Y", "FPT=A", "FA_ACT_EST_DATA=E, EST_SOURCE=UBS", "ACT_EST_MAPPING=PRECISE", "FS=MRC", "CURRENCY=USD", "XLFILL=b")</f>
        <v>#N/A Requesting Data...</v>
      </c>
      <c r="AA125" s="6" t="str">
        <f>_xll.BQL("NOW US Equity", "OPER_INC_TO_NET_SALES", "FPR=2021Y", "FPT=A", "FA_ACT_EST_DATA=E, EST_SOURCE=RBC", "ACT_EST_MAPPING=PRECISE", "FS=MRC", "CURRENCY=USD", "XLFILL=b")</f>
        <v>#N/A Requesting Data...</v>
      </c>
      <c r="AB125" s="6" t="str">
        <f>_xll.BQL("NOW US Equity", "OPER_INC_TO_NET_SALES", "FPR=2021Y", "FPT=A", "FA_ACT_EST_DATA=E, EST_SOURCE=EVR", "ACT_EST_MAPPING=PRECISE", "FS=MRC", "CURRENCY=USD", "XLFILL=b")</f>
        <v>#N/A Requesting Data...</v>
      </c>
      <c r="AC125" s="6" t="str">
        <f>_xll.BQL("NOW US Equity", "OPER_INC_TO_NET_SALES", "FPR=2021Y", "FPT=A", "FA_ACT_EST_DATA=E, EST_SOURCE=BNS", "ACT_EST_MAPPING=PRECISE", "FS=MRC", "CURRENCY=USD", "XLFILL=b")</f>
        <v>#N/A Requesting Data...</v>
      </c>
      <c r="AD125" s="6" t="str">
        <f>_xll.BQL("NOW US Equity", "OPER_INC_TO_NET_SALES", "FPR=2021Y", "FPT=A", "FA_ACT_EST_DATA=E, EST_SOURCE=BAM", "ACT_EST_MAPPING=PRECISE", "FS=MRC", "CURRENCY=USD", "XLFILL=b")</f>
        <v>#N/A Requesting Data...</v>
      </c>
      <c r="AE125" s="6" t="str">
        <f>_xll.BQL("NOW US Equity", "OPER_INC_TO_NET_SALES", "FPR=2021Y", "FPT=A", "FA_ACT_EST_DATA=E, EST_SOURCE=GSR", "ACT_EST_MAPPING=PRECISE", "FS=MRC", "CURRENCY=USD", "XLFILL=b")</f>
        <v>#N/A Requesting Data...</v>
      </c>
      <c r="AF125" s="6" t="str">
        <f>_xll.BQL("NOW US Equity", "OPER_INC_TO_NET_SALES", "FPR=2021Y", "FPT=A", "FA_ACT_EST_DATA=E, EST_SOURCE=FBC", "ACT_EST_MAPPING=PRECISE", "FS=MRC", "CURRENCY=USD", "XLFILL=b")</f>
        <v>#N/A Requesting Data...</v>
      </c>
      <c r="AG125" s="6" t="str">
        <f>_xll.BQL("NOW US Equity", "OPER_INC_TO_NET_SALES", "FPR=2021Y", "FPT=A", "FA_ACT_EST_DATA=E, EST_SOURCE=MAC", "ACT_EST_MAPPING=PRECISE", "FS=MRC", "CURRENCY=USD", "XLFILL=b")</f>
        <v>#N/A Requesting Data...</v>
      </c>
      <c r="AH125" s="6" t="str">
        <f>_xll.BQL("NOW US Equity", "OPER_INC_TO_NET_SALES", "FPR=2021Y", "FPT=A", "FA_ACT_EST_DATA=E, EST_SOURCE=PSG", "ACT_EST_MAPPING=PRECISE", "FS=MRC", "CURRENCY=USD", "XLFILL=b")</f>
        <v>#N/A Requesting Data...</v>
      </c>
      <c r="AI125" s="6" t="str">
        <f>_xll.BQL("NOW US Equity", "OPER_INC_TO_NET_SALES", "FPR=2021Y", "FPT=A", "FA_ACT_EST_DATA=E, EST_SOURCE=MSR", "ACT_EST_MAPPING=PRECISE", "FS=MRC", "CURRENCY=USD", "XLFILL=b")</f>
        <v>#N/A Requesting Data...</v>
      </c>
      <c r="AJ125" s="6" t="str">
        <f>_xll.BQL("NOW US Equity", "OPER_INC_TO_NET_SALES", "FPR=2021Y", "FPT=A", "FA_ACT_EST_DATA=E, EST_SOURCE=JEF", "ACT_EST_MAPPING=PRECISE", "FS=MRC", "CURRENCY=USD", "XLFILL=b")</f>
        <v>#N/A Requesting Data...</v>
      </c>
      <c r="AK125" s="6" t="str">
        <f>_xll.BQL("NOW US Equity", "OPER_INC_TO_NET_SALES", "FPR=2021Y", "FPT=A", "FA_ACT_EST_DATA=E, EST_SOURCE=TTC", "ACT_EST_MAPPING=PRECISE", "FS=MRC", "CURRENCY=USD", "XLFILL=b")</f>
        <v>#N/A Requesting Data...</v>
      </c>
      <c r="AL125" s="6" t="str">
        <f>_xll.BQL("NOW US Equity", "OPER_INC_TO_NET_SALES", "FPR=2021Y", "FPT=A", "FA_ACT_EST_DATA=E, EST_SOURCE=RWB", "ACT_EST_MAPPING=PRECISE", "FS=MRC", "CURRENCY=USD", "XLFILL=b")</f>
        <v>#N/A Requesting Data...</v>
      </c>
      <c r="AM125" s="6" t="str">
        <f>_xll.BQL("NOW US Equity", "OPER_INC_TO_NET_SALES", "FPR=2021Y", "FPT=A", "FA_ACT_EST_DATA=E, EST_SOURCE=DZB", "ACT_EST_MAPPING=PRECISE", "FS=MRC", "CURRENCY=USD", "XLFILL=b")</f>
        <v>#N/A Requesting Data...</v>
      </c>
      <c r="AN125" s="6" t="str">
        <f>_xll.BQL("NOW US Equity", "OPER_INC_TO_NET_SALES", "FPR=2021Y", "FPT=A", "FA_ACT_EST_DATA=E, EST_SOURCE=DWI", "ACT_EST_MAPPING=PRECISE", "FS=MRC", "CURRENCY=USD", "XLFILL=b")</f>
        <v>#N/A Requesting Data...</v>
      </c>
      <c r="AO125" s="6" t="str">
        <f>_xll.BQL("NOW US Equity", "OPER_INC_TO_NET_SALES", "FPR=2021Y", "FPT=A", "FA_ACT_EST_DATA=E, EST_SOURCE=ARG", "ACT_EST_MAPPING=PRECISE", "FS=MRC", "CURRENCY=USD", "XLFILL=b")</f>
        <v>#N/A Requesting Data...</v>
      </c>
      <c r="AP125" s="6" t="str">
        <f>_xll.BQL("NOW US Equity", "OPER_INC_TO_NET_SALES", "FPR=2021Y", "FPT=A", "FA_ACT_EST_DATA=E, EST_SOURCE=CTI", "ACT_EST_MAPPING=PRECISE", "FS=MRC", "CURRENCY=USD", "XLFILL=b")</f>
        <v>#N/A Requesting Data...</v>
      </c>
      <c r="AQ125" s="6" t="str">
        <f>_xll.BQL("NOW US Equity", "OPER_INC_TO_NET_SALES", "FPR=2021Y", "FPT=A", "FA_ACT_EST_DATA=E, EST_SOURCE=WFT", "ACT_EST_MAPPING=PRECISE", "FS=MRC", "CURRENCY=USD", "XLFILL=b")</f>
        <v>#N/A Requesting Data...</v>
      </c>
      <c r="AR125" s="6" t="str">
        <f>_xll.BQL("NOW US Equity", "OPER_INC_TO_NET_SALES", "FPR=2021Y", "FPT=A", "FA_ACT_EST_DATA=E, EST_SOURCE=ARE", "ACT_EST_MAPPING=PRECISE", "FS=MRC", "CURRENCY=USD", "XLFILL=b")</f>
        <v>#N/A Requesting Data...</v>
      </c>
      <c r="AS125" s="6" t="str">
        <f>_xll.BQL("NOW US Equity", "OPER_INC_TO_NET_SALES", "FPR=2021Y", "FPT=A", "FA_ACT_EST_DATA=E, EST_SOURCE=PJE", "ACT_EST_MAPPING=PRECISE", "FS=MRC", "CURRENCY=USD", "XLFILL=b")</f>
        <v>#N/A Requesting Data...</v>
      </c>
      <c r="AT125" s="6" t="str">
        <f>_xll.BQL("NOW US Equity", "OPER_INC_TO_NET_SALES", "FPR=2021Y", "FPT=A", "FA_ACT_EST_DATA=E, EST_SOURCE=MZS", "ACT_EST_MAPPING=PRECISE", "FS=MRC", "CURRENCY=USD", "XLFILL=b")</f>
        <v>#N/A Requesting Data...</v>
      </c>
      <c r="AU125" s="6" t="str">
        <f>_xll.BQL("NOW US Equity", "OPER_INC_TO_NET_SALES", "FPR=2021Y", "FPT=A", "FA_ACT_EST_DATA=E, EST_SOURCE=SUM", "ACT_EST_MAPPING=PRECISE", "FS=MRC", "CURRENCY=USD", "XLFILL=b")</f>
        <v>#N/A Requesting Data...</v>
      </c>
      <c r="AV125" s="6" t="str">
        <f>_xll.BQL("NOW US Equity", "OPER_INC_TO_NET_SALES", "FPR=2021Y", "FPT=A", "FA_ACT_EST_DATA=E, EST_SOURCE=CRC", "ACT_EST_MAPPING=PRECISE", "FS=MRC", "CURRENCY=USD", "XLFILL=b")</f>
        <v>#N/A Requesting Data...</v>
      </c>
      <c r="AW125" s="6" t="str">
        <f>_xll.BQL("NOW US Equity", "OPER_INC_TO_NET_SALES", "FPR=2021Y", "FPT=A", "FA_ACT_EST_DATA=E, EST_SOURCE=SCB", "ACT_EST_MAPPING=PRECISE", "FS=MRC", "CURRENCY=USD", "XLFILL=b")</f>
        <v>#N/A Requesting Data...</v>
      </c>
    </row>
    <row r="126" spans="1:49" x14ac:dyDescent="0.55000000000000004">
      <c r="A126" s="5" t="s">
        <v>199</v>
      </c>
      <c r="B126" s="2" t="s">
        <v>200</v>
      </c>
      <c r="C126" s="2" t="s">
        <v>201</v>
      </c>
      <c r="D126" s="2"/>
      <c r="E126" s="6" t="str">
        <f>_xll.BQL("NOW US Equity", "IS_NON_OPERATING_INC_LOSS_GAAP/1M", "FPR=2021Y", "FPT=A", "FA_ACT_EST_DATA=E", "ACT_EST_MAPPING=PRECISE", "FS=MRC", "CURRENCY=USD", "XLFILL=b")</f>
        <v>#N/A Requesting Data...</v>
      </c>
      <c r="F126" s="6" t="str">
        <f>_xll.BQL("NOW US Equity", "CONTRIBUTOR_STATS(IS_NON_OPERATING_INC_LOSS_GAAP, MIN)/1M", "FPR=2021Y", "FPT=A", "FA_ACT_EST_DATA=E", "ACT_EST_MAPPING=PRECISE", "FS=MRC", "CURRENCY=USD", "XLFILL=b")</f>
        <v>#N/A Requesting Data...</v>
      </c>
      <c r="G126" s="6" t="str">
        <f>_xll.BQL("NOW US Equity", "CONTRIBUTOR_STATS(IS_NON_OPERATING_INC_LOSS_GAAP, MAX)/1M", "FPR=2021Y", "FPT=A", "FA_ACT_EST_DATA=E", "ACT_EST_MAPPING=PRECISE", "FS=MRC", "CURRENCY=USD", "XLFILL=b")</f>
        <v>#N/A Requesting Data...</v>
      </c>
      <c r="H126" s="6" t="str">
        <f>_xll.BQL("NOW US Equity", "CONTRIBUTOR_STATS(IS_NON_OPERATING_INC_LOSS_GAAP, STD)/1M", "FPR=2021Y", "FPT=A", "FA_ACT_EST_DATA=E", "ACT_EST_MAPPING=PRECISE", "FS=MRC", "CURRENCY=USD", "XLFILL=b")</f>
        <v>#N/A Requesting Data...</v>
      </c>
      <c r="I126" s="6">
        <f>_xll.BQL("NOW US Equity", "CONTRIBUTOR_STATS(IS_NON_OPERATING_INC_LOSS_GAAP, MEDIAN)/1M", "FPR=2021Y", "FPT=A", "FA_ACT_EST_DATA=E", "ACT_EST_MAPPING=PRECISE", "FS=MRC", "CURRENCY=USD", "XLFILL=b")</f>
        <v>2.6025755336470442</v>
      </c>
      <c r="J126" s="6" t="str">
        <f>_xll.BQL("NOW US Equity", "IS_NON_OPERATING_INC_LOSS_GAAP/1M", "FPR=2021Y", "FPT=A", "FA_ACT_EST_DATA=E, EST_SOURCE=CMPY", "ACT_EST_MAPPING=PRECISE", "FS=MRC", "CURRENCY=USD", "XLFILL=b")</f>
        <v>#N/A Requesting Data...</v>
      </c>
      <c r="K126" s="6" t="str">
        <f>_xll.BQL("NOW US Equity", "IS_NON_OPERATING_INC_LOSS_GAAP/1M", "FPR=2021Y", "FPT=A", "FA_ACT_EST_DATA=E, EST_SOURCE=JPM", "ACT_EST_MAPPING=PRECISE", "FS=MRC", "CURRENCY=USD", "XLFILL=b")</f>
        <v>#N/A Requesting Data...</v>
      </c>
      <c r="L126" s="6" t="str">
        <f>_xll.BQL("NOW US Equity", "IS_NON_OPERATING_INC_LOSS_GAAP/1M", "FPR=2021Y", "FPT=A", "FA_ACT_EST_DATA=E, EST_SOURCE=WBL", "ACT_EST_MAPPING=PRECISE", "FS=MRC", "CURRENCY=USD", "XLFILL=b")</f>
        <v>#N/A Requesting Data...</v>
      </c>
      <c r="M126" s="6" t="str">
        <f>_xll.BQL("NOW US Equity", "IS_NON_OPERATING_INC_LOSS_GAAP/1M", "FPR=2021Y", "FPT=A", "FA_ACT_EST_DATA=E, EST_SOURCE=KEY", "ACT_EST_MAPPING=PRECISE", "FS=MRC", "CURRENCY=USD", "XLFILL=b")</f>
        <v>#N/A Requesting Data...</v>
      </c>
      <c r="N126" s="6" t="str">
        <f>_xll.BQL("NOW US Equity", "IS_NON_OPERATING_INC_LOSS_GAAP/1M", "FPR=2021Y", "FPT=A", "FA_ACT_EST_DATA=E, EST_SOURCE=BMO", "ACT_EST_MAPPING=PRECISE", "FS=MRC", "CURRENCY=USD", "XLFILL=b")</f>
        <v>#N/A Requesting Data...</v>
      </c>
      <c r="O126" s="6" t="str">
        <f>_xll.BQL("NOW US Equity", "IS_NON_OPERATING_INC_LOSS_GAAP/1M", "FPR=2021Y", "FPT=A", "FA_ACT_EST_DATA=E, EST_SOURCE=OPY", "ACT_EST_MAPPING=PRECISE", "FS=MRC", "CURRENCY=USD", "XLFILL=b")</f>
        <v>#N/A Requesting Data...</v>
      </c>
      <c r="P126" s="6" t="str">
        <f>_xll.BQL("NOW US Equity", "IS_NON_OPERATING_INC_LOSS_GAAP/1M", "FPR=2021Y", "FPT=A", "FA_ACT_EST_DATA=E, EST_SOURCE=BCA", "ACT_EST_MAPPING=PRECISE", "FS=MRC", "CURRENCY=USD", "XLFILL=b")</f>
        <v>#N/A Requesting Data...</v>
      </c>
      <c r="Q126" s="6" t="str">
        <f>_xll.BQL("NOW US Equity", "IS_NON_OPERATING_INC_LOSS_GAAP/1M", "FPR=2021Y", "FPT=A", "FA_ACT_EST_DATA=E, EST_SOURCE=RHR", "ACT_EST_MAPPING=PRECISE", "FS=MRC", "CURRENCY=USD", "XLFILL=b")</f>
        <v>#N/A Requesting Data...</v>
      </c>
      <c r="R126" s="6" t="str">
        <f>_xll.BQL("NOW US Equity", "IS_NON_OPERATING_INC_LOSS_GAAP/1M", "FPR=2021Y", "FPT=A", "FA_ACT_EST_DATA=E, EST_SOURCE=SNR", "ACT_EST_MAPPING=PRECISE", "FS=MRC", "CURRENCY=USD", "XLFILL=b")</f>
        <v>#N/A Requesting Data...</v>
      </c>
      <c r="S126" s="6" t="str">
        <f>_xll.BQL("NOW US Equity", "IS_NON_OPERATING_INC_LOSS_GAAP/1M", "FPR=2021Y", "FPT=A", "FA_ACT_EST_DATA=E, EST_SOURCE=MSV", "ACT_EST_MAPPING=PRECISE", "FS=MRC", "CURRENCY=USD", "XLFILL=b")</f>
        <v>#N/A Requesting Data...</v>
      </c>
      <c r="T126" s="6" t="str">
        <f>_xll.BQL("NOW US Equity", "IS_NON_OPERATING_INC_LOSS_GAAP/1M", "FPR=2021Y", "FPT=A", "FA_ACT_EST_DATA=E, EST_SOURCE=CAN", "ACT_EST_MAPPING=PRECISE", "FS=MRC", "CURRENCY=USD", "XLFILL=b")</f>
        <v>#N/A Requesting Data...</v>
      </c>
      <c r="U126" s="6" t="str">
        <f>_xll.BQL("NOW US Equity", "IS_NON_OPERATING_INC_LOSS_GAAP/1M", "FPR=2021Y", "FPT=A", "FA_ACT_EST_DATA=E, EST_SOURCE=JMP", "ACT_EST_MAPPING=PRECISE", "FS=MRC", "CURRENCY=USD", "XLFILL=b")</f>
        <v>#N/A Requesting Data...</v>
      </c>
      <c r="V126" s="6" t="str">
        <f>_xll.BQL("NOW US Equity", "IS_NON_OPERATING_INC_LOSS_GAAP/1M", "FPR=2021Y", "FPT=A", "FA_ACT_EST_DATA=E, EST_SOURCE=NDH", "ACT_EST_MAPPING=PRECISE", "FS=MRC", "CURRENCY=USD", "XLFILL=b")</f>
        <v>#N/A Requesting Data...</v>
      </c>
      <c r="W126" s="6" t="str">
        <f>_xll.BQL("NOW US Equity", "IS_NON_OPERATING_INC_LOSS_GAAP/1M", "FPR=2021Y", "FPT=A", "FA_ACT_EST_DATA=E, EST_SOURCE=ZXS", "ACT_EST_MAPPING=PRECISE", "FS=MRC", "CURRENCY=USD", "XLFILL=b")</f>
        <v>#N/A Requesting Data...</v>
      </c>
      <c r="X126" s="6" t="str">
        <f>_xll.BQL("NOW US Equity", "IS_NON_OPERATING_INC_LOSS_GAAP/1M", "FPR=2021Y", "FPT=A", "FA_ACT_EST_DATA=E, EST_SOURCE=CWN", "ACT_EST_MAPPING=PRECISE", "FS=MRC", "CURRENCY=USD", "XLFILL=b")</f>
        <v>#N/A Requesting Data...</v>
      </c>
      <c r="Y126" s="6" t="str">
        <f>_xll.BQL("NOW US Equity", "IS_NON_OPERATING_INC_LOSS_GAAP/1M", "FPR=2021Y", "FPT=A", "FA_ACT_EST_DATA=E, EST_SOURCE=DBG", "ACT_EST_MAPPING=PRECISE", "FS=MRC", "CURRENCY=USD", "XLFILL=b")</f>
        <v>#N/A Requesting Data...</v>
      </c>
      <c r="Z126" s="6" t="str">
        <f>_xll.BQL("NOW US Equity", "IS_NON_OPERATING_INC_LOSS_GAAP/1M", "FPR=2021Y", "FPT=A", "FA_ACT_EST_DATA=E, EST_SOURCE=UBS", "ACT_EST_MAPPING=PRECISE", "FS=MRC", "CURRENCY=USD", "XLFILL=b")</f>
        <v>#N/A Requesting Data...</v>
      </c>
      <c r="AA126" s="6" t="str">
        <f>_xll.BQL("NOW US Equity", "IS_NON_OPERATING_INC_LOSS_GAAP/1M", "FPR=2021Y", "FPT=A", "FA_ACT_EST_DATA=E, EST_SOURCE=RBC", "ACT_EST_MAPPING=PRECISE", "FS=MRC", "CURRENCY=USD", "XLFILL=b")</f>
        <v>#N/A Requesting Data...</v>
      </c>
      <c r="AB126" s="6" t="str">
        <f>_xll.BQL("NOW US Equity", "IS_NON_OPERATING_INC_LOSS_GAAP/1M", "FPR=2021Y", "FPT=A", "FA_ACT_EST_DATA=E, EST_SOURCE=EVR", "ACT_EST_MAPPING=PRECISE", "FS=MRC", "CURRENCY=USD", "XLFILL=b")</f>
        <v>#N/A Requesting Data...</v>
      </c>
      <c r="AC126" s="6" t="str">
        <f>_xll.BQL("NOW US Equity", "IS_NON_OPERATING_INC_LOSS_GAAP/1M", "FPR=2021Y", "FPT=A", "FA_ACT_EST_DATA=E, EST_SOURCE=BNS", "ACT_EST_MAPPING=PRECISE", "FS=MRC", "CURRENCY=USD", "XLFILL=b")</f>
        <v>#N/A Requesting Data...</v>
      </c>
      <c r="AD126" s="6" t="str">
        <f>_xll.BQL("NOW US Equity", "IS_NON_OPERATING_INC_LOSS_GAAP/1M", "FPR=2021Y", "FPT=A", "FA_ACT_EST_DATA=E, EST_SOURCE=BAM", "ACT_EST_MAPPING=PRECISE", "FS=MRC", "CURRENCY=USD", "XLFILL=b")</f>
        <v>#N/A Requesting Data...</v>
      </c>
      <c r="AE126" s="6" t="str">
        <f>_xll.BQL("NOW US Equity", "IS_NON_OPERATING_INC_LOSS_GAAP/1M", "FPR=2021Y", "FPT=A", "FA_ACT_EST_DATA=E, EST_SOURCE=GSR", "ACT_EST_MAPPING=PRECISE", "FS=MRC", "CURRENCY=USD", "XLFILL=b")</f>
        <v>#N/A Requesting Data...</v>
      </c>
      <c r="AF126" s="6" t="str">
        <f>_xll.BQL("NOW US Equity", "IS_NON_OPERATING_INC_LOSS_GAAP/1M", "FPR=2021Y", "FPT=A", "FA_ACT_EST_DATA=E, EST_SOURCE=FBC", "ACT_EST_MAPPING=PRECISE", "FS=MRC", "CURRENCY=USD", "XLFILL=b")</f>
        <v>#N/A Requesting Data...</v>
      </c>
      <c r="AG126" s="6" t="str">
        <f>_xll.BQL("NOW US Equity", "IS_NON_OPERATING_INC_LOSS_GAAP/1M", "FPR=2021Y", "FPT=A", "FA_ACT_EST_DATA=E, EST_SOURCE=MAC", "ACT_EST_MAPPING=PRECISE", "FS=MRC", "CURRENCY=USD", "XLFILL=b")</f>
        <v>#N/A Requesting Data...</v>
      </c>
      <c r="AH126" s="6" t="str">
        <f>_xll.BQL("NOW US Equity", "IS_NON_OPERATING_INC_LOSS_GAAP/1M", "FPR=2021Y", "FPT=A", "FA_ACT_EST_DATA=E, EST_SOURCE=PSG", "ACT_EST_MAPPING=PRECISE", "FS=MRC", "CURRENCY=USD", "XLFILL=b")</f>
        <v>#N/A Requesting Data...</v>
      </c>
      <c r="AI126" s="6" t="str">
        <f>_xll.BQL("NOW US Equity", "IS_NON_OPERATING_INC_LOSS_GAAP/1M", "FPR=2021Y", "FPT=A", "FA_ACT_EST_DATA=E, EST_SOURCE=MSR", "ACT_EST_MAPPING=PRECISE", "FS=MRC", "CURRENCY=USD", "XLFILL=b")</f>
        <v>#N/A Requesting Data...</v>
      </c>
      <c r="AJ126" s="6" t="str">
        <f>_xll.BQL("NOW US Equity", "IS_NON_OPERATING_INC_LOSS_GAAP/1M", "FPR=2021Y", "FPT=A", "FA_ACT_EST_DATA=E, EST_SOURCE=JEF", "ACT_EST_MAPPING=PRECISE", "FS=MRC", "CURRENCY=USD", "XLFILL=b")</f>
        <v>#N/A Requesting Data...</v>
      </c>
      <c r="AK126" s="6" t="str">
        <f>_xll.BQL("NOW US Equity", "IS_NON_OPERATING_INC_LOSS_GAAP/1M", "FPR=2021Y", "FPT=A", "FA_ACT_EST_DATA=E, EST_SOURCE=TTC", "ACT_EST_MAPPING=PRECISE", "FS=MRC", "CURRENCY=USD", "XLFILL=b")</f>
        <v>#N/A Requesting Data...</v>
      </c>
      <c r="AL126" s="6" t="str">
        <f>_xll.BQL("NOW US Equity", "IS_NON_OPERATING_INC_LOSS_GAAP/1M", "FPR=2021Y", "FPT=A", "FA_ACT_EST_DATA=E, EST_SOURCE=RWB", "ACT_EST_MAPPING=PRECISE", "FS=MRC", "CURRENCY=USD", "XLFILL=b")</f>
        <v>#N/A Requesting Data...</v>
      </c>
      <c r="AM126" s="6" t="str">
        <f>_xll.BQL("NOW US Equity", "IS_NON_OPERATING_INC_LOSS_GAAP/1M", "FPR=2021Y", "FPT=A", "FA_ACT_EST_DATA=E, EST_SOURCE=DZB", "ACT_EST_MAPPING=PRECISE", "FS=MRC", "CURRENCY=USD", "XLFILL=b")</f>
        <v>#N/A Requesting Data...</v>
      </c>
      <c r="AN126" s="6" t="str">
        <f>_xll.BQL("NOW US Equity", "IS_NON_OPERATING_INC_LOSS_GAAP/1M", "FPR=2021Y", "FPT=A", "FA_ACT_EST_DATA=E, EST_SOURCE=DWI", "ACT_EST_MAPPING=PRECISE", "FS=MRC", "CURRENCY=USD", "XLFILL=b")</f>
        <v>#N/A Requesting Data...</v>
      </c>
      <c r="AO126" s="6" t="str">
        <f>_xll.BQL("NOW US Equity", "IS_NON_OPERATING_INC_LOSS_GAAP/1M", "FPR=2021Y", "FPT=A", "FA_ACT_EST_DATA=E, EST_SOURCE=ARG", "ACT_EST_MAPPING=PRECISE", "FS=MRC", "CURRENCY=USD", "XLFILL=b")</f>
        <v>#N/A Requesting Data...</v>
      </c>
      <c r="AP126" s="6" t="str">
        <f>_xll.BQL("NOW US Equity", "IS_NON_OPERATING_INC_LOSS_GAAP/1M", "FPR=2021Y", "FPT=A", "FA_ACT_EST_DATA=E, EST_SOURCE=CTI", "ACT_EST_MAPPING=PRECISE", "FS=MRC", "CURRENCY=USD", "XLFILL=b")</f>
        <v>#N/A Requesting Data...</v>
      </c>
      <c r="AQ126" s="6" t="str">
        <f>_xll.BQL("NOW US Equity", "IS_NON_OPERATING_INC_LOSS_GAAP/1M", "FPR=2021Y", "FPT=A", "FA_ACT_EST_DATA=E, EST_SOURCE=WFT", "ACT_EST_MAPPING=PRECISE", "FS=MRC", "CURRENCY=USD", "XLFILL=b")</f>
        <v>#N/A Requesting Data...</v>
      </c>
      <c r="AR126" s="6" t="str">
        <f>_xll.BQL("NOW US Equity", "IS_NON_OPERATING_INC_LOSS_GAAP/1M", "FPR=2021Y", "FPT=A", "FA_ACT_EST_DATA=E, EST_SOURCE=ARE", "ACT_EST_MAPPING=PRECISE", "FS=MRC", "CURRENCY=USD", "XLFILL=b")</f>
        <v>#N/A Requesting Data...</v>
      </c>
      <c r="AS126" s="6" t="str">
        <f>_xll.BQL("NOW US Equity", "IS_NON_OPERATING_INC_LOSS_GAAP/1M", "FPR=2021Y", "FPT=A", "FA_ACT_EST_DATA=E, EST_SOURCE=PJE", "ACT_EST_MAPPING=PRECISE", "FS=MRC", "CURRENCY=USD", "XLFILL=b")</f>
        <v>#N/A Requesting Data...</v>
      </c>
      <c r="AT126" s="6" t="str">
        <f>_xll.BQL("NOW US Equity", "IS_NON_OPERATING_INC_LOSS_GAAP/1M", "FPR=2021Y", "FPT=A", "FA_ACT_EST_DATA=E, EST_SOURCE=MZS", "ACT_EST_MAPPING=PRECISE", "FS=MRC", "CURRENCY=USD", "XLFILL=b")</f>
        <v>#N/A Requesting Data...</v>
      </c>
      <c r="AU126" s="6" t="str">
        <f>_xll.BQL("NOW US Equity", "IS_NON_OPERATING_INC_LOSS_GAAP/1M", "FPR=2021Y", "FPT=A", "FA_ACT_EST_DATA=E, EST_SOURCE=SUM", "ACT_EST_MAPPING=PRECISE", "FS=MRC", "CURRENCY=USD", "XLFILL=b")</f>
        <v>#N/A Requesting Data...</v>
      </c>
      <c r="AV126" s="6" t="str">
        <f>_xll.BQL("NOW US Equity", "IS_NON_OPERATING_INC_LOSS_GAAP/1M", "FPR=2021Y", "FPT=A", "FA_ACT_EST_DATA=E, EST_SOURCE=CRC", "ACT_EST_MAPPING=PRECISE", "FS=MRC", "CURRENCY=USD", "XLFILL=b")</f>
        <v>#N/A Requesting Data...</v>
      </c>
      <c r="AW126" s="6" t="str">
        <f>_xll.BQL("NOW US Equity", "IS_NON_OPERATING_INC_LOSS_GAAP/1M", "FPR=2021Y", "FPT=A", "FA_ACT_EST_DATA=E, EST_SOURCE=SCB", "ACT_EST_MAPPING=PRECISE", "FS=MRC", "CURRENCY=USD", "XLFILL=b")</f>
        <v>#N/A Requesting Data...</v>
      </c>
    </row>
    <row r="127" spans="1:49" x14ac:dyDescent="0.55000000000000004">
      <c r="A127" s="5" t="s">
        <v>202</v>
      </c>
      <c r="B127" s="2" t="s">
        <v>203</v>
      </c>
      <c r="C127" s="2" t="s">
        <v>158</v>
      </c>
      <c r="D127" s="2"/>
      <c r="E127" s="6" t="str">
        <f>_xll.BQL("NOW US Equity", "PRETAX_INC/1M", "FPR=2021Y", "FPT=A", "FA_ACT_EST_DATA=E", "ACT_EST_MAPPING=PRECISE", "FS=MRC", "CURRENCY=USD", "XLFILL=b")</f>
        <v>#N/A Requesting Data...</v>
      </c>
      <c r="F127" s="6" t="str">
        <f>_xll.BQL("NOW US Equity", "CONTRIBUTOR_STATS(PRETAX_INC, MIN)/1M", "FPR=2021Y", "FPT=A", "FA_ACT_EST_DATA=E", "ACT_EST_MAPPING=PRECISE", "FS=MRC", "CURRENCY=USD", "XLFILL=b")</f>
        <v>#N/A Requesting Data...</v>
      </c>
      <c r="G127" s="6" t="str">
        <f>_xll.BQL("NOW US Equity", "CONTRIBUTOR_STATS(PRETAX_INC, MAX)/1M", "FPR=2021Y", "FPT=A", "FA_ACT_EST_DATA=E", "ACT_EST_MAPPING=PRECISE", "FS=MRC", "CURRENCY=USD", "XLFILL=b")</f>
        <v>#N/A Requesting Data...</v>
      </c>
      <c r="H127" s="6" t="str">
        <f>_xll.BQL("NOW US Equity", "CONTRIBUTOR_STATS(PRETAX_INC, STD)/1M", "FPR=2021Y", "FPT=A", "FA_ACT_EST_DATA=E", "ACT_EST_MAPPING=PRECISE", "FS=MRC", "CURRENCY=USD", "XLFILL=b")</f>
        <v>#N/A Requesting Data...</v>
      </c>
      <c r="I127" s="6" t="str">
        <f>_xll.BQL("NOW US Equity", "CONTRIBUTOR_STATS(PRETAX_INC, MEDIAN)/1M", "FPR=2021Y", "FPT=A", "FA_ACT_EST_DATA=E", "ACT_EST_MAPPING=PRECISE", "FS=MRC", "CURRENCY=USD", "XLFILL=b")</f>
        <v>#N/A Requesting Data...</v>
      </c>
      <c r="J127" s="6" t="str">
        <f>_xll.BQL("NOW US Equity", "PRETAX_INC/1M", "FPR=2021Y", "FPT=A", "FA_ACT_EST_DATA=E, EST_SOURCE=CMPY", "ACT_EST_MAPPING=PRECISE", "FS=MRC", "CURRENCY=USD", "XLFILL=b")</f>
        <v>#N/A Requesting Data...</v>
      </c>
      <c r="K127" s="6" t="str">
        <f>_xll.BQL("NOW US Equity", "PRETAX_INC/1M", "FPR=2021Y", "FPT=A", "FA_ACT_EST_DATA=E, EST_SOURCE=JPM", "ACT_EST_MAPPING=PRECISE", "FS=MRC", "CURRENCY=USD", "XLFILL=b")</f>
        <v>#N/A Requesting Data...</v>
      </c>
      <c r="L127" s="6" t="str">
        <f>_xll.BQL("NOW US Equity", "PRETAX_INC/1M", "FPR=2021Y", "FPT=A", "FA_ACT_EST_DATA=E, EST_SOURCE=WBL", "ACT_EST_MAPPING=PRECISE", "FS=MRC", "CURRENCY=USD", "XLFILL=b")</f>
        <v>#N/A Requesting Data...</v>
      </c>
      <c r="M127" s="6" t="str">
        <f>_xll.BQL("NOW US Equity", "PRETAX_INC/1M", "FPR=2021Y", "FPT=A", "FA_ACT_EST_DATA=E, EST_SOURCE=KEY", "ACT_EST_MAPPING=PRECISE", "FS=MRC", "CURRENCY=USD", "XLFILL=b")</f>
        <v>#N/A Requesting Data...</v>
      </c>
      <c r="N127" s="6" t="str">
        <f>_xll.BQL("NOW US Equity", "PRETAX_INC/1M", "FPR=2021Y", "FPT=A", "FA_ACT_EST_DATA=E, EST_SOURCE=BMO", "ACT_EST_MAPPING=PRECISE", "FS=MRC", "CURRENCY=USD", "XLFILL=b")</f>
        <v>#N/A Requesting Data...</v>
      </c>
      <c r="O127" s="6" t="str">
        <f>_xll.BQL("NOW US Equity", "PRETAX_INC/1M", "FPR=2021Y", "FPT=A", "FA_ACT_EST_DATA=E, EST_SOURCE=OPY", "ACT_EST_MAPPING=PRECISE", "FS=MRC", "CURRENCY=USD", "XLFILL=b")</f>
        <v>#N/A Requesting Data...</v>
      </c>
      <c r="P127" s="6" t="str">
        <f>_xll.BQL("NOW US Equity", "PRETAX_INC/1M", "FPR=2021Y", "FPT=A", "FA_ACT_EST_DATA=E, EST_SOURCE=BCA", "ACT_EST_MAPPING=PRECISE", "FS=MRC", "CURRENCY=USD", "XLFILL=b")</f>
        <v>#N/A Requesting Data...</v>
      </c>
      <c r="Q127" s="6" t="str">
        <f>_xll.BQL("NOW US Equity", "PRETAX_INC/1M", "FPR=2021Y", "FPT=A", "FA_ACT_EST_DATA=E, EST_SOURCE=RHR", "ACT_EST_MAPPING=PRECISE", "FS=MRC", "CURRENCY=USD", "XLFILL=b")</f>
        <v>#N/A Requesting Data...</v>
      </c>
      <c r="R127" s="6" t="str">
        <f>_xll.BQL("NOW US Equity", "PRETAX_INC/1M", "FPR=2021Y", "FPT=A", "FA_ACT_EST_DATA=E, EST_SOURCE=SNR", "ACT_EST_MAPPING=PRECISE", "FS=MRC", "CURRENCY=USD", "XLFILL=b")</f>
        <v>#N/A Requesting Data...</v>
      </c>
      <c r="S127" s="6" t="str">
        <f>_xll.BQL("NOW US Equity", "PRETAX_INC/1M", "FPR=2021Y", "FPT=A", "FA_ACT_EST_DATA=E, EST_SOURCE=MSV", "ACT_EST_MAPPING=PRECISE", "FS=MRC", "CURRENCY=USD", "XLFILL=b")</f>
        <v>#N/A Requesting Data...</v>
      </c>
      <c r="T127" s="6" t="str">
        <f>_xll.BQL("NOW US Equity", "PRETAX_INC/1M", "FPR=2021Y", "FPT=A", "FA_ACT_EST_DATA=E, EST_SOURCE=CAN", "ACT_EST_MAPPING=PRECISE", "FS=MRC", "CURRENCY=USD", "XLFILL=b")</f>
        <v>#N/A Requesting Data...</v>
      </c>
      <c r="U127" s="6" t="str">
        <f>_xll.BQL("NOW US Equity", "PRETAX_INC/1M", "FPR=2021Y", "FPT=A", "FA_ACT_EST_DATA=E, EST_SOURCE=JMP", "ACT_EST_MAPPING=PRECISE", "FS=MRC", "CURRENCY=USD", "XLFILL=b")</f>
        <v>#N/A Requesting Data...</v>
      </c>
      <c r="V127" s="6" t="str">
        <f>_xll.BQL("NOW US Equity", "PRETAX_INC/1M", "FPR=2021Y", "FPT=A", "FA_ACT_EST_DATA=E, EST_SOURCE=NDH", "ACT_EST_MAPPING=PRECISE", "FS=MRC", "CURRENCY=USD", "XLFILL=b")</f>
        <v>#N/A Requesting Data...</v>
      </c>
      <c r="W127" s="6" t="str">
        <f>_xll.BQL("NOW US Equity", "PRETAX_INC/1M", "FPR=2021Y", "FPT=A", "FA_ACT_EST_DATA=E, EST_SOURCE=ZXS", "ACT_EST_MAPPING=PRECISE", "FS=MRC", "CURRENCY=USD", "XLFILL=b")</f>
        <v>#N/A Requesting Data...</v>
      </c>
      <c r="X127" s="6" t="str">
        <f>_xll.BQL("NOW US Equity", "PRETAX_INC/1M", "FPR=2021Y", "FPT=A", "FA_ACT_EST_DATA=E, EST_SOURCE=CWN", "ACT_EST_MAPPING=PRECISE", "FS=MRC", "CURRENCY=USD", "XLFILL=b")</f>
        <v>#N/A Requesting Data...</v>
      </c>
      <c r="Y127" s="6" t="str">
        <f>_xll.BQL("NOW US Equity", "PRETAX_INC/1M", "FPR=2021Y", "FPT=A", "FA_ACT_EST_DATA=E, EST_SOURCE=DBG", "ACT_EST_MAPPING=PRECISE", "FS=MRC", "CURRENCY=USD", "XLFILL=b")</f>
        <v>#N/A Requesting Data...</v>
      </c>
      <c r="Z127" s="6" t="str">
        <f>_xll.BQL("NOW US Equity", "PRETAX_INC/1M", "FPR=2021Y", "FPT=A", "FA_ACT_EST_DATA=E, EST_SOURCE=UBS", "ACT_EST_MAPPING=PRECISE", "FS=MRC", "CURRENCY=USD", "XLFILL=b")</f>
        <v>#N/A Requesting Data...</v>
      </c>
      <c r="AA127" s="6" t="str">
        <f>_xll.BQL("NOW US Equity", "PRETAX_INC/1M", "FPR=2021Y", "FPT=A", "FA_ACT_EST_DATA=E, EST_SOURCE=RBC", "ACT_EST_MAPPING=PRECISE", "FS=MRC", "CURRENCY=USD", "XLFILL=b")</f>
        <v>#N/A Requesting Data...</v>
      </c>
      <c r="AB127" s="6" t="str">
        <f>_xll.BQL("NOW US Equity", "PRETAX_INC/1M", "FPR=2021Y", "FPT=A", "FA_ACT_EST_DATA=E, EST_SOURCE=EVR", "ACT_EST_MAPPING=PRECISE", "FS=MRC", "CURRENCY=USD", "XLFILL=b")</f>
        <v>#N/A Requesting Data...</v>
      </c>
      <c r="AC127" s="6" t="str">
        <f>_xll.BQL("NOW US Equity", "PRETAX_INC/1M", "FPR=2021Y", "FPT=A", "FA_ACT_EST_DATA=E, EST_SOURCE=BNS", "ACT_EST_MAPPING=PRECISE", "FS=MRC", "CURRENCY=USD", "XLFILL=b")</f>
        <v>#N/A Requesting Data...</v>
      </c>
      <c r="AD127" s="6" t="str">
        <f>_xll.BQL("NOW US Equity", "PRETAX_INC/1M", "FPR=2021Y", "FPT=A", "FA_ACT_EST_DATA=E, EST_SOURCE=BAM", "ACT_EST_MAPPING=PRECISE", "FS=MRC", "CURRENCY=USD", "XLFILL=b")</f>
        <v>#N/A Requesting Data...</v>
      </c>
      <c r="AE127" s="6" t="str">
        <f>_xll.BQL("NOW US Equity", "PRETAX_INC/1M", "FPR=2021Y", "FPT=A", "FA_ACT_EST_DATA=E, EST_SOURCE=GSR", "ACT_EST_MAPPING=PRECISE", "FS=MRC", "CURRENCY=USD", "XLFILL=b")</f>
        <v>#N/A Requesting Data...</v>
      </c>
      <c r="AF127" s="6" t="str">
        <f>_xll.BQL("NOW US Equity", "PRETAX_INC/1M", "FPR=2021Y", "FPT=A", "FA_ACT_EST_DATA=E, EST_SOURCE=FBC", "ACT_EST_MAPPING=PRECISE", "FS=MRC", "CURRENCY=USD", "XLFILL=b")</f>
        <v>#N/A Requesting Data...</v>
      </c>
      <c r="AG127" s="6" t="str">
        <f>_xll.BQL("NOW US Equity", "PRETAX_INC/1M", "FPR=2021Y", "FPT=A", "FA_ACT_EST_DATA=E, EST_SOURCE=MAC", "ACT_EST_MAPPING=PRECISE", "FS=MRC", "CURRENCY=USD", "XLFILL=b")</f>
        <v>#N/A Requesting Data...</v>
      </c>
      <c r="AH127" s="6" t="str">
        <f>_xll.BQL("NOW US Equity", "PRETAX_INC/1M", "FPR=2021Y", "FPT=A", "FA_ACT_EST_DATA=E, EST_SOURCE=PSG", "ACT_EST_MAPPING=PRECISE", "FS=MRC", "CURRENCY=USD", "XLFILL=b")</f>
        <v>#N/A Requesting Data...</v>
      </c>
      <c r="AI127" s="6" t="str">
        <f>_xll.BQL("NOW US Equity", "PRETAX_INC/1M", "FPR=2021Y", "FPT=A", "FA_ACT_EST_DATA=E, EST_SOURCE=MSR", "ACT_EST_MAPPING=PRECISE", "FS=MRC", "CURRENCY=USD", "XLFILL=b")</f>
        <v>#N/A Requesting Data...</v>
      </c>
      <c r="AJ127" s="6" t="str">
        <f>_xll.BQL("NOW US Equity", "PRETAX_INC/1M", "FPR=2021Y", "FPT=A", "FA_ACT_EST_DATA=E, EST_SOURCE=JEF", "ACT_EST_MAPPING=PRECISE", "FS=MRC", "CURRENCY=USD", "XLFILL=b")</f>
        <v>#N/A Requesting Data...</v>
      </c>
      <c r="AK127" s="6" t="str">
        <f>_xll.BQL("NOW US Equity", "PRETAX_INC/1M", "FPR=2021Y", "FPT=A", "FA_ACT_EST_DATA=E, EST_SOURCE=TTC", "ACT_EST_MAPPING=PRECISE", "FS=MRC", "CURRENCY=USD", "XLFILL=b")</f>
        <v>#N/A Requesting Data...</v>
      </c>
      <c r="AL127" s="6" t="str">
        <f>_xll.BQL("NOW US Equity", "PRETAX_INC/1M", "FPR=2021Y", "FPT=A", "FA_ACT_EST_DATA=E, EST_SOURCE=RWB", "ACT_EST_MAPPING=PRECISE", "FS=MRC", "CURRENCY=USD", "XLFILL=b")</f>
        <v>#N/A Requesting Data...</v>
      </c>
      <c r="AM127" s="6" t="str">
        <f>_xll.BQL("NOW US Equity", "PRETAX_INC/1M", "FPR=2021Y", "FPT=A", "FA_ACT_EST_DATA=E, EST_SOURCE=DZB", "ACT_EST_MAPPING=PRECISE", "FS=MRC", "CURRENCY=USD", "XLFILL=b")</f>
        <v>#N/A Requesting Data...</v>
      </c>
      <c r="AN127" s="6" t="str">
        <f>_xll.BQL("NOW US Equity", "PRETAX_INC/1M", "FPR=2021Y", "FPT=A", "FA_ACT_EST_DATA=E, EST_SOURCE=DWI", "ACT_EST_MAPPING=PRECISE", "FS=MRC", "CURRENCY=USD", "XLFILL=b")</f>
        <v>#N/A Requesting Data...</v>
      </c>
      <c r="AO127" s="6" t="str">
        <f>_xll.BQL("NOW US Equity", "PRETAX_INC/1M", "FPR=2021Y", "FPT=A", "FA_ACT_EST_DATA=E, EST_SOURCE=ARG", "ACT_EST_MAPPING=PRECISE", "FS=MRC", "CURRENCY=USD", "XLFILL=b")</f>
        <v>#N/A Requesting Data...</v>
      </c>
      <c r="AP127" s="6" t="str">
        <f>_xll.BQL("NOW US Equity", "PRETAX_INC/1M", "FPR=2021Y", "FPT=A", "FA_ACT_EST_DATA=E, EST_SOURCE=CTI", "ACT_EST_MAPPING=PRECISE", "FS=MRC", "CURRENCY=USD", "XLFILL=b")</f>
        <v>#N/A Requesting Data...</v>
      </c>
      <c r="AQ127" s="6" t="str">
        <f>_xll.BQL("NOW US Equity", "PRETAX_INC/1M", "FPR=2021Y", "FPT=A", "FA_ACT_EST_DATA=E, EST_SOURCE=WFT", "ACT_EST_MAPPING=PRECISE", "FS=MRC", "CURRENCY=USD", "XLFILL=b")</f>
        <v>#N/A Requesting Data...</v>
      </c>
      <c r="AR127" s="6" t="str">
        <f>_xll.BQL("NOW US Equity", "PRETAX_INC/1M", "FPR=2021Y", "FPT=A", "FA_ACT_EST_DATA=E, EST_SOURCE=ARE", "ACT_EST_MAPPING=PRECISE", "FS=MRC", "CURRENCY=USD", "XLFILL=b")</f>
        <v>#N/A Requesting Data...</v>
      </c>
      <c r="AS127" s="6" t="str">
        <f>_xll.BQL("NOW US Equity", "PRETAX_INC/1M", "FPR=2021Y", "FPT=A", "FA_ACT_EST_DATA=E, EST_SOURCE=PJE", "ACT_EST_MAPPING=PRECISE", "FS=MRC", "CURRENCY=USD", "XLFILL=b")</f>
        <v>#N/A Requesting Data...</v>
      </c>
      <c r="AT127" s="6" t="str">
        <f>_xll.BQL("NOW US Equity", "PRETAX_INC/1M", "FPR=2021Y", "FPT=A", "FA_ACT_EST_DATA=E, EST_SOURCE=MZS", "ACT_EST_MAPPING=PRECISE", "FS=MRC", "CURRENCY=USD", "XLFILL=b")</f>
        <v>#N/A Requesting Data...</v>
      </c>
      <c r="AU127" s="6" t="str">
        <f>_xll.BQL("NOW US Equity", "PRETAX_INC/1M", "FPR=2021Y", "FPT=A", "FA_ACT_EST_DATA=E, EST_SOURCE=SUM", "ACT_EST_MAPPING=PRECISE", "FS=MRC", "CURRENCY=USD", "XLFILL=b")</f>
        <v>#N/A Requesting Data...</v>
      </c>
      <c r="AV127" s="6" t="str">
        <f>_xll.BQL("NOW US Equity", "PRETAX_INC/1M", "FPR=2021Y", "FPT=A", "FA_ACT_EST_DATA=E, EST_SOURCE=CRC", "ACT_EST_MAPPING=PRECISE", "FS=MRC", "CURRENCY=USD", "XLFILL=b")</f>
        <v>#N/A Requesting Data...</v>
      </c>
      <c r="AW127" s="6" t="str">
        <f>_xll.BQL("NOW US Equity", "PRETAX_INC/1M", "FPR=2021Y", "FPT=A", "FA_ACT_EST_DATA=E, EST_SOURCE=SCB", "ACT_EST_MAPPING=PRECISE", "FS=MRC", "CURRENCY=USD", "XLFILL=b")</f>
        <v>#N/A Requesting Data...</v>
      </c>
    </row>
    <row r="128" spans="1:49" x14ac:dyDescent="0.55000000000000004">
      <c r="A128" s="5" t="s">
        <v>204</v>
      </c>
      <c r="B128" s="2" t="s">
        <v>205</v>
      </c>
      <c r="C128" s="2" t="s">
        <v>206</v>
      </c>
      <c r="D128" s="2"/>
      <c r="E128" s="6" t="str">
        <f>_xll.BQL("NOW US Equity", "IS_INC_TAX_EXP/1M", "FPR=2021Y", "FPT=A", "FA_ACT_EST_DATA=E", "ACT_EST_MAPPING=PRECISE", "FS=MRC", "CURRENCY=USD", "XLFILL=b")</f>
        <v>#N/A Requesting Data...</v>
      </c>
      <c r="F128" s="6" t="str">
        <f>_xll.BQL("NOW US Equity", "CONTRIBUTOR_STATS(IS_INC_TAX_EXP, MIN)/1M", "FPR=2021Y", "FPT=A", "FA_ACT_EST_DATA=E", "ACT_EST_MAPPING=PRECISE", "FS=MRC", "CURRENCY=USD", "XLFILL=b")</f>
        <v>#N/A Requesting Data...</v>
      </c>
      <c r="G128" s="6" t="str">
        <f>_xll.BQL("NOW US Equity", "CONTRIBUTOR_STATS(IS_INC_TAX_EXP, MAX)/1M", "FPR=2021Y", "FPT=A", "FA_ACT_EST_DATA=E", "ACT_EST_MAPPING=PRECISE", "FS=MRC", "CURRENCY=USD", "XLFILL=b")</f>
        <v>#N/A Requesting Data...</v>
      </c>
      <c r="H128" s="6" t="str">
        <f>_xll.BQL("NOW US Equity", "CONTRIBUTOR_STATS(IS_INC_TAX_EXP, STD)/1M", "FPR=2021Y", "FPT=A", "FA_ACT_EST_DATA=E", "ACT_EST_MAPPING=PRECISE", "FS=MRC", "CURRENCY=USD", "XLFILL=b")</f>
        <v>#N/A Requesting Data...</v>
      </c>
      <c r="I128" s="6">
        <f>_xll.BQL("NOW US Equity", "CONTRIBUTOR_STATS(IS_INC_TAX_EXP, MEDIAN)/1M", "FPR=2021Y", "FPT=A", "FA_ACT_EST_DATA=E", "ACT_EST_MAPPING=PRECISE", "FS=MRC", "CURRENCY=USD", "XLFILL=b")</f>
        <v>18.583375922958499</v>
      </c>
      <c r="J128" s="6" t="str">
        <f>_xll.BQL("NOW US Equity", "IS_INC_TAX_EXP/1M", "FPR=2021Y", "FPT=A", "FA_ACT_EST_DATA=E, EST_SOURCE=CMPY", "ACT_EST_MAPPING=PRECISE", "FS=MRC", "CURRENCY=USD", "XLFILL=b")</f>
        <v>#N/A Requesting Data...</v>
      </c>
      <c r="K128" s="6" t="str">
        <f>_xll.BQL("NOW US Equity", "IS_INC_TAX_EXP/1M", "FPR=2021Y", "FPT=A", "FA_ACT_EST_DATA=E, EST_SOURCE=JPM", "ACT_EST_MAPPING=PRECISE", "FS=MRC", "CURRENCY=USD", "XLFILL=b")</f>
        <v>#N/A Requesting Data...</v>
      </c>
      <c r="L128" s="6" t="str">
        <f>_xll.BQL("NOW US Equity", "IS_INC_TAX_EXP/1M", "FPR=2021Y", "FPT=A", "FA_ACT_EST_DATA=E, EST_SOURCE=WBL", "ACT_EST_MAPPING=PRECISE", "FS=MRC", "CURRENCY=USD", "XLFILL=b")</f>
        <v>#N/A Requesting Data...</v>
      </c>
      <c r="M128" s="6" t="str">
        <f>_xll.BQL("NOW US Equity", "IS_INC_TAX_EXP/1M", "FPR=2021Y", "FPT=A", "FA_ACT_EST_DATA=E, EST_SOURCE=KEY", "ACT_EST_MAPPING=PRECISE", "FS=MRC", "CURRENCY=USD", "XLFILL=b")</f>
        <v>#N/A Requesting Data...</v>
      </c>
      <c r="N128" s="6" t="str">
        <f>_xll.BQL("NOW US Equity", "IS_INC_TAX_EXP/1M", "FPR=2021Y", "FPT=A", "FA_ACT_EST_DATA=E, EST_SOURCE=BMO", "ACT_EST_MAPPING=PRECISE", "FS=MRC", "CURRENCY=USD", "XLFILL=b")</f>
        <v>#N/A Requesting Data...</v>
      </c>
      <c r="O128" s="6" t="str">
        <f>_xll.BQL("NOW US Equity", "IS_INC_TAX_EXP/1M", "FPR=2021Y", "FPT=A", "FA_ACT_EST_DATA=E, EST_SOURCE=OPY", "ACT_EST_MAPPING=PRECISE", "FS=MRC", "CURRENCY=USD", "XLFILL=b")</f>
        <v>#N/A Requesting Data...</v>
      </c>
      <c r="P128" s="6" t="str">
        <f>_xll.BQL("NOW US Equity", "IS_INC_TAX_EXP/1M", "FPR=2021Y", "FPT=A", "FA_ACT_EST_DATA=E, EST_SOURCE=BCA", "ACT_EST_MAPPING=PRECISE", "FS=MRC", "CURRENCY=USD", "XLFILL=b")</f>
        <v>#N/A Requesting Data...</v>
      </c>
      <c r="Q128" s="6" t="str">
        <f>_xll.BQL("NOW US Equity", "IS_INC_TAX_EXP/1M", "FPR=2021Y", "FPT=A", "FA_ACT_EST_DATA=E, EST_SOURCE=RHR", "ACT_EST_MAPPING=PRECISE", "FS=MRC", "CURRENCY=USD", "XLFILL=b")</f>
        <v>#N/A Requesting Data...</v>
      </c>
      <c r="R128" s="6" t="str">
        <f>_xll.BQL("NOW US Equity", "IS_INC_TAX_EXP/1M", "FPR=2021Y", "FPT=A", "FA_ACT_EST_DATA=E, EST_SOURCE=SNR", "ACT_EST_MAPPING=PRECISE", "FS=MRC", "CURRENCY=USD", "XLFILL=b")</f>
        <v>#N/A Requesting Data...</v>
      </c>
      <c r="S128" s="6" t="str">
        <f>_xll.BQL("NOW US Equity", "IS_INC_TAX_EXP/1M", "FPR=2021Y", "FPT=A", "FA_ACT_EST_DATA=E, EST_SOURCE=MSV", "ACT_EST_MAPPING=PRECISE", "FS=MRC", "CURRENCY=USD", "XLFILL=b")</f>
        <v>#N/A Requesting Data...</v>
      </c>
      <c r="T128" s="6" t="str">
        <f>_xll.BQL("NOW US Equity", "IS_INC_TAX_EXP/1M", "FPR=2021Y", "FPT=A", "FA_ACT_EST_DATA=E, EST_SOURCE=CAN", "ACT_EST_MAPPING=PRECISE", "FS=MRC", "CURRENCY=USD", "XLFILL=b")</f>
        <v>#N/A Requesting Data...</v>
      </c>
      <c r="U128" s="6" t="str">
        <f>_xll.BQL("NOW US Equity", "IS_INC_TAX_EXP/1M", "FPR=2021Y", "FPT=A", "FA_ACT_EST_DATA=E, EST_SOURCE=JMP", "ACT_EST_MAPPING=PRECISE", "FS=MRC", "CURRENCY=USD", "XLFILL=b")</f>
        <v>#N/A Requesting Data...</v>
      </c>
      <c r="V128" s="6" t="str">
        <f>_xll.BQL("NOW US Equity", "IS_INC_TAX_EXP/1M", "FPR=2021Y", "FPT=A", "FA_ACT_EST_DATA=E, EST_SOURCE=NDH", "ACT_EST_MAPPING=PRECISE", "FS=MRC", "CURRENCY=USD", "XLFILL=b")</f>
        <v>#N/A Requesting Data...</v>
      </c>
      <c r="W128" s="6" t="str">
        <f>_xll.BQL("NOW US Equity", "IS_INC_TAX_EXP/1M", "FPR=2021Y", "FPT=A", "FA_ACT_EST_DATA=E, EST_SOURCE=ZXS", "ACT_EST_MAPPING=PRECISE", "FS=MRC", "CURRENCY=USD", "XLFILL=b")</f>
        <v>#N/A Requesting Data...</v>
      </c>
      <c r="X128" s="6" t="str">
        <f>_xll.BQL("NOW US Equity", "IS_INC_TAX_EXP/1M", "FPR=2021Y", "FPT=A", "FA_ACT_EST_DATA=E, EST_SOURCE=CWN", "ACT_EST_MAPPING=PRECISE", "FS=MRC", "CURRENCY=USD", "XLFILL=b")</f>
        <v>#N/A Requesting Data...</v>
      </c>
      <c r="Y128" s="6" t="str">
        <f>_xll.BQL("NOW US Equity", "IS_INC_TAX_EXP/1M", "FPR=2021Y", "FPT=A", "FA_ACT_EST_DATA=E, EST_SOURCE=DBG", "ACT_EST_MAPPING=PRECISE", "FS=MRC", "CURRENCY=USD", "XLFILL=b")</f>
        <v>#N/A Requesting Data...</v>
      </c>
      <c r="Z128" s="6" t="str">
        <f>_xll.BQL("NOW US Equity", "IS_INC_TAX_EXP/1M", "FPR=2021Y", "FPT=A", "FA_ACT_EST_DATA=E, EST_SOURCE=UBS", "ACT_EST_MAPPING=PRECISE", "FS=MRC", "CURRENCY=USD", "XLFILL=b")</f>
        <v>#N/A Requesting Data...</v>
      </c>
      <c r="AA128" s="6" t="str">
        <f>_xll.BQL("NOW US Equity", "IS_INC_TAX_EXP/1M", "FPR=2021Y", "FPT=A", "FA_ACT_EST_DATA=E, EST_SOURCE=RBC", "ACT_EST_MAPPING=PRECISE", "FS=MRC", "CURRENCY=USD", "XLFILL=b")</f>
        <v>#N/A Requesting Data...</v>
      </c>
      <c r="AB128" s="6" t="str">
        <f>_xll.BQL("NOW US Equity", "IS_INC_TAX_EXP/1M", "FPR=2021Y", "FPT=A", "FA_ACT_EST_DATA=E, EST_SOURCE=EVR", "ACT_EST_MAPPING=PRECISE", "FS=MRC", "CURRENCY=USD", "XLFILL=b")</f>
        <v>#N/A Requesting Data...</v>
      </c>
      <c r="AC128" s="6" t="str">
        <f>_xll.BQL("NOW US Equity", "IS_INC_TAX_EXP/1M", "FPR=2021Y", "FPT=A", "FA_ACT_EST_DATA=E, EST_SOURCE=BNS", "ACT_EST_MAPPING=PRECISE", "FS=MRC", "CURRENCY=USD", "XLFILL=b")</f>
        <v>#N/A Requesting Data...</v>
      </c>
      <c r="AD128" s="6" t="str">
        <f>_xll.BQL("NOW US Equity", "IS_INC_TAX_EXP/1M", "FPR=2021Y", "FPT=A", "FA_ACT_EST_DATA=E, EST_SOURCE=BAM", "ACT_EST_MAPPING=PRECISE", "FS=MRC", "CURRENCY=USD", "XLFILL=b")</f>
        <v>#N/A Requesting Data...</v>
      </c>
      <c r="AE128" s="6" t="str">
        <f>_xll.BQL("NOW US Equity", "IS_INC_TAX_EXP/1M", "FPR=2021Y", "FPT=A", "FA_ACT_EST_DATA=E, EST_SOURCE=GSR", "ACT_EST_MAPPING=PRECISE", "FS=MRC", "CURRENCY=USD", "XLFILL=b")</f>
        <v>#N/A Requesting Data...</v>
      </c>
      <c r="AF128" s="6" t="str">
        <f>_xll.BQL("NOW US Equity", "IS_INC_TAX_EXP/1M", "FPR=2021Y", "FPT=A", "FA_ACT_EST_DATA=E, EST_SOURCE=FBC", "ACT_EST_MAPPING=PRECISE", "FS=MRC", "CURRENCY=USD", "XLFILL=b")</f>
        <v>#N/A Requesting Data...</v>
      </c>
      <c r="AG128" s="6" t="str">
        <f>_xll.BQL("NOW US Equity", "IS_INC_TAX_EXP/1M", "FPR=2021Y", "FPT=A", "FA_ACT_EST_DATA=E, EST_SOURCE=MAC", "ACT_EST_MAPPING=PRECISE", "FS=MRC", "CURRENCY=USD", "XLFILL=b")</f>
        <v>#N/A Requesting Data...</v>
      </c>
      <c r="AH128" s="6" t="str">
        <f>_xll.BQL("NOW US Equity", "IS_INC_TAX_EXP/1M", "FPR=2021Y", "FPT=A", "FA_ACT_EST_DATA=E, EST_SOURCE=PSG", "ACT_EST_MAPPING=PRECISE", "FS=MRC", "CURRENCY=USD", "XLFILL=b")</f>
        <v>#N/A Requesting Data...</v>
      </c>
      <c r="AI128" s="6" t="str">
        <f>_xll.BQL("NOW US Equity", "IS_INC_TAX_EXP/1M", "FPR=2021Y", "FPT=A", "FA_ACT_EST_DATA=E, EST_SOURCE=MSR", "ACT_EST_MAPPING=PRECISE", "FS=MRC", "CURRENCY=USD", "XLFILL=b")</f>
        <v>#N/A Requesting Data...</v>
      </c>
      <c r="AJ128" s="6" t="str">
        <f>_xll.BQL("NOW US Equity", "IS_INC_TAX_EXP/1M", "FPR=2021Y", "FPT=A", "FA_ACT_EST_DATA=E, EST_SOURCE=JEF", "ACT_EST_MAPPING=PRECISE", "FS=MRC", "CURRENCY=USD", "XLFILL=b")</f>
        <v>#N/A Requesting Data...</v>
      </c>
      <c r="AK128" s="6" t="str">
        <f>_xll.BQL("NOW US Equity", "IS_INC_TAX_EXP/1M", "FPR=2021Y", "FPT=A", "FA_ACT_EST_DATA=E, EST_SOURCE=TTC", "ACT_EST_MAPPING=PRECISE", "FS=MRC", "CURRENCY=USD", "XLFILL=b")</f>
        <v>#N/A Requesting Data...</v>
      </c>
      <c r="AL128" s="6" t="str">
        <f>_xll.BQL("NOW US Equity", "IS_INC_TAX_EXP/1M", "FPR=2021Y", "FPT=A", "FA_ACT_EST_DATA=E, EST_SOURCE=RWB", "ACT_EST_MAPPING=PRECISE", "FS=MRC", "CURRENCY=USD", "XLFILL=b")</f>
        <v>#N/A Requesting Data...</v>
      </c>
      <c r="AM128" s="6" t="str">
        <f>_xll.BQL("NOW US Equity", "IS_INC_TAX_EXP/1M", "FPR=2021Y", "FPT=A", "FA_ACT_EST_DATA=E, EST_SOURCE=DZB", "ACT_EST_MAPPING=PRECISE", "FS=MRC", "CURRENCY=USD", "XLFILL=b")</f>
        <v>#N/A Requesting Data...</v>
      </c>
      <c r="AN128" s="6" t="str">
        <f>_xll.BQL("NOW US Equity", "IS_INC_TAX_EXP/1M", "FPR=2021Y", "FPT=A", "FA_ACT_EST_DATA=E, EST_SOURCE=DWI", "ACT_EST_MAPPING=PRECISE", "FS=MRC", "CURRENCY=USD", "XLFILL=b")</f>
        <v>#N/A Requesting Data...</v>
      </c>
      <c r="AO128" s="6" t="str">
        <f>_xll.BQL("NOW US Equity", "IS_INC_TAX_EXP/1M", "FPR=2021Y", "FPT=A", "FA_ACT_EST_DATA=E, EST_SOURCE=ARG", "ACT_EST_MAPPING=PRECISE", "FS=MRC", "CURRENCY=USD", "XLFILL=b")</f>
        <v>#N/A Requesting Data...</v>
      </c>
      <c r="AP128" s="6" t="str">
        <f>_xll.BQL("NOW US Equity", "IS_INC_TAX_EXP/1M", "FPR=2021Y", "FPT=A", "FA_ACT_EST_DATA=E, EST_SOURCE=CTI", "ACT_EST_MAPPING=PRECISE", "FS=MRC", "CURRENCY=USD", "XLFILL=b")</f>
        <v>#N/A Requesting Data...</v>
      </c>
      <c r="AQ128" s="6" t="str">
        <f>_xll.BQL("NOW US Equity", "IS_INC_TAX_EXP/1M", "FPR=2021Y", "FPT=A", "FA_ACT_EST_DATA=E, EST_SOURCE=WFT", "ACT_EST_MAPPING=PRECISE", "FS=MRC", "CURRENCY=USD", "XLFILL=b")</f>
        <v>#N/A Requesting Data...</v>
      </c>
      <c r="AR128" s="6" t="str">
        <f>_xll.BQL("NOW US Equity", "IS_INC_TAX_EXP/1M", "FPR=2021Y", "FPT=A", "FA_ACT_EST_DATA=E, EST_SOURCE=ARE", "ACT_EST_MAPPING=PRECISE", "FS=MRC", "CURRENCY=USD", "XLFILL=b")</f>
        <v>#N/A Requesting Data...</v>
      </c>
      <c r="AS128" s="6" t="str">
        <f>_xll.BQL("NOW US Equity", "IS_INC_TAX_EXP/1M", "FPR=2021Y", "FPT=A", "FA_ACT_EST_DATA=E, EST_SOURCE=PJE", "ACT_EST_MAPPING=PRECISE", "FS=MRC", "CURRENCY=USD", "XLFILL=b")</f>
        <v>#N/A Requesting Data...</v>
      </c>
      <c r="AT128" s="6" t="str">
        <f>_xll.BQL("NOW US Equity", "IS_INC_TAX_EXP/1M", "FPR=2021Y", "FPT=A", "FA_ACT_EST_DATA=E, EST_SOURCE=MZS", "ACT_EST_MAPPING=PRECISE", "FS=MRC", "CURRENCY=USD", "XLFILL=b")</f>
        <v>#N/A Requesting Data...</v>
      </c>
      <c r="AU128" s="6" t="str">
        <f>_xll.BQL("NOW US Equity", "IS_INC_TAX_EXP/1M", "FPR=2021Y", "FPT=A", "FA_ACT_EST_DATA=E, EST_SOURCE=SUM", "ACT_EST_MAPPING=PRECISE", "FS=MRC", "CURRENCY=USD", "XLFILL=b")</f>
        <v>#N/A Requesting Data...</v>
      </c>
      <c r="AV128" s="6" t="str">
        <f>_xll.BQL("NOW US Equity", "IS_INC_TAX_EXP/1M", "FPR=2021Y", "FPT=A", "FA_ACT_EST_DATA=E, EST_SOURCE=CRC", "ACT_EST_MAPPING=PRECISE", "FS=MRC", "CURRENCY=USD", "XLFILL=b")</f>
        <v>#N/A Requesting Data...</v>
      </c>
      <c r="AW128" s="6" t="str">
        <f>_xll.BQL("NOW US Equity", "IS_INC_TAX_EXP/1M", "FPR=2021Y", "FPT=A", "FA_ACT_EST_DATA=E, EST_SOURCE=SCB", "ACT_EST_MAPPING=PRECISE", "FS=MRC", "CURRENCY=USD", "XLFILL=b")</f>
        <v>#N/A Requesting Data...</v>
      </c>
    </row>
    <row r="129" spans="1:49" x14ac:dyDescent="0.55000000000000004">
      <c r="A129" s="5" t="s">
        <v>207</v>
      </c>
      <c r="B129" s="2" t="s">
        <v>208</v>
      </c>
      <c r="C129" s="2" t="s">
        <v>209</v>
      </c>
      <c r="D129" s="2"/>
      <c r="E129" s="6" t="str">
        <f>_xll.BQL("NOW US Equity", "EFF_TAX_RATE", "FPR=2021Y", "FPT=A", "FA_ACT_EST_DATA=E", "ACT_EST_MAPPING=PRECISE", "FS=MRC", "CURRENCY=USD", "XLFILL=b")</f>
        <v>#N/A Requesting Data...</v>
      </c>
      <c r="F129" s="6" t="str">
        <f>_xll.BQL("NOW US Equity", "CONTRIBUTOR_STATS(EFF_TAX_RATE, MIN)", "FPR=2021Y", "FPT=A", "FA_ACT_EST_DATA=E", "ACT_EST_MAPPING=PRECISE", "FS=MRC", "CURRENCY=USD", "XLFILL=b")</f>
        <v>#N/A Requesting Data...</v>
      </c>
      <c r="G129" s="6" t="str">
        <f>_xll.BQL("NOW US Equity", "CONTRIBUTOR_STATS(EFF_TAX_RATE, MAX)", "FPR=2021Y", "FPT=A", "FA_ACT_EST_DATA=E", "ACT_EST_MAPPING=PRECISE", "FS=MRC", "CURRENCY=USD", "XLFILL=b")</f>
        <v>#N/A Requesting Data...</v>
      </c>
      <c r="H129" s="6">
        <f>_xll.BQL("NOW US Equity", "CONTRIBUTOR_STATS(EFF_TAX_RATE, STD)", "FPR=2021Y", "FPT=A", "FA_ACT_EST_DATA=E", "ACT_EST_MAPPING=PRECISE", "FS=MRC", "CURRENCY=USD", "XLFILL=b")</f>
        <v>5.6547086618920996</v>
      </c>
      <c r="I129" s="6" t="str">
        <f>_xll.BQL("NOW US Equity", "CONTRIBUTOR_STATS(EFF_TAX_RATE, MEDIAN)", "FPR=2021Y", "FPT=A", "FA_ACT_EST_DATA=E", "ACT_EST_MAPPING=PRECISE", "FS=MRC", "CURRENCY=USD", "XLFILL=b")</f>
        <v>#N/A Requesting Data...</v>
      </c>
      <c r="J129" s="6" t="str">
        <f>_xll.BQL("NOW US Equity", "EFF_TAX_RATE", "FPR=2021Y", "FPT=A", "FA_ACT_EST_DATA=E, EST_SOURCE=CMPY", "ACT_EST_MAPPING=PRECISE", "FS=MRC", "CURRENCY=USD", "XLFILL=b")</f>
        <v>#N/A Requesting Data...</v>
      </c>
      <c r="K129" s="6" t="str">
        <f>_xll.BQL("NOW US Equity", "EFF_TAX_RATE", "FPR=2021Y", "FPT=A", "FA_ACT_EST_DATA=E, EST_SOURCE=JPM", "ACT_EST_MAPPING=PRECISE", "FS=MRC", "CURRENCY=USD", "XLFILL=b")</f>
        <v>#N/A Requesting Data...</v>
      </c>
      <c r="L129" s="6" t="str">
        <f>_xll.BQL("NOW US Equity", "EFF_TAX_RATE", "FPR=2021Y", "FPT=A", "FA_ACT_EST_DATA=E, EST_SOURCE=WBL", "ACT_EST_MAPPING=PRECISE", "FS=MRC", "CURRENCY=USD", "XLFILL=b")</f>
        <v>#N/A Requesting Data...</v>
      </c>
      <c r="M129" s="6" t="str">
        <f>_xll.BQL("NOW US Equity", "EFF_TAX_RATE", "FPR=2021Y", "FPT=A", "FA_ACT_EST_DATA=E, EST_SOURCE=KEY", "ACT_EST_MAPPING=PRECISE", "FS=MRC", "CURRENCY=USD", "XLFILL=b")</f>
        <v>#N/A Requesting Data...</v>
      </c>
      <c r="N129" s="6" t="str">
        <f>_xll.BQL("NOW US Equity", "EFF_TAX_RATE", "FPR=2021Y", "FPT=A", "FA_ACT_EST_DATA=E, EST_SOURCE=BMO", "ACT_EST_MAPPING=PRECISE", "FS=MRC", "CURRENCY=USD", "XLFILL=b")</f>
        <v>#N/A Requesting Data...</v>
      </c>
      <c r="O129" s="6" t="str">
        <f>_xll.BQL("NOW US Equity", "EFF_TAX_RATE", "FPR=2021Y", "FPT=A", "FA_ACT_EST_DATA=E, EST_SOURCE=OPY", "ACT_EST_MAPPING=PRECISE", "FS=MRC", "CURRENCY=USD", "XLFILL=b")</f>
        <v>#N/A Requesting Data...</v>
      </c>
      <c r="P129" s="6" t="str">
        <f>_xll.BQL("NOW US Equity", "EFF_TAX_RATE", "FPR=2021Y", "FPT=A", "FA_ACT_EST_DATA=E, EST_SOURCE=BCA", "ACT_EST_MAPPING=PRECISE", "FS=MRC", "CURRENCY=USD", "XLFILL=b")</f>
        <v>#N/A Requesting Data...</v>
      </c>
      <c r="Q129" s="6" t="str">
        <f>_xll.BQL("NOW US Equity", "EFF_TAX_RATE", "FPR=2021Y", "FPT=A", "FA_ACT_EST_DATA=E, EST_SOURCE=RHR", "ACT_EST_MAPPING=PRECISE", "FS=MRC", "CURRENCY=USD", "XLFILL=b")</f>
        <v>#N/A Requesting Data...</v>
      </c>
      <c r="R129" s="6" t="str">
        <f>_xll.BQL("NOW US Equity", "EFF_TAX_RATE", "FPR=2021Y", "FPT=A", "FA_ACT_EST_DATA=E, EST_SOURCE=SNR", "ACT_EST_MAPPING=PRECISE", "FS=MRC", "CURRENCY=USD", "XLFILL=b")</f>
        <v>#N/A Requesting Data...</v>
      </c>
      <c r="S129" s="6" t="str">
        <f>_xll.BQL("NOW US Equity", "EFF_TAX_RATE", "FPR=2021Y", "FPT=A", "FA_ACT_EST_DATA=E, EST_SOURCE=MSV", "ACT_EST_MAPPING=PRECISE", "FS=MRC", "CURRENCY=USD", "XLFILL=b")</f>
        <v>#N/A Requesting Data...</v>
      </c>
      <c r="T129" s="6" t="str">
        <f>_xll.BQL("NOW US Equity", "EFF_TAX_RATE", "FPR=2021Y", "FPT=A", "FA_ACT_EST_DATA=E, EST_SOURCE=CAN", "ACT_EST_MAPPING=PRECISE", "FS=MRC", "CURRENCY=USD", "XLFILL=b")</f>
        <v>#N/A Requesting Data...</v>
      </c>
      <c r="U129" s="6" t="str">
        <f>_xll.BQL("NOW US Equity", "EFF_TAX_RATE", "FPR=2021Y", "FPT=A", "FA_ACT_EST_DATA=E, EST_SOURCE=JMP", "ACT_EST_MAPPING=PRECISE", "FS=MRC", "CURRENCY=USD", "XLFILL=b")</f>
        <v>#N/A Requesting Data...</v>
      </c>
      <c r="V129" s="6" t="str">
        <f>_xll.BQL("NOW US Equity", "EFF_TAX_RATE", "FPR=2021Y", "FPT=A", "FA_ACT_EST_DATA=E, EST_SOURCE=NDH", "ACT_EST_MAPPING=PRECISE", "FS=MRC", "CURRENCY=USD", "XLFILL=b")</f>
        <v>#N/A Requesting Data...</v>
      </c>
      <c r="W129" s="6" t="str">
        <f>_xll.BQL("NOW US Equity", "EFF_TAX_RATE", "FPR=2021Y", "FPT=A", "FA_ACT_EST_DATA=E, EST_SOURCE=ZXS", "ACT_EST_MAPPING=PRECISE", "FS=MRC", "CURRENCY=USD", "XLFILL=b")</f>
        <v>#N/A Requesting Data...</v>
      </c>
      <c r="X129" s="6" t="str">
        <f>_xll.BQL("NOW US Equity", "EFF_TAX_RATE", "FPR=2021Y", "FPT=A", "FA_ACT_EST_DATA=E, EST_SOURCE=CWN", "ACT_EST_MAPPING=PRECISE", "FS=MRC", "CURRENCY=USD", "XLFILL=b")</f>
        <v>#N/A Requesting Data...</v>
      </c>
      <c r="Y129" s="6" t="str">
        <f>_xll.BQL("NOW US Equity", "EFF_TAX_RATE", "FPR=2021Y", "FPT=A", "FA_ACT_EST_DATA=E, EST_SOURCE=DBG", "ACT_EST_MAPPING=PRECISE", "FS=MRC", "CURRENCY=USD", "XLFILL=b")</f>
        <v>#N/A Requesting Data...</v>
      </c>
      <c r="Z129" s="6" t="str">
        <f>_xll.BQL("NOW US Equity", "EFF_TAX_RATE", "FPR=2021Y", "FPT=A", "FA_ACT_EST_DATA=E, EST_SOURCE=UBS", "ACT_EST_MAPPING=PRECISE", "FS=MRC", "CURRENCY=USD", "XLFILL=b")</f>
        <v>#N/A Requesting Data...</v>
      </c>
      <c r="AA129" s="6" t="str">
        <f>_xll.BQL("NOW US Equity", "EFF_TAX_RATE", "FPR=2021Y", "FPT=A", "FA_ACT_EST_DATA=E, EST_SOURCE=RBC", "ACT_EST_MAPPING=PRECISE", "FS=MRC", "CURRENCY=USD", "XLFILL=b")</f>
        <v>#N/A Requesting Data...</v>
      </c>
      <c r="AB129" s="6" t="str">
        <f>_xll.BQL("NOW US Equity", "EFF_TAX_RATE", "FPR=2021Y", "FPT=A", "FA_ACT_EST_DATA=E, EST_SOURCE=EVR", "ACT_EST_MAPPING=PRECISE", "FS=MRC", "CURRENCY=USD", "XLFILL=b")</f>
        <v>#N/A Requesting Data...</v>
      </c>
      <c r="AC129" s="6" t="str">
        <f>_xll.BQL("NOW US Equity", "EFF_TAX_RATE", "FPR=2021Y", "FPT=A", "FA_ACT_EST_DATA=E, EST_SOURCE=BNS", "ACT_EST_MAPPING=PRECISE", "FS=MRC", "CURRENCY=USD", "XLFILL=b")</f>
        <v>#N/A Requesting Data...</v>
      </c>
      <c r="AD129" s="6" t="str">
        <f>_xll.BQL("NOW US Equity", "EFF_TAX_RATE", "FPR=2021Y", "FPT=A", "FA_ACT_EST_DATA=E, EST_SOURCE=BAM", "ACT_EST_MAPPING=PRECISE", "FS=MRC", "CURRENCY=USD", "XLFILL=b")</f>
        <v>#N/A Requesting Data...</v>
      </c>
      <c r="AE129" s="6" t="str">
        <f>_xll.BQL("NOW US Equity", "EFF_TAX_RATE", "FPR=2021Y", "FPT=A", "FA_ACT_EST_DATA=E, EST_SOURCE=GSR", "ACT_EST_MAPPING=PRECISE", "FS=MRC", "CURRENCY=USD", "XLFILL=b")</f>
        <v>#N/A Requesting Data...</v>
      </c>
      <c r="AF129" s="6" t="str">
        <f>_xll.BQL("NOW US Equity", "EFF_TAX_RATE", "FPR=2021Y", "FPT=A", "FA_ACT_EST_DATA=E, EST_SOURCE=FBC", "ACT_EST_MAPPING=PRECISE", "FS=MRC", "CURRENCY=USD", "XLFILL=b")</f>
        <v>#N/A Requesting Data...</v>
      </c>
      <c r="AG129" s="6" t="str">
        <f>_xll.BQL("NOW US Equity", "EFF_TAX_RATE", "FPR=2021Y", "FPT=A", "FA_ACT_EST_DATA=E, EST_SOURCE=MAC", "ACT_EST_MAPPING=PRECISE", "FS=MRC", "CURRENCY=USD", "XLFILL=b")</f>
        <v>#N/A Requesting Data...</v>
      </c>
      <c r="AH129" s="6" t="str">
        <f>_xll.BQL("NOW US Equity", "EFF_TAX_RATE", "FPR=2021Y", "FPT=A", "FA_ACT_EST_DATA=E, EST_SOURCE=PSG", "ACT_EST_MAPPING=PRECISE", "FS=MRC", "CURRENCY=USD", "XLFILL=b")</f>
        <v>#N/A Requesting Data...</v>
      </c>
      <c r="AI129" s="6" t="str">
        <f>_xll.BQL("NOW US Equity", "EFF_TAX_RATE", "FPR=2021Y", "FPT=A", "FA_ACT_EST_DATA=E, EST_SOURCE=MSR", "ACT_EST_MAPPING=PRECISE", "FS=MRC", "CURRENCY=USD", "XLFILL=b")</f>
        <v>#N/A Requesting Data...</v>
      </c>
      <c r="AJ129" s="6" t="str">
        <f>_xll.BQL("NOW US Equity", "EFF_TAX_RATE", "FPR=2021Y", "FPT=A", "FA_ACT_EST_DATA=E, EST_SOURCE=JEF", "ACT_EST_MAPPING=PRECISE", "FS=MRC", "CURRENCY=USD", "XLFILL=b")</f>
        <v>#N/A Requesting Data...</v>
      </c>
      <c r="AK129" s="6" t="str">
        <f>_xll.BQL("NOW US Equity", "EFF_TAX_RATE", "FPR=2021Y", "FPT=A", "FA_ACT_EST_DATA=E, EST_SOURCE=TTC", "ACT_EST_MAPPING=PRECISE", "FS=MRC", "CURRENCY=USD", "XLFILL=b")</f>
        <v>#N/A Requesting Data...</v>
      </c>
      <c r="AL129" s="6" t="str">
        <f>_xll.BQL("NOW US Equity", "EFF_TAX_RATE", "FPR=2021Y", "FPT=A", "FA_ACT_EST_DATA=E, EST_SOURCE=RWB", "ACT_EST_MAPPING=PRECISE", "FS=MRC", "CURRENCY=USD", "XLFILL=b")</f>
        <v>#N/A Requesting Data...</v>
      </c>
      <c r="AM129" s="6" t="str">
        <f>_xll.BQL("NOW US Equity", "EFF_TAX_RATE", "FPR=2021Y", "FPT=A", "FA_ACT_EST_DATA=E, EST_SOURCE=DZB", "ACT_EST_MAPPING=PRECISE", "FS=MRC", "CURRENCY=USD", "XLFILL=b")</f>
        <v>#N/A Requesting Data...</v>
      </c>
      <c r="AN129" s="6" t="str">
        <f>_xll.BQL("NOW US Equity", "EFF_TAX_RATE", "FPR=2021Y", "FPT=A", "FA_ACT_EST_DATA=E, EST_SOURCE=DWI", "ACT_EST_MAPPING=PRECISE", "FS=MRC", "CURRENCY=USD", "XLFILL=b")</f>
        <v>#N/A Requesting Data...</v>
      </c>
      <c r="AO129" s="6" t="str">
        <f>_xll.BQL("NOW US Equity", "EFF_TAX_RATE", "FPR=2021Y", "FPT=A", "FA_ACT_EST_DATA=E, EST_SOURCE=ARG", "ACT_EST_MAPPING=PRECISE", "FS=MRC", "CURRENCY=USD", "XLFILL=b")</f>
        <v>#N/A Requesting Data...</v>
      </c>
      <c r="AP129" s="6" t="str">
        <f>_xll.BQL("NOW US Equity", "EFF_TAX_RATE", "FPR=2021Y", "FPT=A", "FA_ACT_EST_DATA=E, EST_SOURCE=CTI", "ACT_EST_MAPPING=PRECISE", "FS=MRC", "CURRENCY=USD", "XLFILL=b")</f>
        <v>#N/A Requesting Data...</v>
      </c>
      <c r="AQ129" s="6" t="str">
        <f>_xll.BQL("NOW US Equity", "EFF_TAX_RATE", "FPR=2021Y", "FPT=A", "FA_ACT_EST_DATA=E, EST_SOURCE=WFT", "ACT_EST_MAPPING=PRECISE", "FS=MRC", "CURRENCY=USD", "XLFILL=b")</f>
        <v>#N/A Requesting Data...</v>
      </c>
      <c r="AR129" s="6" t="str">
        <f>_xll.BQL("NOW US Equity", "EFF_TAX_RATE", "FPR=2021Y", "FPT=A", "FA_ACT_EST_DATA=E, EST_SOURCE=ARE", "ACT_EST_MAPPING=PRECISE", "FS=MRC", "CURRENCY=USD", "XLFILL=b")</f>
        <v>#N/A Requesting Data...</v>
      </c>
      <c r="AS129" s="6" t="str">
        <f>_xll.BQL("NOW US Equity", "EFF_TAX_RATE", "FPR=2021Y", "FPT=A", "FA_ACT_EST_DATA=E, EST_SOURCE=PJE", "ACT_EST_MAPPING=PRECISE", "FS=MRC", "CURRENCY=USD", "XLFILL=b")</f>
        <v>#N/A Requesting Data...</v>
      </c>
      <c r="AT129" s="6" t="str">
        <f>_xll.BQL("NOW US Equity", "EFF_TAX_RATE", "FPR=2021Y", "FPT=A", "FA_ACT_EST_DATA=E, EST_SOURCE=MZS", "ACT_EST_MAPPING=PRECISE", "FS=MRC", "CURRENCY=USD", "XLFILL=b")</f>
        <v>#N/A Requesting Data...</v>
      </c>
      <c r="AU129" s="6" t="str">
        <f>_xll.BQL("NOW US Equity", "EFF_TAX_RATE", "FPR=2021Y", "FPT=A", "FA_ACT_EST_DATA=E, EST_SOURCE=SUM", "ACT_EST_MAPPING=PRECISE", "FS=MRC", "CURRENCY=USD", "XLFILL=b")</f>
        <v>#N/A Requesting Data...</v>
      </c>
      <c r="AV129" s="6" t="str">
        <f>_xll.BQL("NOW US Equity", "EFF_TAX_RATE", "FPR=2021Y", "FPT=A", "FA_ACT_EST_DATA=E, EST_SOURCE=CRC", "ACT_EST_MAPPING=PRECISE", "FS=MRC", "CURRENCY=USD", "XLFILL=b")</f>
        <v>#N/A Requesting Data...</v>
      </c>
      <c r="AW129" s="6" t="str">
        <f>_xll.BQL("NOW US Equity", "EFF_TAX_RATE", "FPR=2021Y", "FPT=A", "FA_ACT_EST_DATA=E, EST_SOURCE=SCB", "ACT_EST_MAPPING=PRECISE", "FS=MRC", "CURRENCY=USD", "XLFILL=b")</f>
        <v>#N/A Requesting Data...</v>
      </c>
    </row>
    <row r="130" spans="1:49" x14ac:dyDescent="0.55000000000000004">
      <c r="A130" s="5" t="s">
        <v>210</v>
      </c>
      <c r="B130" s="2" t="s">
        <v>211</v>
      </c>
      <c r="C130" s="2" t="s">
        <v>161</v>
      </c>
      <c r="D130" s="2"/>
      <c r="E130" s="6" t="str">
        <f>_xll.BQL("NOW US Equity", "IS_COMP_NET_INCOME_GAAP/1M", "FPR=2021Y", "FPT=A", "FA_ACT_EST_DATA=E", "ACT_EST_MAPPING=PRECISE", "FS=MRC", "CURRENCY=USD", "XLFILL=b")</f>
        <v>#N/A Requesting Data...</v>
      </c>
      <c r="F130" s="6" t="str">
        <f>_xll.BQL("NOW US Equity", "CONTRIBUTOR_STATS(IS_COMP_NET_INCOME_GAAP, MIN)/1M", "FPR=2021Y", "FPT=A", "FA_ACT_EST_DATA=E", "ACT_EST_MAPPING=PRECISE", "FS=MRC", "CURRENCY=USD", "XLFILL=b")</f>
        <v>#N/A Requesting Data...</v>
      </c>
      <c r="G130" s="6" t="str">
        <f>_xll.BQL("NOW US Equity", "CONTRIBUTOR_STATS(IS_COMP_NET_INCOME_GAAP, MAX)/1M", "FPR=2021Y", "FPT=A", "FA_ACT_EST_DATA=E", "ACT_EST_MAPPING=PRECISE", "FS=MRC", "CURRENCY=USD", "XLFILL=b")</f>
        <v>#N/A Requesting Data...</v>
      </c>
      <c r="H130" s="6" t="str">
        <f>_xll.BQL("NOW US Equity", "CONTRIBUTOR_STATS(IS_COMP_NET_INCOME_GAAP, STD)/1M", "FPR=2021Y", "FPT=A", "FA_ACT_EST_DATA=E", "ACT_EST_MAPPING=PRECISE", "FS=MRC", "CURRENCY=USD", "XLFILL=b")</f>
        <v>#N/A Requesting Data...</v>
      </c>
      <c r="I130" s="6" t="str">
        <f>_xll.BQL("NOW US Equity", "CONTRIBUTOR_STATS(IS_COMP_NET_INCOME_GAAP, MEDIAN)/1M", "FPR=2021Y", "FPT=A", "FA_ACT_EST_DATA=E", "ACT_EST_MAPPING=PRECISE", "FS=MRC", "CURRENCY=USD", "XLFILL=b")</f>
        <v>#N/A Requesting Data...</v>
      </c>
      <c r="J130" s="6" t="str">
        <f>_xll.BQL("NOW US Equity", "IS_COMP_NET_INCOME_GAAP/1M", "FPR=2021Y", "FPT=A", "FA_ACT_EST_DATA=E, EST_SOURCE=CMPY", "ACT_EST_MAPPING=PRECISE", "FS=MRC", "CURRENCY=USD", "XLFILL=b")</f>
        <v>#N/A Requesting Data...</v>
      </c>
      <c r="K130" s="6" t="str">
        <f>_xll.BQL("NOW US Equity", "IS_COMP_NET_INCOME_GAAP/1M", "FPR=2021Y", "FPT=A", "FA_ACT_EST_DATA=E, EST_SOURCE=JPM", "ACT_EST_MAPPING=PRECISE", "FS=MRC", "CURRENCY=USD", "XLFILL=b")</f>
        <v>#N/A Requesting Data...</v>
      </c>
      <c r="L130" s="6" t="str">
        <f>_xll.BQL("NOW US Equity", "IS_COMP_NET_INCOME_GAAP/1M", "FPR=2021Y", "FPT=A", "FA_ACT_EST_DATA=E, EST_SOURCE=WBL", "ACT_EST_MAPPING=PRECISE", "FS=MRC", "CURRENCY=USD", "XLFILL=b")</f>
        <v>#N/A Requesting Data...</v>
      </c>
      <c r="M130" s="6" t="str">
        <f>_xll.BQL("NOW US Equity", "IS_COMP_NET_INCOME_GAAP/1M", "FPR=2021Y", "FPT=A", "FA_ACT_EST_DATA=E, EST_SOURCE=KEY", "ACT_EST_MAPPING=PRECISE", "FS=MRC", "CURRENCY=USD", "XLFILL=b")</f>
        <v>#N/A Requesting Data...</v>
      </c>
      <c r="N130" s="6" t="str">
        <f>_xll.BQL("NOW US Equity", "IS_COMP_NET_INCOME_GAAP/1M", "FPR=2021Y", "FPT=A", "FA_ACT_EST_DATA=E, EST_SOURCE=BMO", "ACT_EST_MAPPING=PRECISE", "FS=MRC", "CURRENCY=USD", "XLFILL=b")</f>
        <v>#N/A Requesting Data...</v>
      </c>
      <c r="O130" s="6" t="str">
        <f>_xll.BQL("NOW US Equity", "IS_COMP_NET_INCOME_GAAP/1M", "FPR=2021Y", "FPT=A", "FA_ACT_EST_DATA=E, EST_SOURCE=OPY", "ACT_EST_MAPPING=PRECISE", "FS=MRC", "CURRENCY=USD", "XLFILL=b")</f>
        <v>#N/A Requesting Data...</v>
      </c>
      <c r="P130" s="6" t="str">
        <f>_xll.BQL("NOW US Equity", "IS_COMP_NET_INCOME_GAAP/1M", "FPR=2021Y", "FPT=A", "FA_ACT_EST_DATA=E, EST_SOURCE=BCA", "ACT_EST_MAPPING=PRECISE", "FS=MRC", "CURRENCY=USD", "XLFILL=b")</f>
        <v>#N/A Requesting Data...</v>
      </c>
      <c r="Q130" s="6" t="str">
        <f>_xll.BQL("NOW US Equity", "IS_COMP_NET_INCOME_GAAP/1M", "FPR=2021Y", "FPT=A", "FA_ACT_EST_DATA=E, EST_SOURCE=RHR", "ACT_EST_MAPPING=PRECISE", "FS=MRC", "CURRENCY=USD", "XLFILL=b")</f>
        <v>#N/A Requesting Data...</v>
      </c>
      <c r="R130" s="6" t="str">
        <f>_xll.BQL("NOW US Equity", "IS_COMP_NET_INCOME_GAAP/1M", "FPR=2021Y", "FPT=A", "FA_ACT_EST_DATA=E, EST_SOURCE=SNR", "ACT_EST_MAPPING=PRECISE", "FS=MRC", "CURRENCY=USD", "XLFILL=b")</f>
        <v>#N/A Requesting Data...</v>
      </c>
      <c r="S130" s="6" t="str">
        <f>_xll.BQL("NOW US Equity", "IS_COMP_NET_INCOME_GAAP/1M", "FPR=2021Y", "FPT=A", "FA_ACT_EST_DATA=E, EST_SOURCE=MSV", "ACT_EST_MAPPING=PRECISE", "FS=MRC", "CURRENCY=USD", "XLFILL=b")</f>
        <v>#N/A Requesting Data...</v>
      </c>
      <c r="T130" s="6" t="str">
        <f>_xll.BQL("NOW US Equity", "IS_COMP_NET_INCOME_GAAP/1M", "FPR=2021Y", "FPT=A", "FA_ACT_EST_DATA=E, EST_SOURCE=CAN", "ACT_EST_MAPPING=PRECISE", "FS=MRC", "CURRENCY=USD", "XLFILL=b")</f>
        <v>#N/A Requesting Data...</v>
      </c>
      <c r="U130" s="6" t="str">
        <f>_xll.BQL("NOW US Equity", "IS_COMP_NET_INCOME_GAAP/1M", "FPR=2021Y", "FPT=A", "FA_ACT_EST_DATA=E, EST_SOURCE=JMP", "ACT_EST_MAPPING=PRECISE", "FS=MRC", "CURRENCY=USD", "XLFILL=b")</f>
        <v>#N/A Requesting Data...</v>
      </c>
      <c r="V130" s="6" t="str">
        <f>_xll.BQL("NOW US Equity", "IS_COMP_NET_INCOME_GAAP/1M", "FPR=2021Y", "FPT=A", "FA_ACT_EST_DATA=E, EST_SOURCE=NDH", "ACT_EST_MAPPING=PRECISE", "FS=MRC", "CURRENCY=USD", "XLFILL=b")</f>
        <v>#N/A Requesting Data...</v>
      </c>
      <c r="W130" s="6" t="str">
        <f>_xll.BQL("NOW US Equity", "IS_COMP_NET_INCOME_GAAP/1M", "FPR=2021Y", "FPT=A", "FA_ACT_EST_DATA=E, EST_SOURCE=ZXS", "ACT_EST_MAPPING=PRECISE", "FS=MRC", "CURRENCY=USD", "XLFILL=b")</f>
        <v>#N/A Requesting Data...</v>
      </c>
      <c r="X130" s="6" t="str">
        <f>_xll.BQL("NOW US Equity", "IS_COMP_NET_INCOME_GAAP/1M", "FPR=2021Y", "FPT=A", "FA_ACT_EST_DATA=E, EST_SOURCE=CWN", "ACT_EST_MAPPING=PRECISE", "FS=MRC", "CURRENCY=USD", "XLFILL=b")</f>
        <v>#N/A Requesting Data...</v>
      </c>
      <c r="Y130" s="6" t="str">
        <f>_xll.BQL("NOW US Equity", "IS_COMP_NET_INCOME_GAAP/1M", "FPR=2021Y", "FPT=A", "FA_ACT_EST_DATA=E, EST_SOURCE=DBG", "ACT_EST_MAPPING=PRECISE", "FS=MRC", "CURRENCY=USD", "XLFILL=b")</f>
        <v>#N/A Requesting Data...</v>
      </c>
      <c r="Z130" s="6" t="str">
        <f>_xll.BQL("NOW US Equity", "IS_COMP_NET_INCOME_GAAP/1M", "FPR=2021Y", "FPT=A", "FA_ACT_EST_DATA=E, EST_SOURCE=UBS", "ACT_EST_MAPPING=PRECISE", "FS=MRC", "CURRENCY=USD", "XLFILL=b")</f>
        <v>#N/A Requesting Data...</v>
      </c>
      <c r="AA130" s="6" t="str">
        <f>_xll.BQL("NOW US Equity", "IS_COMP_NET_INCOME_GAAP/1M", "FPR=2021Y", "FPT=A", "FA_ACT_EST_DATA=E, EST_SOURCE=RBC", "ACT_EST_MAPPING=PRECISE", "FS=MRC", "CURRENCY=USD", "XLFILL=b")</f>
        <v>#N/A Requesting Data...</v>
      </c>
      <c r="AB130" s="6" t="str">
        <f>_xll.BQL("NOW US Equity", "IS_COMP_NET_INCOME_GAAP/1M", "FPR=2021Y", "FPT=A", "FA_ACT_EST_DATA=E, EST_SOURCE=EVR", "ACT_EST_MAPPING=PRECISE", "FS=MRC", "CURRENCY=USD", "XLFILL=b")</f>
        <v>#N/A Requesting Data...</v>
      </c>
      <c r="AC130" s="6" t="str">
        <f>_xll.BQL("NOW US Equity", "IS_COMP_NET_INCOME_GAAP/1M", "FPR=2021Y", "FPT=A", "FA_ACT_EST_DATA=E, EST_SOURCE=BNS", "ACT_EST_MAPPING=PRECISE", "FS=MRC", "CURRENCY=USD", "XLFILL=b")</f>
        <v>#N/A Requesting Data...</v>
      </c>
      <c r="AD130" s="6" t="str">
        <f>_xll.BQL("NOW US Equity", "IS_COMP_NET_INCOME_GAAP/1M", "FPR=2021Y", "FPT=A", "FA_ACT_EST_DATA=E, EST_SOURCE=BAM", "ACT_EST_MAPPING=PRECISE", "FS=MRC", "CURRENCY=USD", "XLFILL=b")</f>
        <v>#N/A Requesting Data...</v>
      </c>
      <c r="AE130" s="6" t="str">
        <f>_xll.BQL("NOW US Equity", "IS_COMP_NET_INCOME_GAAP/1M", "FPR=2021Y", "FPT=A", "FA_ACT_EST_DATA=E, EST_SOURCE=GSR", "ACT_EST_MAPPING=PRECISE", "FS=MRC", "CURRENCY=USD", "XLFILL=b")</f>
        <v>#N/A Requesting Data...</v>
      </c>
      <c r="AF130" s="6" t="str">
        <f>_xll.BQL("NOW US Equity", "IS_COMP_NET_INCOME_GAAP/1M", "FPR=2021Y", "FPT=A", "FA_ACT_EST_DATA=E, EST_SOURCE=FBC", "ACT_EST_MAPPING=PRECISE", "FS=MRC", "CURRENCY=USD", "XLFILL=b")</f>
        <v>#N/A Requesting Data...</v>
      </c>
      <c r="AG130" s="6" t="str">
        <f>_xll.BQL("NOW US Equity", "IS_COMP_NET_INCOME_GAAP/1M", "FPR=2021Y", "FPT=A", "FA_ACT_EST_DATA=E, EST_SOURCE=MAC", "ACT_EST_MAPPING=PRECISE", "FS=MRC", "CURRENCY=USD", "XLFILL=b")</f>
        <v>#N/A Requesting Data...</v>
      </c>
      <c r="AH130" s="6" t="str">
        <f>_xll.BQL("NOW US Equity", "IS_COMP_NET_INCOME_GAAP/1M", "FPR=2021Y", "FPT=A", "FA_ACT_EST_DATA=E, EST_SOURCE=PSG", "ACT_EST_MAPPING=PRECISE", "FS=MRC", "CURRENCY=USD", "XLFILL=b")</f>
        <v>#N/A Requesting Data...</v>
      </c>
      <c r="AI130" s="6" t="str">
        <f>_xll.BQL("NOW US Equity", "IS_COMP_NET_INCOME_GAAP/1M", "FPR=2021Y", "FPT=A", "FA_ACT_EST_DATA=E, EST_SOURCE=MSR", "ACT_EST_MAPPING=PRECISE", "FS=MRC", "CURRENCY=USD", "XLFILL=b")</f>
        <v>#N/A Requesting Data...</v>
      </c>
      <c r="AJ130" s="6" t="str">
        <f>_xll.BQL("NOW US Equity", "IS_COMP_NET_INCOME_GAAP/1M", "FPR=2021Y", "FPT=A", "FA_ACT_EST_DATA=E, EST_SOURCE=JEF", "ACT_EST_MAPPING=PRECISE", "FS=MRC", "CURRENCY=USD", "XLFILL=b")</f>
        <v>#N/A Requesting Data...</v>
      </c>
      <c r="AK130" s="6" t="str">
        <f>_xll.BQL("NOW US Equity", "IS_COMP_NET_INCOME_GAAP/1M", "FPR=2021Y", "FPT=A", "FA_ACT_EST_DATA=E, EST_SOURCE=TTC", "ACT_EST_MAPPING=PRECISE", "FS=MRC", "CURRENCY=USD", "XLFILL=b")</f>
        <v>#N/A Requesting Data...</v>
      </c>
      <c r="AL130" s="6" t="str">
        <f>_xll.BQL("NOW US Equity", "IS_COMP_NET_INCOME_GAAP/1M", "FPR=2021Y", "FPT=A", "FA_ACT_EST_DATA=E, EST_SOURCE=RWB", "ACT_EST_MAPPING=PRECISE", "FS=MRC", "CURRENCY=USD", "XLFILL=b")</f>
        <v>#N/A Requesting Data...</v>
      </c>
      <c r="AM130" s="6" t="str">
        <f>_xll.BQL("NOW US Equity", "IS_COMP_NET_INCOME_GAAP/1M", "FPR=2021Y", "FPT=A", "FA_ACT_EST_DATA=E, EST_SOURCE=DZB", "ACT_EST_MAPPING=PRECISE", "FS=MRC", "CURRENCY=USD", "XLFILL=b")</f>
        <v>#N/A Requesting Data...</v>
      </c>
      <c r="AN130" s="6" t="str">
        <f>_xll.BQL("NOW US Equity", "IS_COMP_NET_INCOME_GAAP/1M", "FPR=2021Y", "FPT=A", "FA_ACT_EST_DATA=E, EST_SOURCE=DWI", "ACT_EST_MAPPING=PRECISE", "FS=MRC", "CURRENCY=USD", "XLFILL=b")</f>
        <v>#N/A Requesting Data...</v>
      </c>
      <c r="AO130" s="6" t="str">
        <f>_xll.BQL("NOW US Equity", "IS_COMP_NET_INCOME_GAAP/1M", "FPR=2021Y", "FPT=A", "FA_ACT_EST_DATA=E, EST_SOURCE=ARG", "ACT_EST_MAPPING=PRECISE", "FS=MRC", "CURRENCY=USD", "XLFILL=b")</f>
        <v>#N/A Requesting Data...</v>
      </c>
      <c r="AP130" s="6" t="str">
        <f>_xll.BQL("NOW US Equity", "IS_COMP_NET_INCOME_GAAP/1M", "FPR=2021Y", "FPT=A", "FA_ACT_EST_DATA=E, EST_SOURCE=CTI", "ACT_EST_MAPPING=PRECISE", "FS=MRC", "CURRENCY=USD", "XLFILL=b")</f>
        <v>#N/A Requesting Data...</v>
      </c>
      <c r="AQ130" s="6" t="str">
        <f>_xll.BQL("NOW US Equity", "IS_COMP_NET_INCOME_GAAP/1M", "FPR=2021Y", "FPT=A", "FA_ACT_EST_DATA=E, EST_SOURCE=WFT", "ACT_EST_MAPPING=PRECISE", "FS=MRC", "CURRENCY=USD", "XLFILL=b")</f>
        <v>#N/A Requesting Data...</v>
      </c>
      <c r="AR130" s="6" t="str">
        <f>_xll.BQL("NOW US Equity", "IS_COMP_NET_INCOME_GAAP/1M", "FPR=2021Y", "FPT=A", "FA_ACT_EST_DATA=E, EST_SOURCE=ARE", "ACT_EST_MAPPING=PRECISE", "FS=MRC", "CURRENCY=USD", "XLFILL=b")</f>
        <v>#N/A Requesting Data...</v>
      </c>
      <c r="AS130" s="6" t="str">
        <f>_xll.BQL("NOW US Equity", "IS_COMP_NET_INCOME_GAAP/1M", "FPR=2021Y", "FPT=A", "FA_ACT_EST_DATA=E, EST_SOURCE=PJE", "ACT_EST_MAPPING=PRECISE", "FS=MRC", "CURRENCY=USD", "XLFILL=b")</f>
        <v>#N/A Requesting Data...</v>
      </c>
      <c r="AT130" s="6" t="str">
        <f>_xll.BQL("NOW US Equity", "IS_COMP_NET_INCOME_GAAP/1M", "FPR=2021Y", "FPT=A", "FA_ACT_EST_DATA=E, EST_SOURCE=MZS", "ACT_EST_MAPPING=PRECISE", "FS=MRC", "CURRENCY=USD", "XLFILL=b")</f>
        <v>#N/A Requesting Data...</v>
      </c>
      <c r="AU130" s="6" t="str">
        <f>_xll.BQL("NOW US Equity", "IS_COMP_NET_INCOME_GAAP/1M", "FPR=2021Y", "FPT=A", "FA_ACT_EST_DATA=E, EST_SOURCE=SUM", "ACT_EST_MAPPING=PRECISE", "FS=MRC", "CURRENCY=USD", "XLFILL=b")</f>
        <v>#N/A Requesting Data...</v>
      </c>
      <c r="AV130" s="6" t="str">
        <f>_xll.BQL("NOW US Equity", "IS_COMP_NET_INCOME_GAAP/1M", "FPR=2021Y", "FPT=A", "FA_ACT_EST_DATA=E, EST_SOURCE=CRC", "ACT_EST_MAPPING=PRECISE", "FS=MRC", "CURRENCY=USD", "XLFILL=b")</f>
        <v>#N/A Requesting Data...</v>
      </c>
      <c r="AW130" s="6" t="str">
        <f>_xll.BQL("NOW US Equity", "IS_COMP_NET_INCOME_GAAP/1M", "FPR=2021Y", "FPT=A", "FA_ACT_EST_DATA=E, EST_SOURCE=SCB", "ACT_EST_MAPPING=PRECISE", "FS=MRC", "CURRENCY=USD", "XLFILL=b")</f>
        <v>#N/A Requesting Data...</v>
      </c>
    </row>
    <row r="131" spans="1:49" x14ac:dyDescent="0.55000000000000004">
      <c r="A131" s="5" t="s">
        <v>212</v>
      </c>
      <c r="B131" s="2" t="s">
        <v>213</v>
      </c>
      <c r="C131" s="2" t="s">
        <v>214</v>
      </c>
      <c r="D131" s="2"/>
      <c r="E131" s="6" t="str">
        <f>_xll.BQL("NOW US Equity", "IS_AVG_NUM_SH_FOR_EPS/1M", "FPR=2021Y", "FPT=A", "FA_ACT_EST_DATA=E", "ACT_EST_MAPPING=PRECISE", "FS=MRC", "CURRENCY=USD", "XLFILL=b")</f>
        <v>#N/A Requesting Data...</v>
      </c>
      <c r="F131" s="6" t="str">
        <f>_xll.BQL("NOW US Equity", "CONTRIBUTOR_STATS(IS_AVG_NUM_SH_FOR_EPS, MIN)/1M", "FPR=2021Y", "FPT=A", "FA_ACT_EST_DATA=E", "ACT_EST_MAPPING=PRECISE", "FS=MRC", "CURRENCY=USD", "XLFILL=b")</f>
        <v>#N/A Requesting Data...</v>
      </c>
      <c r="G131" s="6" t="str">
        <f>_xll.BQL("NOW US Equity", "CONTRIBUTOR_STATS(IS_AVG_NUM_SH_FOR_EPS, MAX)/1M", "FPR=2021Y", "FPT=A", "FA_ACT_EST_DATA=E", "ACT_EST_MAPPING=PRECISE", "FS=MRC", "CURRENCY=USD", "XLFILL=b")</f>
        <v>#N/A Requesting Data...</v>
      </c>
      <c r="H131" s="6" t="str">
        <f>_xll.BQL("NOW US Equity", "CONTRIBUTOR_STATS(IS_AVG_NUM_SH_FOR_EPS, STD)/1M", "FPR=2021Y", "FPT=A", "FA_ACT_EST_DATA=E", "ACT_EST_MAPPING=PRECISE", "FS=MRC", "CURRENCY=USD", "XLFILL=b")</f>
        <v>#N/A Requesting Data...</v>
      </c>
      <c r="I131" s="6" t="str">
        <f>_xll.BQL("NOW US Equity", "CONTRIBUTOR_STATS(IS_AVG_NUM_SH_FOR_EPS, MEDIAN)/1M", "FPR=2021Y", "FPT=A", "FA_ACT_EST_DATA=E", "ACT_EST_MAPPING=PRECISE", "FS=MRC", "CURRENCY=USD", "XLFILL=b")</f>
        <v>#N/A Requesting Data...</v>
      </c>
      <c r="J131" s="6" t="str">
        <f>_xll.BQL("NOW US Equity", "IS_AVG_NUM_SH_FOR_EPS/1M", "FPR=2021Y", "FPT=A", "FA_ACT_EST_DATA=E, EST_SOURCE=CMPY", "ACT_EST_MAPPING=PRECISE", "FS=MRC", "CURRENCY=USD", "XLFILL=b")</f>
        <v>#N/A Requesting Data...</v>
      </c>
      <c r="K131" s="6" t="str">
        <f>_xll.BQL("NOW US Equity", "IS_AVG_NUM_SH_FOR_EPS/1M", "FPR=2021Y", "FPT=A", "FA_ACT_EST_DATA=E, EST_SOURCE=JPM", "ACT_EST_MAPPING=PRECISE", "FS=MRC", "CURRENCY=USD", "XLFILL=b")</f>
        <v>#N/A Requesting Data...</v>
      </c>
      <c r="L131" s="6" t="str">
        <f>_xll.BQL("NOW US Equity", "IS_AVG_NUM_SH_FOR_EPS/1M", "FPR=2021Y", "FPT=A", "FA_ACT_EST_DATA=E, EST_SOURCE=WBL", "ACT_EST_MAPPING=PRECISE", "FS=MRC", "CURRENCY=USD", "XLFILL=b")</f>
        <v>#N/A Requesting Data...</v>
      </c>
      <c r="M131" s="6" t="str">
        <f>_xll.BQL("NOW US Equity", "IS_AVG_NUM_SH_FOR_EPS/1M", "FPR=2021Y", "FPT=A", "FA_ACT_EST_DATA=E, EST_SOURCE=KEY", "ACT_EST_MAPPING=PRECISE", "FS=MRC", "CURRENCY=USD", "XLFILL=b")</f>
        <v>#N/A Requesting Data...</v>
      </c>
      <c r="N131" s="6" t="str">
        <f>_xll.BQL("NOW US Equity", "IS_AVG_NUM_SH_FOR_EPS/1M", "FPR=2021Y", "FPT=A", "FA_ACT_EST_DATA=E, EST_SOURCE=BMO", "ACT_EST_MAPPING=PRECISE", "FS=MRC", "CURRENCY=USD", "XLFILL=b")</f>
        <v>#N/A Requesting Data...</v>
      </c>
      <c r="O131" s="6" t="str">
        <f>_xll.BQL("NOW US Equity", "IS_AVG_NUM_SH_FOR_EPS/1M", "FPR=2021Y", "FPT=A", "FA_ACT_EST_DATA=E, EST_SOURCE=OPY", "ACT_EST_MAPPING=PRECISE", "FS=MRC", "CURRENCY=USD", "XLFILL=b")</f>
        <v>#N/A Requesting Data...</v>
      </c>
      <c r="P131" s="6" t="str">
        <f>_xll.BQL("NOW US Equity", "IS_AVG_NUM_SH_FOR_EPS/1M", "FPR=2021Y", "FPT=A", "FA_ACT_EST_DATA=E, EST_SOURCE=BCA", "ACT_EST_MAPPING=PRECISE", "FS=MRC", "CURRENCY=USD", "XLFILL=b")</f>
        <v>#N/A Requesting Data...</v>
      </c>
      <c r="Q131" s="6" t="str">
        <f>_xll.BQL("NOW US Equity", "IS_AVG_NUM_SH_FOR_EPS/1M", "FPR=2021Y", "FPT=A", "FA_ACT_EST_DATA=E, EST_SOURCE=RHR", "ACT_EST_MAPPING=PRECISE", "FS=MRC", "CURRENCY=USD", "XLFILL=b")</f>
        <v>#N/A Requesting Data...</v>
      </c>
      <c r="R131" s="6" t="str">
        <f>_xll.BQL("NOW US Equity", "IS_AVG_NUM_SH_FOR_EPS/1M", "FPR=2021Y", "FPT=A", "FA_ACT_EST_DATA=E, EST_SOURCE=SNR", "ACT_EST_MAPPING=PRECISE", "FS=MRC", "CURRENCY=USD", "XLFILL=b")</f>
        <v>#N/A Requesting Data...</v>
      </c>
      <c r="S131" s="6" t="str">
        <f>_xll.BQL("NOW US Equity", "IS_AVG_NUM_SH_FOR_EPS/1M", "FPR=2021Y", "FPT=A", "FA_ACT_EST_DATA=E, EST_SOURCE=MSV", "ACT_EST_MAPPING=PRECISE", "FS=MRC", "CURRENCY=USD", "XLFILL=b")</f>
        <v>#N/A Requesting Data...</v>
      </c>
      <c r="T131" s="6" t="str">
        <f>_xll.BQL("NOW US Equity", "IS_AVG_NUM_SH_FOR_EPS/1M", "FPR=2021Y", "FPT=A", "FA_ACT_EST_DATA=E, EST_SOURCE=CAN", "ACT_EST_MAPPING=PRECISE", "FS=MRC", "CURRENCY=USD", "XLFILL=b")</f>
        <v>#N/A Requesting Data...</v>
      </c>
      <c r="U131" s="6" t="str">
        <f>_xll.BQL("NOW US Equity", "IS_AVG_NUM_SH_FOR_EPS/1M", "FPR=2021Y", "FPT=A", "FA_ACT_EST_DATA=E, EST_SOURCE=JMP", "ACT_EST_MAPPING=PRECISE", "FS=MRC", "CURRENCY=USD", "XLFILL=b")</f>
        <v>#N/A Requesting Data...</v>
      </c>
      <c r="V131" s="6" t="str">
        <f>_xll.BQL("NOW US Equity", "IS_AVG_NUM_SH_FOR_EPS/1M", "FPR=2021Y", "FPT=A", "FA_ACT_EST_DATA=E, EST_SOURCE=NDH", "ACT_EST_MAPPING=PRECISE", "FS=MRC", "CURRENCY=USD", "XLFILL=b")</f>
        <v>#N/A Requesting Data...</v>
      </c>
      <c r="W131" s="6" t="str">
        <f>_xll.BQL("NOW US Equity", "IS_AVG_NUM_SH_FOR_EPS/1M", "FPR=2021Y", "FPT=A", "FA_ACT_EST_DATA=E, EST_SOURCE=ZXS", "ACT_EST_MAPPING=PRECISE", "FS=MRC", "CURRENCY=USD", "XLFILL=b")</f>
        <v>#N/A Requesting Data...</v>
      </c>
      <c r="X131" s="6" t="str">
        <f>_xll.BQL("NOW US Equity", "IS_AVG_NUM_SH_FOR_EPS/1M", "FPR=2021Y", "FPT=A", "FA_ACT_EST_DATA=E, EST_SOURCE=CWN", "ACT_EST_MAPPING=PRECISE", "FS=MRC", "CURRENCY=USD", "XLFILL=b")</f>
        <v>#N/A Requesting Data...</v>
      </c>
      <c r="Y131" s="6" t="str">
        <f>_xll.BQL("NOW US Equity", "IS_AVG_NUM_SH_FOR_EPS/1M", "FPR=2021Y", "FPT=A", "FA_ACT_EST_DATA=E, EST_SOURCE=DBG", "ACT_EST_MAPPING=PRECISE", "FS=MRC", "CURRENCY=USD", "XLFILL=b")</f>
        <v>#N/A Requesting Data...</v>
      </c>
      <c r="Z131" s="6" t="str">
        <f>_xll.BQL("NOW US Equity", "IS_AVG_NUM_SH_FOR_EPS/1M", "FPR=2021Y", "FPT=A", "FA_ACT_EST_DATA=E, EST_SOURCE=UBS", "ACT_EST_MAPPING=PRECISE", "FS=MRC", "CURRENCY=USD", "XLFILL=b")</f>
        <v>#N/A Requesting Data...</v>
      </c>
      <c r="AA131" s="6" t="str">
        <f>_xll.BQL("NOW US Equity", "IS_AVG_NUM_SH_FOR_EPS/1M", "FPR=2021Y", "FPT=A", "FA_ACT_EST_DATA=E, EST_SOURCE=RBC", "ACT_EST_MAPPING=PRECISE", "FS=MRC", "CURRENCY=USD", "XLFILL=b")</f>
        <v>#N/A Requesting Data...</v>
      </c>
      <c r="AB131" s="6" t="str">
        <f>_xll.BQL("NOW US Equity", "IS_AVG_NUM_SH_FOR_EPS/1M", "FPR=2021Y", "FPT=A", "FA_ACT_EST_DATA=E, EST_SOURCE=EVR", "ACT_EST_MAPPING=PRECISE", "FS=MRC", "CURRENCY=USD", "XLFILL=b")</f>
        <v>#N/A Requesting Data...</v>
      </c>
      <c r="AC131" s="6" t="str">
        <f>_xll.BQL("NOW US Equity", "IS_AVG_NUM_SH_FOR_EPS/1M", "FPR=2021Y", "FPT=A", "FA_ACT_EST_DATA=E, EST_SOURCE=BNS", "ACT_EST_MAPPING=PRECISE", "FS=MRC", "CURRENCY=USD", "XLFILL=b")</f>
        <v>#N/A Requesting Data...</v>
      </c>
      <c r="AD131" s="6" t="str">
        <f>_xll.BQL("NOW US Equity", "IS_AVG_NUM_SH_FOR_EPS/1M", "FPR=2021Y", "FPT=A", "FA_ACT_EST_DATA=E, EST_SOURCE=BAM", "ACT_EST_MAPPING=PRECISE", "FS=MRC", "CURRENCY=USD", "XLFILL=b")</f>
        <v>#N/A Requesting Data...</v>
      </c>
      <c r="AE131" s="6" t="str">
        <f>_xll.BQL("NOW US Equity", "IS_AVG_NUM_SH_FOR_EPS/1M", "FPR=2021Y", "FPT=A", "FA_ACT_EST_DATA=E, EST_SOURCE=GSR", "ACT_EST_MAPPING=PRECISE", "FS=MRC", "CURRENCY=USD", "XLFILL=b")</f>
        <v>#N/A Requesting Data...</v>
      </c>
      <c r="AF131" s="6" t="str">
        <f>_xll.BQL("NOW US Equity", "IS_AVG_NUM_SH_FOR_EPS/1M", "FPR=2021Y", "FPT=A", "FA_ACT_EST_DATA=E, EST_SOURCE=FBC", "ACT_EST_MAPPING=PRECISE", "FS=MRC", "CURRENCY=USD", "XLFILL=b")</f>
        <v>#N/A Requesting Data...</v>
      </c>
      <c r="AG131" s="6" t="str">
        <f>_xll.BQL("NOW US Equity", "IS_AVG_NUM_SH_FOR_EPS/1M", "FPR=2021Y", "FPT=A", "FA_ACT_EST_DATA=E, EST_SOURCE=MAC", "ACT_EST_MAPPING=PRECISE", "FS=MRC", "CURRENCY=USD", "XLFILL=b")</f>
        <v>#N/A Requesting Data...</v>
      </c>
      <c r="AH131" s="6" t="str">
        <f>_xll.BQL("NOW US Equity", "IS_AVG_NUM_SH_FOR_EPS/1M", "FPR=2021Y", "FPT=A", "FA_ACT_EST_DATA=E, EST_SOURCE=PSG", "ACT_EST_MAPPING=PRECISE", "FS=MRC", "CURRENCY=USD", "XLFILL=b")</f>
        <v>#N/A Requesting Data...</v>
      </c>
      <c r="AI131" s="6" t="str">
        <f>_xll.BQL("NOW US Equity", "IS_AVG_NUM_SH_FOR_EPS/1M", "FPR=2021Y", "FPT=A", "FA_ACT_EST_DATA=E, EST_SOURCE=MSR", "ACT_EST_MAPPING=PRECISE", "FS=MRC", "CURRENCY=USD", "XLFILL=b")</f>
        <v>#N/A Requesting Data...</v>
      </c>
      <c r="AJ131" s="6" t="str">
        <f>_xll.BQL("NOW US Equity", "IS_AVG_NUM_SH_FOR_EPS/1M", "FPR=2021Y", "FPT=A", "FA_ACT_EST_DATA=E, EST_SOURCE=JEF", "ACT_EST_MAPPING=PRECISE", "FS=MRC", "CURRENCY=USD", "XLFILL=b")</f>
        <v>#N/A Requesting Data...</v>
      </c>
      <c r="AK131" s="6" t="str">
        <f>_xll.BQL("NOW US Equity", "IS_AVG_NUM_SH_FOR_EPS/1M", "FPR=2021Y", "FPT=A", "FA_ACT_EST_DATA=E, EST_SOURCE=TTC", "ACT_EST_MAPPING=PRECISE", "FS=MRC", "CURRENCY=USD", "XLFILL=b")</f>
        <v>#N/A Requesting Data...</v>
      </c>
      <c r="AL131" s="6" t="str">
        <f>_xll.BQL("NOW US Equity", "IS_AVG_NUM_SH_FOR_EPS/1M", "FPR=2021Y", "FPT=A", "FA_ACT_EST_DATA=E, EST_SOURCE=RWB", "ACT_EST_MAPPING=PRECISE", "FS=MRC", "CURRENCY=USD", "XLFILL=b")</f>
        <v>#N/A Requesting Data...</v>
      </c>
      <c r="AM131" s="6" t="str">
        <f>_xll.BQL("NOW US Equity", "IS_AVG_NUM_SH_FOR_EPS/1M", "FPR=2021Y", "FPT=A", "FA_ACT_EST_DATA=E, EST_SOURCE=DZB", "ACT_EST_MAPPING=PRECISE", "FS=MRC", "CURRENCY=USD", "XLFILL=b")</f>
        <v>#N/A Requesting Data...</v>
      </c>
      <c r="AN131" s="6" t="str">
        <f>_xll.BQL("NOW US Equity", "IS_AVG_NUM_SH_FOR_EPS/1M", "FPR=2021Y", "FPT=A", "FA_ACT_EST_DATA=E, EST_SOURCE=DWI", "ACT_EST_MAPPING=PRECISE", "FS=MRC", "CURRENCY=USD", "XLFILL=b")</f>
        <v>#N/A Requesting Data...</v>
      </c>
      <c r="AO131" s="6" t="str">
        <f>_xll.BQL("NOW US Equity", "IS_AVG_NUM_SH_FOR_EPS/1M", "FPR=2021Y", "FPT=A", "FA_ACT_EST_DATA=E, EST_SOURCE=ARG", "ACT_EST_MAPPING=PRECISE", "FS=MRC", "CURRENCY=USD", "XLFILL=b")</f>
        <v>#N/A Requesting Data...</v>
      </c>
      <c r="AP131" s="6" t="str">
        <f>_xll.BQL("NOW US Equity", "IS_AVG_NUM_SH_FOR_EPS/1M", "FPR=2021Y", "FPT=A", "FA_ACT_EST_DATA=E, EST_SOURCE=CTI", "ACT_EST_MAPPING=PRECISE", "FS=MRC", "CURRENCY=USD", "XLFILL=b")</f>
        <v>#N/A Requesting Data...</v>
      </c>
      <c r="AQ131" s="6" t="str">
        <f>_xll.BQL("NOW US Equity", "IS_AVG_NUM_SH_FOR_EPS/1M", "FPR=2021Y", "FPT=A", "FA_ACT_EST_DATA=E, EST_SOURCE=WFT", "ACT_EST_MAPPING=PRECISE", "FS=MRC", "CURRENCY=USD", "XLFILL=b")</f>
        <v>#N/A Requesting Data...</v>
      </c>
      <c r="AR131" s="6" t="str">
        <f>_xll.BQL("NOW US Equity", "IS_AVG_NUM_SH_FOR_EPS/1M", "FPR=2021Y", "FPT=A", "FA_ACT_EST_DATA=E, EST_SOURCE=ARE", "ACT_EST_MAPPING=PRECISE", "FS=MRC", "CURRENCY=USD", "XLFILL=b")</f>
        <v>#N/A Requesting Data...</v>
      </c>
      <c r="AS131" s="6" t="str">
        <f>_xll.BQL("NOW US Equity", "IS_AVG_NUM_SH_FOR_EPS/1M", "FPR=2021Y", "FPT=A", "FA_ACT_EST_DATA=E, EST_SOURCE=PJE", "ACT_EST_MAPPING=PRECISE", "FS=MRC", "CURRENCY=USD", "XLFILL=b")</f>
        <v>#N/A Requesting Data...</v>
      </c>
      <c r="AT131" s="6" t="str">
        <f>_xll.BQL("NOW US Equity", "IS_AVG_NUM_SH_FOR_EPS/1M", "FPR=2021Y", "FPT=A", "FA_ACT_EST_DATA=E, EST_SOURCE=MZS", "ACT_EST_MAPPING=PRECISE", "FS=MRC", "CURRENCY=USD", "XLFILL=b")</f>
        <v>#N/A Requesting Data...</v>
      </c>
      <c r="AU131" s="6" t="str">
        <f>_xll.BQL("NOW US Equity", "IS_AVG_NUM_SH_FOR_EPS/1M", "FPR=2021Y", "FPT=A", "FA_ACT_EST_DATA=E, EST_SOURCE=SUM", "ACT_EST_MAPPING=PRECISE", "FS=MRC", "CURRENCY=USD", "XLFILL=b")</f>
        <v>#N/A Requesting Data...</v>
      </c>
      <c r="AV131" s="6" t="str">
        <f>_xll.BQL("NOW US Equity", "IS_AVG_NUM_SH_FOR_EPS/1M", "FPR=2021Y", "FPT=A", "FA_ACT_EST_DATA=E, EST_SOURCE=CRC", "ACT_EST_MAPPING=PRECISE", "FS=MRC", "CURRENCY=USD", "XLFILL=b")</f>
        <v>#N/A Requesting Data...</v>
      </c>
      <c r="AW131" s="6" t="str">
        <f>_xll.BQL("NOW US Equity", "IS_AVG_NUM_SH_FOR_EPS/1M", "FPR=2021Y", "FPT=A", "FA_ACT_EST_DATA=E, EST_SOURCE=SCB", "ACT_EST_MAPPING=PRECISE", "FS=MRC", "CURRENCY=USD", "XLFILL=b")</f>
        <v>#N/A Requesting Data...</v>
      </c>
    </row>
    <row r="132" spans="1:49" x14ac:dyDescent="0.55000000000000004">
      <c r="A132" s="5" t="s">
        <v>215</v>
      </c>
      <c r="B132" s="2" t="s">
        <v>216</v>
      </c>
      <c r="C132" s="2" t="s">
        <v>217</v>
      </c>
      <c r="D132" s="2"/>
      <c r="E132" s="6" t="str">
        <f>_xll.BQL("NOW US Equity", "CONT_INC_PER_SH", "FPR=2021Y", "FPT=A", "FA_ACT_EST_DATA=E", "ACT_EST_MAPPING=PRECISE", "FS=MRC", "CURRENCY=USD", "XLFILL=b")</f>
        <v>#N/A Requesting Data...</v>
      </c>
      <c r="F132" s="6" t="str">
        <f>_xll.BQL("NOW US Equity", "CONTRIBUTOR_STATS(CONT_INC_PER_SH, MIN)", "FPR=2021Y", "FPT=A", "FA_ACT_EST_DATA=E", "ACT_EST_MAPPING=PRECISE", "FS=MRC", "CURRENCY=USD", "XLFILL=b")</f>
        <v>#N/A Requesting Data...</v>
      </c>
      <c r="G132" s="6" t="str">
        <f>_xll.BQL("NOW US Equity", "CONTRIBUTOR_STATS(CONT_INC_PER_SH, MAX)", "FPR=2021Y", "FPT=A", "FA_ACT_EST_DATA=E", "ACT_EST_MAPPING=PRECISE", "FS=MRC", "CURRENCY=USD", "XLFILL=b")</f>
        <v>#N/A Requesting Data...</v>
      </c>
      <c r="H132" s="6" t="str">
        <f>_xll.BQL("NOW US Equity", "CONTRIBUTOR_STATS(CONT_INC_PER_SH, STD)", "FPR=2021Y", "FPT=A", "FA_ACT_EST_DATA=E", "ACT_EST_MAPPING=PRECISE", "FS=MRC", "CURRENCY=USD", "XLFILL=b")</f>
        <v>#N/A Requesting Data...</v>
      </c>
      <c r="I132" s="6" t="str">
        <f>_xll.BQL("NOW US Equity", "CONTRIBUTOR_STATS(CONT_INC_PER_SH, MEDIAN)", "FPR=2021Y", "FPT=A", "FA_ACT_EST_DATA=E", "ACT_EST_MAPPING=PRECISE", "FS=MRC", "CURRENCY=USD", "XLFILL=b")</f>
        <v>#N/A Requesting Data...</v>
      </c>
      <c r="J132" s="6" t="str">
        <f>_xll.BQL("NOW US Equity", "CONT_INC_PER_SH", "FPR=2021Y", "FPT=A", "FA_ACT_EST_DATA=E, EST_SOURCE=CMPY", "ACT_EST_MAPPING=PRECISE", "FS=MRC", "CURRENCY=USD", "XLFILL=b")</f>
        <v>#N/A Requesting Data...</v>
      </c>
      <c r="K132" s="6" t="str">
        <f>_xll.BQL("NOW US Equity", "CONT_INC_PER_SH", "FPR=2021Y", "FPT=A", "FA_ACT_EST_DATA=E, EST_SOURCE=JPM", "ACT_EST_MAPPING=PRECISE", "FS=MRC", "CURRENCY=USD", "XLFILL=b")</f>
        <v>#N/A Requesting Data...</v>
      </c>
      <c r="L132" s="6" t="str">
        <f>_xll.BQL("NOW US Equity", "CONT_INC_PER_SH", "FPR=2021Y", "FPT=A", "FA_ACT_EST_DATA=E, EST_SOURCE=WBL", "ACT_EST_MAPPING=PRECISE", "FS=MRC", "CURRENCY=USD", "XLFILL=b")</f>
        <v>#N/A Requesting Data...</v>
      </c>
      <c r="M132" s="6" t="str">
        <f>_xll.BQL("NOW US Equity", "CONT_INC_PER_SH", "FPR=2021Y", "FPT=A", "FA_ACT_EST_DATA=E, EST_SOURCE=KEY", "ACT_EST_MAPPING=PRECISE", "FS=MRC", "CURRENCY=USD", "XLFILL=b")</f>
        <v>#N/A Requesting Data...</v>
      </c>
      <c r="N132" s="6" t="str">
        <f>_xll.BQL("NOW US Equity", "CONT_INC_PER_SH", "FPR=2021Y", "FPT=A", "FA_ACT_EST_DATA=E, EST_SOURCE=BMO", "ACT_EST_MAPPING=PRECISE", "FS=MRC", "CURRENCY=USD", "XLFILL=b")</f>
        <v>#N/A Requesting Data...</v>
      </c>
      <c r="O132" s="6" t="str">
        <f>_xll.BQL("NOW US Equity", "CONT_INC_PER_SH", "FPR=2021Y", "FPT=A", "FA_ACT_EST_DATA=E, EST_SOURCE=OPY", "ACT_EST_MAPPING=PRECISE", "FS=MRC", "CURRENCY=USD", "XLFILL=b")</f>
        <v>#N/A Requesting Data...</v>
      </c>
      <c r="P132" s="6" t="str">
        <f>_xll.BQL("NOW US Equity", "CONT_INC_PER_SH", "FPR=2021Y", "FPT=A", "FA_ACT_EST_DATA=E, EST_SOURCE=BCA", "ACT_EST_MAPPING=PRECISE", "FS=MRC", "CURRENCY=USD", "XLFILL=b")</f>
        <v>#N/A Requesting Data...</v>
      </c>
      <c r="Q132" s="6" t="str">
        <f>_xll.BQL("NOW US Equity", "CONT_INC_PER_SH", "FPR=2021Y", "FPT=A", "FA_ACT_EST_DATA=E, EST_SOURCE=RHR", "ACT_EST_MAPPING=PRECISE", "FS=MRC", "CURRENCY=USD", "XLFILL=b")</f>
        <v>#N/A Requesting Data...</v>
      </c>
      <c r="R132" s="6" t="str">
        <f>_xll.BQL("NOW US Equity", "CONT_INC_PER_SH", "FPR=2021Y", "FPT=A", "FA_ACT_EST_DATA=E, EST_SOURCE=SNR", "ACT_EST_MAPPING=PRECISE", "FS=MRC", "CURRENCY=USD", "XLFILL=b")</f>
        <v>#N/A Requesting Data...</v>
      </c>
      <c r="S132" s="6" t="str">
        <f>_xll.BQL("NOW US Equity", "CONT_INC_PER_SH", "FPR=2021Y", "FPT=A", "FA_ACT_EST_DATA=E, EST_SOURCE=MSV", "ACT_EST_MAPPING=PRECISE", "FS=MRC", "CURRENCY=USD", "XLFILL=b")</f>
        <v>#N/A Requesting Data...</v>
      </c>
      <c r="T132" s="6" t="str">
        <f>_xll.BQL("NOW US Equity", "CONT_INC_PER_SH", "FPR=2021Y", "FPT=A", "FA_ACT_EST_DATA=E, EST_SOURCE=CAN", "ACT_EST_MAPPING=PRECISE", "FS=MRC", "CURRENCY=USD", "XLFILL=b")</f>
        <v>#N/A Requesting Data...</v>
      </c>
      <c r="U132" s="6" t="str">
        <f>_xll.BQL("NOW US Equity", "CONT_INC_PER_SH", "FPR=2021Y", "FPT=A", "FA_ACT_EST_DATA=E, EST_SOURCE=JMP", "ACT_EST_MAPPING=PRECISE", "FS=MRC", "CURRENCY=USD", "XLFILL=b")</f>
        <v>#N/A Requesting Data...</v>
      </c>
      <c r="V132" s="6" t="str">
        <f>_xll.BQL("NOW US Equity", "CONT_INC_PER_SH", "FPR=2021Y", "FPT=A", "FA_ACT_EST_DATA=E, EST_SOURCE=NDH", "ACT_EST_MAPPING=PRECISE", "FS=MRC", "CURRENCY=USD", "XLFILL=b")</f>
        <v>#N/A Requesting Data...</v>
      </c>
      <c r="W132" s="6" t="str">
        <f>_xll.BQL("NOW US Equity", "CONT_INC_PER_SH", "FPR=2021Y", "FPT=A", "FA_ACT_EST_DATA=E, EST_SOURCE=ZXS", "ACT_EST_MAPPING=PRECISE", "FS=MRC", "CURRENCY=USD", "XLFILL=b")</f>
        <v>#N/A Requesting Data...</v>
      </c>
      <c r="X132" s="6" t="str">
        <f>_xll.BQL("NOW US Equity", "CONT_INC_PER_SH", "FPR=2021Y", "FPT=A", "FA_ACT_EST_DATA=E, EST_SOURCE=CWN", "ACT_EST_MAPPING=PRECISE", "FS=MRC", "CURRENCY=USD", "XLFILL=b")</f>
        <v>#N/A Requesting Data...</v>
      </c>
      <c r="Y132" s="6" t="str">
        <f>_xll.BQL("NOW US Equity", "CONT_INC_PER_SH", "FPR=2021Y", "FPT=A", "FA_ACT_EST_DATA=E, EST_SOURCE=DBG", "ACT_EST_MAPPING=PRECISE", "FS=MRC", "CURRENCY=USD", "XLFILL=b")</f>
        <v>#N/A Requesting Data...</v>
      </c>
      <c r="Z132" s="6" t="str">
        <f>_xll.BQL("NOW US Equity", "CONT_INC_PER_SH", "FPR=2021Y", "FPT=A", "FA_ACT_EST_DATA=E, EST_SOURCE=UBS", "ACT_EST_MAPPING=PRECISE", "FS=MRC", "CURRENCY=USD", "XLFILL=b")</f>
        <v>#N/A Requesting Data...</v>
      </c>
      <c r="AA132" s="6" t="str">
        <f>_xll.BQL("NOW US Equity", "CONT_INC_PER_SH", "FPR=2021Y", "FPT=A", "FA_ACT_EST_DATA=E, EST_SOURCE=RBC", "ACT_EST_MAPPING=PRECISE", "FS=MRC", "CURRENCY=USD", "XLFILL=b")</f>
        <v>#N/A Requesting Data...</v>
      </c>
      <c r="AB132" s="6" t="str">
        <f>_xll.BQL("NOW US Equity", "CONT_INC_PER_SH", "FPR=2021Y", "FPT=A", "FA_ACT_EST_DATA=E, EST_SOURCE=EVR", "ACT_EST_MAPPING=PRECISE", "FS=MRC", "CURRENCY=USD", "XLFILL=b")</f>
        <v>#N/A Requesting Data...</v>
      </c>
      <c r="AC132" s="6" t="str">
        <f>_xll.BQL("NOW US Equity", "CONT_INC_PER_SH", "FPR=2021Y", "FPT=A", "FA_ACT_EST_DATA=E, EST_SOURCE=BNS", "ACT_EST_MAPPING=PRECISE", "FS=MRC", "CURRENCY=USD", "XLFILL=b")</f>
        <v>#N/A Requesting Data...</v>
      </c>
      <c r="AD132" s="6" t="str">
        <f>_xll.BQL("NOW US Equity", "CONT_INC_PER_SH", "FPR=2021Y", "FPT=A", "FA_ACT_EST_DATA=E, EST_SOURCE=BAM", "ACT_EST_MAPPING=PRECISE", "FS=MRC", "CURRENCY=USD", "XLFILL=b")</f>
        <v>#N/A Requesting Data...</v>
      </c>
      <c r="AE132" s="6" t="str">
        <f>_xll.BQL("NOW US Equity", "CONT_INC_PER_SH", "FPR=2021Y", "FPT=A", "FA_ACT_EST_DATA=E, EST_SOURCE=GSR", "ACT_EST_MAPPING=PRECISE", "FS=MRC", "CURRENCY=USD", "XLFILL=b")</f>
        <v>#N/A Requesting Data...</v>
      </c>
      <c r="AF132" s="6" t="str">
        <f>_xll.BQL("NOW US Equity", "CONT_INC_PER_SH", "FPR=2021Y", "FPT=A", "FA_ACT_EST_DATA=E, EST_SOURCE=FBC", "ACT_EST_MAPPING=PRECISE", "FS=MRC", "CURRENCY=USD", "XLFILL=b")</f>
        <v>#N/A Requesting Data...</v>
      </c>
      <c r="AG132" s="6" t="str">
        <f>_xll.BQL("NOW US Equity", "CONT_INC_PER_SH", "FPR=2021Y", "FPT=A", "FA_ACT_EST_DATA=E, EST_SOURCE=MAC", "ACT_EST_MAPPING=PRECISE", "FS=MRC", "CURRENCY=USD", "XLFILL=b")</f>
        <v>#N/A Requesting Data...</v>
      </c>
      <c r="AH132" s="6" t="str">
        <f>_xll.BQL("NOW US Equity", "CONT_INC_PER_SH", "FPR=2021Y", "FPT=A", "FA_ACT_EST_DATA=E, EST_SOURCE=PSG", "ACT_EST_MAPPING=PRECISE", "FS=MRC", "CURRENCY=USD", "XLFILL=b")</f>
        <v>#N/A Requesting Data...</v>
      </c>
      <c r="AI132" s="6" t="str">
        <f>_xll.BQL("NOW US Equity", "CONT_INC_PER_SH", "FPR=2021Y", "FPT=A", "FA_ACT_EST_DATA=E, EST_SOURCE=MSR", "ACT_EST_MAPPING=PRECISE", "FS=MRC", "CURRENCY=USD", "XLFILL=b")</f>
        <v>#N/A Requesting Data...</v>
      </c>
      <c r="AJ132" s="6" t="str">
        <f>_xll.BQL("NOW US Equity", "CONT_INC_PER_SH", "FPR=2021Y", "FPT=A", "FA_ACT_EST_DATA=E, EST_SOURCE=JEF", "ACT_EST_MAPPING=PRECISE", "FS=MRC", "CURRENCY=USD", "XLFILL=b")</f>
        <v>#N/A Requesting Data...</v>
      </c>
      <c r="AK132" s="6" t="str">
        <f>_xll.BQL("NOW US Equity", "CONT_INC_PER_SH", "FPR=2021Y", "FPT=A", "FA_ACT_EST_DATA=E, EST_SOURCE=TTC", "ACT_EST_MAPPING=PRECISE", "FS=MRC", "CURRENCY=USD", "XLFILL=b")</f>
        <v>#N/A Requesting Data...</v>
      </c>
      <c r="AL132" s="6" t="str">
        <f>_xll.BQL("NOW US Equity", "CONT_INC_PER_SH", "FPR=2021Y", "FPT=A", "FA_ACT_EST_DATA=E, EST_SOURCE=RWB", "ACT_EST_MAPPING=PRECISE", "FS=MRC", "CURRENCY=USD", "XLFILL=b")</f>
        <v>#N/A Requesting Data...</v>
      </c>
      <c r="AM132" s="6" t="str">
        <f>_xll.BQL("NOW US Equity", "CONT_INC_PER_SH", "FPR=2021Y", "FPT=A", "FA_ACT_EST_DATA=E, EST_SOURCE=DZB", "ACT_EST_MAPPING=PRECISE", "FS=MRC", "CURRENCY=USD", "XLFILL=b")</f>
        <v>#N/A Requesting Data...</v>
      </c>
      <c r="AN132" s="6" t="str">
        <f>_xll.BQL("NOW US Equity", "CONT_INC_PER_SH", "FPR=2021Y", "FPT=A", "FA_ACT_EST_DATA=E, EST_SOURCE=DWI", "ACT_EST_MAPPING=PRECISE", "FS=MRC", "CURRENCY=USD", "XLFILL=b")</f>
        <v>#N/A Requesting Data...</v>
      </c>
      <c r="AO132" s="6" t="str">
        <f>_xll.BQL("NOW US Equity", "CONT_INC_PER_SH", "FPR=2021Y", "FPT=A", "FA_ACT_EST_DATA=E, EST_SOURCE=ARG", "ACT_EST_MAPPING=PRECISE", "FS=MRC", "CURRENCY=USD", "XLFILL=b")</f>
        <v>#N/A Requesting Data...</v>
      </c>
      <c r="AP132" s="6" t="str">
        <f>_xll.BQL("NOW US Equity", "CONT_INC_PER_SH", "FPR=2021Y", "FPT=A", "FA_ACT_EST_DATA=E, EST_SOURCE=CTI", "ACT_EST_MAPPING=PRECISE", "FS=MRC", "CURRENCY=USD", "XLFILL=b")</f>
        <v>#N/A Requesting Data...</v>
      </c>
      <c r="AQ132" s="6" t="str">
        <f>_xll.BQL("NOW US Equity", "CONT_INC_PER_SH", "FPR=2021Y", "FPT=A", "FA_ACT_EST_DATA=E, EST_SOURCE=WFT", "ACT_EST_MAPPING=PRECISE", "FS=MRC", "CURRENCY=USD", "XLFILL=b")</f>
        <v>#N/A Requesting Data...</v>
      </c>
      <c r="AR132" s="6" t="str">
        <f>_xll.BQL("NOW US Equity", "CONT_INC_PER_SH", "FPR=2021Y", "FPT=A", "FA_ACT_EST_DATA=E, EST_SOURCE=ARE", "ACT_EST_MAPPING=PRECISE", "FS=MRC", "CURRENCY=USD", "XLFILL=b")</f>
        <v>#N/A Requesting Data...</v>
      </c>
      <c r="AS132" s="6" t="str">
        <f>_xll.BQL("NOW US Equity", "CONT_INC_PER_SH", "FPR=2021Y", "FPT=A", "FA_ACT_EST_DATA=E, EST_SOURCE=PJE", "ACT_EST_MAPPING=PRECISE", "FS=MRC", "CURRENCY=USD", "XLFILL=b")</f>
        <v>#N/A Requesting Data...</v>
      </c>
      <c r="AT132" s="6" t="str">
        <f>_xll.BQL("NOW US Equity", "CONT_INC_PER_SH", "FPR=2021Y", "FPT=A", "FA_ACT_EST_DATA=E, EST_SOURCE=MZS", "ACT_EST_MAPPING=PRECISE", "FS=MRC", "CURRENCY=USD", "XLFILL=b")</f>
        <v>#N/A Requesting Data...</v>
      </c>
      <c r="AU132" s="6" t="str">
        <f>_xll.BQL("NOW US Equity", "CONT_INC_PER_SH", "FPR=2021Y", "FPT=A", "FA_ACT_EST_DATA=E, EST_SOURCE=SUM", "ACT_EST_MAPPING=PRECISE", "FS=MRC", "CURRENCY=USD", "XLFILL=b")</f>
        <v>#N/A Requesting Data...</v>
      </c>
      <c r="AV132" s="6" t="str">
        <f>_xll.BQL("NOW US Equity", "CONT_INC_PER_SH", "FPR=2021Y", "FPT=A", "FA_ACT_EST_DATA=E, EST_SOURCE=CRC", "ACT_EST_MAPPING=PRECISE", "FS=MRC", "CURRENCY=USD", "XLFILL=b")</f>
        <v>#N/A Requesting Data...</v>
      </c>
      <c r="AW132" s="6" t="str">
        <f>_xll.BQL("NOW US Equity", "CONT_INC_PER_SH", "FPR=2021Y", "FPT=A", "FA_ACT_EST_DATA=E, EST_SOURCE=SCB", "ACT_EST_MAPPING=PRECISE", "FS=MRC", "CURRENCY=USD", "XLFILL=b")</f>
        <v>#N/A Requesting Data...</v>
      </c>
    </row>
    <row r="133" spans="1:49" x14ac:dyDescent="0.55000000000000004">
      <c r="A133" s="5" t="s">
        <v>218</v>
      </c>
      <c r="B133" s="2" t="s">
        <v>219</v>
      </c>
      <c r="C133" s="2" t="s">
        <v>167</v>
      </c>
      <c r="D133" s="2"/>
      <c r="E133" s="6" t="str">
        <f>_xll.BQL("NOW US Equity", "IS_SH_FOR_DILUTED_EPS/1M", "FPR=2021Y", "FPT=A", "FA_ACT_EST_DATA=E", "ACT_EST_MAPPING=PRECISE", "FS=MRC", "CURRENCY=USD", "XLFILL=b")</f>
        <v>#N/A Requesting Data...</v>
      </c>
      <c r="F133" s="6" t="str">
        <f>_xll.BQL("NOW US Equity", "CONTRIBUTOR_STATS(IS_SH_FOR_DILUTED_EPS, MIN)/1M", "FPR=2021Y", "FPT=A", "FA_ACT_EST_DATA=E", "ACT_EST_MAPPING=PRECISE", "FS=MRC", "CURRENCY=USD", "XLFILL=b")</f>
        <v>#N/A Requesting Data...</v>
      </c>
      <c r="G133" s="6" t="str">
        <f>_xll.BQL("NOW US Equity", "CONTRIBUTOR_STATS(IS_SH_FOR_DILUTED_EPS, MAX)/1M", "FPR=2021Y", "FPT=A", "FA_ACT_EST_DATA=E", "ACT_EST_MAPPING=PRECISE", "FS=MRC", "CURRENCY=USD", "XLFILL=b")</f>
        <v>#N/A Requesting Data...</v>
      </c>
      <c r="H133" s="6" t="str">
        <f>_xll.BQL("NOW US Equity", "CONTRIBUTOR_STATS(IS_SH_FOR_DILUTED_EPS, STD)/1M", "FPR=2021Y", "FPT=A", "FA_ACT_EST_DATA=E", "ACT_EST_MAPPING=PRECISE", "FS=MRC", "CURRENCY=USD", "XLFILL=b")</f>
        <v>#N/A Requesting Data...</v>
      </c>
      <c r="I133" s="6" t="str">
        <f>_xll.BQL("NOW US Equity", "CONTRIBUTOR_STATS(IS_SH_FOR_DILUTED_EPS, MEDIAN)/1M", "FPR=2021Y", "FPT=A", "FA_ACT_EST_DATA=E", "ACT_EST_MAPPING=PRECISE", "FS=MRC", "CURRENCY=USD", "XLFILL=b")</f>
        <v>#N/A Requesting Data...</v>
      </c>
      <c r="J133" s="6" t="str">
        <f>_xll.BQL("NOW US Equity", "IS_SH_FOR_DILUTED_EPS/1M", "FPR=2021Y", "FPT=A", "FA_ACT_EST_DATA=E, EST_SOURCE=CMPY", "ACT_EST_MAPPING=PRECISE", "FS=MRC", "CURRENCY=USD", "XLFILL=b")</f>
        <v>#N/A Requesting Data...</v>
      </c>
      <c r="K133" s="6" t="str">
        <f>_xll.BQL("NOW US Equity", "IS_SH_FOR_DILUTED_EPS/1M", "FPR=2021Y", "FPT=A", "FA_ACT_EST_DATA=E, EST_SOURCE=JPM", "ACT_EST_MAPPING=PRECISE", "FS=MRC", "CURRENCY=USD", "XLFILL=b")</f>
        <v>#N/A Requesting Data...</v>
      </c>
      <c r="L133" s="6" t="str">
        <f>_xll.BQL("NOW US Equity", "IS_SH_FOR_DILUTED_EPS/1M", "FPR=2021Y", "FPT=A", "FA_ACT_EST_DATA=E, EST_SOURCE=WBL", "ACT_EST_MAPPING=PRECISE", "FS=MRC", "CURRENCY=USD", "XLFILL=b")</f>
        <v>#N/A Requesting Data...</v>
      </c>
      <c r="M133" s="6" t="str">
        <f>_xll.BQL("NOW US Equity", "IS_SH_FOR_DILUTED_EPS/1M", "FPR=2021Y", "FPT=A", "FA_ACT_EST_DATA=E, EST_SOURCE=KEY", "ACT_EST_MAPPING=PRECISE", "FS=MRC", "CURRENCY=USD", "XLFILL=b")</f>
        <v>#N/A Requesting Data...</v>
      </c>
      <c r="N133" s="6" t="str">
        <f>_xll.BQL("NOW US Equity", "IS_SH_FOR_DILUTED_EPS/1M", "FPR=2021Y", "FPT=A", "FA_ACT_EST_DATA=E, EST_SOURCE=BMO", "ACT_EST_MAPPING=PRECISE", "FS=MRC", "CURRENCY=USD", "XLFILL=b")</f>
        <v>#N/A Requesting Data...</v>
      </c>
      <c r="O133" s="6" t="str">
        <f>_xll.BQL("NOW US Equity", "IS_SH_FOR_DILUTED_EPS/1M", "FPR=2021Y", "FPT=A", "FA_ACT_EST_DATA=E, EST_SOURCE=OPY", "ACT_EST_MAPPING=PRECISE", "FS=MRC", "CURRENCY=USD", "XLFILL=b")</f>
        <v>#N/A Requesting Data...</v>
      </c>
      <c r="P133" s="6" t="str">
        <f>_xll.BQL("NOW US Equity", "IS_SH_FOR_DILUTED_EPS/1M", "FPR=2021Y", "FPT=A", "FA_ACT_EST_DATA=E, EST_SOURCE=BCA", "ACT_EST_MAPPING=PRECISE", "FS=MRC", "CURRENCY=USD", "XLFILL=b")</f>
        <v>#N/A Requesting Data...</v>
      </c>
      <c r="Q133" s="6" t="str">
        <f>_xll.BQL("NOW US Equity", "IS_SH_FOR_DILUTED_EPS/1M", "FPR=2021Y", "FPT=A", "FA_ACT_EST_DATA=E, EST_SOURCE=RHR", "ACT_EST_MAPPING=PRECISE", "FS=MRC", "CURRENCY=USD", "XLFILL=b")</f>
        <v>#N/A Requesting Data...</v>
      </c>
      <c r="R133" s="6" t="str">
        <f>_xll.BQL("NOW US Equity", "IS_SH_FOR_DILUTED_EPS/1M", "FPR=2021Y", "FPT=A", "FA_ACT_EST_DATA=E, EST_SOURCE=SNR", "ACT_EST_MAPPING=PRECISE", "FS=MRC", "CURRENCY=USD", "XLFILL=b")</f>
        <v>#N/A Requesting Data...</v>
      </c>
      <c r="S133" s="6" t="str">
        <f>_xll.BQL("NOW US Equity", "IS_SH_FOR_DILUTED_EPS/1M", "FPR=2021Y", "FPT=A", "FA_ACT_EST_DATA=E, EST_SOURCE=MSV", "ACT_EST_MAPPING=PRECISE", "FS=MRC", "CURRENCY=USD", "XLFILL=b")</f>
        <v>#N/A Requesting Data...</v>
      </c>
      <c r="T133" s="6" t="str">
        <f>_xll.BQL("NOW US Equity", "IS_SH_FOR_DILUTED_EPS/1M", "FPR=2021Y", "FPT=A", "FA_ACT_EST_DATA=E, EST_SOURCE=CAN", "ACT_EST_MAPPING=PRECISE", "FS=MRC", "CURRENCY=USD", "XLFILL=b")</f>
        <v>#N/A Requesting Data...</v>
      </c>
      <c r="U133" s="6" t="str">
        <f>_xll.BQL("NOW US Equity", "IS_SH_FOR_DILUTED_EPS/1M", "FPR=2021Y", "FPT=A", "FA_ACT_EST_DATA=E, EST_SOURCE=JMP", "ACT_EST_MAPPING=PRECISE", "FS=MRC", "CURRENCY=USD", "XLFILL=b")</f>
        <v>#N/A Requesting Data...</v>
      </c>
      <c r="V133" s="6" t="str">
        <f>_xll.BQL("NOW US Equity", "IS_SH_FOR_DILUTED_EPS/1M", "FPR=2021Y", "FPT=A", "FA_ACT_EST_DATA=E, EST_SOURCE=NDH", "ACT_EST_MAPPING=PRECISE", "FS=MRC", "CURRENCY=USD", "XLFILL=b")</f>
        <v>#N/A Requesting Data...</v>
      </c>
      <c r="W133" s="6" t="str">
        <f>_xll.BQL("NOW US Equity", "IS_SH_FOR_DILUTED_EPS/1M", "FPR=2021Y", "FPT=A", "FA_ACT_EST_DATA=E, EST_SOURCE=ZXS", "ACT_EST_MAPPING=PRECISE", "FS=MRC", "CURRENCY=USD", "XLFILL=b")</f>
        <v>#N/A Requesting Data...</v>
      </c>
      <c r="X133" s="6" t="str">
        <f>_xll.BQL("NOW US Equity", "IS_SH_FOR_DILUTED_EPS/1M", "FPR=2021Y", "FPT=A", "FA_ACT_EST_DATA=E, EST_SOURCE=CWN", "ACT_EST_MAPPING=PRECISE", "FS=MRC", "CURRENCY=USD", "XLFILL=b")</f>
        <v>#N/A Requesting Data...</v>
      </c>
      <c r="Y133" s="6" t="str">
        <f>_xll.BQL("NOW US Equity", "IS_SH_FOR_DILUTED_EPS/1M", "FPR=2021Y", "FPT=A", "FA_ACT_EST_DATA=E, EST_SOURCE=DBG", "ACT_EST_MAPPING=PRECISE", "FS=MRC", "CURRENCY=USD", "XLFILL=b")</f>
        <v>#N/A Requesting Data...</v>
      </c>
      <c r="Z133" s="6" t="str">
        <f>_xll.BQL("NOW US Equity", "IS_SH_FOR_DILUTED_EPS/1M", "FPR=2021Y", "FPT=A", "FA_ACT_EST_DATA=E, EST_SOURCE=UBS", "ACT_EST_MAPPING=PRECISE", "FS=MRC", "CURRENCY=USD", "XLFILL=b")</f>
        <v>#N/A Requesting Data...</v>
      </c>
      <c r="AA133" s="6" t="str">
        <f>_xll.BQL("NOW US Equity", "IS_SH_FOR_DILUTED_EPS/1M", "FPR=2021Y", "FPT=A", "FA_ACT_EST_DATA=E, EST_SOURCE=RBC", "ACT_EST_MAPPING=PRECISE", "FS=MRC", "CURRENCY=USD", "XLFILL=b")</f>
        <v>#N/A Requesting Data...</v>
      </c>
      <c r="AB133" s="6" t="str">
        <f>_xll.BQL("NOW US Equity", "IS_SH_FOR_DILUTED_EPS/1M", "FPR=2021Y", "FPT=A", "FA_ACT_EST_DATA=E, EST_SOURCE=EVR", "ACT_EST_MAPPING=PRECISE", "FS=MRC", "CURRENCY=USD", "XLFILL=b")</f>
        <v>#N/A Requesting Data...</v>
      </c>
      <c r="AC133" s="6" t="str">
        <f>_xll.BQL("NOW US Equity", "IS_SH_FOR_DILUTED_EPS/1M", "FPR=2021Y", "FPT=A", "FA_ACT_EST_DATA=E, EST_SOURCE=BNS", "ACT_EST_MAPPING=PRECISE", "FS=MRC", "CURRENCY=USD", "XLFILL=b")</f>
        <v>#N/A Requesting Data...</v>
      </c>
      <c r="AD133" s="6" t="str">
        <f>_xll.BQL("NOW US Equity", "IS_SH_FOR_DILUTED_EPS/1M", "FPR=2021Y", "FPT=A", "FA_ACT_EST_DATA=E, EST_SOURCE=BAM", "ACT_EST_MAPPING=PRECISE", "FS=MRC", "CURRENCY=USD", "XLFILL=b")</f>
        <v>#N/A Requesting Data...</v>
      </c>
      <c r="AE133" s="6" t="str">
        <f>_xll.BQL("NOW US Equity", "IS_SH_FOR_DILUTED_EPS/1M", "FPR=2021Y", "FPT=A", "FA_ACT_EST_DATA=E, EST_SOURCE=GSR", "ACT_EST_MAPPING=PRECISE", "FS=MRC", "CURRENCY=USD", "XLFILL=b")</f>
        <v>#N/A Requesting Data...</v>
      </c>
      <c r="AF133" s="6" t="str">
        <f>_xll.BQL("NOW US Equity", "IS_SH_FOR_DILUTED_EPS/1M", "FPR=2021Y", "FPT=A", "FA_ACT_EST_DATA=E, EST_SOURCE=FBC", "ACT_EST_MAPPING=PRECISE", "FS=MRC", "CURRENCY=USD", "XLFILL=b")</f>
        <v>#N/A Requesting Data...</v>
      </c>
      <c r="AG133" s="6" t="str">
        <f>_xll.BQL("NOW US Equity", "IS_SH_FOR_DILUTED_EPS/1M", "FPR=2021Y", "FPT=A", "FA_ACT_EST_DATA=E, EST_SOURCE=MAC", "ACT_EST_MAPPING=PRECISE", "FS=MRC", "CURRENCY=USD", "XLFILL=b")</f>
        <v>#N/A Requesting Data...</v>
      </c>
      <c r="AH133" s="6" t="str">
        <f>_xll.BQL("NOW US Equity", "IS_SH_FOR_DILUTED_EPS/1M", "FPR=2021Y", "FPT=A", "FA_ACT_EST_DATA=E, EST_SOURCE=PSG", "ACT_EST_MAPPING=PRECISE", "FS=MRC", "CURRENCY=USD", "XLFILL=b")</f>
        <v>#N/A Requesting Data...</v>
      </c>
      <c r="AI133" s="6" t="str">
        <f>_xll.BQL("NOW US Equity", "IS_SH_FOR_DILUTED_EPS/1M", "FPR=2021Y", "FPT=A", "FA_ACT_EST_DATA=E, EST_SOURCE=MSR", "ACT_EST_MAPPING=PRECISE", "FS=MRC", "CURRENCY=USD", "XLFILL=b")</f>
        <v>#N/A Requesting Data...</v>
      </c>
      <c r="AJ133" s="6" t="str">
        <f>_xll.BQL("NOW US Equity", "IS_SH_FOR_DILUTED_EPS/1M", "FPR=2021Y", "FPT=A", "FA_ACT_EST_DATA=E, EST_SOURCE=JEF", "ACT_EST_MAPPING=PRECISE", "FS=MRC", "CURRENCY=USD", "XLFILL=b")</f>
        <v>#N/A Requesting Data...</v>
      </c>
      <c r="AK133" s="6" t="str">
        <f>_xll.BQL("NOW US Equity", "IS_SH_FOR_DILUTED_EPS/1M", "FPR=2021Y", "FPT=A", "FA_ACT_EST_DATA=E, EST_SOURCE=TTC", "ACT_EST_MAPPING=PRECISE", "FS=MRC", "CURRENCY=USD", "XLFILL=b")</f>
        <v>#N/A Requesting Data...</v>
      </c>
      <c r="AL133" s="6" t="str">
        <f>_xll.BQL("NOW US Equity", "IS_SH_FOR_DILUTED_EPS/1M", "FPR=2021Y", "FPT=A", "FA_ACT_EST_DATA=E, EST_SOURCE=RWB", "ACT_EST_MAPPING=PRECISE", "FS=MRC", "CURRENCY=USD", "XLFILL=b")</f>
        <v>#N/A Requesting Data...</v>
      </c>
      <c r="AM133" s="6" t="str">
        <f>_xll.BQL("NOW US Equity", "IS_SH_FOR_DILUTED_EPS/1M", "FPR=2021Y", "FPT=A", "FA_ACT_EST_DATA=E, EST_SOURCE=DZB", "ACT_EST_MAPPING=PRECISE", "FS=MRC", "CURRENCY=USD", "XLFILL=b")</f>
        <v>#N/A Requesting Data...</v>
      </c>
      <c r="AN133" s="6" t="str">
        <f>_xll.BQL("NOW US Equity", "IS_SH_FOR_DILUTED_EPS/1M", "FPR=2021Y", "FPT=A", "FA_ACT_EST_DATA=E, EST_SOURCE=DWI", "ACT_EST_MAPPING=PRECISE", "FS=MRC", "CURRENCY=USD", "XLFILL=b")</f>
        <v>#N/A Requesting Data...</v>
      </c>
      <c r="AO133" s="6" t="str">
        <f>_xll.BQL("NOW US Equity", "IS_SH_FOR_DILUTED_EPS/1M", "FPR=2021Y", "FPT=A", "FA_ACT_EST_DATA=E, EST_SOURCE=ARG", "ACT_EST_MAPPING=PRECISE", "FS=MRC", "CURRENCY=USD", "XLFILL=b")</f>
        <v>#N/A Requesting Data...</v>
      </c>
      <c r="AP133" s="6" t="str">
        <f>_xll.BQL("NOW US Equity", "IS_SH_FOR_DILUTED_EPS/1M", "FPR=2021Y", "FPT=A", "FA_ACT_EST_DATA=E, EST_SOURCE=CTI", "ACT_EST_MAPPING=PRECISE", "FS=MRC", "CURRENCY=USD", "XLFILL=b")</f>
        <v>#N/A Requesting Data...</v>
      </c>
      <c r="AQ133" s="6" t="str">
        <f>_xll.BQL("NOW US Equity", "IS_SH_FOR_DILUTED_EPS/1M", "FPR=2021Y", "FPT=A", "FA_ACT_EST_DATA=E, EST_SOURCE=WFT", "ACT_EST_MAPPING=PRECISE", "FS=MRC", "CURRENCY=USD", "XLFILL=b")</f>
        <v>#N/A Requesting Data...</v>
      </c>
      <c r="AR133" s="6" t="str">
        <f>_xll.BQL("NOW US Equity", "IS_SH_FOR_DILUTED_EPS/1M", "FPR=2021Y", "FPT=A", "FA_ACT_EST_DATA=E, EST_SOURCE=ARE", "ACT_EST_MAPPING=PRECISE", "FS=MRC", "CURRENCY=USD", "XLFILL=b")</f>
        <v>#N/A Requesting Data...</v>
      </c>
      <c r="AS133" s="6" t="str">
        <f>_xll.BQL("NOW US Equity", "IS_SH_FOR_DILUTED_EPS/1M", "FPR=2021Y", "FPT=A", "FA_ACT_EST_DATA=E, EST_SOURCE=PJE", "ACT_EST_MAPPING=PRECISE", "FS=MRC", "CURRENCY=USD", "XLFILL=b")</f>
        <v>#N/A Requesting Data...</v>
      </c>
      <c r="AT133" s="6" t="str">
        <f>_xll.BQL("NOW US Equity", "IS_SH_FOR_DILUTED_EPS/1M", "FPR=2021Y", "FPT=A", "FA_ACT_EST_DATA=E, EST_SOURCE=MZS", "ACT_EST_MAPPING=PRECISE", "FS=MRC", "CURRENCY=USD", "XLFILL=b")</f>
        <v>#N/A Requesting Data...</v>
      </c>
      <c r="AU133" s="6" t="str">
        <f>_xll.BQL("NOW US Equity", "IS_SH_FOR_DILUTED_EPS/1M", "FPR=2021Y", "FPT=A", "FA_ACT_EST_DATA=E, EST_SOURCE=SUM", "ACT_EST_MAPPING=PRECISE", "FS=MRC", "CURRENCY=USD", "XLFILL=b")</f>
        <v>#N/A Requesting Data...</v>
      </c>
      <c r="AV133" s="6" t="str">
        <f>_xll.BQL("NOW US Equity", "IS_SH_FOR_DILUTED_EPS/1M", "FPR=2021Y", "FPT=A", "FA_ACT_EST_DATA=E, EST_SOURCE=CRC", "ACT_EST_MAPPING=PRECISE", "FS=MRC", "CURRENCY=USD", "XLFILL=b")</f>
        <v>#N/A Requesting Data...</v>
      </c>
      <c r="AW133" s="6" t="str">
        <f>_xll.BQL("NOW US Equity", "IS_SH_FOR_DILUTED_EPS/1M", "FPR=2021Y", "FPT=A", "FA_ACT_EST_DATA=E, EST_SOURCE=SCB", "ACT_EST_MAPPING=PRECISE", "FS=MRC", "CURRENCY=USD", "XLFILL=b")</f>
        <v>#N/A Requesting Data...</v>
      </c>
    </row>
    <row r="134" spans="1:49" x14ac:dyDescent="0.55000000000000004">
      <c r="A134" s="5" t="s">
        <v>220</v>
      </c>
      <c r="B134" s="2" t="s">
        <v>221</v>
      </c>
      <c r="C134" s="2" t="s">
        <v>169</v>
      </c>
      <c r="D134" s="2"/>
      <c r="E134" s="6" t="str">
        <f>_xll.BQL("NOW US Equity", "IS_COMP_EPS_GAAP", "FPR=2021Y", "FPT=A", "FA_ACT_EST_DATA=E", "ACT_EST_MAPPING=PRECISE", "FS=MRC", "CURRENCY=USD", "XLFILL=b")</f>
        <v>#N/A Requesting Data...</v>
      </c>
      <c r="F134" s="6" t="str">
        <f>_xll.BQL("NOW US Equity", "CONTRIBUTOR_STATS(IS_COMP_EPS_GAAP, MIN)", "FPR=2021Y", "FPT=A", "FA_ACT_EST_DATA=E", "ACT_EST_MAPPING=PRECISE", "FS=MRC", "CURRENCY=USD", "XLFILL=b")</f>
        <v>#N/A Requesting Data...</v>
      </c>
      <c r="G134" s="6" t="str">
        <f>_xll.BQL("NOW US Equity", "CONTRIBUTOR_STATS(IS_COMP_EPS_GAAP, MAX)", "FPR=2021Y", "FPT=A", "FA_ACT_EST_DATA=E", "ACT_EST_MAPPING=PRECISE", "FS=MRC", "CURRENCY=USD", "XLFILL=b")</f>
        <v>#N/A Requesting Data...</v>
      </c>
      <c r="H134" s="6" t="str">
        <f>_xll.BQL("NOW US Equity", "CONTRIBUTOR_STATS(IS_COMP_EPS_GAAP, STD)", "FPR=2021Y", "FPT=A", "FA_ACT_EST_DATA=E", "ACT_EST_MAPPING=PRECISE", "FS=MRC", "CURRENCY=USD", "XLFILL=b")</f>
        <v>#N/A Requesting Data...</v>
      </c>
      <c r="I134" s="6" t="str">
        <f>_xll.BQL("NOW US Equity", "CONTRIBUTOR_STATS(IS_COMP_EPS_GAAP, MEDIAN)", "FPR=2021Y", "FPT=A", "FA_ACT_EST_DATA=E", "ACT_EST_MAPPING=PRECISE", "FS=MRC", "CURRENCY=USD", "XLFILL=b")</f>
        <v>#N/A Requesting Data...</v>
      </c>
      <c r="J134" s="6" t="str">
        <f>_xll.BQL("NOW US Equity", "IS_COMP_EPS_GAAP", "FPR=2021Y", "FPT=A", "FA_ACT_EST_DATA=E, EST_SOURCE=CMPY", "ACT_EST_MAPPING=PRECISE", "FS=MRC", "CURRENCY=USD", "XLFILL=b")</f>
        <v>#N/A Requesting Data...</v>
      </c>
      <c r="K134" s="6" t="str">
        <f>_xll.BQL("NOW US Equity", "IS_COMP_EPS_GAAP", "FPR=2021Y", "FPT=A", "FA_ACT_EST_DATA=E, EST_SOURCE=JPM", "ACT_EST_MAPPING=PRECISE", "FS=MRC", "CURRENCY=USD", "XLFILL=b")</f>
        <v>#N/A Requesting Data...</v>
      </c>
      <c r="L134" s="6" t="str">
        <f>_xll.BQL("NOW US Equity", "IS_COMP_EPS_GAAP", "FPR=2021Y", "FPT=A", "FA_ACT_EST_DATA=E, EST_SOURCE=WBL", "ACT_EST_MAPPING=PRECISE", "FS=MRC", "CURRENCY=USD", "XLFILL=b")</f>
        <v>#N/A Requesting Data...</v>
      </c>
      <c r="M134" s="6" t="str">
        <f>_xll.BQL("NOW US Equity", "IS_COMP_EPS_GAAP", "FPR=2021Y", "FPT=A", "FA_ACT_EST_DATA=E, EST_SOURCE=KEY", "ACT_EST_MAPPING=PRECISE", "FS=MRC", "CURRENCY=USD", "XLFILL=b")</f>
        <v>#N/A Requesting Data...</v>
      </c>
      <c r="N134" s="6" t="str">
        <f>_xll.BQL("NOW US Equity", "IS_COMP_EPS_GAAP", "FPR=2021Y", "FPT=A", "FA_ACT_EST_DATA=E, EST_SOURCE=BMO", "ACT_EST_MAPPING=PRECISE", "FS=MRC", "CURRENCY=USD", "XLFILL=b")</f>
        <v>#N/A Requesting Data...</v>
      </c>
      <c r="O134" s="6" t="str">
        <f>_xll.BQL("NOW US Equity", "IS_COMP_EPS_GAAP", "FPR=2021Y", "FPT=A", "FA_ACT_EST_DATA=E, EST_SOURCE=OPY", "ACT_EST_MAPPING=PRECISE", "FS=MRC", "CURRENCY=USD", "XLFILL=b")</f>
        <v>#N/A Requesting Data...</v>
      </c>
      <c r="P134" s="6" t="str">
        <f>_xll.BQL("NOW US Equity", "IS_COMP_EPS_GAAP", "FPR=2021Y", "FPT=A", "FA_ACT_EST_DATA=E, EST_SOURCE=BCA", "ACT_EST_MAPPING=PRECISE", "FS=MRC", "CURRENCY=USD", "XLFILL=b")</f>
        <v>#N/A Requesting Data...</v>
      </c>
      <c r="Q134" s="6" t="str">
        <f>_xll.BQL("NOW US Equity", "IS_COMP_EPS_GAAP", "FPR=2021Y", "FPT=A", "FA_ACT_EST_DATA=E, EST_SOURCE=RHR", "ACT_EST_MAPPING=PRECISE", "FS=MRC", "CURRENCY=USD", "XLFILL=b")</f>
        <v>#N/A Requesting Data...</v>
      </c>
      <c r="R134" s="6" t="str">
        <f>_xll.BQL("NOW US Equity", "IS_COMP_EPS_GAAP", "FPR=2021Y", "FPT=A", "FA_ACT_EST_DATA=E, EST_SOURCE=SNR", "ACT_EST_MAPPING=PRECISE", "FS=MRC", "CURRENCY=USD", "XLFILL=b")</f>
        <v>#N/A Requesting Data...</v>
      </c>
      <c r="S134" s="6" t="str">
        <f>_xll.BQL("NOW US Equity", "IS_COMP_EPS_GAAP", "FPR=2021Y", "FPT=A", "FA_ACT_EST_DATA=E, EST_SOURCE=MSV", "ACT_EST_MAPPING=PRECISE", "FS=MRC", "CURRENCY=USD", "XLFILL=b")</f>
        <v>#N/A Requesting Data...</v>
      </c>
      <c r="T134" s="6" t="str">
        <f>_xll.BQL("NOW US Equity", "IS_COMP_EPS_GAAP", "FPR=2021Y", "FPT=A", "FA_ACT_EST_DATA=E, EST_SOURCE=CAN", "ACT_EST_MAPPING=PRECISE", "FS=MRC", "CURRENCY=USD", "XLFILL=b")</f>
        <v>#N/A Requesting Data...</v>
      </c>
      <c r="U134" s="6" t="str">
        <f>_xll.BQL("NOW US Equity", "IS_COMP_EPS_GAAP", "FPR=2021Y", "FPT=A", "FA_ACT_EST_DATA=E, EST_SOURCE=JMP", "ACT_EST_MAPPING=PRECISE", "FS=MRC", "CURRENCY=USD", "XLFILL=b")</f>
        <v>#N/A Requesting Data...</v>
      </c>
      <c r="V134" s="6" t="str">
        <f>_xll.BQL("NOW US Equity", "IS_COMP_EPS_GAAP", "FPR=2021Y", "FPT=A", "FA_ACT_EST_DATA=E, EST_SOURCE=NDH", "ACT_EST_MAPPING=PRECISE", "FS=MRC", "CURRENCY=USD", "XLFILL=b")</f>
        <v>#N/A Requesting Data...</v>
      </c>
      <c r="W134" s="6" t="str">
        <f>_xll.BQL("NOW US Equity", "IS_COMP_EPS_GAAP", "FPR=2021Y", "FPT=A", "FA_ACT_EST_DATA=E, EST_SOURCE=ZXS", "ACT_EST_MAPPING=PRECISE", "FS=MRC", "CURRENCY=USD", "XLFILL=b")</f>
        <v>#N/A Requesting Data...</v>
      </c>
      <c r="X134" s="6" t="str">
        <f>_xll.BQL("NOW US Equity", "IS_COMP_EPS_GAAP", "FPR=2021Y", "FPT=A", "FA_ACT_EST_DATA=E, EST_SOURCE=CWN", "ACT_EST_MAPPING=PRECISE", "FS=MRC", "CURRENCY=USD", "XLFILL=b")</f>
        <v>#N/A Requesting Data...</v>
      </c>
      <c r="Y134" s="6" t="str">
        <f>_xll.BQL("NOW US Equity", "IS_COMP_EPS_GAAP", "FPR=2021Y", "FPT=A", "FA_ACT_EST_DATA=E, EST_SOURCE=DBG", "ACT_EST_MAPPING=PRECISE", "FS=MRC", "CURRENCY=USD", "XLFILL=b")</f>
        <v>#N/A Requesting Data...</v>
      </c>
      <c r="Z134" s="6" t="str">
        <f>_xll.BQL("NOW US Equity", "IS_COMP_EPS_GAAP", "FPR=2021Y", "FPT=A", "FA_ACT_EST_DATA=E, EST_SOURCE=UBS", "ACT_EST_MAPPING=PRECISE", "FS=MRC", "CURRENCY=USD", "XLFILL=b")</f>
        <v>#N/A Requesting Data...</v>
      </c>
      <c r="AA134" s="6" t="str">
        <f>_xll.BQL("NOW US Equity", "IS_COMP_EPS_GAAP", "FPR=2021Y", "FPT=A", "FA_ACT_EST_DATA=E, EST_SOURCE=RBC", "ACT_EST_MAPPING=PRECISE", "FS=MRC", "CURRENCY=USD", "XLFILL=b")</f>
        <v>#N/A Requesting Data...</v>
      </c>
      <c r="AB134" s="6" t="str">
        <f>_xll.BQL("NOW US Equity", "IS_COMP_EPS_GAAP", "FPR=2021Y", "FPT=A", "FA_ACT_EST_DATA=E, EST_SOURCE=EVR", "ACT_EST_MAPPING=PRECISE", "FS=MRC", "CURRENCY=USD", "XLFILL=b")</f>
        <v>#N/A Requesting Data...</v>
      </c>
      <c r="AC134" s="6" t="str">
        <f>_xll.BQL("NOW US Equity", "IS_COMP_EPS_GAAP", "FPR=2021Y", "FPT=A", "FA_ACT_EST_DATA=E, EST_SOURCE=BNS", "ACT_EST_MAPPING=PRECISE", "FS=MRC", "CURRENCY=USD", "XLFILL=b")</f>
        <v>#N/A Requesting Data...</v>
      </c>
      <c r="AD134" s="6" t="str">
        <f>_xll.BQL("NOW US Equity", "IS_COMP_EPS_GAAP", "FPR=2021Y", "FPT=A", "FA_ACT_EST_DATA=E, EST_SOURCE=BAM", "ACT_EST_MAPPING=PRECISE", "FS=MRC", "CURRENCY=USD", "XLFILL=b")</f>
        <v>#N/A Requesting Data...</v>
      </c>
      <c r="AE134" s="6" t="str">
        <f>_xll.BQL("NOW US Equity", "IS_COMP_EPS_GAAP", "FPR=2021Y", "FPT=A", "FA_ACT_EST_DATA=E, EST_SOURCE=GSR", "ACT_EST_MAPPING=PRECISE", "FS=MRC", "CURRENCY=USD", "XLFILL=b")</f>
        <v>#N/A Requesting Data...</v>
      </c>
      <c r="AF134" s="6" t="str">
        <f>_xll.BQL("NOW US Equity", "IS_COMP_EPS_GAAP", "FPR=2021Y", "FPT=A", "FA_ACT_EST_DATA=E, EST_SOURCE=FBC", "ACT_EST_MAPPING=PRECISE", "FS=MRC", "CURRENCY=USD", "XLFILL=b")</f>
        <v>#N/A Requesting Data...</v>
      </c>
      <c r="AG134" s="6" t="str">
        <f>_xll.BQL("NOW US Equity", "IS_COMP_EPS_GAAP", "FPR=2021Y", "FPT=A", "FA_ACT_EST_DATA=E, EST_SOURCE=MAC", "ACT_EST_MAPPING=PRECISE", "FS=MRC", "CURRENCY=USD", "XLFILL=b")</f>
        <v>#N/A Requesting Data...</v>
      </c>
      <c r="AH134" s="6" t="str">
        <f>_xll.BQL("NOW US Equity", "IS_COMP_EPS_GAAP", "FPR=2021Y", "FPT=A", "FA_ACT_EST_DATA=E, EST_SOURCE=PSG", "ACT_EST_MAPPING=PRECISE", "FS=MRC", "CURRENCY=USD", "XLFILL=b")</f>
        <v>#N/A Requesting Data...</v>
      </c>
      <c r="AI134" s="6" t="str">
        <f>_xll.BQL("NOW US Equity", "IS_COMP_EPS_GAAP", "FPR=2021Y", "FPT=A", "FA_ACT_EST_DATA=E, EST_SOURCE=MSR", "ACT_EST_MAPPING=PRECISE", "FS=MRC", "CURRENCY=USD", "XLFILL=b")</f>
        <v>#N/A Requesting Data...</v>
      </c>
      <c r="AJ134" s="6" t="str">
        <f>_xll.BQL("NOW US Equity", "IS_COMP_EPS_GAAP", "FPR=2021Y", "FPT=A", "FA_ACT_EST_DATA=E, EST_SOURCE=JEF", "ACT_EST_MAPPING=PRECISE", "FS=MRC", "CURRENCY=USD", "XLFILL=b")</f>
        <v>#N/A Requesting Data...</v>
      </c>
      <c r="AK134" s="6" t="str">
        <f>_xll.BQL("NOW US Equity", "IS_COMP_EPS_GAAP", "FPR=2021Y", "FPT=A", "FA_ACT_EST_DATA=E, EST_SOURCE=TTC", "ACT_EST_MAPPING=PRECISE", "FS=MRC", "CURRENCY=USD", "XLFILL=b")</f>
        <v>#N/A Requesting Data...</v>
      </c>
      <c r="AL134" s="6" t="str">
        <f>_xll.BQL("NOW US Equity", "IS_COMP_EPS_GAAP", "FPR=2021Y", "FPT=A", "FA_ACT_EST_DATA=E, EST_SOURCE=RWB", "ACT_EST_MAPPING=PRECISE", "FS=MRC", "CURRENCY=USD", "XLFILL=b")</f>
        <v>#N/A Requesting Data...</v>
      </c>
      <c r="AM134" s="6" t="str">
        <f>_xll.BQL("NOW US Equity", "IS_COMP_EPS_GAAP", "FPR=2021Y", "FPT=A", "FA_ACT_EST_DATA=E, EST_SOURCE=DZB", "ACT_EST_MAPPING=PRECISE", "FS=MRC", "CURRENCY=USD", "XLFILL=b")</f>
        <v>#N/A Requesting Data...</v>
      </c>
      <c r="AN134" s="6" t="str">
        <f>_xll.BQL("NOW US Equity", "IS_COMP_EPS_GAAP", "FPR=2021Y", "FPT=A", "FA_ACT_EST_DATA=E, EST_SOURCE=DWI", "ACT_EST_MAPPING=PRECISE", "FS=MRC", "CURRENCY=USD", "XLFILL=b")</f>
        <v>#N/A Requesting Data...</v>
      </c>
      <c r="AO134" s="6" t="str">
        <f>_xll.BQL("NOW US Equity", "IS_COMP_EPS_GAAP", "FPR=2021Y", "FPT=A", "FA_ACT_EST_DATA=E, EST_SOURCE=ARG", "ACT_EST_MAPPING=PRECISE", "FS=MRC", "CURRENCY=USD", "XLFILL=b")</f>
        <v>#N/A Requesting Data...</v>
      </c>
      <c r="AP134" s="6" t="str">
        <f>_xll.BQL("NOW US Equity", "IS_COMP_EPS_GAAP", "FPR=2021Y", "FPT=A", "FA_ACT_EST_DATA=E, EST_SOURCE=CTI", "ACT_EST_MAPPING=PRECISE", "FS=MRC", "CURRENCY=USD", "XLFILL=b")</f>
        <v>#N/A Requesting Data...</v>
      </c>
      <c r="AQ134" s="6" t="str">
        <f>_xll.BQL("NOW US Equity", "IS_COMP_EPS_GAAP", "FPR=2021Y", "FPT=A", "FA_ACT_EST_DATA=E, EST_SOURCE=WFT", "ACT_EST_MAPPING=PRECISE", "FS=MRC", "CURRENCY=USD", "XLFILL=b")</f>
        <v>#N/A Requesting Data...</v>
      </c>
      <c r="AR134" s="6" t="str">
        <f>_xll.BQL("NOW US Equity", "IS_COMP_EPS_GAAP", "FPR=2021Y", "FPT=A", "FA_ACT_EST_DATA=E, EST_SOURCE=ARE", "ACT_EST_MAPPING=PRECISE", "FS=MRC", "CURRENCY=USD", "XLFILL=b")</f>
        <v>#N/A Requesting Data...</v>
      </c>
      <c r="AS134" s="6" t="str">
        <f>_xll.BQL("NOW US Equity", "IS_COMP_EPS_GAAP", "FPR=2021Y", "FPT=A", "FA_ACT_EST_DATA=E, EST_SOURCE=PJE", "ACT_EST_MAPPING=PRECISE", "FS=MRC", "CURRENCY=USD", "XLFILL=b")</f>
        <v>#N/A Requesting Data...</v>
      </c>
      <c r="AT134" s="6" t="str">
        <f>_xll.BQL("NOW US Equity", "IS_COMP_EPS_GAAP", "FPR=2021Y", "FPT=A", "FA_ACT_EST_DATA=E, EST_SOURCE=MZS", "ACT_EST_MAPPING=PRECISE", "FS=MRC", "CURRENCY=USD", "XLFILL=b")</f>
        <v>#N/A Requesting Data...</v>
      </c>
      <c r="AU134" s="6" t="str">
        <f>_xll.BQL("NOW US Equity", "IS_COMP_EPS_GAAP", "FPR=2021Y", "FPT=A", "FA_ACT_EST_DATA=E, EST_SOURCE=SUM", "ACT_EST_MAPPING=PRECISE", "FS=MRC", "CURRENCY=USD", "XLFILL=b")</f>
        <v>#N/A Requesting Data...</v>
      </c>
      <c r="AV134" s="6" t="str">
        <f>_xll.BQL("NOW US Equity", "IS_COMP_EPS_GAAP", "FPR=2021Y", "FPT=A", "FA_ACT_EST_DATA=E, EST_SOURCE=CRC", "ACT_EST_MAPPING=PRECISE", "FS=MRC", "CURRENCY=USD", "XLFILL=b")</f>
        <v>#N/A Requesting Data...</v>
      </c>
      <c r="AW134" s="6" t="str">
        <f>_xll.BQL("NOW US Equity", "IS_COMP_EPS_GAAP", "FPR=2021Y", "FPT=A", "FA_ACT_EST_DATA=E, EST_SOURCE=SCB", "ACT_EST_MAPPING=PRECISE", "FS=MRC", "CURRENCY=USD", "XLFILL=b")</f>
        <v>#N/A Requesting Data...</v>
      </c>
    </row>
    <row r="135" spans="1:49" x14ac:dyDescent="0.55000000000000004">
      <c r="A135" s="5" t="s">
        <v>23</v>
      </c>
      <c r="B135" s="2"/>
      <c r="C135" s="2"/>
      <c r="D135" s="2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</row>
    <row r="136" spans="1:49" x14ac:dyDescent="0.55000000000000004">
      <c r="A136" s="5" t="s">
        <v>222</v>
      </c>
      <c r="B136" s="2"/>
      <c r="C136" s="2" t="s">
        <v>223</v>
      </c>
      <c r="D136" s="2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</row>
    <row r="137" spans="1:49" x14ac:dyDescent="0.55000000000000004">
      <c r="A137" s="5" t="s">
        <v>224</v>
      </c>
      <c r="B137" s="2" t="s">
        <v>225</v>
      </c>
      <c r="C137" s="2" t="s">
        <v>226</v>
      </c>
      <c r="D137" s="2"/>
      <c r="E137" s="6" t="str">
        <f>_xll.BQL("NOW US Equity", "CF_STOCK_BASED_COMPENSATION/1M", "FPR=2021Y", "FPT=A", "FA_ACT_EST_DATA=E", "ACT_EST_MAPPING=PRECISE", "FS=MRC", "CURRENCY=USD", "XLFILL=b")</f>
        <v>#N/A Requesting Data...</v>
      </c>
      <c r="F137" s="6" t="str">
        <f>_xll.BQL("NOW US Equity", "CONTRIBUTOR_STATS(CF_STOCK_BASED_COMPENSATION, MIN)/1M", "FPR=2021Y", "FPT=A", "FA_ACT_EST_DATA=E", "ACT_EST_MAPPING=PRECISE", "FS=MRC", "CURRENCY=USD", "XLFILL=b")</f>
        <v>#N/A Requesting Data...</v>
      </c>
      <c r="G137" s="6" t="str">
        <f>_xll.BQL("NOW US Equity", "CONTRIBUTOR_STATS(CF_STOCK_BASED_COMPENSATION, MAX)/1M", "FPR=2021Y", "FPT=A", "FA_ACT_EST_DATA=E", "ACT_EST_MAPPING=PRECISE", "FS=MRC", "CURRENCY=USD", "XLFILL=b")</f>
        <v>#N/A Requesting Data...</v>
      </c>
      <c r="H137" s="6" t="str">
        <f>_xll.BQL("NOW US Equity", "CONTRIBUTOR_STATS(CF_STOCK_BASED_COMPENSATION, STD)/1M", "FPR=2021Y", "FPT=A", "FA_ACT_EST_DATA=E", "ACT_EST_MAPPING=PRECISE", "FS=MRC", "CURRENCY=USD", "XLFILL=b")</f>
        <v>#N/A Requesting Data...</v>
      </c>
      <c r="I137" s="6" t="str">
        <f>_xll.BQL("NOW US Equity", "CONTRIBUTOR_STATS(CF_STOCK_BASED_COMPENSATION, MEDIAN)/1M", "FPR=2021Y", "FPT=A", "FA_ACT_EST_DATA=E", "ACT_EST_MAPPING=PRECISE", "FS=MRC", "CURRENCY=USD", "XLFILL=b")</f>
        <v>#N/A Requesting Data...</v>
      </c>
      <c r="J137" s="6" t="str">
        <f>_xll.BQL("NOW US Equity", "CF_STOCK_BASED_COMPENSATION/1M", "FPR=2021Y", "FPT=A", "FA_ACT_EST_DATA=E, EST_SOURCE=CMPY", "ACT_EST_MAPPING=PRECISE", "FS=MRC", "CURRENCY=USD", "XLFILL=b")</f>
        <v>#N/A Requesting Data...</v>
      </c>
      <c r="K137" s="6" t="str">
        <f>_xll.BQL("NOW US Equity", "CF_STOCK_BASED_COMPENSATION/1M", "FPR=2021Y", "FPT=A", "FA_ACT_EST_DATA=E, EST_SOURCE=JPM", "ACT_EST_MAPPING=PRECISE", "FS=MRC", "CURRENCY=USD", "XLFILL=b")</f>
        <v>#N/A Requesting Data...</v>
      </c>
      <c r="L137" s="6" t="str">
        <f>_xll.BQL("NOW US Equity", "CF_STOCK_BASED_COMPENSATION/1M", "FPR=2021Y", "FPT=A", "FA_ACT_EST_DATA=E, EST_SOURCE=WBL", "ACT_EST_MAPPING=PRECISE", "FS=MRC", "CURRENCY=USD", "XLFILL=b")</f>
        <v>#N/A Requesting Data...</v>
      </c>
      <c r="M137" s="6" t="str">
        <f>_xll.BQL("NOW US Equity", "CF_STOCK_BASED_COMPENSATION/1M", "FPR=2021Y", "FPT=A", "FA_ACT_EST_DATA=E, EST_SOURCE=KEY", "ACT_EST_MAPPING=PRECISE", "FS=MRC", "CURRENCY=USD", "XLFILL=b")</f>
        <v>#N/A Requesting Data...</v>
      </c>
      <c r="N137" s="6" t="str">
        <f>_xll.BQL("NOW US Equity", "CF_STOCK_BASED_COMPENSATION/1M", "FPR=2021Y", "FPT=A", "FA_ACT_EST_DATA=E, EST_SOURCE=BMO", "ACT_EST_MAPPING=PRECISE", "FS=MRC", "CURRENCY=USD", "XLFILL=b")</f>
        <v>#N/A Requesting Data...</v>
      </c>
      <c r="O137" s="6" t="str">
        <f>_xll.BQL("NOW US Equity", "CF_STOCK_BASED_COMPENSATION/1M", "FPR=2021Y", "FPT=A", "FA_ACT_EST_DATA=E, EST_SOURCE=OPY", "ACT_EST_MAPPING=PRECISE", "FS=MRC", "CURRENCY=USD", "XLFILL=b")</f>
        <v>#N/A Requesting Data...</v>
      </c>
      <c r="P137" s="6" t="str">
        <f>_xll.BQL("NOW US Equity", "CF_STOCK_BASED_COMPENSATION/1M", "FPR=2021Y", "FPT=A", "FA_ACT_EST_DATA=E, EST_SOURCE=BCA", "ACT_EST_MAPPING=PRECISE", "FS=MRC", "CURRENCY=USD", "XLFILL=b")</f>
        <v>#N/A Requesting Data...</v>
      </c>
      <c r="Q137" s="6" t="str">
        <f>_xll.BQL("NOW US Equity", "CF_STOCK_BASED_COMPENSATION/1M", "FPR=2021Y", "FPT=A", "FA_ACT_EST_DATA=E, EST_SOURCE=RHR", "ACT_EST_MAPPING=PRECISE", "FS=MRC", "CURRENCY=USD", "XLFILL=b")</f>
        <v>#N/A Requesting Data...</v>
      </c>
      <c r="R137" s="6" t="str">
        <f>_xll.BQL("NOW US Equity", "CF_STOCK_BASED_COMPENSATION/1M", "FPR=2021Y", "FPT=A", "FA_ACT_EST_DATA=E, EST_SOURCE=SNR", "ACT_EST_MAPPING=PRECISE", "FS=MRC", "CURRENCY=USD", "XLFILL=b")</f>
        <v>#N/A Requesting Data...</v>
      </c>
      <c r="S137" s="6" t="str">
        <f>_xll.BQL("NOW US Equity", "CF_STOCK_BASED_COMPENSATION/1M", "FPR=2021Y", "FPT=A", "FA_ACT_EST_DATA=E, EST_SOURCE=MSV", "ACT_EST_MAPPING=PRECISE", "FS=MRC", "CURRENCY=USD", "XLFILL=b")</f>
        <v>#N/A Requesting Data...</v>
      </c>
      <c r="T137" s="6" t="str">
        <f>_xll.BQL("NOW US Equity", "CF_STOCK_BASED_COMPENSATION/1M", "FPR=2021Y", "FPT=A", "FA_ACT_EST_DATA=E, EST_SOURCE=CAN", "ACT_EST_MAPPING=PRECISE", "FS=MRC", "CURRENCY=USD", "XLFILL=b")</f>
        <v>#N/A Requesting Data...</v>
      </c>
      <c r="U137" s="6" t="str">
        <f>_xll.BQL("NOW US Equity", "CF_STOCK_BASED_COMPENSATION/1M", "FPR=2021Y", "FPT=A", "FA_ACT_EST_DATA=E, EST_SOURCE=JMP", "ACT_EST_MAPPING=PRECISE", "FS=MRC", "CURRENCY=USD", "XLFILL=b")</f>
        <v>#N/A Requesting Data...</v>
      </c>
      <c r="V137" s="6" t="str">
        <f>_xll.BQL("NOW US Equity", "CF_STOCK_BASED_COMPENSATION/1M", "FPR=2021Y", "FPT=A", "FA_ACT_EST_DATA=E, EST_SOURCE=NDH", "ACT_EST_MAPPING=PRECISE", "FS=MRC", "CURRENCY=USD", "XLFILL=b")</f>
        <v>#N/A Requesting Data...</v>
      </c>
      <c r="W137" s="6" t="str">
        <f>_xll.BQL("NOW US Equity", "CF_STOCK_BASED_COMPENSATION/1M", "FPR=2021Y", "FPT=A", "FA_ACT_EST_DATA=E, EST_SOURCE=ZXS", "ACT_EST_MAPPING=PRECISE", "FS=MRC", "CURRENCY=USD", "XLFILL=b")</f>
        <v>#N/A Requesting Data...</v>
      </c>
      <c r="X137" s="6" t="str">
        <f>_xll.BQL("NOW US Equity", "CF_STOCK_BASED_COMPENSATION/1M", "FPR=2021Y", "FPT=A", "FA_ACT_EST_DATA=E, EST_SOURCE=CWN", "ACT_EST_MAPPING=PRECISE", "FS=MRC", "CURRENCY=USD", "XLFILL=b")</f>
        <v>#N/A Requesting Data...</v>
      </c>
      <c r="Y137" s="6" t="str">
        <f>_xll.BQL("NOW US Equity", "CF_STOCK_BASED_COMPENSATION/1M", "FPR=2021Y", "FPT=A", "FA_ACT_EST_DATA=E, EST_SOURCE=DBG", "ACT_EST_MAPPING=PRECISE", "FS=MRC", "CURRENCY=USD", "XLFILL=b")</f>
        <v>#N/A Requesting Data...</v>
      </c>
      <c r="Z137" s="6" t="str">
        <f>_xll.BQL("NOW US Equity", "CF_STOCK_BASED_COMPENSATION/1M", "FPR=2021Y", "FPT=A", "FA_ACT_EST_DATA=E, EST_SOURCE=UBS", "ACT_EST_MAPPING=PRECISE", "FS=MRC", "CURRENCY=USD", "XLFILL=b")</f>
        <v>#N/A Requesting Data...</v>
      </c>
      <c r="AA137" s="6" t="str">
        <f>_xll.BQL("NOW US Equity", "CF_STOCK_BASED_COMPENSATION/1M", "FPR=2021Y", "FPT=A", "FA_ACT_EST_DATA=E, EST_SOURCE=RBC", "ACT_EST_MAPPING=PRECISE", "FS=MRC", "CURRENCY=USD", "XLFILL=b")</f>
        <v>#N/A Requesting Data...</v>
      </c>
      <c r="AB137" s="6" t="str">
        <f>_xll.BQL("NOW US Equity", "CF_STOCK_BASED_COMPENSATION/1M", "FPR=2021Y", "FPT=A", "FA_ACT_EST_DATA=E, EST_SOURCE=EVR", "ACT_EST_MAPPING=PRECISE", "FS=MRC", "CURRENCY=USD", "XLFILL=b")</f>
        <v>#N/A Requesting Data...</v>
      </c>
      <c r="AC137" s="6" t="str">
        <f>_xll.BQL("NOW US Equity", "CF_STOCK_BASED_COMPENSATION/1M", "FPR=2021Y", "FPT=A", "FA_ACT_EST_DATA=E, EST_SOURCE=BNS", "ACT_EST_MAPPING=PRECISE", "FS=MRC", "CURRENCY=USD", "XLFILL=b")</f>
        <v>#N/A Requesting Data...</v>
      </c>
      <c r="AD137" s="6" t="str">
        <f>_xll.BQL("NOW US Equity", "CF_STOCK_BASED_COMPENSATION/1M", "FPR=2021Y", "FPT=A", "FA_ACT_EST_DATA=E, EST_SOURCE=BAM", "ACT_EST_MAPPING=PRECISE", "FS=MRC", "CURRENCY=USD", "XLFILL=b")</f>
        <v>#N/A Requesting Data...</v>
      </c>
      <c r="AE137" s="6" t="str">
        <f>_xll.BQL("NOW US Equity", "CF_STOCK_BASED_COMPENSATION/1M", "FPR=2021Y", "FPT=A", "FA_ACT_EST_DATA=E, EST_SOURCE=GSR", "ACT_EST_MAPPING=PRECISE", "FS=MRC", "CURRENCY=USD", "XLFILL=b")</f>
        <v>#N/A Requesting Data...</v>
      </c>
      <c r="AF137" s="6" t="str">
        <f>_xll.BQL("NOW US Equity", "CF_STOCK_BASED_COMPENSATION/1M", "FPR=2021Y", "FPT=A", "FA_ACT_EST_DATA=E, EST_SOURCE=FBC", "ACT_EST_MAPPING=PRECISE", "FS=MRC", "CURRENCY=USD", "XLFILL=b")</f>
        <v>#N/A Requesting Data...</v>
      </c>
      <c r="AG137" s="6" t="str">
        <f>_xll.BQL("NOW US Equity", "CF_STOCK_BASED_COMPENSATION/1M", "FPR=2021Y", "FPT=A", "FA_ACT_EST_DATA=E, EST_SOURCE=MAC", "ACT_EST_MAPPING=PRECISE", "FS=MRC", "CURRENCY=USD", "XLFILL=b")</f>
        <v>#N/A Requesting Data...</v>
      </c>
      <c r="AH137" s="6" t="str">
        <f>_xll.BQL("NOW US Equity", "CF_STOCK_BASED_COMPENSATION/1M", "FPR=2021Y", "FPT=A", "FA_ACT_EST_DATA=E, EST_SOURCE=PSG", "ACT_EST_MAPPING=PRECISE", "FS=MRC", "CURRENCY=USD", "XLFILL=b")</f>
        <v>#N/A Requesting Data...</v>
      </c>
      <c r="AI137" s="6" t="str">
        <f>_xll.BQL("NOW US Equity", "CF_STOCK_BASED_COMPENSATION/1M", "FPR=2021Y", "FPT=A", "FA_ACT_EST_DATA=E, EST_SOURCE=MSR", "ACT_EST_MAPPING=PRECISE", "FS=MRC", "CURRENCY=USD", "XLFILL=b")</f>
        <v>#N/A Requesting Data...</v>
      </c>
      <c r="AJ137" s="6" t="str">
        <f>_xll.BQL("NOW US Equity", "CF_STOCK_BASED_COMPENSATION/1M", "FPR=2021Y", "FPT=A", "FA_ACT_EST_DATA=E, EST_SOURCE=JEF", "ACT_EST_MAPPING=PRECISE", "FS=MRC", "CURRENCY=USD", "XLFILL=b")</f>
        <v>#N/A Requesting Data...</v>
      </c>
      <c r="AK137" s="6" t="str">
        <f>_xll.BQL("NOW US Equity", "CF_STOCK_BASED_COMPENSATION/1M", "FPR=2021Y", "FPT=A", "FA_ACT_EST_DATA=E, EST_SOURCE=TTC", "ACT_EST_MAPPING=PRECISE", "FS=MRC", "CURRENCY=USD", "XLFILL=b")</f>
        <v>#N/A Requesting Data...</v>
      </c>
      <c r="AL137" s="6" t="str">
        <f>_xll.BQL("NOW US Equity", "CF_STOCK_BASED_COMPENSATION/1M", "FPR=2021Y", "FPT=A", "FA_ACT_EST_DATA=E, EST_SOURCE=RWB", "ACT_EST_MAPPING=PRECISE", "FS=MRC", "CURRENCY=USD", "XLFILL=b")</f>
        <v>#N/A Requesting Data...</v>
      </c>
      <c r="AM137" s="6" t="str">
        <f>_xll.BQL("NOW US Equity", "CF_STOCK_BASED_COMPENSATION/1M", "FPR=2021Y", "FPT=A", "FA_ACT_EST_DATA=E, EST_SOURCE=DZB", "ACT_EST_MAPPING=PRECISE", "FS=MRC", "CURRENCY=USD", "XLFILL=b")</f>
        <v>#N/A Requesting Data...</v>
      </c>
      <c r="AN137" s="6" t="str">
        <f>_xll.BQL("NOW US Equity", "CF_STOCK_BASED_COMPENSATION/1M", "FPR=2021Y", "FPT=A", "FA_ACT_EST_DATA=E, EST_SOURCE=DWI", "ACT_EST_MAPPING=PRECISE", "FS=MRC", "CURRENCY=USD", "XLFILL=b")</f>
        <v>#N/A Requesting Data...</v>
      </c>
      <c r="AO137" s="6" t="str">
        <f>_xll.BQL("NOW US Equity", "CF_STOCK_BASED_COMPENSATION/1M", "FPR=2021Y", "FPT=A", "FA_ACT_EST_DATA=E, EST_SOURCE=ARG", "ACT_EST_MAPPING=PRECISE", "FS=MRC", "CURRENCY=USD", "XLFILL=b")</f>
        <v>#N/A Requesting Data...</v>
      </c>
      <c r="AP137" s="6" t="str">
        <f>_xll.BQL("NOW US Equity", "CF_STOCK_BASED_COMPENSATION/1M", "FPR=2021Y", "FPT=A", "FA_ACT_EST_DATA=E, EST_SOURCE=CTI", "ACT_EST_MAPPING=PRECISE", "FS=MRC", "CURRENCY=USD", "XLFILL=b")</f>
        <v>#N/A Requesting Data...</v>
      </c>
      <c r="AQ137" s="6" t="str">
        <f>_xll.BQL("NOW US Equity", "CF_STOCK_BASED_COMPENSATION/1M", "FPR=2021Y", "FPT=A", "FA_ACT_EST_DATA=E, EST_SOURCE=WFT", "ACT_EST_MAPPING=PRECISE", "FS=MRC", "CURRENCY=USD", "XLFILL=b")</f>
        <v>#N/A Requesting Data...</v>
      </c>
      <c r="AR137" s="6" t="str">
        <f>_xll.BQL("NOW US Equity", "CF_STOCK_BASED_COMPENSATION/1M", "FPR=2021Y", "FPT=A", "FA_ACT_EST_DATA=E, EST_SOURCE=ARE", "ACT_EST_MAPPING=PRECISE", "FS=MRC", "CURRENCY=USD", "XLFILL=b")</f>
        <v>#N/A Requesting Data...</v>
      </c>
      <c r="AS137" s="6" t="str">
        <f>_xll.BQL("NOW US Equity", "CF_STOCK_BASED_COMPENSATION/1M", "FPR=2021Y", "FPT=A", "FA_ACT_EST_DATA=E, EST_SOURCE=PJE", "ACT_EST_MAPPING=PRECISE", "FS=MRC", "CURRENCY=USD", "XLFILL=b")</f>
        <v>#N/A Requesting Data...</v>
      </c>
      <c r="AT137" s="6" t="str">
        <f>_xll.BQL("NOW US Equity", "CF_STOCK_BASED_COMPENSATION/1M", "FPR=2021Y", "FPT=A", "FA_ACT_EST_DATA=E, EST_SOURCE=MZS", "ACT_EST_MAPPING=PRECISE", "FS=MRC", "CURRENCY=USD", "XLFILL=b")</f>
        <v>#N/A Requesting Data...</v>
      </c>
      <c r="AU137" s="6" t="str">
        <f>_xll.BQL("NOW US Equity", "CF_STOCK_BASED_COMPENSATION/1M", "FPR=2021Y", "FPT=A", "FA_ACT_EST_DATA=E, EST_SOURCE=SUM", "ACT_EST_MAPPING=PRECISE", "FS=MRC", "CURRENCY=USD", "XLFILL=b")</f>
        <v>#N/A Requesting Data...</v>
      </c>
      <c r="AV137" s="6" t="str">
        <f>_xll.BQL("NOW US Equity", "CF_STOCK_BASED_COMPENSATION/1M", "FPR=2021Y", "FPT=A", "FA_ACT_EST_DATA=E, EST_SOURCE=CRC", "ACT_EST_MAPPING=PRECISE", "FS=MRC", "CURRENCY=USD", "XLFILL=b")</f>
        <v>#N/A Requesting Data...</v>
      </c>
      <c r="AW137" s="6" t="str">
        <f>_xll.BQL("NOW US Equity", "CF_STOCK_BASED_COMPENSATION/1M", "FPR=2021Y", "FPT=A", "FA_ACT_EST_DATA=E, EST_SOURCE=SCB", "ACT_EST_MAPPING=PRECISE", "FS=MRC", "CURRENCY=USD", "XLFILL=b")</f>
        <v>#N/A Requesting Data...</v>
      </c>
    </row>
    <row r="138" spans="1:49" x14ac:dyDescent="0.55000000000000004">
      <c r="A138" s="5" t="s">
        <v>104</v>
      </c>
      <c r="B138" s="2" t="s">
        <v>227</v>
      </c>
      <c r="C138" s="2" t="s">
        <v>63</v>
      </c>
      <c r="D138" s="2"/>
      <c r="E138" s="6" t="str">
        <f>_xll.BQL("NOW US Equity", "SBC_NON_GAAP_TO_SALES", "FPR=2021Y", "FPT=A", "FA_ACT_EST_DATA=E", "ACT_EST_MAPPING=PRECISE", "FS=MRC", "CURRENCY=USD", "XLFILL=b")</f>
        <v>#N/A Requesting Data...</v>
      </c>
      <c r="F138" s="6" t="str">
        <f>_xll.BQL("NOW US Equity", "CONTRIBUTOR_STATS(SBC_NON_GAAP_TO_SALES, MIN)", "FPR=2021Y", "FPT=A", "FA_ACT_EST_DATA=E", "ACT_EST_MAPPING=PRECISE", "FS=MRC", "CURRENCY=USD", "XLFILL=b")</f>
        <v>#N/A Requesting Data...</v>
      </c>
      <c r="G138" s="6" t="str">
        <f>_xll.BQL("NOW US Equity", "CONTRIBUTOR_STATS(SBC_NON_GAAP_TO_SALES, MAX)", "FPR=2021Y", "FPT=A", "FA_ACT_EST_DATA=E", "ACT_EST_MAPPING=PRECISE", "FS=MRC", "CURRENCY=USD", "XLFILL=b")</f>
        <v>#N/A Requesting Data...</v>
      </c>
      <c r="H138" s="6" t="str">
        <f>_xll.BQL("NOW US Equity", "CONTRIBUTOR_STATS(SBC_NON_GAAP_TO_SALES, STD)", "FPR=2021Y", "FPT=A", "FA_ACT_EST_DATA=E", "ACT_EST_MAPPING=PRECISE", "FS=MRC", "CURRENCY=USD", "XLFILL=b")</f>
        <v>#N/A Requesting Data...</v>
      </c>
      <c r="I138" s="6" t="str">
        <f>_xll.BQL("NOW US Equity", "CONTRIBUTOR_STATS(SBC_NON_GAAP_TO_SALES, MEDIAN)", "FPR=2021Y", "FPT=A", "FA_ACT_EST_DATA=E", "ACT_EST_MAPPING=PRECISE", "FS=MRC", "CURRENCY=USD", "XLFILL=b")</f>
        <v>#N/A Requesting Data...</v>
      </c>
      <c r="J138" s="6" t="str">
        <f>_xll.BQL("NOW US Equity", "SBC_NON_GAAP_TO_SALES", "FPR=2021Y", "FPT=A", "FA_ACT_EST_DATA=E, EST_SOURCE=CMPY", "ACT_EST_MAPPING=PRECISE", "FS=MRC", "CURRENCY=USD", "XLFILL=b")</f>
        <v>#N/A Requesting Data...</v>
      </c>
      <c r="K138" s="6" t="str">
        <f>_xll.BQL("NOW US Equity", "SBC_NON_GAAP_TO_SALES", "FPR=2021Y", "FPT=A", "FA_ACT_EST_DATA=E, EST_SOURCE=JPM", "ACT_EST_MAPPING=PRECISE", "FS=MRC", "CURRENCY=USD", "XLFILL=b")</f>
        <v>#N/A Requesting Data...</v>
      </c>
      <c r="L138" s="6" t="str">
        <f>_xll.BQL("NOW US Equity", "SBC_NON_GAAP_TO_SALES", "FPR=2021Y", "FPT=A", "FA_ACT_EST_DATA=E, EST_SOURCE=WBL", "ACT_EST_MAPPING=PRECISE", "FS=MRC", "CURRENCY=USD", "XLFILL=b")</f>
        <v>#N/A Requesting Data...</v>
      </c>
      <c r="M138" s="6" t="str">
        <f>_xll.BQL("NOW US Equity", "SBC_NON_GAAP_TO_SALES", "FPR=2021Y", "FPT=A", "FA_ACT_EST_DATA=E, EST_SOURCE=KEY", "ACT_EST_MAPPING=PRECISE", "FS=MRC", "CURRENCY=USD", "XLFILL=b")</f>
        <v>#N/A Requesting Data...</v>
      </c>
      <c r="N138" s="6" t="str">
        <f>_xll.BQL("NOW US Equity", "SBC_NON_GAAP_TO_SALES", "FPR=2021Y", "FPT=A", "FA_ACT_EST_DATA=E, EST_SOURCE=BMO", "ACT_EST_MAPPING=PRECISE", "FS=MRC", "CURRENCY=USD", "XLFILL=b")</f>
        <v>#N/A Requesting Data...</v>
      </c>
      <c r="O138" s="6" t="str">
        <f>_xll.BQL("NOW US Equity", "SBC_NON_GAAP_TO_SALES", "FPR=2021Y", "FPT=A", "FA_ACT_EST_DATA=E, EST_SOURCE=OPY", "ACT_EST_MAPPING=PRECISE", "FS=MRC", "CURRENCY=USD", "XLFILL=b")</f>
        <v>#N/A Requesting Data...</v>
      </c>
      <c r="P138" s="6" t="str">
        <f>_xll.BQL("NOW US Equity", "SBC_NON_GAAP_TO_SALES", "FPR=2021Y", "FPT=A", "FA_ACT_EST_DATA=E, EST_SOURCE=BCA", "ACT_EST_MAPPING=PRECISE", "FS=MRC", "CURRENCY=USD", "XLFILL=b")</f>
        <v>#N/A Requesting Data...</v>
      </c>
      <c r="Q138" s="6" t="str">
        <f>_xll.BQL("NOW US Equity", "SBC_NON_GAAP_TO_SALES", "FPR=2021Y", "FPT=A", "FA_ACT_EST_DATA=E, EST_SOURCE=RHR", "ACT_EST_MAPPING=PRECISE", "FS=MRC", "CURRENCY=USD", "XLFILL=b")</f>
        <v>#N/A Requesting Data...</v>
      </c>
      <c r="R138" s="6" t="str">
        <f>_xll.BQL("NOW US Equity", "SBC_NON_GAAP_TO_SALES", "FPR=2021Y", "FPT=A", "FA_ACT_EST_DATA=E, EST_SOURCE=SNR", "ACT_EST_MAPPING=PRECISE", "FS=MRC", "CURRENCY=USD", "XLFILL=b")</f>
        <v>#N/A Requesting Data...</v>
      </c>
      <c r="S138" s="6" t="str">
        <f>_xll.BQL("NOW US Equity", "SBC_NON_GAAP_TO_SALES", "FPR=2021Y", "FPT=A", "FA_ACT_EST_DATA=E, EST_SOURCE=MSV", "ACT_EST_MAPPING=PRECISE", "FS=MRC", "CURRENCY=USD", "XLFILL=b")</f>
        <v>#N/A Requesting Data...</v>
      </c>
      <c r="T138" s="6" t="str">
        <f>_xll.BQL("NOW US Equity", "SBC_NON_GAAP_TO_SALES", "FPR=2021Y", "FPT=A", "FA_ACT_EST_DATA=E, EST_SOURCE=CAN", "ACT_EST_MAPPING=PRECISE", "FS=MRC", "CURRENCY=USD", "XLFILL=b")</f>
        <v>#N/A Requesting Data...</v>
      </c>
      <c r="U138" s="6" t="str">
        <f>_xll.BQL("NOW US Equity", "SBC_NON_GAAP_TO_SALES", "FPR=2021Y", "FPT=A", "FA_ACT_EST_DATA=E, EST_SOURCE=JMP", "ACT_EST_MAPPING=PRECISE", "FS=MRC", "CURRENCY=USD", "XLFILL=b")</f>
        <v>#N/A Requesting Data...</v>
      </c>
      <c r="V138" s="6" t="str">
        <f>_xll.BQL("NOW US Equity", "SBC_NON_GAAP_TO_SALES", "FPR=2021Y", "FPT=A", "FA_ACT_EST_DATA=E, EST_SOURCE=NDH", "ACT_EST_MAPPING=PRECISE", "FS=MRC", "CURRENCY=USD", "XLFILL=b")</f>
        <v>#N/A Requesting Data...</v>
      </c>
      <c r="W138" s="6" t="str">
        <f>_xll.BQL("NOW US Equity", "SBC_NON_GAAP_TO_SALES", "FPR=2021Y", "FPT=A", "FA_ACT_EST_DATA=E, EST_SOURCE=ZXS", "ACT_EST_MAPPING=PRECISE", "FS=MRC", "CURRENCY=USD", "XLFILL=b")</f>
        <v>#N/A Requesting Data...</v>
      </c>
      <c r="X138" s="6" t="str">
        <f>_xll.BQL("NOW US Equity", "SBC_NON_GAAP_TO_SALES", "FPR=2021Y", "FPT=A", "FA_ACT_EST_DATA=E, EST_SOURCE=CWN", "ACT_EST_MAPPING=PRECISE", "FS=MRC", "CURRENCY=USD", "XLFILL=b")</f>
        <v>#N/A Requesting Data...</v>
      </c>
      <c r="Y138" s="6" t="str">
        <f>_xll.BQL("NOW US Equity", "SBC_NON_GAAP_TO_SALES", "FPR=2021Y", "FPT=A", "FA_ACT_EST_DATA=E, EST_SOURCE=DBG", "ACT_EST_MAPPING=PRECISE", "FS=MRC", "CURRENCY=USD", "XLFILL=b")</f>
        <v>#N/A Requesting Data...</v>
      </c>
      <c r="Z138" s="6" t="str">
        <f>_xll.BQL("NOW US Equity", "SBC_NON_GAAP_TO_SALES", "FPR=2021Y", "FPT=A", "FA_ACT_EST_DATA=E, EST_SOURCE=UBS", "ACT_EST_MAPPING=PRECISE", "FS=MRC", "CURRENCY=USD", "XLFILL=b")</f>
        <v>#N/A Requesting Data...</v>
      </c>
      <c r="AA138" s="6" t="str">
        <f>_xll.BQL("NOW US Equity", "SBC_NON_GAAP_TO_SALES", "FPR=2021Y", "FPT=A", "FA_ACT_EST_DATA=E, EST_SOURCE=RBC", "ACT_EST_MAPPING=PRECISE", "FS=MRC", "CURRENCY=USD", "XLFILL=b")</f>
        <v>#N/A Requesting Data...</v>
      </c>
      <c r="AB138" s="6" t="str">
        <f>_xll.BQL("NOW US Equity", "SBC_NON_GAAP_TO_SALES", "FPR=2021Y", "FPT=A", "FA_ACT_EST_DATA=E, EST_SOURCE=EVR", "ACT_EST_MAPPING=PRECISE", "FS=MRC", "CURRENCY=USD", "XLFILL=b")</f>
        <v>#N/A Requesting Data...</v>
      </c>
      <c r="AC138" s="6" t="str">
        <f>_xll.BQL("NOW US Equity", "SBC_NON_GAAP_TO_SALES", "FPR=2021Y", "FPT=A", "FA_ACT_EST_DATA=E, EST_SOURCE=BNS", "ACT_EST_MAPPING=PRECISE", "FS=MRC", "CURRENCY=USD", "XLFILL=b")</f>
        <v>#N/A Requesting Data...</v>
      </c>
      <c r="AD138" s="6" t="str">
        <f>_xll.BQL("NOW US Equity", "SBC_NON_GAAP_TO_SALES", "FPR=2021Y", "FPT=A", "FA_ACT_EST_DATA=E, EST_SOURCE=BAM", "ACT_EST_MAPPING=PRECISE", "FS=MRC", "CURRENCY=USD", "XLFILL=b")</f>
        <v>#N/A Requesting Data...</v>
      </c>
      <c r="AE138" s="6" t="str">
        <f>_xll.BQL("NOW US Equity", "SBC_NON_GAAP_TO_SALES", "FPR=2021Y", "FPT=A", "FA_ACT_EST_DATA=E, EST_SOURCE=GSR", "ACT_EST_MAPPING=PRECISE", "FS=MRC", "CURRENCY=USD", "XLFILL=b")</f>
        <v>#N/A Requesting Data...</v>
      </c>
      <c r="AF138" s="6" t="str">
        <f>_xll.BQL("NOW US Equity", "SBC_NON_GAAP_TO_SALES", "FPR=2021Y", "FPT=A", "FA_ACT_EST_DATA=E, EST_SOURCE=FBC", "ACT_EST_MAPPING=PRECISE", "FS=MRC", "CURRENCY=USD", "XLFILL=b")</f>
        <v>#N/A Requesting Data...</v>
      </c>
      <c r="AG138" s="6" t="str">
        <f>_xll.BQL("NOW US Equity", "SBC_NON_GAAP_TO_SALES", "FPR=2021Y", "FPT=A", "FA_ACT_EST_DATA=E, EST_SOURCE=MAC", "ACT_EST_MAPPING=PRECISE", "FS=MRC", "CURRENCY=USD", "XLFILL=b")</f>
        <v>#N/A Requesting Data...</v>
      </c>
      <c r="AH138" s="6" t="str">
        <f>_xll.BQL("NOW US Equity", "SBC_NON_GAAP_TO_SALES", "FPR=2021Y", "FPT=A", "FA_ACT_EST_DATA=E, EST_SOURCE=PSG", "ACT_EST_MAPPING=PRECISE", "FS=MRC", "CURRENCY=USD", "XLFILL=b")</f>
        <v>#N/A Requesting Data...</v>
      </c>
      <c r="AI138" s="6" t="str">
        <f>_xll.BQL("NOW US Equity", "SBC_NON_GAAP_TO_SALES", "FPR=2021Y", "FPT=A", "FA_ACT_EST_DATA=E, EST_SOURCE=MSR", "ACT_EST_MAPPING=PRECISE", "FS=MRC", "CURRENCY=USD", "XLFILL=b")</f>
        <v>#N/A Requesting Data...</v>
      </c>
      <c r="AJ138" s="6" t="str">
        <f>_xll.BQL("NOW US Equity", "SBC_NON_GAAP_TO_SALES", "FPR=2021Y", "FPT=A", "FA_ACT_EST_DATA=E, EST_SOURCE=JEF", "ACT_EST_MAPPING=PRECISE", "FS=MRC", "CURRENCY=USD", "XLFILL=b")</f>
        <v>#N/A Requesting Data...</v>
      </c>
      <c r="AK138" s="6" t="str">
        <f>_xll.BQL("NOW US Equity", "SBC_NON_GAAP_TO_SALES", "FPR=2021Y", "FPT=A", "FA_ACT_EST_DATA=E, EST_SOURCE=TTC", "ACT_EST_MAPPING=PRECISE", "FS=MRC", "CURRENCY=USD", "XLFILL=b")</f>
        <v>#N/A Requesting Data...</v>
      </c>
      <c r="AL138" s="6" t="str">
        <f>_xll.BQL("NOW US Equity", "SBC_NON_GAAP_TO_SALES", "FPR=2021Y", "FPT=A", "FA_ACT_EST_DATA=E, EST_SOURCE=RWB", "ACT_EST_MAPPING=PRECISE", "FS=MRC", "CURRENCY=USD", "XLFILL=b")</f>
        <v>#N/A Requesting Data...</v>
      </c>
      <c r="AM138" s="6" t="str">
        <f>_xll.BQL("NOW US Equity", "SBC_NON_GAAP_TO_SALES", "FPR=2021Y", "FPT=A", "FA_ACT_EST_DATA=E, EST_SOURCE=DZB", "ACT_EST_MAPPING=PRECISE", "FS=MRC", "CURRENCY=USD", "XLFILL=b")</f>
        <v>#N/A Requesting Data...</v>
      </c>
      <c r="AN138" s="6" t="str">
        <f>_xll.BQL("NOW US Equity", "SBC_NON_GAAP_TO_SALES", "FPR=2021Y", "FPT=A", "FA_ACT_EST_DATA=E, EST_SOURCE=DWI", "ACT_EST_MAPPING=PRECISE", "FS=MRC", "CURRENCY=USD", "XLFILL=b")</f>
        <v>#N/A Requesting Data...</v>
      </c>
      <c r="AO138" s="6" t="str">
        <f>_xll.BQL("NOW US Equity", "SBC_NON_GAAP_TO_SALES", "FPR=2021Y", "FPT=A", "FA_ACT_EST_DATA=E, EST_SOURCE=ARG", "ACT_EST_MAPPING=PRECISE", "FS=MRC", "CURRENCY=USD", "XLFILL=b")</f>
        <v>#N/A Requesting Data...</v>
      </c>
      <c r="AP138" s="6" t="str">
        <f>_xll.BQL("NOW US Equity", "SBC_NON_GAAP_TO_SALES", "FPR=2021Y", "FPT=A", "FA_ACT_EST_DATA=E, EST_SOURCE=CTI", "ACT_EST_MAPPING=PRECISE", "FS=MRC", "CURRENCY=USD", "XLFILL=b")</f>
        <v>#N/A Requesting Data...</v>
      </c>
      <c r="AQ138" s="6" t="str">
        <f>_xll.BQL("NOW US Equity", "SBC_NON_GAAP_TO_SALES", "FPR=2021Y", "FPT=A", "FA_ACT_EST_DATA=E, EST_SOURCE=WFT", "ACT_EST_MAPPING=PRECISE", "FS=MRC", "CURRENCY=USD", "XLFILL=b")</f>
        <v>#N/A Requesting Data...</v>
      </c>
      <c r="AR138" s="6" t="str">
        <f>_xll.BQL("NOW US Equity", "SBC_NON_GAAP_TO_SALES", "FPR=2021Y", "FPT=A", "FA_ACT_EST_DATA=E, EST_SOURCE=ARE", "ACT_EST_MAPPING=PRECISE", "FS=MRC", "CURRENCY=USD", "XLFILL=b")</f>
        <v>#N/A Requesting Data...</v>
      </c>
      <c r="AS138" s="6" t="str">
        <f>_xll.BQL("NOW US Equity", "SBC_NON_GAAP_TO_SALES", "FPR=2021Y", "FPT=A", "FA_ACT_EST_DATA=E, EST_SOURCE=PJE", "ACT_EST_MAPPING=PRECISE", "FS=MRC", "CURRENCY=USD", "XLFILL=b")</f>
        <v>#N/A Requesting Data...</v>
      </c>
      <c r="AT138" s="6" t="str">
        <f>_xll.BQL("NOW US Equity", "SBC_NON_GAAP_TO_SALES", "FPR=2021Y", "FPT=A", "FA_ACT_EST_DATA=E, EST_SOURCE=MZS", "ACT_EST_MAPPING=PRECISE", "FS=MRC", "CURRENCY=USD", "XLFILL=b")</f>
        <v>#N/A Requesting Data...</v>
      </c>
      <c r="AU138" s="6" t="str">
        <f>_xll.BQL("NOW US Equity", "SBC_NON_GAAP_TO_SALES", "FPR=2021Y", "FPT=A", "FA_ACT_EST_DATA=E, EST_SOURCE=SUM", "ACT_EST_MAPPING=PRECISE", "FS=MRC", "CURRENCY=USD", "XLFILL=b")</f>
        <v>#N/A Requesting Data...</v>
      </c>
      <c r="AV138" s="6" t="str">
        <f>_xll.BQL("NOW US Equity", "SBC_NON_GAAP_TO_SALES", "FPR=2021Y", "FPT=A", "FA_ACT_EST_DATA=E, EST_SOURCE=CRC", "ACT_EST_MAPPING=PRECISE", "FS=MRC", "CURRENCY=USD", "XLFILL=b")</f>
        <v>#N/A Requesting Data...</v>
      </c>
      <c r="AW138" s="6" t="str">
        <f>_xll.BQL("NOW US Equity", "SBC_NON_GAAP_TO_SALES", "FPR=2021Y", "FPT=A", "FA_ACT_EST_DATA=E, EST_SOURCE=SCB", "ACT_EST_MAPPING=PRECISE", "FS=MRC", "CURRENCY=USD", "XLFILL=b")</f>
        <v>#N/A Requesting Data...</v>
      </c>
    </row>
    <row r="139" spans="1:49" x14ac:dyDescent="0.55000000000000004">
      <c r="A139" s="5" t="s">
        <v>228</v>
      </c>
      <c r="B139" s="2" t="s">
        <v>229</v>
      </c>
      <c r="C139" s="2" t="s">
        <v>108</v>
      </c>
      <c r="D139" s="2"/>
      <c r="E139" s="6" t="str">
        <f>_xll.BQL("NOW US Equity", "IS_SBC_ATTRIB_TO_COGS_PRETX/1M", "FPR=2021Y", "FPT=A", "FA_ACT_EST_DATA=E", "ACT_EST_MAPPING=PRECISE", "FS=MRC", "CURRENCY=USD", "XLFILL=b")</f>
        <v>#N/A Requesting Data...</v>
      </c>
      <c r="F139" s="6" t="str">
        <f>_xll.BQL("NOW US Equity", "CONTRIBUTOR_STATS(IS_SBC_ATTRIB_TO_COGS_PRETX, MIN)/1M", "FPR=2021Y", "FPT=A", "FA_ACT_EST_DATA=E", "ACT_EST_MAPPING=PRECISE", "FS=MRC", "CURRENCY=USD", "XLFILL=b")</f>
        <v>#N/A Requesting Data...</v>
      </c>
      <c r="G139" s="6" t="str">
        <f>_xll.BQL("NOW US Equity", "CONTRIBUTOR_STATS(IS_SBC_ATTRIB_TO_COGS_PRETX, MAX)/1M", "FPR=2021Y", "FPT=A", "FA_ACT_EST_DATA=E", "ACT_EST_MAPPING=PRECISE", "FS=MRC", "CURRENCY=USD", "XLFILL=b")</f>
        <v>#N/A Requesting Data...</v>
      </c>
      <c r="H139" s="6" t="str">
        <f>_xll.BQL("NOW US Equity", "CONTRIBUTOR_STATS(IS_SBC_ATTRIB_TO_COGS_PRETX, STD)/1M", "FPR=2021Y", "FPT=A", "FA_ACT_EST_DATA=E", "ACT_EST_MAPPING=PRECISE", "FS=MRC", "CURRENCY=USD", "XLFILL=b")</f>
        <v>#N/A Requesting Data...</v>
      </c>
      <c r="I139" s="6" t="str">
        <f>_xll.BQL("NOW US Equity", "CONTRIBUTOR_STATS(IS_SBC_ATTRIB_TO_COGS_PRETX, MEDIAN)/1M", "FPR=2021Y", "FPT=A", "FA_ACT_EST_DATA=E", "ACT_EST_MAPPING=PRECISE", "FS=MRC", "CURRENCY=USD", "XLFILL=b")</f>
        <v>#N/A Requesting Data...</v>
      </c>
      <c r="J139" s="6" t="str">
        <f>_xll.BQL("NOW US Equity", "IS_SBC_ATTRIB_TO_COGS_PRETX/1M", "FPR=2021Y", "FPT=A", "FA_ACT_EST_DATA=E, EST_SOURCE=CMPY", "ACT_EST_MAPPING=PRECISE", "FS=MRC", "CURRENCY=USD", "XLFILL=b")</f>
        <v>#N/A Requesting Data...</v>
      </c>
      <c r="K139" s="6" t="str">
        <f>_xll.BQL("NOW US Equity", "IS_SBC_ATTRIB_TO_COGS_PRETX/1M", "FPR=2021Y", "FPT=A", "FA_ACT_EST_DATA=E, EST_SOURCE=JPM", "ACT_EST_MAPPING=PRECISE", "FS=MRC", "CURRENCY=USD", "XLFILL=b")</f>
        <v>#N/A Requesting Data...</v>
      </c>
      <c r="L139" s="6" t="str">
        <f>_xll.BQL("NOW US Equity", "IS_SBC_ATTRIB_TO_COGS_PRETX/1M", "FPR=2021Y", "FPT=A", "FA_ACT_EST_DATA=E, EST_SOURCE=WBL", "ACT_EST_MAPPING=PRECISE", "FS=MRC", "CURRENCY=USD", "XLFILL=b")</f>
        <v>#N/A Requesting Data...</v>
      </c>
      <c r="M139" s="6" t="str">
        <f>_xll.BQL("NOW US Equity", "IS_SBC_ATTRIB_TO_COGS_PRETX/1M", "FPR=2021Y", "FPT=A", "FA_ACT_EST_DATA=E, EST_SOURCE=KEY", "ACT_EST_MAPPING=PRECISE", "FS=MRC", "CURRENCY=USD", "XLFILL=b")</f>
        <v>#N/A Requesting Data...</v>
      </c>
      <c r="N139" s="6" t="str">
        <f>_xll.BQL("NOW US Equity", "IS_SBC_ATTRIB_TO_COGS_PRETX/1M", "FPR=2021Y", "FPT=A", "FA_ACT_EST_DATA=E, EST_SOURCE=BMO", "ACT_EST_MAPPING=PRECISE", "FS=MRC", "CURRENCY=USD", "XLFILL=b")</f>
        <v>#N/A Requesting Data...</v>
      </c>
      <c r="O139" s="6" t="str">
        <f>_xll.BQL("NOW US Equity", "IS_SBC_ATTRIB_TO_COGS_PRETX/1M", "FPR=2021Y", "FPT=A", "FA_ACT_EST_DATA=E, EST_SOURCE=OPY", "ACT_EST_MAPPING=PRECISE", "FS=MRC", "CURRENCY=USD", "XLFILL=b")</f>
        <v>#N/A Requesting Data...</v>
      </c>
      <c r="P139" s="6" t="str">
        <f>_xll.BQL("NOW US Equity", "IS_SBC_ATTRIB_TO_COGS_PRETX/1M", "FPR=2021Y", "FPT=A", "FA_ACT_EST_DATA=E, EST_SOURCE=BCA", "ACT_EST_MAPPING=PRECISE", "FS=MRC", "CURRENCY=USD", "XLFILL=b")</f>
        <v>#N/A Requesting Data...</v>
      </c>
      <c r="Q139" s="6" t="str">
        <f>_xll.BQL("NOW US Equity", "IS_SBC_ATTRIB_TO_COGS_PRETX/1M", "FPR=2021Y", "FPT=A", "FA_ACT_EST_DATA=E, EST_SOURCE=RHR", "ACT_EST_MAPPING=PRECISE", "FS=MRC", "CURRENCY=USD", "XLFILL=b")</f>
        <v>#N/A Requesting Data...</v>
      </c>
      <c r="R139" s="6" t="str">
        <f>_xll.BQL("NOW US Equity", "IS_SBC_ATTRIB_TO_COGS_PRETX/1M", "FPR=2021Y", "FPT=A", "FA_ACT_EST_DATA=E, EST_SOURCE=SNR", "ACT_EST_MAPPING=PRECISE", "FS=MRC", "CURRENCY=USD", "XLFILL=b")</f>
        <v>#N/A Requesting Data...</v>
      </c>
      <c r="S139" s="6" t="str">
        <f>_xll.BQL("NOW US Equity", "IS_SBC_ATTRIB_TO_COGS_PRETX/1M", "FPR=2021Y", "FPT=A", "FA_ACT_EST_DATA=E, EST_SOURCE=MSV", "ACT_EST_MAPPING=PRECISE", "FS=MRC", "CURRENCY=USD", "XLFILL=b")</f>
        <v>#N/A Requesting Data...</v>
      </c>
      <c r="T139" s="6" t="str">
        <f>_xll.BQL("NOW US Equity", "IS_SBC_ATTRIB_TO_COGS_PRETX/1M", "FPR=2021Y", "FPT=A", "FA_ACT_EST_DATA=E, EST_SOURCE=CAN", "ACT_EST_MAPPING=PRECISE", "FS=MRC", "CURRENCY=USD", "XLFILL=b")</f>
        <v>#N/A Requesting Data...</v>
      </c>
      <c r="U139" s="6" t="str">
        <f>_xll.BQL("NOW US Equity", "IS_SBC_ATTRIB_TO_COGS_PRETX/1M", "FPR=2021Y", "FPT=A", "FA_ACT_EST_DATA=E, EST_SOURCE=JMP", "ACT_EST_MAPPING=PRECISE", "FS=MRC", "CURRENCY=USD", "XLFILL=b")</f>
        <v>#N/A Requesting Data...</v>
      </c>
      <c r="V139" s="6" t="str">
        <f>_xll.BQL("NOW US Equity", "IS_SBC_ATTRIB_TO_COGS_PRETX/1M", "FPR=2021Y", "FPT=A", "FA_ACT_EST_DATA=E, EST_SOURCE=NDH", "ACT_EST_MAPPING=PRECISE", "FS=MRC", "CURRENCY=USD", "XLFILL=b")</f>
        <v>#N/A Requesting Data...</v>
      </c>
      <c r="W139" s="6" t="str">
        <f>_xll.BQL("NOW US Equity", "IS_SBC_ATTRIB_TO_COGS_PRETX/1M", "FPR=2021Y", "FPT=A", "FA_ACT_EST_DATA=E, EST_SOURCE=ZXS", "ACT_EST_MAPPING=PRECISE", "FS=MRC", "CURRENCY=USD", "XLFILL=b")</f>
        <v>#N/A Requesting Data...</v>
      </c>
      <c r="X139" s="6" t="str">
        <f>_xll.BQL("NOW US Equity", "IS_SBC_ATTRIB_TO_COGS_PRETX/1M", "FPR=2021Y", "FPT=A", "FA_ACT_EST_DATA=E, EST_SOURCE=CWN", "ACT_EST_MAPPING=PRECISE", "FS=MRC", "CURRENCY=USD", "XLFILL=b")</f>
        <v>#N/A Requesting Data...</v>
      </c>
      <c r="Y139" s="6" t="str">
        <f>_xll.BQL("NOW US Equity", "IS_SBC_ATTRIB_TO_COGS_PRETX/1M", "FPR=2021Y", "FPT=A", "FA_ACT_EST_DATA=E, EST_SOURCE=DBG", "ACT_EST_MAPPING=PRECISE", "FS=MRC", "CURRENCY=USD", "XLFILL=b")</f>
        <v>#N/A Requesting Data...</v>
      </c>
      <c r="Z139" s="6" t="str">
        <f>_xll.BQL("NOW US Equity", "IS_SBC_ATTRIB_TO_COGS_PRETX/1M", "FPR=2021Y", "FPT=A", "FA_ACT_EST_DATA=E, EST_SOURCE=UBS", "ACT_EST_MAPPING=PRECISE", "FS=MRC", "CURRENCY=USD", "XLFILL=b")</f>
        <v>#N/A Requesting Data...</v>
      </c>
      <c r="AA139" s="6" t="str">
        <f>_xll.BQL("NOW US Equity", "IS_SBC_ATTRIB_TO_COGS_PRETX/1M", "FPR=2021Y", "FPT=A", "FA_ACT_EST_DATA=E, EST_SOURCE=RBC", "ACT_EST_MAPPING=PRECISE", "FS=MRC", "CURRENCY=USD", "XLFILL=b")</f>
        <v>#N/A Requesting Data...</v>
      </c>
      <c r="AB139" s="6" t="str">
        <f>_xll.BQL("NOW US Equity", "IS_SBC_ATTRIB_TO_COGS_PRETX/1M", "FPR=2021Y", "FPT=A", "FA_ACT_EST_DATA=E, EST_SOURCE=EVR", "ACT_EST_MAPPING=PRECISE", "FS=MRC", "CURRENCY=USD", "XLFILL=b")</f>
        <v>#N/A Requesting Data...</v>
      </c>
      <c r="AC139" s="6" t="str">
        <f>_xll.BQL("NOW US Equity", "IS_SBC_ATTRIB_TO_COGS_PRETX/1M", "FPR=2021Y", "FPT=A", "FA_ACT_EST_DATA=E, EST_SOURCE=BNS", "ACT_EST_MAPPING=PRECISE", "FS=MRC", "CURRENCY=USD", "XLFILL=b")</f>
        <v>#N/A Requesting Data...</v>
      </c>
      <c r="AD139" s="6" t="str">
        <f>_xll.BQL("NOW US Equity", "IS_SBC_ATTRIB_TO_COGS_PRETX/1M", "FPR=2021Y", "FPT=A", "FA_ACT_EST_DATA=E, EST_SOURCE=BAM", "ACT_EST_MAPPING=PRECISE", "FS=MRC", "CURRENCY=USD", "XLFILL=b")</f>
        <v>#N/A Requesting Data...</v>
      </c>
      <c r="AE139" s="6" t="str">
        <f>_xll.BQL("NOW US Equity", "IS_SBC_ATTRIB_TO_COGS_PRETX/1M", "FPR=2021Y", "FPT=A", "FA_ACT_EST_DATA=E, EST_SOURCE=GSR", "ACT_EST_MAPPING=PRECISE", "FS=MRC", "CURRENCY=USD", "XLFILL=b")</f>
        <v>#N/A Requesting Data...</v>
      </c>
      <c r="AF139" s="6" t="str">
        <f>_xll.BQL("NOW US Equity", "IS_SBC_ATTRIB_TO_COGS_PRETX/1M", "FPR=2021Y", "FPT=A", "FA_ACT_EST_DATA=E, EST_SOURCE=FBC", "ACT_EST_MAPPING=PRECISE", "FS=MRC", "CURRENCY=USD", "XLFILL=b")</f>
        <v>#N/A Requesting Data...</v>
      </c>
      <c r="AG139" s="6" t="str">
        <f>_xll.BQL("NOW US Equity", "IS_SBC_ATTRIB_TO_COGS_PRETX/1M", "FPR=2021Y", "FPT=A", "FA_ACT_EST_DATA=E, EST_SOURCE=MAC", "ACT_EST_MAPPING=PRECISE", "FS=MRC", "CURRENCY=USD", "XLFILL=b")</f>
        <v>#N/A Requesting Data...</v>
      </c>
      <c r="AH139" s="6" t="str">
        <f>_xll.BQL("NOW US Equity", "IS_SBC_ATTRIB_TO_COGS_PRETX/1M", "FPR=2021Y", "FPT=A", "FA_ACT_EST_DATA=E, EST_SOURCE=PSG", "ACT_EST_MAPPING=PRECISE", "FS=MRC", "CURRENCY=USD", "XLFILL=b")</f>
        <v>#N/A Requesting Data...</v>
      </c>
      <c r="AI139" s="6" t="str">
        <f>_xll.BQL("NOW US Equity", "IS_SBC_ATTRIB_TO_COGS_PRETX/1M", "FPR=2021Y", "FPT=A", "FA_ACT_EST_DATA=E, EST_SOURCE=MSR", "ACT_EST_MAPPING=PRECISE", "FS=MRC", "CURRENCY=USD", "XLFILL=b")</f>
        <v>#N/A Requesting Data...</v>
      </c>
      <c r="AJ139" s="6" t="str">
        <f>_xll.BQL("NOW US Equity", "IS_SBC_ATTRIB_TO_COGS_PRETX/1M", "FPR=2021Y", "FPT=A", "FA_ACT_EST_DATA=E, EST_SOURCE=JEF", "ACT_EST_MAPPING=PRECISE", "FS=MRC", "CURRENCY=USD", "XLFILL=b")</f>
        <v>#N/A Requesting Data...</v>
      </c>
      <c r="AK139" s="6" t="str">
        <f>_xll.BQL("NOW US Equity", "IS_SBC_ATTRIB_TO_COGS_PRETX/1M", "FPR=2021Y", "FPT=A", "FA_ACT_EST_DATA=E, EST_SOURCE=TTC", "ACT_EST_MAPPING=PRECISE", "FS=MRC", "CURRENCY=USD", "XLFILL=b")</f>
        <v>#N/A Requesting Data...</v>
      </c>
      <c r="AL139" s="6" t="str">
        <f>_xll.BQL("NOW US Equity", "IS_SBC_ATTRIB_TO_COGS_PRETX/1M", "FPR=2021Y", "FPT=A", "FA_ACT_EST_DATA=E, EST_SOURCE=RWB", "ACT_EST_MAPPING=PRECISE", "FS=MRC", "CURRENCY=USD", "XLFILL=b")</f>
        <v>#N/A Requesting Data...</v>
      </c>
      <c r="AM139" s="6" t="str">
        <f>_xll.BQL("NOW US Equity", "IS_SBC_ATTRIB_TO_COGS_PRETX/1M", "FPR=2021Y", "FPT=A", "FA_ACT_EST_DATA=E, EST_SOURCE=DZB", "ACT_EST_MAPPING=PRECISE", "FS=MRC", "CURRENCY=USD", "XLFILL=b")</f>
        <v>#N/A Requesting Data...</v>
      </c>
      <c r="AN139" s="6" t="str">
        <f>_xll.BQL("NOW US Equity", "IS_SBC_ATTRIB_TO_COGS_PRETX/1M", "FPR=2021Y", "FPT=A", "FA_ACT_EST_DATA=E, EST_SOURCE=DWI", "ACT_EST_MAPPING=PRECISE", "FS=MRC", "CURRENCY=USD", "XLFILL=b")</f>
        <v>#N/A Requesting Data...</v>
      </c>
      <c r="AO139" s="6" t="str">
        <f>_xll.BQL("NOW US Equity", "IS_SBC_ATTRIB_TO_COGS_PRETX/1M", "FPR=2021Y", "FPT=A", "FA_ACT_EST_DATA=E, EST_SOURCE=ARG", "ACT_EST_MAPPING=PRECISE", "FS=MRC", "CURRENCY=USD", "XLFILL=b")</f>
        <v>#N/A Requesting Data...</v>
      </c>
      <c r="AP139" s="6" t="str">
        <f>_xll.BQL("NOW US Equity", "IS_SBC_ATTRIB_TO_COGS_PRETX/1M", "FPR=2021Y", "FPT=A", "FA_ACT_EST_DATA=E, EST_SOURCE=CTI", "ACT_EST_MAPPING=PRECISE", "FS=MRC", "CURRENCY=USD", "XLFILL=b")</f>
        <v>#N/A Requesting Data...</v>
      </c>
      <c r="AQ139" s="6" t="str">
        <f>_xll.BQL("NOW US Equity", "IS_SBC_ATTRIB_TO_COGS_PRETX/1M", "FPR=2021Y", "FPT=A", "FA_ACT_EST_DATA=E, EST_SOURCE=WFT", "ACT_EST_MAPPING=PRECISE", "FS=MRC", "CURRENCY=USD", "XLFILL=b")</f>
        <v>#N/A Requesting Data...</v>
      </c>
      <c r="AR139" s="6" t="str">
        <f>_xll.BQL("NOW US Equity", "IS_SBC_ATTRIB_TO_COGS_PRETX/1M", "FPR=2021Y", "FPT=A", "FA_ACT_EST_DATA=E, EST_SOURCE=ARE", "ACT_EST_MAPPING=PRECISE", "FS=MRC", "CURRENCY=USD", "XLFILL=b")</f>
        <v>#N/A Requesting Data...</v>
      </c>
      <c r="AS139" s="6" t="str">
        <f>_xll.BQL("NOW US Equity", "IS_SBC_ATTRIB_TO_COGS_PRETX/1M", "FPR=2021Y", "FPT=A", "FA_ACT_EST_DATA=E, EST_SOURCE=PJE", "ACT_EST_MAPPING=PRECISE", "FS=MRC", "CURRENCY=USD", "XLFILL=b")</f>
        <v>#N/A Requesting Data...</v>
      </c>
      <c r="AT139" s="6" t="str">
        <f>_xll.BQL("NOW US Equity", "IS_SBC_ATTRIB_TO_COGS_PRETX/1M", "FPR=2021Y", "FPT=A", "FA_ACT_EST_DATA=E, EST_SOURCE=MZS", "ACT_EST_MAPPING=PRECISE", "FS=MRC", "CURRENCY=USD", "XLFILL=b")</f>
        <v>#N/A Requesting Data...</v>
      </c>
      <c r="AU139" s="6" t="str">
        <f>_xll.BQL("NOW US Equity", "IS_SBC_ATTRIB_TO_COGS_PRETX/1M", "FPR=2021Y", "FPT=A", "FA_ACT_EST_DATA=E, EST_SOURCE=SUM", "ACT_EST_MAPPING=PRECISE", "FS=MRC", "CURRENCY=USD", "XLFILL=b")</f>
        <v>#N/A Requesting Data...</v>
      </c>
      <c r="AV139" s="6" t="str">
        <f>_xll.BQL("NOW US Equity", "IS_SBC_ATTRIB_TO_COGS_PRETX/1M", "FPR=2021Y", "FPT=A", "FA_ACT_EST_DATA=E, EST_SOURCE=CRC", "ACT_EST_MAPPING=PRECISE", "FS=MRC", "CURRENCY=USD", "XLFILL=b")</f>
        <v>#N/A Requesting Data...</v>
      </c>
      <c r="AW139" s="6" t="str">
        <f>_xll.BQL("NOW US Equity", "IS_SBC_ATTRIB_TO_COGS_PRETX/1M", "FPR=2021Y", "FPT=A", "FA_ACT_EST_DATA=E, EST_SOURCE=SCB", "ACT_EST_MAPPING=PRECISE", "FS=MRC", "CURRENCY=USD", "XLFILL=b")</f>
        <v>#N/A Requesting Data...</v>
      </c>
    </row>
    <row r="140" spans="1:49" x14ac:dyDescent="0.55000000000000004">
      <c r="A140" s="5" t="s">
        <v>230</v>
      </c>
      <c r="B140" s="2" t="s">
        <v>229</v>
      </c>
      <c r="C140" s="2" t="s">
        <v>231</v>
      </c>
      <c r="D140" s="2" t="s">
        <v>37</v>
      </c>
      <c r="E140" s="6" t="str">
        <f>_xll.BQL("SEG0000230975 Segment", "IS_SBC_ATTRIB_TO_COGS_PRETX/1M", "FPR=2021Y", "FPT=A", "FA_ACT_EST_DATA=E", "ACT_EST_MAPPING=PRECISE", "FS=MRC", "CURRENCY=USD", "XLFILL=b")</f>
        <v>#N/A Requesting Data...</v>
      </c>
      <c r="F140" s="6" t="str">
        <f>_xll.BQL("SEG0000230975 Segment", "CONTRIBUTOR_STATS(IS_SBC_ATTRIB_TO_COGS_PRETX, MIN)/1M", "FPR=2021Y", "FPT=A", "FA_ACT_EST_DATA=E", "ACT_EST_MAPPING=PRECISE", "FS=MRC", "CURRENCY=USD", "XLFILL=b")</f>
        <v>#N/A Requesting Data...</v>
      </c>
      <c r="G140" s="6" t="str">
        <f>_xll.BQL("SEG0000230975 Segment", "CONTRIBUTOR_STATS(IS_SBC_ATTRIB_TO_COGS_PRETX, MAX)/1M", "FPR=2021Y", "FPT=A", "FA_ACT_EST_DATA=E", "ACT_EST_MAPPING=PRECISE", "FS=MRC", "CURRENCY=USD", "XLFILL=b")</f>
        <v>#N/A Requesting Data...</v>
      </c>
      <c r="H140" s="6" t="str">
        <f>_xll.BQL("SEG0000230975 Segment", "CONTRIBUTOR_STATS(IS_SBC_ATTRIB_TO_COGS_PRETX, STD)/1M", "FPR=2021Y", "FPT=A", "FA_ACT_EST_DATA=E", "ACT_EST_MAPPING=PRECISE", "FS=MRC", "CURRENCY=USD", "XLFILL=b")</f>
        <v>#N/A Requesting Data...</v>
      </c>
      <c r="I140" s="6" t="str">
        <f>_xll.BQL("SEG0000230975 Segment", "CONTRIBUTOR_STATS(IS_SBC_ATTRIB_TO_COGS_PRETX, MEDIAN)/1M", "FPR=2021Y", "FPT=A", "FA_ACT_EST_DATA=E", "ACT_EST_MAPPING=PRECISE", "FS=MRC", "CURRENCY=USD", "XLFILL=b")</f>
        <v>#N/A Requesting Data...</v>
      </c>
      <c r="J140" s="6" t="str">
        <f>_xll.BQL("SEG0000230975 Segment", "IS_SBC_ATTRIB_TO_COGS_PRETX/1M", "FPR=2021Y", "FPT=A", "FA_ACT_EST_DATA=E, EST_SOURCE=CMPY", "ACT_EST_MAPPING=PRECISE", "FS=MRC", "CURRENCY=USD", "XLFILL=b")</f>
        <v>#N/A Requesting Data...</v>
      </c>
      <c r="K140" s="6" t="str">
        <f>_xll.BQL("SEG0000230975 Segment", "IS_SBC_ATTRIB_TO_COGS_PRETX/1M", "FPR=2021Y", "FPT=A", "FA_ACT_EST_DATA=E, EST_SOURCE=JPM", "ACT_EST_MAPPING=PRECISE", "FS=MRC", "CURRENCY=USD", "XLFILL=b")</f>
        <v>#N/A Requesting Data...</v>
      </c>
      <c r="L140" s="6" t="str">
        <f>_xll.BQL("SEG0000230975 Segment", "IS_SBC_ATTRIB_TO_COGS_PRETX/1M", "FPR=2021Y", "FPT=A", "FA_ACT_EST_DATA=E, EST_SOURCE=WBL", "ACT_EST_MAPPING=PRECISE", "FS=MRC", "CURRENCY=USD", "XLFILL=b")</f>
        <v>#N/A Requesting Data...</v>
      </c>
      <c r="M140" s="6" t="str">
        <f>_xll.BQL("SEG0000230975 Segment", "IS_SBC_ATTRIB_TO_COGS_PRETX/1M", "FPR=2021Y", "FPT=A", "FA_ACT_EST_DATA=E, EST_SOURCE=KEY", "ACT_EST_MAPPING=PRECISE", "FS=MRC", "CURRENCY=USD", "XLFILL=b")</f>
        <v>#N/A Requesting Data...</v>
      </c>
      <c r="N140" s="6" t="str">
        <f>_xll.BQL("SEG0000230975 Segment", "IS_SBC_ATTRIB_TO_COGS_PRETX/1M", "FPR=2021Y", "FPT=A", "FA_ACT_EST_DATA=E, EST_SOURCE=BMO", "ACT_EST_MAPPING=PRECISE", "FS=MRC", "CURRENCY=USD", "XLFILL=b")</f>
        <v>#N/A Requesting Data...</v>
      </c>
      <c r="O140" s="6" t="str">
        <f>_xll.BQL("SEG0000230975 Segment", "IS_SBC_ATTRIB_TO_COGS_PRETX/1M", "FPR=2021Y", "FPT=A", "FA_ACT_EST_DATA=E, EST_SOURCE=OPY", "ACT_EST_MAPPING=PRECISE", "FS=MRC", "CURRENCY=USD", "XLFILL=b")</f>
        <v>#N/A Requesting Data...</v>
      </c>
      <c r="P140" s="6" t="str">
        <f>_xll.BQL("SEG0000230975 Segment", "IS_SBC_ATTRIB_TO_COGS_PRETX/1M", "FPR=2021Y", "FPT=A", "FA_ACT_EST_DATA=E, EST_SOURCE=BCA", "ACT_EST_MAPPING=PRECISE", "FS=MRC", "CURRENCY=USD", "XLFILL=b")</f>
        <v>#N/A Requesting Data...</v>
      </c>
      <c r="Q140" s="6" t="str">
        <f>_xll.BQL("SEG0000230975 Segment", "IS_SBC_ATTRIB_TO_COGS_PRETX/1M", "FPR=2021Y", "FPT=A", "FA_ACT_EST_DATA=E, EST_SOURCE=RHR", "ACT_EST_MAPPING=PRECISE", "FS=MRC", "CURRENCY=USD", "XLFILL=b")</f>
        <v>#N/A Requesting Data...</v>
      </c>
      <c r="R140" s="6" t="str">
        <f>_xll.BQL("SEG0000230975 Segment", "IS_SBC_ATTRIB_TO_COGS_PRETX/1M", "FPR=2021Y", "FPT=A", "FA_ACT_EST_DATA=E, EST_SOURCE=SNR", "ACT_EST_MAPPING=PRECISE", "FS=MRC", "CURRENCY=USD", "XLFILL=b")</f>
        <v>#N/A Requesting Data...</v>
      </c>
      <c r="S140" s="6">
        <f>_xll.BQL("SEG0000230975 Segment", "IS_SBC_ATTRIB_TO_COGS_PRETX/1M", "FPR=2021Y", "FPT=A", "FA_ACT_EST_DATA=E, EST_SOURCE=MSV", "ACT_EST_MAPPING=PRECISE", "FS=MRC", "CURRENCY=USD", "XLFILL=b")</f>
        <v>91.124975982766045</v>
      </c>
      <c r="T140" s="6" t="str">
        <f>_xll.BQL("SEG0000230975 Segment", "IS_SBC_ATTRIB_TO_COGS_PRETX/1M", "FPR=2021Y", "FPT=A", "FA_ACT_EST_DATA=E, EST_SOURCE=CAN", "ACT_EST_MAPPING=PRECISE", "FS=MRC", "CURRENCY=USD", "XLFILL=b")</f>
        <v>#N/A Requesting Data...</v>
      </c>
      <c r="U140" s="6" t="str">
        <f>_xll.BQL("SEG0000230975 Segment", "IS_SBC_ATTRIB_TO_COGS_PRETX/1M", "FPR=2021Y", "FPT=A", "FA_ACT_EST_DATA=E, EST_SOURCE=JMP", "ACT_EST_MAPPING=PRECISE", "FS=MRC", "CURRENCY=USD", "XLFILL=b")</f>
        <v>#N/A Requesting Data...</v>
      </c>
      <c r="V140" s="6" t="str">
        <f>_xll.BQL("SEG0000230975 Segment", "IS_SBC_ATTRIB_TO_COGS_PRETX/1M", "FPR=2021Y", "FPT=A", "FA_ACT_EST_DATA=E, EST_SOURCE=NDH", "ACT_EST_MAPPING=PRECISE", "FS=MRC", "CURRENCY=USD", "XLFILL=b")</f>
        <v>#N/A Requesting Data...</v>
      </c>
      <c r="W140" s="6" t="str">
        <f>_xll.BQL("SEG0000230975 Segment", "IS_SBC_ATTRIB_TO_COGS_PRETX/1M", "FPR=2021Y", "FPT=A", "FA_ACT_EST_DATA=E, EST_SOURCE=ZXS", "ACT_EST_MAPPING=PRECISE", "FS=MRC", "CURRENCY=USD", "XLFILL=b")</f>
        <v>#N/A Requesting Data...</v>
      </c>
      <c r="X140" s="6" t="str">
        <f>_xll.BQL("SEG0000230975 Segment", "IS_SBC_ATTRIB_TO_COGS_PRETX/1M", "FPR=2021Y", "FPT=A", "FA_ACT_EST_DATA=E, EST_SOURCE=CWN", "ACT_EST_MAPPING=PRECISE", "FS=MRC", "CURRENCY=USD", "XLFILL=b")</f>
        <v/>
      </c>
      <c r="Y140" s="6" t="str">
        <f>_xll.BQL("SEG0000230975 Segment", "IS_SBC_ATTRIB_TO_COGS_PRETX/1M", "FPR=2021Y", "FPT=A", "FA_ACT_EST_DATA=E, EST_SOURCE=DBG", "ACT_EST_MAPPING=PRECISE", "FS=MRC", "CURRENCY=USD", "XLFILL=b")</f>
        <v>#N/A Requesting Data...</v>
      </c>
      <c r="Z140" s="6" t="str">
        <f>_xll.BQL("SEG0000230975 Segment", "IS_SBC_ATTRIB_TO_COGS_PRETX/1M", "FPR=2021Y", "FPT=A", "FA_ACT_EST_DATA=E, EST_SOURCE=UBS", "ACT_EST_MAPPING=PRECISE", "FS=MRC", "CURRENCY=USD", "XLFILL=b")</f>
        <v>#N/A Requesting Data...</v>
      </c>
      <c r="AA140" s="6" t="str">
        <f>_xll.BQL("SEG0000230975 Segment", "IS_SBC_ATTRIB_TO_COGS_PRETX/1M", "FPR=2021Y", "FPT=A", "FA_ACT_EST_DATA=E, EST_SOURCE=RBC", "ACT_EST_MAPPING=PRECISE", "FS=MRC", "CURRENCY=USD", "XLFILL=b")</f>
        <v>#N/A Requesting Data...</v>
      </c>
      <c r="AB140" s="6" t="str">
        <f>_xll.BQL("SEG0000230975 Segment", "IS_SBC_ATTRIB_TO_COGS_PRETX/1M", "FPR=2021Y", "FPT=A", "FA_ACT_EST_DATA=E, EST_SOURCE=EVR", "ACT_EST_MAPPING=PRECISE", "FS=MRC", "CURRENCY=USD", "XLFILL=b")</f>
        <v/>
      </c>
      <c r="AC140" s="6" t="str">
        <f>_xll.BQL("SEG0000230975 Segment", "IS_SBC_ATTRIB_TO_COGS_PRETX/1M", "FPR=2021Y", "FPT=A", "FA_ACT_EST_DATA=E, EST_SOURCE=BNS", "ACT_EST_MAPPING=PRECISE", "FS=MRC", "CURRENCY=USD", "XLFILL=b")</f>
        <v>#N/A Requesting Data...</v>
      </c>
      <c r="AD140" s="6" t="str">
        <f>_xll.BQL("SEG0000230975 Segment", "IS_SBC_ATTRIB_TO_COGS_PRETX/1M", "FPR=2021Y", "FPT=A", "FA_ACT_EST_DATA=E, EST_SOURCE=BAM", "ACT_EST_MAPPING=PRECISE", "FS=MRC", "CURRENCY=USD", "XLFILL=b")</f>
        <v>#N/A Requesting Data...</v>
      </c>
      <c r="AE140" s="6" t="str">
        <f>_xll.BQL("SEG0000230975 Segment", "IS_SBC_ATTRIB_TO_COGS_PRETX/1M", "FPR=2021Y", "FPT=A", "FA_ACT_EST_DATA=E, EST_SOURCE=GSR", "ACT_EST_MAPPING=PRECISE", "FS=MRC", "CURRENCY=USD", "XLFILL=b")</f>
        <v/>
      </c>
      <c r="AF140" s="6" t="str">
        <f>_xll.BQL("SEG0000230975 Segment", "IS_SBC_ATTRIB_TO_COGS_PRETX/1M", "FPR=2021Y", "FPT=A", "FA_ACT_EST_DATA=E, EST_SOURCE=FBC", "ACT_EST_MAPPING=PRECISE", "FS=MRC", "CURRENCY=USD", "XLFILL=b")</f>
        <v>#N/A Requesting Data...</v>
      </c>
      <c r="AG140" s="6" t="str">
        <f>_xll.BQL("SEG0000230975 Segment", "IS_SBC_ATTRIB_TO_COGS_PRETX/1M", "FPR=2021Y", "FPT=A", "FA_ACT_EST_DATA=E, EST_SOURCE=MAC", "ACT_EST_MAPPING=PRECISE", "FS=MRC", "CURRENCY=USD", "XLFILL=b")</f>
        <v>#N/A Requesting Data...</v>
      </c>
      <c r="AH140" s="6" t="str">
        <f>_xll.BQL("SEG0000230975 Segment", "IS_SBC_ATTRIB_TO_COGS_PRETX/1M", "FPR=2021Y", "FPT=A", "FA_ACT_EST_DATA=E, EST_SOURCE=PSG", "ACT_EST_MAPPING=PRECISE", "FS=MRC", "CURRENCY=USD", "XLFILL=b")</f>
        <v/>
      </c>
      <c r="AI140" s="6" t="str">
        <f>_xll.BQL("SEG0000230975 Segment", "IS_SBC_ATTRIB_TO_COGS_PRETX/1M", "FPR=2021Y", "FPT=A", "FA_ACT_EST_DATA=E, EST_SOURCE=MSR", "ACT_EST_MAPPING=PRECISE", "FS=MRC", "CURRENCY=USD", "XLFILL=b")</f>
        <v/>
      </c>
      <c r="AJ140" s="6" t="str">
        <f>_xll.BQL("SEG0000230975 Segment", "IS_SBC_ATTRIB_TO_COGS_PRETX/1M", "FPR=2021Y", "FPT=A", "FA_ACT_EST_DATA=E, EST_SOURCE=JEF", "ACT_EST_MAPPING=PRECISE", "FS=MRC", "CURRENCY=USD", "XLFILL=b")</f>
        <v>#N/A Requesting Data...</v>
      </c>
      <c r="AK140" s="6" t="str">
        <f>_xll.BQL("SEG0000230975 Segment", "IS_SBC_ATTRIB_TO_COGS_PRETX/1M", "FPR=2021Y", "FPT=A", "FA_ACT_EST_DATA=E, EST_SOURCE=TTC", "ACT_EST_MAPPING=PRECISE", "FS=MRC", "CURRENCY=USD", "XLFILL=b")</f>
        <v/>
      </c>
      <c r="AL140" s="6" t="str">
        <f>_xll.BQL("SEG0000230975 Segment", "IS_SBC_ATTRIB_TO_COGS_PRETX/1M", "FPR=2021Y", "FPT=A", "FA_ACT_EST_DATA=E, EST_SOURCE=RWB", "ACT_EST_MAPPING=PRECISE", "FS=MRC", "CURRENCY=USD", "XLFILL=b")</f>
        <v/>
      </c>
      <c r="AM140" s="6" t="str">
        <f>_xll.BQL("SEG0000230975 Segment", "IS_SBC_ATTRIB_TO_COGS_PRETX/1M", "FPR=2021Y", "FPT=A", "FA_ACT_EST_DATA=E, EST_SOURCE=DZB", "ACT_EST_MAPPING=PRECISE", "FS=MRC", "CURRENCY=USD", "XLFILL=b")</f>
        <v>#N/A Requesting Data...</v>
      </c>
      <c r="AN140" s="6" t="str">
        <f>_xll.BQL("SEG0000230975 Segment", "IS_SBC_ATTRIB_TO_COGS_PRETX/1M", "FPR=2021Y", "FPT=A", "FA_ACT_EST_DATA=E, EST_SOURCE=DWI", "ACT_EST_MAPPING=PRECISE", "FS=MRC", "CURRENCY=USD", "XLFILL=b")</f>
        <v/>
      </c>
      <c r="AO140" s="6" t="str">
        <f>_xll.BQL("SEG0000230975 Segment", "IS_SBC_ATTRIB_TO_COGS_PRETX/1M", "FPR=2021Y", "FPT=A", "FA_ACT_EST_DATA=E, EST_SOURCE=ARG", "ACT_EST_MAPPING=PRECISE", "FS=MRC", "CURRENCY=USD", "XLFILL=b")</f>
        <v/>
      </c>
      <c r="AP140" s="6" t="str">
        <f>_xll.BQL("SEG0000230975 Segment", "IS_SBC_ATTRIB_TO_COGS_PRETX/1M", "FPR=2021Y", "FPT=A", "FA_ACT_EST_DATA=E, EST_SOURCE=CTI", "ACT_EST_MAPPING=PRECISE", "FS=MRC", "CURRENCY=USD", "XLFILL=b")</f>
        <v/>
      </c>
      <c r="AQ140" s="6" t="str">
        <f>_xll.BQL("SEG0000230975 Segment", "IS_SBC_ATTRIB_TO_COGS_PRETX/1M", "FPR=2021Y", "FPT=A", "FA_ACT_EST_DATA=E, EST_SOURCE=WFT", "ACT_EST_MAPPING=PRECISE", "FS=MRC", "CURRENCY=USD", "XLFILL=b")</f>
        <v>#N/A Requesting Data...</v>
      </c>
      <c r="AR140" s="6" t="str">
        <f>_xll.BQL("SEG0000230975 Segment", "IS_SBC_ATTRIB_TO_COGS_PRETX/1M", "FPR=2021Y", "FPT=A", "FA_ACT_EST_DATA=E, EST_SOURCE=ARE", "ACT_EST_MAPPING=PRECISE", "FS=MRC", "CURRENCY=USD", "XLFILL=b")</f>
        <v/>
      </c>
      <c r="AS140" s="6" t="str">
        <f>_xll.BQL("SEG0000230975 Segment", "IS_SBC_ATTRIB_TO_COGS_PRETX/1M", "FPR=2021Y", "FPT=A", "FA_ACT_EST_DATA=E, EST_SOURCE=PJE", "ACT_EST_MAPPING=PRECISE", "FS=MRC", "CURRENCY=USD", "XLFILL=b")</f>
        <v>#N/A Requesting Data...</v>
      </c>
      <c r="AT140" s="6" t="str">
        <f>_xll.BQL("SEG0000230975 Segment", "IS_SBC_ATTRIB_TO_COGS_PRETX/1M", "FPR=2021Y", "FPT=A", "FA_ACT_EST_DATA=E, EST_SOURCE=MZS", "ACT_EST_MAPPING=PRECISE", "FS=MRC", "CURRENCY=USD", "XLFILL=b")</f>
        <v>#N/A Requesting Data...</v>
      </c>
      <c r="AU140" s="6" t="str">
        <f>_xll.BQL("SEG0000230975 Segment", "IS_SBC_ATTRIB_TO_COGS_PRETX/1M", "FPR=2021Y", "FPT=A", "FA_ACT_EST_DATA=E, EST_SOURCE=SUM", "ACT_EST_MAPPING=PRECISE", "FS=MRC", "CURRENCY=USD", "XLFILL=b")</f>
        <v/>
      </c>
      <c r="AV140" s="6" t="str">
        <f>_xll.BQL("SEG0000230975 Segment", "IS_SBC_ATTRIB_TO_COGS_PRETX/1M", "FPR=2021Y", "FPT=A", "FA_ACT_EST_DATA=E, EST_SOURCE=CRC", "ACT_EST_MAPPING=PRECISE", "FS=MRC", "CURRENCY=USD", "XLFILL=b")</f>
        <v/>
      </c>
      <c r="AW140" s="6" t="str">
        <f>_xll.BQL("SEG0000230975 Segment", "IS_SBC_ATTRIB_TO_COGS_PRETX/1M", "FPR=2021Y", "FPT=A", "FA_ACT_EST_DATA=E, EST_SOURCE=SCB", "ACT_EST_MAPPING=PRECISE", "FS=MRC", "CURRENCY=USD", "XLFILL=b")</f>
        <v>#N/A Requesting Data...</v>
      </c>
    </row>
    <row r="141" spans="1:49" x14ac:dyDescent="0.55000000000000004">
      <c r="A141" s="5" t="s">
        <v>232</v>
      </c>
      <c r="B141" s="2" t="s">
        <v>229</v>
      </c>
      <c r="C141" s="2" t="s">
        <v>233</v>
      </c>
      <c r="D141" s="2" t="s">
        <v>51</v>
      </c>
      <c r="E141" s="6" t="str">
        <f>_xll.BQL("SEG0000230986 Segment", "IS_SBC_ATTRIB_TO_COGS_PRETX/1M", "FPR=2021Y", "FPT=A", "FA_ACT_EST_DATA=E", "ACT_EST_MAPPING=PRECISE", "FS=MRC", "CURRENCY=USD", "XLFILL=b")</f>
        <v>#N/A Requesting Data...</v>
      </c>
      <c r="F141" s="6" t="str">
        <f>_xll.BQL("SEG0000230986 Segment", "CONTRIBUTOR_STATS(IS_SBC_ATTRIB_TO_COGS_PRETX, MIN)/1M", "FPR=2021Y", "FPT=A", "FA_ACT_EST_DATA=E", "ACT_EST_MAPPING=PRECISE", "FS=MRC", "CURRENCY=USD", "XLFILL=b")</f>
        <v>#N/A Requesting Data...</v>
      </c>
      <c r="G141" s="6" t="str">
        <f>_xll.BQL("SEG0000230986 Segment", "CONTRIBUTOR_STATS(IS_SBC_ATTRIB_TO_COGS_PRETX, MAX)/1M", "FPR=2021Y", "FPT=A", "FA_ACT_EST_DATA=E", "ACT_EST_MAPPING=PRECISE", "FS=MRC", "CURRENCY=USD", "XLFILL=b")</f>
        <v>#N/A Requesting Data...</v>
      </c>
      <c r="H141" s="6" t="str">
        <f>_xll.BQL("SEG0000230986 Segment", "CONTRIBUTOR_STATS(IS_SBC_ATTRIB_TO_COGS_PRETX, STD)/1M", "FPR=2021Y", "FPT=A", "FA_ACT_EST_DATA=E", "ACT_EST_MAPPING=PRECISE", "FS=MRC", "CURRENCY=USD", "XLFILL=b")</f>
        <v>#N/A Requesting Data...</v>
      </c>
      <c r="I141" s="6" t="str">
        <f>_xll.BQL("SEG0000230986 Segment", "CONTRIBUTOR_STATS(IS_SBC_ATTRIB_TO_COGS_PRETX, MEDIAN)/1M", "FPR=2021Y", "FPT=A", "FA_ACT_EST_DATA=E", "ACT_EST_MAPPING=PRECISE", "FS=MRC", "CURRENCY=USD", "XLFILL=b")</f>
        <v>#N/A Requesting Data...</v>
      </c>
      <c r="J141" s="6" t="str">
        <f>_xll.BQL("SEG0000230986 Segment", "IS_SBC_ATTRIB_TO_COGS_PRETX/1M", "FPR=2021Y", "FPT=A", "FA_ACT_EST_DATA=E, EST_SOURCE=CMPY", "ACT_EST_MAPPING=PRECISE", "FS=MRC", "CURRENCY=USD", "XLFILL=b")</f>
        <v>#N/A Requesting Data...</v>
      </c>
      <c r="K141" s="6">
        <f>_xll.BQL("SEG0000230986 Segment", "IS_SBC_ATTRIB_TO_COGS_PRETX/1M", "FPR=2021Y", "FPT=A", "FA_ACT_EST_DATA=E, EST_SOURCE=JPM", "ACT_EST_MAPPING=PRECISE", "FS=MRC", "CURRENCY=USD", "XLFILL=b")</f>
        <v>58.559171693721005</v>
      </c>
      <c r="L141" s="6" t="str">
        <f>_xll.BQL("SEG0000230986 Segment", "IS_SBC_ATTRIB_TO_COGS_PRETX/1M", "FPR=2021Y", "FPT=A", "FA_ACT_EST_DATA=E, EST_SOURCE=WBL", "ACT_EST_MAPPING=PRECISE", "FS=MRC", "CURRENCY=USD", "XLFILL=b")</f>
        <v>#N/A Requesting Data...</v>
      </c>
      <c r="M141" s="6" t="str">
        <f>_xll.BQL("SEG0000230986 Segment", "IS_SBC_ATTRIB_TO_COGS_PRETX/1M", "FPR=2021Y", "FPT=A", "FA_ACT_EST_DATA=E, EST_SOURCE=KEY", "ACT_EST_MAPPING=PRECISE", "FS=MRC", "CURRENCY=USD", "XLFILL=b")</f>
        <v>#N/A Requesting Data...</v>
      </c>
      <c r="N141" s="6" t="str">
        <f>_xll.BQL("SEG0000230986 Segment", "IS_SBC_ATTRIB_TO_COGS_PRETX/1M", "FPR=2021Y", "FPT=A", "FA_ACT_EST_DATA=E, EST_SOURCE=BMO", "ACT_EST_MAPPING=PRECISE", "FS=MRC", "CURRENCY=USD", "XLFILL=b")</f>
        <v>#N/A Requesting Data...</v>
      </c>
      <c r="O141" s="6" t="str">
        <f>_xll.BQL("SEG0000230986 Segment", "IS_SBC_ATTRIB_TO_COGS_PRETX/1M", "FPR=2021Y", "FPT=A", "FA_ACT_EST_DATA=E, EST_SOURCE=OPY", "ACT_EST_MAPPING=PRECISE", "FS=MRC", "CURRENCY=USD", "XLFILL=b")</f>
        <v/>
      </c>
      <c r="P141" s="6" t="str">
        <f>_xll.BQL("SEG0000230986 Segment", "IS_SBC_ATTRIB_TO_COGS_PRETX/1M", "FPR=2021Y", "FPT=A", "FA_ACT_EST_DATA=E, EST_SOURCE=BCA", "ACT_EST_MAPPING=PRECISE", "FS=MRC", "CURRENCY=USD", "XLFILL=b")</f>
        <v>#N/A Requesting Data...</v>
      </c>
      <c r="Q141" s="6" t="str">
        <f>_xll.BQL("SEG0000230986 Segment", "IS_SBC_ATTRIB_TO_COGS_PRETX/1M", "FPR=2021Y", "FPT=A", "FA_ACT_EST_DATA=E, EST_SOURCE=RHR", "ACT_EST_MAPPING=PRECISE", "FS=MRC", "CURRENCY=USD", "XLFILL=b")</f>
        <v>#N/A Requesting Data...</v>
      </c>
      <c r="R141" s="6" t="str">
        <f>_xll.BQL("SEG0000230986 Segment", "IS_SBC_ATTRIB_TO_COGS_PRETX/1M", "FPR=2021Y", "FPT=A", "FA_ACT_EST_DATA=E, EST_SOURCE=SNR", "ACT_EST_MAPPING=PRECISE", "FS=MRC", "CURRENCY=USD", "XLFILL=b")</f>
        <v>#N/A Requesting Data...</v>
      </c>
      <c r="S141" s="6" t="str">
        <f>_xll.BQL("SEG0000230986 Segment", "IS_SBC_ATTRIB_TO_COGS_PRETX/1M", "FPR=2021Y", "FPT=A", "FA_ACT_EST_DATA=E, EST_SOURCE=MSV", "ACT_EST_MAPPING=PRECISE", "FS=MRC", "CURRENCY=USD", "XLFILL=b")</f>
        <v>#N/A Requesting Data...</v>
      </c>
      <c r="T141" s="6" t="str">
        <f>_xll.BQL("SEG0000230986 Segment", "IS_SBC_ATTRIB_TO_COGS_PRETX/1M", "FPR=2021Y", "FPT=A", "FA_ACT_EST_DATA=E, EST_SOURCE=CAN", "ACT_EST_MAPPING=PRECISE", "FS=MRC", "CURRENCY=USD", "XLFILL=b")</f>
        <v>#N/A Requesting Data...</v>
      </c>
      <c r="U141" s="6" t="str">
        <f>_xll.BQL("SEG0000230986 Segment", "IS_SBC_ATTRIB_TO_COGS_PRETX/1M", "FPR=2021Y", "FPT=A", "FA_ACT_EST_DATA=E, EST_SOURCE=JMP", "ACT_EST_MAPPING=PRECISE", "FS=MRC", "CURRENCY=USD", "XLFILL=b")</f>
        <v>#N/A Requesting Data...</v>
      </c>
      <c r="V141" s="6" t="str">
        <f>_xll.BQL("SEG0000230986 Segment", "IS_SBC_ATTRIB_TO_COGS_PRETX/1M", "FPR=2021Y", "FPT=A", "FA_ACT_EST_DATA=E, EST_SOURCE=NDH", "ACT_EST_MAPPING=PRECISE", "FS=MRC", "CURRENCY=USD", "XLFILL=b")</f>
        <v>#N/A Requesting Data...</v>
      </c>
      <c r="W141" s="6" t="str">
        <f>_xll.BQL("SEG0000230986 Segment", "IS_SBC_ATTRIB_TO_COGS_PRETX/1M", "FPR=2021Y", "FPT=A", "FA_ACT_EST_DATA=E, EST_SOURCE=ZXS", "ACT_EST_MAPPING=PRECISE", "FS=MRC", "CURRENCY=USD", "XLFILL=b")</f>
        <v>#N/A Requesting Data...</v>
      </c>
      <c r="X141" s="6" t="str">
        <f>_xll.BQL("SEG0000230986 Segment", "IS_SBC_ATTRIB_TO_COGS_PRETX/1M", "FPR=2021Y", "FPT=A", "FA_ACT_EST_DATA=E, EST_SOURCE=CWN", "ACT_EST_MAPPING=PRECISE", "FS=MRC", "CURRENCY=USD", "XLFILL=b")</f>
        <v/>
      </c>
      <c r="Y141" s="6" t="str">
        <f>_xll.BQL("SEG0000230986 Segment", "IS_SBC_ATTRIB_TO_COGS_PRETX/1M", "FPR=2021Y", "FPT=A", "FA_ACT_EST_DATA=E, EST_SOURCE=DBG", "ACT_EST_MAPPING=PRECISE", "FS=MRC", "CURRENCY=USD", "XLFILL=b")</f>
        <v>#N/A Requesting Data...</v>
      </c>
      <c r="Z141" s="6" t="str">
        <f>_xll.BQL("SEG0000230986 Segment", "IS_SBC_ATTRIB_TO_COGS_PRETX/1M", "FPR=2021Y", "FPT=A", "FA_ACT_EST_DATA=E, EST_SOURCE=UBS", "ACT_EST_MAPPING=PRECISE", "FS=MRC", "CURRENCY=USD", "XLFILL=b")</f>
        <v>#N/A Requesting Data...</v>
      </c>
      <c r="AA141" s="6" t="str">
        <f>_xll.BQL("SEG0000230986 Segment", "IS_SBC_ATTRIB_TO_COGS_PRETX/1M", "FPR=2021Y", "FPT=A", "FA_ACT_EST_DATA=E, EST_SOURCE=RBC", "ACT_EST_MAPPING=PRECISE", "FS=MRC", "CURRENCY=USD", "XLFILL=b")</f>
        <v>#N/A Requesting Data...</v>
      </c>
      <c r="AB141" s="6" t="str">
        <f>_xll.BQL("SEG0000230986 Segment", "IS_SBC_ATTRIB_TO_COGS_PRETX/1M", "FPR=2021Y", "FPT=A", "FA_ACT_EST_DATA=E, EST_SOURCE=EVR", "ACT_EST_MAPPING=PRECISE", "FS=MRC", "CURRENCY=USD", "XLFILL=b")</f>
        <v/>
      </c>
      <c r="AC141" s="6" t="str">
        <f>_xll.BQL("SEG0000230986 Segment", "IS_SBC_ATTRIB_TO_COGS_PRETX/1M", "FPR=2021Y", "FPT=A", "FA_ACT_EST_DATA=E, EST_SOURCE=BNS", "ACT_EST_MAPPING=PRECISE", "FS=MRC", "CURRENCY=USD", "XLFILL=b")</f>
        <v>#N/A Requesting Data...</v>
      </c>
      <c r="AD141" s="6" t="str">
        <f>_xll.BQL("SEG0000230986 Segment", "IS_SBC_ATTRIB_TO_COGS_PRETX/1M", "FPR=2021Y", "FPT=A", "FA_ACT_EST_DATA=E, EST_SOURCE=BAM", "ACT_EST_MAPPING=PRECISE", "FS=MRC", "CURRENCY=USD", "XLFILL=b")</f>
        <v>#N/A Requesting Data...</v>
      </c>
      <c r="AE141" s="6" t="str">
        <f>_xll.BQL("SEG0000230986 Segment", "IS_SBC_ATTRIB_TO_COGS_PRETX/1M", "FPR=2021Y", "FPT=A", "FA_ACT_EST_DATA=E, EST_SOURCE=GSR", "ACT_EST_MAPPING=PRECISE", "FS=MRC", "CURRENCY=USD", "XLFILL=b")</f>
        <v>#N/A Requesting Data...</v>
      </c>
      <c r="AF141" s="6" t="str">
        <f>_xll.BQL("SEG0000230986 Segment", "IS_SBC_ATTRIB_TO_COGS_PRETX/1M", "FPR=2021Y", "FPT=A", "FA_ACT_EST_DATA=E, EST_SOURCE=FBC", "ACT_EST_MAPPING=PRECISE", "FS=MRC", "CURRENCY=USD", "XLFILL=b")</f>
        <v>#N/A Requesting Data...</v>
      </c>
      <c r="AG141" s="6" t="str">
        <f>_xll.BQL("SEG0000230986 Segment", "IS_SBC_ATTRIB_TO_COGS_PRETX/1M", "FPR=2021Y", "FPT=A", "FA_ACT_EST_DATA=E, EST_SOURCE=MAC", "ACT_EST_MAPPING=PRECISE", "FS=MRC", "CURRENCY=USD", "XLFILL=b")</f>
        <v>#N/A Requesting Data...</v>
      </c>
      <c r="AH141" s="6" t="str">
        <f>_xll.BQL("SEG0000230986 Segment", "IS_SBC_ATTRIB_TO_COGS_PRETX/1M", "FPR=2021Y", "FPT=A", "FA_ACT_EST_DATA=E, EST_SOURCE=PSG", "ACT_EST_MAPPING=PRECISE", "FS=MRC", "CURRENCY=USD", "XLFILL=b")</f>
        <v>#N/A Requesting Data...</v>
      </c>
      <c r="AI141" s="6" t="str">
        <f>_xll.BQL("SEG0000230986 Segment", "IS_SBC_ATTRIB_TO_COGS_PRETX/1M", "FPR=2021Y", "FPT=A", "FA_ACT_EST_DATA=E, EST_SOURCE=MSR", "ACT_EST_MAPPING=PRECISE", "FS=MRC", "CURRENCY=USD", "XLFILL=b")</f>
        <v>#N/A Requesting Data...</v>
      </c>
      <c r="AJ141" s="6" t="str">
        <f>_xll.BQL("SEG0000230986 Segment", "IS_SBC_ATTRIB_TO_COGS_PRETX/1M", "FPR=2021Y", "FPT=A", "FA_ACT_EST_DATA=E, EST_SOURCE=JEF", "ACT_EST_MAPPING=PRECISE", "FS=MRC", "CURRENCY=USD", "XLFILL=b")</f>
        <v>#N/A Requesting Data...</v>
      </c>
      <c r="AK141" s="6" t="str">
        <f>_xll.BQL("SEG0000230986 Segment", "IS_SBC_ATTRIB_TO_COGS_PRETX/1M", "FPR=2021Y", "FPT=A", "FA_ACT_EST_DATA=E, EST_SOURCE=TTC", "ACT_EST_MAPPING=PRECISE", "FS=MRC", "CURRENCY=USD", "XLFILL=b")</f>
        <v/>
      </c>
      <c r="AL141" s="6" t="str">
        <f>_xll.BQL("SEG0000230986 Segment", "IS_SBC_ATTRIB_TO_COGS_PRETX/1M", "FPR=2021Y", "FPT=A", "FA_ACT_EST_DATA=E, EST_SOURCE=RWB", "ACT_EST_MAPPING=PRECISE", "FS=MRC", "CURRENCY=USD", "XLFILL=b")</f>
        <v/>
      </c>
      <c r="AM141" s="6" t="str">
        <f>_xll.BQL("SEG0000230986 Segment", "IS_SBC_ATTRIB_TO_COGS_PRETX/1M", "FPR=2021Y", "FPT=A", "FA_ACT_EST_DATA=E, EST_SOURCE=DZB", "ACT_EST_MAPPING=PRECISE", "FS=MRC", "CURRENCY=USD", "XLFILL=b")</f>
        <v>#N/A Requesting Data...</v>
      </c>
      <c r="AN141" s="6" t="str">
        <f>_xll.BQL("SEG0000230986 Segment", "IS_SBC_ATTRIB_TO_COGS_PRETX/1M", "FPR=2021Y", "FPT=A", "FA_ACT_EST_DATA=E, EST_SOURCE=DWI", "ACT_EST_MAPPING=PRECISE", "FS=MRC", "CURRENCY=USD", "XLFILL=b")</f>
        <v/>
      </c>
      <c r="AO141" s="6" t="str">
        <f>_xll.BQL("SEG0000230986 Segment", "IS_SBC_ATTRIB_TO_COGS_PRETX/1M", "FPR=2021Y", "FPT=A", "FA_ACT_EST_DATA=E, EST_SOURCE=ARG", "ACT_EST_MAPPING=PRECISE", "FS=MRC", "CURRENCY=USD", "XLFILL=b")</f>
        <v>#N/A Requesting Data...</v>
      </c>
      <c r="AP141" s="6" t="str">
        <f>_xll.BQL("SEG0000230986 Segment", "IS_SBC_ATTRIB_TO_COGS_PRETX/1M", "FPR=2021Y", "FPT=A", "FA_ACT_EST_DATA=E, EST_SOURCE=CTI", "ACT_EST_MAPPING=PRECISE", "FS=MRC", "CURRENCY=USD", "XLFILL=b")</f>
        <v/>
      </c>
      <c r="AQ141" s="6" t="str">
        <f>_xll.BQL("SEG0000230986 Segment", "IS_SBC_ATTRIB_TO_COGS_PRETX/1M", "FPR=2021Y", "FPT=A", "FA_ACT_EST_DATA=E, EST_SOURCE=WFT", "ACT_EST_MAPPING=PRECISE", "FS=MRC", "CURRENCY=USD", "XLFILL=b")</f>
        <v>#N/A Requesting Data...</v>
      </c>
      <c r="AR141" s="6" t="str">
        <f>_xll.BQL("SEG0000230986 Segment", "IS_SBC_ATTRIB_TO_COGS_PRETX/1M", "FPR=2021Y", "FPT=A", "FA_ACT_EST_DATA=E, EST_SOURCE=ARE", "ACT_EST_MAPPING=PRECISE", "FS=MRC", "CURRENCY=USD", "XLFILL=b")</f>
        <v>#N/A Requesting Data...</v>
      </c>
      <c r="AS141" s="6" t="str">
        <f>_xll.BQL("SEG0000230986 Segment", "IS_SBC_ATTRIB_TO_COGS_PRETX/1M", "FPR=2021Y", "FPT=A", "FA_ACT_EST_DATA=E, EST_SOURCE=PJE", "ACT_EST_MAPPING=PRECISE", "FS=MRC", "CURRENCY=USD", "XLFILL=b")</f>
        <v>#N/A Requesting Data...</v>
      </c>
      <c r="AT141" s="6" t="str">
        <f>_xll.BQL("SEG0000230986 Segment", "IS_SBC_ATTRIB_TO_COGS_PRETX/1M", "FPR=2021Y", "FPT=A", "FA_ACT_EST_DATA=E, EST_SOURCE=MZS", "ACT_EST_MAPPING=PRECISE", "FS=MRC", "CURRENCY=USD", "XLFILL=b")</f>
        <v>#N/A Requesting Data...</v>
      </c>
      <c r="AU141" s="6" t="str">
        <f>_xll.BQL("SEG0000230986 Segment", "IS_SBC_ATTRIB_TO_COGS_PRETX/1M", "FPR=2021Y", "FPT=A", "FA_ACT_EST_DATA=E, EST_SOURCE=SUM", "ACT_EST_MAPPING=PRECISE", "FS=MRC", "CURRENCY=USD", "XLFILL=b")</f>
        <v/>
      </c>
      <c r="AV141" s="6" t="str">
        <f>_xll.BQL("SEG0000230986 Segment", "IS_SBC_ATTRIB_TO_COGS_PRETX/1M", "FPR=2021Y", "FPT=A", "FA_ACT_EST_DATA=E, EST_SOURCE=CRC", "ACT_EST_MAPPING=PRECISE", "FS=MRC", "CURRENCY=USD", "XLFILL=b")</f>
        <v>#N/A Requesting Data...</v>
      </c>
      <c r="AW141" s="6" t="str">
        <f>_xll.BQL("SEG0000230986 Segment", "IS_SBC_ATTRIB_TO_COGS_PRETX/1M", "FPR=2021Y", "FPT=A", "FA_ACT_EST_DATA=E, EST_SOURCE=SCB", "ACT_EST_MAPPING=PRECISE", "FS=MRC", "CURRENCY=USD", "XLFILL=b")</f>
        <v>#N/A Requesting Data...</v>
      </c>
    </row>
    <row r="142" spans="1:49" x14ac:dyDescent="0.55000000000000004">
      <c r="A142" s="5" t="s">
        <v>183</v>
      </c>
      <c r="B142" s="2" t="s">
        <v>234</v>
      </c>
      <c r="C142" s="2" t="s">
        <v>133</v>
      </c>
      <c r="D142" s="2"/>
      <c r="E142" s="6" t="str">
        <f>_xll.BQL("NOW US Equity", "IS_SBC_ATT_TO_S_AND_M_PRETX/1M", "FPR=2021Y", "FPT=A", "FA_ACT_EST_DATA=E", "ACT_EST_MAPPING=PRECISE", "FS=MRC", "CURRENCY=USD", "XLFILL=b")</f>
        <v>#N/A Requesting Data...</v>
      </c>
      <c r="F142" s="6" t="str">
        <f>_xll.BQL("NOW US Equity", "CONTRIBUTOR_STATS(IS_SBC_ATT_TO_S_AND_M_PRETX, MIN)/1M", "FPR=2021Y", "FPT=A", "FA_ACT_EST_DATA=E", "ACT_EST_MAPPING=PRECISE", "FS=MRC", "CURRENCY=USD", "XLFILL=b")</f>
        <v>#N/A Requesting Data...</v>
      </c>
      <c r="G142" s="6" t="str">
        <f>_xll.BQL("NOW US Equity", "CONTRIBUTOR_STATS(IS_SBC_ATT_TO_S_AND_M_PRETX, MAX)/1M", "FPR=2021Y", "FPT=A", "FA_ACT_EST_DATA=E", "ACT_EST_MAPPING=PRECISE", "FS=MRC", "CURRENCY=USD", "XLFILL=b")</f>
        <v>#N/A Requesting Data...</v>
      </c>
      <c r="H142" s="6" t="str">
        <f>_xll.BQL("NOW US Equity", "CONTRIBUTOR_STATS(IS_SBC_ATT_TO_S_AND_M_PRETX, STD)/1M", "FPR=2021Y", "FPT=A", "FA_ACT_EST_DATA=E", "ACT_EST_MAPPING=PRECISE", "FS=MRC", "CURRENCY=USD", "XLFILL=b")</f>
        <v>#N/A Requesting Data...</v>
      </c>
      <c r="I142" s="6" t="str">
        <f>_xll.BQL("NOW US Equity", "CONTRIBUTOR_STATS(IS_SBC_ATT_TO_S_AND_M_PRETX, MEDIAN)/1M", "FPR=2021Y", "FPT=A", "FA_ACT_EST_DATA=E", "ACT_EST_MAPPING=PRECISE", "FS=MRC", "CURRENCY=USD", "XLFILL=b")</f>
        <v>#N/A Requesting Data...</v>
      </c>
      <c r="J142" s="6" t="str">
        <f>_xll.BQL("NOW US Equity", "IS_SBC_ATT_TO_S_AND_M_PRETX/1M", "FPR=2021Y", "FPT=A", "FA_ACT_EST_DATA=E, EST_SOURCE=CMPY", "ACT_EST_MAPPING=PRECISE", "FS=MRC", "CURRENCY=USD", "XLFILL=b")</f>
        <v>#N/A Requesting Data...</v>
      </c>
      <c r="K142" s="6" t="str">
        <f>_xll.BQL("NOW US Equity", "IS_SBC_ATT_TO_S_AND_M_PRETX/1M", "FPR=2021Y", "FPT=A", "FA_ACT_EST_DATA=E, EST_SOURCE=JPM", "ACT_EST_MAPPING=PRECISE", "FS=MRC", "CURRENCY=USD", "XLFILL=b")</f>
        <v>#N/A Requesting Data...</v>
      </c>
      <c r="L142" s="6" t="str">
        <f>_xll.BQL("NOW US Equity", "IS_SBC_ATT_TO_S_AND_M_PRETX/1M", "FPR=2021Y", "FPT=A", "FA_ACT_EST_DATA=E, EST_SOURCE=WBL", "ACT_EST_MAPPING=PRECISE", "FS=MRC", "CURRENCY=USD", "XLFILL=b")</f>
        <v>#N/A Requesting Data...</v>
      </c>
      <c r="M142" s="6" t="str">
        <f>_xll.BQL("NOW US Equity", "IS_SBC_ATT_TO_S_AND_M_PRETX/1M", "FPR=2021Y", "FPT=A", "FA_ACT_EST_DATA=E, EST_SOURCE=KEY", "ACT_EST_MAPPING=PRECISE", "FS=MRC", "CURRENCY=USD", "XLFILL=b")</f>
        <v>#N/A Requesting Data...</v>
      </c>
      <c r="N142" s="6" t="str">
        <f>_xll.BQL("NOW US Equity", "IS_SBC_ATT_TO_S_AND_M_PRETX/1M", "FPR=2021Y", "FPT=A", "FA_ACT_EST_DATA=E, EST_SOURCE=BMO", "ACT_EST_MAPPING=PRECISE", "FS=MRC", "CURRENCY=USD", "XLFILL=b")</f>
        <v>#N/A Requesting Data...</v>
      </c>
      <c r="O142" s="6" t="str">
        <f>_xll.BQL("NOW US Equity", "IS_SBC_ATT_TO_S_AND_M_PRETX/1M", "FPR=2021Y", "FPT=A", "FA_ACT_EST_DATA=E, EST_SOURCE=OPY", "ACT_EST_MAPPING=PRECISE", "FS=MRC", "CURRENCY=USD", "XLFILL=b")</f>
        <v>#N/A Requesting Data...</v>
      </c>
      <c r="P142" s="6" t="str">
        <f>_xll.BQL("NOW US Equity", "IS_SBC_ATT_TO_S_AND_M_PRETX/1M", "FPR=2021Y", "FPT=A", "FA_ACT_EST_DATA=E, EST_SOURCE=BCA", "ACT_EST_MAPPING=PRECISE", "FS=MRC", "CURRENCY=USD", "XLFILL=b")</f>
        <v>#N/A Requesting Data...</v>
      </c>
      <c r="Q142" s="6" t="str">
        <f>_xll.BQL("NOW US Equity", "IS_SBC_ATT_TO_S_AND_M_PRETX/1M", "FPR=2021Y", "FPT=A", "FA_ACT_EST_DATA=E, EST_SOURCE=RHR", "ACT_EST_MAPPING=PRECISE", "FS=MRC", "CURRENCY=USD", "XLFILL=b")</f>
        <v>#N/A Requesting Data...</v>
      </c>
      <c r="R142" s="6" t="str">
        <f>_xll.BQL("NOW US Equity", "IS_SBC_ATT_TO_S_AND_M_PRETX/1M", "FPR=2021Y", "FPT=A", "FA_ACT_EST_DATA=E, EST_SOURCE=SNR", "ACT_EST_MAPPING=PRECISE", "FS=MRC", "CURRENCY=USD", "XLFILL=b")</f>
        <v>#N/A Requesting Data...</v>
      </c>
      <c r="S142" s="6" t="str">
        <f>_xll.BQL("NOW US Equity", "IS_SBC_ATT_TO_S_AND_M_PRETX/1M", "FPR=2021Y", "FPT=A", "FA_ACT_EST_DATA=E, EST_SOURCE=MSV", "ACT_EST_MAPPING=PRECISE", "FS=MRC", "CURRENCY=USD", "XLFILL=b")</f>
        <v>#N/A Requesting Data...</v>
      </c>
      <c r="T142" s="6" t="str">
        <f>_xll.BQL("NOW US Equity", "IS_SBC_ATT_TO_S_AND_M_PRETX/1M", "FPR=2021Y", "FPT=A", "FA_ACT_EST_DATA=E, EST_SOURCE=CAN", "ACT_EST_MAPPING=PRECISE", "FS=MRC", "CURRENCY=USD", "XLFILL=b")</f>
        <v>#N/A Requesting Data...</v>
      </c>
      <c r="U142" s="6" t="str">
        <f>_xll.BQL("NOW US Equity", "IS_SBC_ATT_TO_S_AND_M_PRETX/1M", "FPR=2021Y", "FPT=A", "FA_ACT_EST_DATA=E, EST_SOURCE=JMP", "ACT_EST_MAPPING=PRECISE", "FS=MRC", "CURRENCY=USD", "XLFILL=b")</f>
        <v>#N/A Requesting Data...</v>
      </c>
      <c r="V142" s="6" t="str">
        <f>_xll.BQL("NOW US Equity", "IS_SBC_ATT_TO_S_AND_M_PRETX/1M", "FPR=2021Y", "FPT=A", "FA_ACT_EST_DATA=E, EST_SOURCE=NDH", "ACT_EST_MAPPING=PRECISE", "FS=MRC", "CURRENCY=USD", "XLFILL=b")</f>
        <v>#N/A Requesting Data...</v>
      </c>
      <c r="W142" s="6" t="str">
        <f>_xll.BQL("NOW US Equity", "IS_SBC_ATT_TO_S_AND_M_PRETX/1M", "FPR=2021Y", "FPT=A", "FA_ACT_EST_DATA=E, EST_SOURCE=ZXS", "ACT_EST_MAPPING=PRECISE", "FS=MRC", "CURRENCY=USD", "XLFILL=b")</f>
        <v>#N/A Requesting Data...</v>
      </c>
      <c r="X142" s="6" t="str">
        <f>_xll.BQL("NOW US Equity", "IS_SBC_ATT_TO_S_AND_M_PRETX/1M", "FPR=2021Y", "FPT=A", "FA_ACT_EST_DATA=E, EST_SOURCE=CWN", "ACT_EST_MAPPING=PRECISE", "FS=MRC", "CURRENCY=USD", "XLFILL=b")</f>
        <v>#N/A Requesting Data...</v>
      </c>
      <c r="Y142" s="6" t="str">
        <f>_xll.BQL("NOW US Equity", "IS_SBC_ATT_TO_S_AND_M_PRETX/1M", "FPR=2021Y", "FPT=A", "FA_ACT_EST_DATA=E, EST_SOURCE=DBG", "ACT_EST_MAPPING=PRECISE", "FS=MRC", "CURRENCY=USD", "XLFILL=b")</f>
        <v>#N/A Requesting Data...</v>
      </c>
      <c r="Z142" s="6" t="str">
        <f>_xll.BQL("NOW US Equity", "IS_SBC_ATT_TO_S_AND_M_PRETX/1M", "FPR=2021Y", "FPT=A", "FA_ACT_EST_DATA=E, EST_SOURCE=UBS", "ACT_EST_MAPPING=PRECISE", "FS=MRC", "CURRENCY=USD", "XLFILL=b")</f>
        <v>#N/A Requesting Data...</v>
      </c>
      <c r="AA142" s="6" t="str">
        <f>_xll.BQL("NOW US Equity", "IS_SBC_ATT_TO_S_AND_M_PRETX/1M", "FPR=2021Y", "FPT=A", "FA_ACT_EST_DATA=E, EST_SOURCE=RBC", "ACT_EST_MAPPING=PRECISE", "FS=MRC", "CURRENCY=USD", "XLFILL=b")</f>
        <v>#N/A Requesting Data...</v>
      </c>
      <c r="AB142" s="6" t="str">
        <f>_xll.BQL("NOW US Equity", "IS_SBC_ATT_TO_S_AND_M_PRETX/1M", "FPR=2021Y", "FPT=A", "FA_ACT_EST_DATA=E, EST_SOURCE=EVR", "ACT_EST_MAPPING=PRECISE", "FS=MRC", "CURRENCY=USD", "XLFILL=b")</f>
        <v>#N/A Requesting Data...</v>
      </c>
      <c r="AC142" s="6" t="str">
        <f>_xll.BQL("NOW US Equity", "IS_SBC_ATT_TO_S_AND_M_PRETX/1M", "FPR=2021Y", "FPT=A", "FA_ACT_EST_DATA=E, EST_SOURCE=BNS", "ACT_EST_MAPPING=PRECISE", "FS=MRC", "CURRENCY=USD", "XLFILL=b")</f>
        <v>#N/A Requesting Data...</v>
      </c>
      <c r="AD142" s="6" t="str">
        <f>_xll.BQL("NOW US Equity", "IS_SBC_ATT_TO_S_AND_M_PRETX/1M", "FPR=2021Y", "FPT=A", "FA_ACT_EST_DATA=E, EST_SOURCE=BAM", "ACT_EST_MAPPING=PRECISE", "FS=MRC", "CURRENCY=USD", "XLFILL=b")</f>
        <v>#N/A Requesting Data...</v>
      </c>
      <c r="AE142" s="6" t="str">
        <f>_xll.BQL("NOW US Equity", "IS_SBC_ATT_TO_S_AND_M_PRETX/1M", "FPR=2021Y", "FPT=A", "FA_ACT_EST_DATA=E, EST_SOURCE=GSR", "ACT_EST_MAPPING=PRECISE", "FS=MRC", "CURRENCY=USD", "XLFILL=b")</f>
        <v>#N/A Requesting Data...</v>
      </c>
      <c r="AF142" s="6" t="str">
        <f>_xll.BQL("NOW US Equity", "IS_SBC_ATT_TO_S_AND_M_PRETX/1M", "FPR=2021Y", "FPT=A", "FA_ACT_EST_DATA=E, EST_SOURCE=FBC", "ACT_EST_MAPPING=PRECISE", "FS=MRC", "CURRENCY=USD", "XLFILL=b")</f>
        <v>#N/A Requesting Data...</v>
      </c>
      <c r="AG142" s="6" t="str">
        <f>_xll.BQL("NOW US Equity", "IS_SBC_ATT_TO_S_AND_M_PRETX/1M", "FPR=2021Y", "FPT=A", "FA_ACT_EST_DATA=E, EST_SOURCE=MAC", "ACT_EST_MAPPING=PRECISE", "FS=MRC", "CURRENCY=USD", "XLFILL=b")</f>
        <v>#N/A Requesting Data...</v>
      </c>
      <c r="AH142" s="6" t="str">
        <f>_xll.BQL("NOW US Equity", "IS_SBC_ATT_TO_S_AND_M_PRETX/1M", "FPR=2021Y", "FPT=A", "FA_ACT_EST_DATA=E, EST_SOURCE=PSG", "ACT_EST_MAPPING=PRECISE", "FS=MRC", "CURRENCY=USD", "XLFILL=b")</f>
        <v>#N/A Requesting Data...</v>
      </c>
      <c r="AI142" s="6" t="str">
        <f>_xll.BQL("NOW US Equity", "IS_SBC_ATT_TO_S_AND_M_PRETX/1M", "FPR=2021Y", "FPT=A", "FA_ACT_EST_DATA=E, EST_SOURCE=MSR", "ACT_EST_MAPPING=PRECISE", "FS=MRC", "CURRENCY=USD", "XLFILL=b")</f>
        <v>#N/A Requesting Data...</v>
      </c>
      <c r="AJ142" s="6" t="str">
        <f>_xll.BQL("NOW US Equity", "IS_SBC_ATT_TO_S_AND_M_PRETX/1M", "FPR=2021Y", "FPT=A", "FA_ACT_EST_DATA=E, EST_SOURCE=JEF", "ACT_EST_MAPPING=PRECISE", "FS=MRC", "CURRENCY=USD", "XLFILL=b")</f>
        <v>#N/A Requesting Data...</v>
      </c>
      <c r="AK142" s="6" t="str">
        <f>_xll.BQL("NOW US Equity", "IS_SBC_ATT_TO_S_AND_M_PRETX/1M", "FPR=2021Y", "FPT=A", "FA_ACT_EST_DATA=E, EST_SOURCE=TTC", "ACT_EST_MAPPING=PRECISE", "FS=MRC", "CURRENCY=USD", "XLFILL=b")</f>
        <v>#N/A Requesting Data...</v>
      </c>
      <c r="AL142" s="6" t="str">
        <f>_xll.BQL("NOW US Equity", "IS_SBC_ATT_TO_S_AND_M_PRETX/1M", "FPR=2021Y", "FPT=A", "FA_ACT_EST_DATA=E, EST_SOURCE=RWB", "ACT_EST_MAPPING=PRECISE", "FS=MRC", "CURRENCY=USD", "XLFILL=b")</f>
        <v>#N/A Requesting Data...</v>
      </c>
      <c r="AM142" s="6" t="str">
        <f>_xll.BQL("NOW US Equity", "IS_SBC_ATT_TO_S_AND_M_PRETX/1M", "FPR=2021Y", "FPT=A", "FA_ACT_EST_DATA=E, EST_SOURCE=DZB", "ACT_EST_MAPPING=PRECISE", "FS=MRC", "CURRENCY=USD", "XLFILL=b")</f>
        <v>#N/A Requesting Data...</v>
      </c>
      <c r="AN142" s="6" t="str">
        <f>_xll.BQL("NOW US Equity", "IS_SBC_ATT_TO_S_AND_M_PRETX/1M", "FPR=2021Y", "FPT=A", "FA_ACT_EST_DATA=E, EST_SOURCE=DWI", "ACT_EST_MAPPING=PRECISE", "FS=MRC", "CURRENCY=USD", "XLFILL=b")</f>
        <v>#N/A Requesting Data...</v>
      </c>
      <c r="AO142" s="6" t="str">
        <f>_xll.BQL("NOW US Equity", "IS_SBC_ATT_TO_S_AND_M_PRETX/1M", "FPR=2021Y", "FPT=A", "FA_ACT_EST_DATA=E, EST_SOURCE=ARG", "ACT_EST_MAPPING=PRECISE", "FS=MRC", "CURRENCY=USD", "XLFILL=b")</f>
        <v>#N/A Requesting Data...</v>
      </c>
      <c r="AP142" s="6" t="str">
        <f>_xll.BQL("NOW US Equity", "IS_SBC_ATT_TO_S_AND_M_PRETX/1M", "FPR=2021Y", "FPT=A", "FA_ACT_EST_DATA=E, EST_SOURCE=CTI", "ACT_EST_MAPPING=PRECISE", "FS=MRC", "CURRENCY=USD", "XLFILL=b")</f>
        <v>#N/A Requesting Data...</v>
      </c>
      <c r="AQ142" s="6" t="str">
        <f>_xll.BQL("NOW US Equity", "IS_SBC_ATT_TO_S_AND_M_PRETX/1M", "FPR=2021Y", "FPT=A", "FA_ACT_EST_DATA=E, EST_SOURCE=WFT", "ACT_EST_MAPPING=PRECISE", "FS=MRC", "CURRENCY=USD", "XLFILL=b")</f>
        <v>#N/A Requesting Data...</v>
      </c>
      <c r="AR142" s="6" t="str">
        <f>_xll.BQL("NOW US Equity", "IS_SBC_ATT_TO_S_AND_M_PRETX/1M", "FPR=2021Y", "FPT=A", "FA_ACT_EST_DATA=E, EST_SOURCE=ARE", "ACT_EST_MAPPING=PRECISE", "FS=MRC", "CURRENCY=USD", "XLFILL=b")</f>
        <v>#N/A Requesting Data...</v>
      </c>
      <c r="AS142" s="6" t="str">
        <f>_xll.BQL("NOW US Equity", "IS_SBC_ATT_TO_S_AND_M_PRETX/1M", "FPR=2021Y", "FPT=A", "FA_ACT_EST_DATA=E, EST_SOURCE=PJE", "ACT_EST_MAPPING=PRECISE", "FS=MRC", "CURRENCY=USD", "XLFILL=b")</f>
        <v>#N/A Requesting Data...</v>
      </c>
      <c r="AT142" s="6" t="str">
        <f>_xll.BQL("NOW US Equity", "IS_SBC_ATT_TO_S_AND_M_PRETX/1M", "FPR=2021Y", "FPT=A", "FA_ACT_EST_DATA=E, EST_SOURCE=MZS", "ACT_EST_MAPPING=PRECISE", "FS=MRC", "CURRENCY=USD", "XLFILL=b")</f>
        <v>#N/A Requesting Data...</v>
      </c>
      <c r="AU142" s="6" t="str">
        <f>_xll.BQL("NOW US Equity", "IS_SBC_ATT_TO_S_AND_M_PRETX/1M", "FPR=2021Y", "FPT=A", "FA_ACT_EST_DATA=E, EST_SOURCE=SUM", "ACT_EST_MAPPING=PRECISE", "FS=MRC", "CURRENCY=USD", "XLFILL=b")</f>
        <v>#N/A Requesting Data...</v>
      </c>
      <c r="AV142" s="6" t="str">
        <f>_xll.BQL("NOW US Equity", "IS_SBC_ATT_TO_S_AND_M_PRETX/1M", "FPR=2021Y", "FPT=A", "FA_ACT_EST_DATA=E, EST_SOURCE=CRC", "ACT_EST_MAPPING=PRECISE", "FS=MRC", "CURRENCY=USD", "XLFILL=b")</f>
        <v>#N/A Requesting Data...</v>
      </c>
      <c r="AW142" s="6" t="str">
        <f>_xll.BQL("NOW US Equity", "IS_SBC_ATT_TO_S_AND_M_PRETX/1M", "FPR=2021Y", "FPT=A", "FA_ACT_EST_DATA=E, EST_SOURCE=SCB", "ACT_EST_MAPPING=PRECISE", "FS=MRC", "CURRENCY=USD", "XLFILL=b")</f>
        <v>#N/A Requesting Data...</v>
      </c>
    </row>
    <row r="143" spans="1:49" x14ac:dyDescent="0.55000000000000004">
      <c r="A143" s="5" t="s">
        <v>185</v>
      </c>
      <c r="B143" s="2" t="s">
        <v>235</v>
      </c>
      <c r="C143" s="2" t="s">
        <v>136</v>
      </c>
      <c r="D143" s="2"/>
      <c r="E143" s="6" t="str">
        <f>_xll.BQL("NOW US Equity", "IS_SBC_ATTRIBUTABLE_TO_R_AND_D_PRETX/1M", "FPR=2021Y", "FPT=A", "FA_ACT_EST_DATA=E", "ACT_EST_MAPPING=PRECISE", "FS=MRC", "CURRENCY=USD", "XLFILL=b")</f>
        <v>#N/A Requesting Data...</v>
      </c>
      <c r="F143" s="6">
        <f>_xll.BQL("NOW US Equity", "CONTRIBUTOR_STATS(IS_SBC_ATTRIBUTABLE_TO_R_AND_D_PRETX, MIN)/1M", "FPR=2021Y", "FPT=A", "FA_ACT_EST_DATA=E", "ACT_EST_MAPPING=PRECISE", "FS=MRC", "CURRENCY=USD", "XLFILL=b")</f>
        <v>380.26664478282311</v>
      </c>
      <c r="G143" s="6">
        <f>_xll.BQL("NOW US Equity", "CONTRIBUTOR_STATS(IS_SBC_ATTRIBUTABLE_TO_R_AND_D_PRETX, MAX)/1M", "FPR=2021Y", "FPT=A", "FA_ACT_EST_DATA=E", "ACT_EST_MAPPING=PRECISE", "FS=MRC", "CURRENCY=USD", "XLFILL=b")</f>
        <v>403.1849923497536</v>
      </c>
      <c r="H143" s="6">
        <f>_xll.BQL("NOW US Equity", "CONTRIBUTOR_STATS(IS_SBC_ATTRIBUTABLE_TO_R_AND_D_PRETX, STD)/1M", "FPR=2021Y", "FPT=A", "FA_ACT_EST_DATA=E", "ACT_EST_MAPPING=PRECISE", "FS=MRC", "CURRENCY=USD", "XLFILL=b")</f>
        <v>6.0903600806172946</v>
      </c>
      <c r="I143" s="6" t="str">
        <f>_xll.BQL("NOW US Equity", "CONTRIBUTOR_STATS(IS_SBC_ATTRIBUTABLE_TO_R_AND_D_PRETX, MEDIAN)/1M", "FPR=2021Y", "FPT=A", "FA_ACT_EST_DATA=E", "ACT_EST_MAPPING=PRECISE", "FS=MRC", "CURRENCY=USD", "XLFILL=b")</f>
        <v>#N/A Requesting Data...</v>
      </c>
      <c r="J143" s="6" t="str">
        <f>_xll.BQL("NOW US Equity", "IS_SBC_ATTRIBUTABLE_TO_R_AND_D_PRETX/1M", "FPR=2021Y", "FPT=A", "FA_ACT_EST_DATA=E, EST_SOURCE=CMPY", "ACT_EST_MAPPING=PRECISE", "FS=MRC", "CURRENCY=USD", "XLFILL=b")</f>
        <v>#N/A Requesting Data...</v>
      </c>
      <c r="K143" s="6" t="str">
        <f>_xll.BQL("NOW US Equity", "IS_SBC_ATTRIBUTABLE_TO_R_AND_D_PRETX/1M", "FPR=2021Y", "FPT=A", "FA_ACT_EST_DATA=E, EST_SOURCE=JPM", "ACT_EST_MAPPING=PRECISE", "FS=MRC", "CURRENCY=USD", "XLFILL=b")</f>
        <v>#N/A Requesting Data...</v>
      </c>
      <c r="L143" s="6" t="str">
        <f>_xll.BQL("NOW US Equity", "IS_SBC_ATTRIBUTABLE_TO_R_AND_D_PRETX/1M", "FPR=2021Y", "FPT=A", "FA_ACT_EST_DATA=E, EST_SOURCE=WBL", "ACT_EST_MAPPING=PRECISE", "FS=MRC", "CURRENCY=USD", "XLFILL=b")</f>
        <v>#N/A Requesting Data...</v>
      </c>
      <c r="M143" s="6" t="str">
        <f>_xll.BQL("NOW US Equity", "IS_SBC_ATTRIBUTABLE_TO_R_AND_D_PRETX/1M", "FPR=2021Y", "FPT=A", "FA_ACT_EST_DATA=E, EST_SOURCE=KEY", "ACT_EST_MAPPING=PRECISE", "FS=MRC", "CURRENCY=USD", "XLFILL=b")</f>
        <v>#N/A Requesting Data...</v>
      </c>
      <c r="N143" s="6" t="str">
        <f>_xll.BQL("NOW US Equity", "IS_SBC_ATTRIBUTABLE_TO_R_AND_D_PRETX/1M", "FPR=2021Y", "FPT=A", "FA_ACT_EST_DATA=E, EST_SOURCE=BMO", "ACT_EST_MAPPING=PRECISE", "FS=MRC", "CURRENCY=USD", "XLFILL=b")</f>
        <v>#N/A Requesting Data...</v>
      </c>
      <c r="O143" s="6" t="str">
        <f>_xll.BQL("NOW US Equity", "IS_SBC_ATTRIBUTABLE_TO_R_AND_D_PRETX/1M", "FPR=2021Y", "FPT=A", "FA_ACT_EST_DATA=E, EST_SOURCE=OPY", "ACT_EST_MAPPING=PRECISE", "FS=MRC", "CURRENCY=USD", "XLFILL=b")</f>
        <v>#N/A Requesting Data...</v>
      </c>
      <c r="P143" s="6" t="str">
        <f>_xll.BQL("NOW US Equity", "IS_SBC_ATTRIBUTABLE_TO_R_AND_D_PRETX/1M", "FPR=2021Y", "FPT=A", "FA_ACT_EST_DATA=E, EST_SOURCE=BCA", "ACT_EST_MAPPING=PRECISE", "FS=MRC", "CURRENCY=USD", "XLFILL=b")</f>
        <v>#N/A Requesting Data...</v>
      </c>
      <c r="Q143" s="6" t="str">
        <f>_xll.BQL("NOW US Equity", "IS_SBC_ATTRIBUTABLE_TO_R_AND_D_PRETX/1M", "FPR=2021Y", "FPT=A", "FA_ACT_EST_DATA=E, EST_SOURCE=RHR", "ACT_EST_MAPPING=PRECISE", "FS=MRC", "CURRENCY=USD", "XLFILL=b")</f>
        <v>#N/A Requesting Data...</v>
      </c>
      <c r="R143" s="6" t="str">
        <f>_xll.BQL("NOW US Equity", "IS_SBC_ATTRIBUTABLE_TO_R_AND_D_PRETX/1M", "FPR=2021Y", "FPT=A", "FA_ACT_EST_DATA=E, EST_SOURCE=SNR", "ACT_EST_MAPPING=PRECISE", "FS=MRC", "CURRENCY=USD", "XLFILL=b")</f>
        <v>#N/A Requesting Data...</v>
      </c>
      <c r="S143" s="6" t="str">
        <f>_xll.BQL("NOW US Equity", "IS_SBC_ATTRIBUTABLE_TO_R_AND_D_PRETX/1M", "FPR=2021Y", "FPT=A", "FA_ACT_EST_DATA=E, EST_SOURCE=MSV", "ACT_EST_MAPPING=PRECISE", "FS=MRC", "CURRENCY=USD", "XLFILL=b")</f>
        <v>#N/A Requesting Data...</v>
      </c>
      <c r="T143" s="6" t="str">
        <f>_xll.BQL("NOW US Equity", "IS_SBC_ATTRIBUTABLE_TO_R_AND_D_PRETX/1M", "FPR=2021Y", "FPT=A", "FA_ACT_EST_DATA=E, EST_SOURCE=CAN", "ACT_EST_MAPPING=PRECISE", "FS=MRC", "CURRENCY=USD", "XLFILL=b")</f>
        <v>#N/A Requesting Data...</v>
      </c>
      <c r="U143" s="6" t="str">
        <f>_xll.BQL("NOW US Equity", "IS_SBC_ATTRIBUTABLE_TO_R_AND_D_PRETX/1M", "FPR=2021Y", "FPT=A", "FA_ACT_EST_DATA=E, EST_SOURCE=JMP", "ACT_EST_MAPPING=PRECISE", "FS=MRC", "CURRENCY=USD", "XLFILL=b")</f>
        <v>#N/A Requesting Data...</v>
      </c>
      <c r="V143" s="6" t="str">
        <f>_xll.BQL("NOW US Equity", "IS_SBC_ATTRIBUTABLE_TO_R_AND_D_PRETX/1M", "FPR=2021Y", "FPT=A", "FA_ACT_EST_DATA=E, EST_SOURCE=NDH", "ACT_EST_MAPPING=PRECISE", "FS=MRC", "CURRENCY=USD", "XLFILL=b")</f>
        <v>#N/A Requesting Data...</v>
      </c>
      <c r="W143" s="6" t="str">
        <f>_xll.BQL("NOW US Equity", "IS_SBC_ATTRIBUTABLE_TO_R_AND_D_PRETX/1M", "FPR=2021Y", "FPT=A", "FA_ACT_EST_DATA=E, EST_SOURCE=ZXS", "ACT_EST_MAPPING=PRECISE", "FS=MRC", "CURRENCY=USD", "XLFILL=b")</f>
        <v>#N/A Requesting Data...</v>
      </c>
      <c r="X143" s="6" t="str">
        <f>_xll.BQL("NOW US Equity", "IS_SBC_ATTRIBUTABLE_TO_R_AND_D_PRETX/1M", "FPR=2021Y", "FPT=A", "FA_ACT_EST_DATA=E, EST_SOURCE=CWN", "ACT_EST_MAPPING=PRECISE", "FS=MRC", "CURRENCY=USD", "XLFILL=b")</f>
        <v>#N/A Requesting Data...</v>
      </c>
      <c r="Y143" s="6" t="str">
        <f>_xll.BQL("NOW US Equity", "IS_SBC_ATTRIBUTABLE_TO_R_AND_D_PRETX/1M", "FPR=2021Y", "FPT=A", "FA_ACT_EST_DATA=E, EST_SOURCE=DBG", "ACT_EST_MAPPING=PRECISE", "FS=MRC", "CURRENCY=USD", "XLFILL=b")</f>
        <v>#N/A Requesting Data...</v>
      </c>
      <c r="Z143" s="6" t="str">
        <f>_xll.BQL("NOW US Equity", "IS_SBC_ATTRIBUTABLE_TO_R_AND_D_PRETX/1M", "FPR=2021Y", "FPT=A", "FA_ACT_EST_DATA=E, EST_SOURCE=UBS", "ACT_EST_MAPPING=PRECISE", "FS=MRC", "CURRENCY=USD", "XLFILL=b")</f>
        <v>#N/A Requesting Data...</v>
      </c>
      <c r="AA143" s="6" t="str">
        <f>_xll.BQL("NOW US Equity", "IS_SBC_ATTRIBUTABLE_TO_R_AND_D_PRETX/1M", "FPR=2021Y", "FPT=A", "FA_ACT_EST_DATA=E, EST_SOURCE=RBC", "ACT_EST_MAPPING=PRECISE", "FS=MRC", "CURRENCY=USD", "XLFILL=b")</f>
        <v>#N/A Requesting Data...</v>
      </c>
      <c r="AB143" s="6" t="str">
        <f>_xll.BQL("NOW US Equity", "IS_SBC_ATTRIBUTABLE_TO_R_AND_D_PRETX/1M", "FPR=2021Y", "FPT=A", "FA_ACT_EST_DATA=E, EST_SOURCE=EVR", "ACT_EST_MAPPING=PRECISE", "FS=MRC", "CURRENCY=USD", "XLFILL=b")</f>
        <v>#N/A Requesting Data...</v>
      </c>
      <c r="AC143" s="6" t="str">
        <f>_xll.BQL("NOW US Equity", "IS_SBC_ATTRIBUTABLE_TO_R_AND_D_PRETX/1M", "FPR=2021Y", "FPT=A", "FA_ACT_EST_DATA=E, EST_SOURCE=BNS", "ACT_EST_MAPPING=PRECISE", "FS=MRC", "CURRENCY=USD", "XLFILL=b")</f>
        <v>#N/A Requesting Data...</v>
      </c>
      <c r="AD143" s="6" t="str">
        <f>_xll.BQL("NOW US Equity", "IS_SBC_ATTRIBUTABLE_TO_R_AND_D_PRETX/1M", "FPR=2021Y", "FPT=A", "FA_ACT_EST_DATA=E, EST_SOURCE=BAM", "ACT_EST_MAPPING=PRECISE", "FS=MRC", "CURRENCY=USD", "XLFILL=b")</f>
        <v>#N/A Requesting Data...</v>
      </c>
      <c r="AE143" s="6" t="str">
        <f>_xll.BQL("NOW US Equity", "IS_SBC_ATTRIBUTABLE_TO_R_AND_D_PRETX/1M", "FPR=2021Y", "FPT=A", "FA_ACT_EST_DATA=E, EST_SOURCE=GSR", "ACT_EST_MAPPING=PRECISE", "FS=MRC", "CURRENCY=USD", "XLFILL=b")</f>
        <v>#N/A Requesting Data...</v>
      </c>
      <c r="AF143" s="6" t="str">
        <f>_xll.BQL("NOW US Equity", "IS_SBC_ATTRIBUTABLE_TO_R_AND_D_PRETX/1M", "FPR=2021Y", "FPT=A", "FA_ACT_EST_DATA=E, EST_SOURCE=FBC", "ACT_EST_MAPPING=PRECISE", "FS=MRC", "CURRENCY=USD", "XLFILL=b")</f>
        <v>#N/A Requesting Data...</v>
      </c>
      <c r="AG143" s="6" t="str">
        <f>_xll.BQL("NOW US Equity", "IS_SBC_ATTRIBUTABLE_TO_R_AND_D_PRETX/1M", "FPR=2021Y", "FPT=A", "FA_ACT_EST_DATA=E, EST_SOURCE=MAC", "ACT_EST_MAPPING=PRECISE", "FS=MRC", "CURRENCY=USD", "XLFILL=b")</f>
        <v>#N/A Requesting Data...</v>
      </c>
      <c r="AH143" s="6" t="str">
        <f>_xll.BQL("NOW US Equity", "IS_SBC_ATTRIBUTABLE_TO_R_AND_D_PRETX/1M", "FPR=2021Y", "FPT=A", "FA_ACT_EST_DATA=E, EST_SOURCE=PSG", "ACT_EST_MAPPING=PRECISE", "FS=MRC", "CURRENCY=USD", "XLFILL=b")</f>
        <v>#N/A Requesting Data...</v>
      </c>
      <c r="AI143" s="6" t="str">
        <f>_xll.BQL("NOW US Equity", "IS_SBC_ATTRIBUTABLE_TO_R_AND_D_PRETX/1M", "FPR=2021Y", "FPT=A", "FA_ACT_EST_DATA=E, EST_SOURCE=MSR", "ACT_EST_MAPPING=PRECISE", "FS=MRC", "CURRENCY=USD", "XLFILL=b")</f>
        <v>#N/A Requesting Data...</v>
      </c>
      <c r="AJ143" s="6" t="str">
        <f>_xll.BQL("NOW US Equity", "IS_SBC_ATTRIBUTABLE_TO_R_AND_D_PRETX/1M", "FPR=2021Y", "FPT=A", "FA_ACT_EST_DATA=E, EST_SOURCE=JEF", "ACT_EST_MAPPING=PRECISE", "FS=MRC", "CURRENCY=USD", "XLFILL=b")</f>
        <v>#N/A Requesting Data...</v>
      </c>
      <c r="AK143" s="6" t="str">
        <f>_xll.BQL("NOW US Equity", "IS_SBC_ATTRIBUTABLE_TO_R_AND_D_PRETX/1M", "FPR=2021Y", "FPT=A", "FA_ACT_EST_DATA=E, EST_SOURCE=TTC", "ACT_EST_MAPPING=PRECISE", "FS=MRC", "CURRENCY=USD", "XLFILL=b")</f>
        <v>#N/A Requesting Data...</v>
      </c>
      <c r="AL143" s="6" t="str">
        <f>_xll.BQL("NOW US Equity", "IS_SBC_ATTRIBUTABLE_TO_R_AND_D_PRETX/1M", "FPR=2021Y", "FPT=A", "FA_ACT_EST_DATA=E, EST_SOURCE=RWB", "ACT_EST_MAPPING=PRECISE", "FS=MRC", "CURRENCY=USD", "XLFILL=b")</f>
        <v>#N/A Requesting Data...</v>
      </c>
      <c r="AM143" s="6" t="str">
        <f>_xll.BQL("NOW US Equity", "IS_SBC_ATTRIBUTABLE_TO_R_AND_D_PRETX/1M", "FPR=2021Y", "FPT=A", "FA_ACT_EST_DATA=E, EST_SOURCE=DZB", "ACT_EST_MAPPING=PRECISE", "FS=MRC", "CURRENCY=USD", "XLFILL=b")</f>
        <v>#N/A Requesting Data...</v>
      </c>
      <c r="AN143" s="6" t="str">
        <f>_xll.BQL("NOW US Equity", "IS_SBC_ATTRIBUTABLE_TO_R_AND_D_PRETX/1M", "FPR=2021Y", "FPT=A", "FA_ACT_EST_DATA=E, EST_SOURCE=DWI", "ACT_EST_MAPPING=PRECISE", "FS=MRC", "CURRENCY=USD", "XLFILL=b")</f>
        <v>#N/A Requesting Data...</v>
      </c>
      <c r="AO143" s="6" t="str">
        <f>_xll.BQL("NOW US Equity", "IS_SBC_ATTRIBUTABLE_TO_R_AND_D_PRETX/1M", "FPR=2021Y", "FPT=A", "FA_ACT_EST_DATA=E, EST_SOURCE=ARG", "ACT_EST_MAPPING=PRECISE", "FS=MRC", "CURRENCY=USD", "XLFILL=b")</f>
        <v>#N/A Requesting Data...</v>
      </c>
      <c r="AP143" s="6" t="str">
        <f>_xll.BQL("NOW US Equity", "IS_SBC_ATTRIBUTABLE_TO_R_AND_D_PRETX/1M", "FPR=2021Y", "FPT=A", "FA_ACT_EST_DATA=E, EST_SOURCE=CTI", "ACT_EST_MAPPING=PRECISE", "FS=MRC", "CURRENCY=USD", "XLFILL=b")</f>
        <v>#N/A Requesting Data...</v>
      </c>
      <c r="AQ143" s="6" t="str">
        <f>_xll.BQL("NOW US Equity", "IS_SBC_ATTRIBUTABLE_TO_R_AND_D_PRETX/1M", "FPR=2021Y", "FPT=A", "FA_ACT_EST_DATA=E, EST_SOURCE=WFT", "ACT_EST_MAPPING=PRECISE", "FS=MRC", "CURRENCY=USD", "XLFILL=b")</f>
        <v>#N/A Requesting Data...</v>
      </c>
      <c r="AR143" s="6" t="str">
        <f>_xll.BQL("NOW US Equity", "IS_SBC_ATTRIBUTABLE_TO_R_AND_D_PRETX/1M", "FPR=2021Y", "FPT=A", "FA_ACT_EST_DATA=E, EST_SOURCE=ARE", "ACT_EST_MAPPING=PRECISE", "FS=MRC", "CURRENCY=USD", "XLFILL=b")</f>
        <v>#N/A Requesting Data...</v>
      </c>
      <c r="AS143" s="6" t="str">
        <f>_xll.BQL("NOW US Equity", "IS_SBC_ATTRIBUTABLE_TO_R_AND_D_PRETX/1M", "FPR=2021Y", "FPT=A", "FA_ACT_EST_DATA=E, EST_SOURCE=PJE", "ACT_EST_MAPPING=PRECISE", "FS=MRC", "CURRENCY=USD", "XLFILL=b")</f>
        <v>#N/A Requesting Data...</v>
      </c>
      <c r="AT143" s="6" t="str">
        <f>_xll.BQL("NOW US Equity", "IS_SBC_ATTRIBUTABLE_TO_R_AND_D_PRETX/1M", "FPR=2021Y", "FPT=A", "FA_ACT_EST_DATA=E, EST_SOURCE=MZS", "ACT_EST_MAPPING=PRECISE", "FS=MRC", "CURRENCY=USD", "XLFILL=b")</f>
        <v>#N/A Requesting Data...</v>
      </c>
      <c r="AU143" s="6" t="str">
        <f>_xll.BQL("NOW US Equity", "IS_SBC_ATTRIBUTABLE_TO_R_AND_D_PRETX/1M", "FPR=2021Y", "FPT=A", "FA_ACT_EST_DATA=E, EST_SOURCE=SUM", "ACT_EST_MAPPING=PRECISE", "FS=MRC", "CURRENCY=USD", "XLFILL=b")</f>
        <v>#N/A Requesting Data...</v>
      </c>
      <c r="AV143" s="6" t="str">
        <f>_xll.BQL("NOW US Equity", "IS_SBC_ATTRIBUTABLE_TO_R_AND_D_PRETX/1M", "FPR=2021Y", "FPT=A", "FA_ACT_EST_DATA=E, EST_SOURCE=CRC", "ACT_EST_MAPPING=PRECISE", "FS=MRC", "CURRENCY=USD", "XLFILL=b")</f>
        <v>#N/A Requesting Data...</v>
      </c>
      <c r="AW143" s="6" t="str">
        <f>_xll.BQL("NOW US Equity", "IS_SBC_ATTRIBUTABLE_TO_R_AND_D_PRETX/1M", "FPR=2021Y", "FPT=A", "FA_ACT_EST_DATA=E, EST_SOURCE=SCB", "ACT_EST_MAPPING=PRECISE", "FS=MRC", "CURRENCY=USD", "XLFILL=b")</f>
        <v>#N/A Requesting Data...</v>
      </c>
    </row>
    <row r="144" spans="1:49" x14ac:dyDescent="0.55000000000000004">
      <c r="A144" s="5" t="s">
        <v>187</v>
      </c>
      <c r="B144" s="2" t="s">
        <v>236</v>
      </c>
      <c r="C144" s="2" t="s">
        <v>140</v>
      </c>
      <c r="D144" s="2"/>
      <c r="E144" s="6" t="str">
        <f>_xll.BQL("NOW US Equity", "IS_SBC_ATT_TO_GENL_AND_ADMIN_PRETX/1M", "FPR=2021Y", "FPT=A", "FA_ACT_EST_DATA=E", "ACT_EST_MAPPING=PRECISE", "FS=MRC", "CURRENCY=USD", "XLFILL=b")</f>
        <v>#N/A Requesting Data...</v>
      </c>
      <c r="F144" s="6" t="str">
        <f>_xll.BQL("NOW US Equity", "CONTRIBUTOR_STATS(IS_SBC_ATT_TO_GENL_AND_ADMIN_PRETX, MIN)/1M", "FPR=2021Y", "FPT=A", "FA_ACT_EST_DATA=E", "ACT_EST_MAPPING=PRECISE", "FS=MRC", "CURRENCY=USD", "XLFILL=b")</f>
        <v>#N/A Requesting Data...</v>
      </c>
      <c r="G144" s="6" t="str">
        <f>_xll.BQL("NOW US Equity", "CONTRIBUTOR_STATS(IS_SBC_ATT_TO_GENL_AND_ADMIN_PRETX, MAX)/1M", "FPR=2021Y", "FPT=A", "FA_ACT_EST_DATA=E", "ACT_EST_MAPPING=PRECISE", "FS=MRC", "CURRENCY=USD", "XLFILL=b")</f>
        <v>#N/A Requesting Data...</v>
      </c>
      <c r="H144" s="6" t="str">
        <f>_xll.BQL("NOW US Equity", "CONTRIBUTOR_STATS(IS_SBC_ATT_TO_GENL_AND_ADMIN_PRETX, STD)/1M", "FPR=2021Y", "FPT=A", "FA_ACT_EST_DATA=E", "ACT_EST_MAPPING=PRECISE", "FS=MRC", "CURRENCY=USD", "XLFILL=b")</f>
        <v>#N/A Requesting Data...</v>
      </c>
      <c r="I144" s="6" t="str">
        <f>_xll.BQL("NOW US Equity", "CONTRIBUTOR_STATS(IS_SBC_ATT_TO_GENL_AND_ADMIN_PRETX, MEDIAN)/1M", "FPR=2021Y", "FPT=A", "FA_ACT_EST_DATA=E", "ACT_EST_MAPPING=PRECISE", "FS=MRC", "CURRENCY=USD", "XLFILL=b")</f>
        <v>#N/A Requesting Data...</v>
      </c>
      <c r="J144" s="6" t="str">
        <f>_xll.BQL("NOW US Equity", "IS_SBC_ATT_TO_GENL_AND_ADMIN_PRETX/1M", "FPR=2021Y", "FPT=A", "FA_ACT_EST_DATA=E, EST_SOURCE=CMPY", "ACT_EST_MAPPING=PRECISE", "FS=MRC", "CURRENCY=USD", "XLFILL=b")</f>
        <v>#N/A Requesting Data...</v>
      </c>
      <c r="K144" s="6" t="str">
        <f>_xll.BQL("NOW US Equity", "IS_SBC_ATT_TO_GENL_AND_ADMIN_PRETX/1M", "FPR=2021Y", "FPT=A", "FA_ACT_EST_DATA=E, EST_SOURCE=JPM", "ACT_EST_MAPPING=PRECISE", "FS=MRC", "CURRENCY=USD", "XLFILL=b")</f>
        <v>#N/A Requesting Data...</v>
      </c>
      <c r="L144" s="6" t="str">
        <f>_xll.BQL("NOW US Equity", "IS_SBC_ATT_TO_GENL_AND_ADMIN_PRETX/1M", "FPR=2021Y", "FPT=A", "FA_ACT_EST_DATA=E, EST_SOURCE=WBL", "ACT_EST_MAPPING=PRECISE", "FS=MRC", "CURRENCY=USD", "XLFILL=b")</f>
        <v>#N/A Requesting Data...</v>
      </c>
      <c r="M144" s="6" t="str">
        <f>_xll.BQL("NOW US Equity", "IS_SBC_ATT_TO_GENL_AND_ADMIN_PRETX/1M", "FPR=2021Y", "FPT=A", "FA_ACT_EST_DATA=E, EST_SOURCE=KEY", "ACT_EST_MAPPING=PRECISE", "FS=MRC", "CURRENCY=USD", "XLFILL=b")</f>
        <v>#N/A Requesting Data...</v>
      </c>
      <c r="N144" s="6" t="str">
        <f>_xll.BQL("NOW US Equity", "IS_SBC_ATT_TO_GENL_AND_ADMIN_PRETX/1M", "FPR=2021Y", "FPT=A", "FA_ACT_EST_DATA=E, EST_SOURCE=BMO", "ACT_EST_MAPPING=PRECISE", "FS=MRC", "CURRENCY=USD", "XLFILL=b")</f>
        <v>#N/A Requesting Data...</v>
      </c>
      <c r="O144" s="6" t="str">
        <f>_xll.BQL("NOW US Equity", "IS_SBC_ATT_TO_GENL_AND_ADMIN_PRETX/1M", "FPR=2021Y", "FPT=A", "FA_ACT_EST_DATA=E, EST_SOURCE=OPY", "ACT_EST_MAPPING=PRECISE", "FS=MRC", "CURRENCY=USD", "XLFILL=b")</f>
        <v>#N/A Requesting Data...</v>
      </c>
      <c r="P144" s="6" t="str">
        <f>_xll.BQL("NOW US Equity", "IS_SBC_ATT_TO_GENL_AND_ADMIN_PRETX/1M", "FPR=2021Y", "FPT=A", "FA_ACT_EST_DATA=E, EST_SOURCE=BCA", "ACT_EST_MAPPING=PRECISE", "FS=MRC", "CURRENCY=USD", "XLFILL=b")</f>
        <v>#N/A Requesting Data...</v>
      </c>
      <c r="Q144" s="6" t="str">
        <f>_xll.BQL("NOW US Equity", "IS_SBC_ATT_TO_GENL_AND_ADMIN_PRETX/1M", "FPR=2021Y", "FPT=A", "FA_ACT_EST_DATA=E, EST_SOURCE=RHR", "ACT_EST_MAPPING=PRECISE", "FS=MRC", "CURRENCY=USD", "XLFILL=b")</f>
        <v>#N/A Requesting Data...</v>
      </c>
      <c r="R144" s="6" t="str">
        <f>_xll.BQL("NOW US Equity", "IS_SBC_ATT_TO_GENL_AND_ADMIN_PRETX/1M", "FPR=2021Y", "FPT=A", "FA_ACT_EST_DATA=E, EST_SOURCE=SNR", "ACT_EST_MAPPING=PRECISE", "FS=MRC", "CURRENCY=USD", "XLFILL=b")</f>
        <v>#N/A Requesting Data...</v>
      </c>
      <c r="S144" s="6" t="str">
        <f>_xll.BQL("NOW US Equity", "IS_SBC_ATT_TO_GENL_AND_ADMIN_PRETX/1M", "FPR=2021Y", "FPT=A", "FA_ACT_EST_DATA=E, EST_SOURCE=MSV", "ACT_EST_MAPPING=PRECISE", "FS=MRC", "CURRENCY=USD", "XLFILL=b")</f>
        <v>#N/A Requesting Data...</v>
      </c>
      <c r="T144" s="6" t="str">
        <f>_xll.BQL("NOW US Equity", "IS_SBC_ATT_TO_GENL_AND_ADMIN_PRETX/1M", "FPR=2021Y", "FPT=A", "FA_ACT_EST_DATA=E, EST_SOURCE=CAN", "ACT_EST_MAPPING=PRECISE", "FS=MRC", "CURRENCY=USD", "XLFILL=b")</f>
        <v>#N/A Requesting Data...</v>
      </c>
      <c r="U144" s="6" t="str">
        <f>_xll.BQL("NOW US Equity", "IS_SBC_ATT_TO_GENL_AND_ADMIN_PRETX/1M", "FPR=2021Y", "FPT=A", "FA_ACT_EST_DATA=E, EST_SOURCE=JMP", "ACT_EST_MAPPING=PRECISE", "FS=MRC", "CURRENCY=USD", "XLFILL=b")</f>
        <v>#N/A Requesting Data...</v>
      </c>
      <c r="V144" s="6" t="str">
        <f>_xll.BQL("NOW US Equity", "IS_SBC_ATT_TO_GENL_AND_ADMIN_PRETX/1M", "FPR=2021Y", "FPT=A", "FA_ACT_EST_DATA=E, EST_SOURCE=NDH", "ACT_EST_MAPPING=PRECISE", "FS=MRC", "CURRENCY=USD", "XLFILL=b")</f>
        <v>#N/A Requesting Data...</v>
      </c>
      <c r="W144" s="6" t="str">
        <f>_xll.BQL("NOW US Equity", "IS_SBC_ATT_TO_GENL_AND_ADMIN_PRETX/1M", "FPR=2021Y", "FPT=A", "FA_ACT_EST_DATA=E, EST_SOURCE=ZXS", "ACT_EST_MAPPING=PRECISE", "FS=MRC", "CURRENCY=USD", "XLFILL=b")</f>
        <v>#N/A Requesting Data...</v>
      </c>
      <c r="X144" s="6" t="str">
        <f>_xll.BQL("NOW US Equity", "IS_SBC_ATT_TO_GENL_AND_ADMIN_PRETX/1M", "FPR=2021Y", "FPT=A", "FA_ACT_EST_DATA=E, EST_SOURCE=CWN", "ACT_EST_MAPPING=PRECISE", "FS=MRC", "CURRENCY=USD", "XLFILL=b")</f>
        <v>#N/A Requesting Data...</v>
      </c>
      <c r="Y144" s="6" t="str">
        <f>_xll.BQL("NOW US Equity", "IS_SBC_ATT_TO_GENL_AND_ADMIN_PRETX/1M", "FPR=2021Y", "FPT=A", "FA_ACT_EST_DATA=E, EST_SOURCE=DBG", "ACT_EST_MAPPING=PRECISE", "FS=MRC", "CURRENCY=USD", "XLFILL=b")</f>
        <v>#N/A Requesting Data...</v>
      </c>
      <c r="Z144" s="6" t="str">
        <f>_xll.BQL("NOW US Equity", "IS_SBC_ATT_TO_GENL_AND_ADMIN_PRETX/1M", "FPR=2021Y", "FPT=A", "FA_ACT_EST_DATA=E, EST_SOURCE=UBS", "ACT_EST_MAPPING=PRECISE", "FS=MRC", "CURRENCY=USD", "XLFILL=b")</f>
        <v>#N/A Requesting Data...</v>
      </c>
      <c r="AA144" s="6" t="str">
        <f>_xll.BQL("NOW US Equity", "IS_SBC_ATT_TO_GENL_AND_ADMIN_PRETX/1M", "FPR=2021Y", "FPT=A", "FA_ACT_EST_DATA=E, EST_SOURCE=RBC", "ACT_EST_MAPPING=PRECISE", "FS=MRC", "CURRENCY=USD", "XLFILL=b")</f>
        <v>#N/A Requesting Data...</v>
      </c>
      <c r="AB144" s="6" t="str">
        <f>_xll.BQL("NOW US Equity", "IS_SBC_ATT_TO_GENL_AND_ADMIN_PRETX/1M", "FPR=2021Y", "FPT=A", "FA_ACT_EST_DATA=E, EST_SOURCE=EVR", "ACT_EST_MAPPING=PRECISE", "FS=MRC", "CURRENCY=USD", "XLFILL=b")</f>
        <v>#N/A Requesting Data...</v>
      </c>
      <c r="AC144" s="6" t="str">
        <f>_xll.BQL("NOW US Equity", "IS_SBC_ATT_TO_GENL_AND_ADMIN_PRETX/1M", "FPR=2021Y", "FPT=A", "FA_ACT_EST_DATA=E, EST_SOURCE=BNS", "ACT_EST_MAPPING=PRECISE", "FS=MRC", "CURRENCY=USD", "XLFILL=b")</f>
        <v>#N/A Requesting Data...</v>
      </c>
      <c r="AD144" s="6" t="str">
        <f>_xll.BQL("NOW US Equity", "IS_SBC_ATT_TO_GENL_AND_ADMIN_PRETX/1M", "FPR=2021Y", "FPT=A", "FA_ACT_EST_DATA=E, EST_SOURCE=BAM", "ACT_EST_MAPPING=PRECISE", "FS=MRC", "CURRENCY=USD", "XLFILL=b")</f>
        <v>#N/A Requesting Data...</v>
      </c>
      <c r="AE144" s="6" t="str">
        <f>_xll.BQL("NOW US Equity", "IS_SBC_ATT_TO_GENL_AND_ADMIN_PRETX/1M", "FPR=2021Y", "FPT=A", "FA_ACT_EST_DATA=E, EST_SOURCE=GSR", "ACT_EST_MAPPING=PRECISE", "FS=MRC", "CURRENCY=USD", "XLFILL=b")</f>
        <v>#N/A Requesting Data...</v>
      </c>
      <c r="AF144" s="6" t="str">
        <f>_xll.BQL("NOW US Equity", "IS_SBC_ATT_TO_GENL_AND_ADMIN_PRETX/1M", "FPR=2021Y", "FPT=A", "FA_ACT_EST_DATA=E, EST_SOURCE=FBC", "ACT_EST_MAPPING=PRECISE", "FS=MRC", "CURRENCY=USD", "XLFILL=b")</f>
        <v>#N/A Requesting Data...</v>
      </c>
      <c r="AG144" s="6" t="str">
        <f>_xll.BQL("NOW US Equity", "IS_SBC_ATT_TO_GENL_AND_ADMIN_PRETX/1M", "FPR=2021Y", "FPT=A", "FA_ACT_EST_DATA=E, EST_SOURCE=MAC", "ACT_EST_MAPPING=PRECISE", "FS=MRC", "CURRENCY=USD", "XLFILL=b")</f>
        <v>#N/A Requesting Data...</v>
      </c>
      <c r="AH144" s="6" t="str">
        <f>_xll.BQL("NOW US Equity", "IS_SBC_ATT_TO_GENL_AND_ADMIN_PRETX/1M", "FPR=2021Y", "FPT=A", "FA_ACT_EST_DATA=E, EST_SOURCE=PSG", "ACT_EST_MAPPING=PRECISE", "FS=MRC", "CURRENCY=USD", "XLFILL=b")</f>
        <v>#N/A Requesting Data...</v>
      </c>
      <c r="AI144" s="6" t="str">
        <f>_xll.BQL("NOW US Equity", "IS_SBC_ATT_TO_GENL_AND_ADMIN_PRETX/1M", "FPR=2021Y", "FPT=A", "FA_ACT_EST_DATA=E, EST_SOURCE=MSR", "ACT_EST_MAPPING=PRECISE", "FS=MRC", "CURRENCY=USD", "XLFILL=b")</f>
        <v>#N/A Requesting Data...</v>
      </c>
      <c r="AJ144" s="6" t="str">
        <f>_xll.BQL("NOW US Equity", "IS_SBC_ATT_TO_GENL_AND_ADMIN_PRETX/1M", "FPR=2021Y", "FPT=A", "FA_ACT_EST_DATA=E, EST_SOURCE=JEF", "ACT_EST_MAPPING=PRECISE", "FS=MRC", "CURRENCY=USD", "XLFILL=b")</f>
        <v>#N/A Requesting Data...</v>
      </c>
      <c r="AK144" s="6" t="str">
        <f>_xll.BQL("NOW US Equity", "IS_SBC_ATT_TO_GENL_AND_ADMIN_PRETX/1M", "FPR=2021Y", "FPT=A", "FA_ACT_EST_DATA=E, EST_SOURCE=TTC", "ACT_EST_MAPPING=PRECISE", "FS=MRC", "CURRENCY=USD", "XLFILL=b")</f>
        <v>#N/A Requesting Data...</v>
      </c>
      <c r="AL144" s="6" t="str">
        <f>_xll.BQL("NOW US Equity", "IS_SBC_ATT_TO_GENL_AND_ADMIN_PRETX/1M", "FPR=2021Y", "FPT=A", "FA_ACT_EST_DATA=E, EST_SOURCE=RWB", "ACT_EST_MAPPING=PRECISE", "FS=MRC", "CURRENCY=USD", "XLFILL=b")</f>
        <v>#N/A Requesting Data...</v>
      </c>
      <c r="AM144" s="6" t="str">
        <f>_xll.BQL("NOW US Equity", "IS_SBC_ATT_TO_GENL_AND_ADMIN_PRETX/1M", "FPR=2021Y", "FPT=A", "FA_ACT_EST_DATA=E, EST_SOURCE=DZB", "ACT_EST_MAPPING=PRECISE", "FS=MRC", "CURRENCY=USD", "XLFILL=b")</f>
        <v>#N/A Requesting Data...</v>
      </c>
      <c r="AN144" s="6" t="str">
        <f>_xll.BQL("NOW US Equity", "IS_SBC_ATT_TO_GENL_AND_ADMIN_PRETX/1M", "FPR=2021Y", "FPT=A", "FA_ACT_EST_DATA=E, EST_SOURCE=DWI", "ACT_EST_MAPPING=PRECISE", "FS=MRC", "CURRENCY=USD", "XLFILL=b")</f>
        <v>#N/A Requesting Data...</v>
      </c>
      <c r="AO144" s="6" t="str">
        <f>_xll.BQL("NOW US Equity", "IS_SBC_ATT_TO_GENL_AND_ADMIN_PRETX/1M", "FPR=2021Y", "FPT=A", "FA_ACT_EST_DATA=E, EST_SOURCE=ARG", "ACT_EST_MAPPING=PRECISE", "FS=MRC", "CURRENCY=USD", "XLFILL=b")</f>
        <v>#N/A Requesting Data...</v>
      </c>
      <c r="AP144" s="6" t="str">
        <f>_xll.BQL("NOW US Equity", "IS_SBC_ATT_TO_GENL_AND_ADMIN_PRETX/1M", "FPR=2021Y", "FPT=A", "FA_ACT_EST_DATA=E, EST_SOURCE=CTI", "ACT_EST_MAPPING=PRECISE", "FS=MRC", "CURRENCY=USD", "XLFILL=b")</f>
        <v>#N/A Requesting Data...</v>
      </c>
      <c r="AQ144" s="6" t="str">
        <f>_xll.BQL("NOW US Equity", "IS_SBC_ATT_TO_GENL_AND_ADMIN_PRETX/1M", "FPR=2021Y", "FPT=A", "FA_ACT_EST_DATA=E, EST_SOURCE=WFT", "ACT_EST_MAPPING=PRECISE", "FS=MRC", "CURRENCY=USD", "XLFILL=b")</f>
        <v>#N/A Requesting Data...</v>
      </c>
      <c r="AR144" s="6" t="str">
        <f>_xll.BQL("NOW US Equity", "IS_SBC_ATT_TO_GENL_AND_ADMIN_PRETX/1M", "FPR=2021Y", "FPT=A", "FA_ACT_EST_DATA=E, EST_SOURCE=ARE", "ACT_EST_MAPPING=PRECISE", "FS=MRC", "CURRENCY=USD", "XLFILL=b")</f>
        <v>#N/A Requesting Data...</v>
      </c>
      <c r="AS144" s="6" t="str">
        <f>_xll.BQL("NOW US Equity", "IS_SBC_ATT_TO_GENL_AND_ADMIN_PRETX/1M", "FPR=2021Y", "FPT=A", "FA_ACT_EST_DATA=E, EST_SOURCE=PJE", "ACT_EST_MAPPING=PRECISE", "FS=MRC", "CURRENCY=USD", "XLFILL=b")</f>
        <v>#N/A Requesting Data...</v>
      </c>
      <c r="AT144" s="6" t="str">
        <f>_xll.BQL("NOW US Equity", "IS_SBC_ATT_TO_GENL_AND_ADMIN_PRETX/1M", "FPR=2021Y", "FPT=A", "FA_ACT_EST_DATA=E, EST_SOURCE=MZS", "ACT_EST_MAPPING=PRECISE", "FS=MRC", "CURRENCY=USD", "XLFILL=b")</f>
        <v>#N/A Requesting Data...</v>
      </c>
      <c r="AU144" s="6" t="str">
        <f>_xll.BQL("NOW US Equity", "IS_SBC_ATT_TO_GENL_AND_ADMIN_PRETX/1M", "FPR=2021Y", "FPT=A", "FA_ACT_EST_DATA=E, EST_SOURCE=SUM", "ACT_EST_MAPPING=PRECISE", "FS=MRC", "CURRENCY=USD", "XLFILL=b")</f>
        <v>#N/A Requesting Data...</v>
      </c>
      <c r="AV144" s="6" t="str">
        <f>_xll.BQL("NOW US Equity", "IS_SBC_ATT_TO_GENL_AND_ADMIN_PRETX/1M", "FPR=2021Y", "FPT=A", "FA_ACT_EST_DATA=E, EST_SOURCE=CRC", "ACT_EST_MAPPING=PRECISE", "FS=MRC", "CURRENCY=USD", "XLFILL=b")</f>
        <v>#N/A Requesting Data...</v>
      </c>
      <c r="AW144" s="6" t="str">
        <f>_xll.BQL("NOW US Equity", "IS_SBC_ATT_TO_GENL_AND_ADMIN_PRETX/1M", "FPR=2021Y", "FPT=A", "FA_ACT_EST_DATA=E, EST_SOURCE=SCB", "ACT_EST_MAPPING=PRECISE", "FS=MRC", "CURRENCY=USD", "XLFILL=b")</f>
        <v>#N/A Requesting Data...</v>
      </c>
    </row>
    <row r="145" spans="1:49" x14ac:dyDescent="0.55000000000000004">
      <c r="A145" s="5" t="s">
        <v>237</v>
      </c>
      <c r="B145" s="2"/>
      <c r="C145" s="2" t="s">
        <v>238</v>
      </c>
      <c r="D145" s="2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</row>
    <row r="146" spans="1:49" x14ac:dyDescent="0.55000000000000004">
      <c r="A146" s="5" t="s">
        <v>239</v>
      </c>
      <c r="B146" s="2" t="s">
        <v>240</v>
      </c>
      <c r="C146" s="2" t="s">
        <v>231</v>
      </c>
      <c r="D146" s="2"/>
      <c r="E146" s="6" t="str">
        <f>_xll.BQL("NOW US Equity", "IS_AMORT_ACQD_INTANGIBLES_COGS/1M", "FPR=2021Y", "FPT=A", "FA_ACT_EST_DATA=E", "ACT_EST_MAPPING=PRECISE", "FS=MRC", "CURRENCY=USD", "XLFILL=b")</f>
        <v>#N/A Requesting Data...</v>
      </c>
      <c r="F146" s="6" t="str">
        <f>_xll.BQL("NOW US Equity", "CONTRIBUTOR_STATS(IS_AMORT_ACQD_INTANGIBLES_COGS, MIN)/1M", "FPR=2021Y", "FPT=A", "FA_ACT_EST_DATA=E", "ACT_EST_MAPPING=PRECISE", "FS=MRC", "CURRENCY=USD", "XLFILL=b")</f>
        <v>#N/A Requesting Data...</v>
      </c>
      <c r="G146" s="6" t="str">
        <f>_xll.BQL("NOW US Equity", "CONTRIBUTOR_STATS(IS_AMORT_ACQD_INTANGIBLES_COGS, MAX)/1M", "FPR=2021Y", "FPT=A", "FA_ACT_EST_DATA=E", "ACT_EST_MAPPING=PRECISE", "FS=MRC", "CURRENCY=USD", "XLFILL=b")</f>
        <v>#N/A Requesting Data...</v>
      </c>
      <c r="H146" s="6" t="str">
        <f>_xll.BQL("NOW US Equity", "CONTRIBUTOR_STATS(IS_AMORT_ACQD_INTANGIBLES_COGS, STD)/1M", "FPR=2021Y", "FPT=A", "FA_ACT_EST_DATA=E", "ACT_EST_MAPPING=PRECISE", "FS=MRC", "CURRENCY=USD", "XLFILL=b")</f>
        <v>#N/A Requesting Data...</v>
      </c>
      <c r="I146" s="6" t="str">
        <f>_xll.BQL("NOW US Equity", "CONTRIBUTOR_STATS(IS_AMORT_ACQD_INTANGIBLES_COGS, MEDIAN)/1M", "FPR=2021Y", "FPT=A", "FA_ACT_EST_DATA=E", "ACT_EST_MAPPING=PRECISE", "FS=MRC", "CURRENCY=USD", "XLFILL=b")</f>
        <v>#N/A Requesting Data...</v>
      </c>
      <c r="J146" s="6" t="str">
        <f>_xll.BQL("NOW US Equity", "IS_AMORT_ACQD_INTANGIBLES_COGS/1M", "FPR=2021Y", "FPT=A", "FA_ACT_EST_DATA=E, EST_SOURCE=CMPY", "ACT_EST_MAPPING=PRECISE", "FS=MRC", "CURRENCY=USD", "XLFILL=b")</f>
        <v>#N/A Requesting Data...</v>
      </c>
      <c r="K146" s="6" t="str">
        <f>_xll.BQL("NOW US Equity", "IS_AMORT_ACQD_INTANGIBLES_COGS/1M", "FPR=2021Y", "FPT=A", "FA_ACT_EST_DATA=E, EST_SOURCE=JPM", "ACT_EST_MAPPING=PRECISE", "FS=MRC", "CURRENCY=USD", "XLFILL=b")</f>
        <v>#N/A Requesting Data...</v>
      </c>
      <c r="L146" s="6" t="str">
        <f>_xll.BQL("NOW US Equity", "IS_AMORT_ACQD_INTANGIBLES_COGS/1M", "FPR=2021Y", "FPT=A", "FA_ACT_EST_DATA=E, EST_SOURCE=WBL", "ACT_EST_MAPPING=PRECISE", "FS=MRC", "CURRENCY=USD", "XLFILL=b")</f>
        <v>#N/A Requesting Data...</v>
      </c>
      <c r="M146" s="6" t="str">
        <f>_xll.BQL("NOW US Equity", "IS_AMORT_ACQD_INTANGIBLES_COGS/1M", "FPR=2021Y", "FPT=A", "FA_ACT_EST_DATA=E, EST_SOURCE=KEY", "ACT_EST_MAPPING=PRECISE", "FS=MRC", "CURRENCY=USD", "XLFILL=b")</f>
        <v>#N/A Requesting Data...</v>
      </c>
      <c r="N146" s="6" t="str">
        <f>_xll.BQL("NOW US Equity", "IS_AMORT_ACQD_INTANGIBLES_COGS/1M", "FPR=2021Y", "FPT=A", "FA_ACT_EST_DATA=E, EST_SOURCE=BMO", "ACT_EST_MAPPING=PRECISE", "FS=MRC", "CURRENCY=USD", "XLFILL=b")</f>
        <v>#N/A Requesting Data...</v>
      </c>
      <c r="O146" s="6" t="str">
        <f>_xll.BQL("NOW US Equity", "IS_AMORT_ACQD_INTANGIBLES_COGS/1M", "FPR=2021Y", "FPT=A", "FA_ACT_EST_DATA=E, EST_SOURCE=OPY", "ACT_EST_MAPPING=PRECISE", "FS=MRC", "CURRENCY=USD", "XLFILL=b")</f>
        <v>#N/A Requesting Data...</v>
      </c>
      <c r="P146" s="6" t="str">
        <f>_xll.BQL("NOW US Equity", "IS_AMORT_ACQD_INTANGIBLES_COGS/1M", "FPR=2021Y", "FPT=A", "FA_ACT_EST_DATA=E, EST_SOURCE=BCA", "ACT_EST_MAPPING=PRECISE", "FS=MRC", "CURRENCY=USD", "XLFILL=b")</f>
        <v>#N/A Requesting Data...</v>
      </c>
      <c r="Q146" s="6" t="str">
        <f>_xll.BQL("NOW US Equity", "IS_AMORT_ACQD_INTANGIBLES_COGS/1M", "FPR=2021Y", "FPT=A", "FA_ACT_EST_DATA=E, EST_SOURCE=RHR", "ACT_EST_MAPPING=PRECISE", "FS=MRC", "CURRENCY=USD", "XLFILL=b")</f>
        <v>#N/A Requesting Data...</v>
      </c>
      <c r="R146" s="6" t="str">
        <f>_xll.BQL("NOW US Equity", "IS_AMORT_ACQD_INTANGIBLES_COGS/1M", "FPR=2021Y", "FPT=A", "FA_ACT_EST_DATA=E, EST_SOURCE=SNR", "ACT_EST_MAPPING=PRECISE", "FS=MRC", "CURRENCY=USD", "XLFILL=b")</f>
        <v>#N/A Requesting Data...</v>
      </c>
      <c r="S146" s="6" t="str">
        <f>_xll.BQL("NOW US Equity", "IS_AMORT_ACQD_INTANGIBLES_COGS/1M", "FPR=2021Y", "FPT=A", "FA_ACT_EST_DATA=E, EST_SOURCE=MSV", "ACT_EST_MAPPING=PRECISE", "FS=MRC", "CURRENCY=USD", "XLFILL=b")</f>
        <v>#N/A Requesting Data...</v>
      </c>
      <c r="T146" s="6" t="str">
        <f>_xll.BQL("NOW US Equity", "IS_AMORT_ACQD_INTANGIBLES_COGS/1M", "FPR=2021Y", "FPT=A", "FA_ACT_EST_DATA=E, EST_SOURCE=CAN", "ACT_EST_MAPPING=PRECISE", "FS=MRC", "CURRENCY=USD", "XLFILL=b")</f>
        <v>#N/A Requesting Data...</v>
      </c>
      <c r="U146" s="6" t="str">
        <f>_xll.BQL("NOW US Equity", "IS_AMORT_ACQD_INTANGIBLES_COGS/1M", "FPR=2021Y", "FPT=A", "FA_ACT_EST_DATA=E, EST_SOURCE=JMP", "ACT_EST_MAPPING=PRECISE", "FS=MRC", "CURRENCY=USD", "XLFILL=b")</f>
        <v>#N/A Requesting Data...</v>
      </c>
      <c r="V146" s="6" t="str">
        <f>_xll.BQL("NOW US Equity", "IS_AMORT_ACQD_INTANGIBLES_COGS/1M", "FPR=2021Y", "FPT=A", "FA_ACT_EST_DATA=E, EST_SOURCE=NDH", "ACT_EST_MAPPING=PRECISE", "FS=MRC", "CURRENCY=USD", "XLFILL=b")</f>
        <v>#N/A Requesting Data...</v>
      </c>
      <c r="W146" s="6" t="str">
        <f>_xll.BQL("NOW US Equity", "IS_AMORT_ACQD_INTANGIBLES_COGS/1M", "FPR=2021Y", "FPT=A", "FA_ACT_EST_DATA=E, EST_SOURCE=ZXS", "ACT_EST_MAPPING=PRECISE", "FS=MRC", "CURRENCY=USD", "XLFILL=b")</f>
        <v>#N/A Requesting Data...</v>
      </c>
      <c r="X146" s="6" t="str">
        <f>_xll.BQL("NOW US Equity", "IS_AMORT_ACQD_INTANGIBLES_COGS/1M", "FPR=2021Y", "FPT=A", "FA_ACT_EST_DATA=E, EST_SOURCE=CWN", "ACT_EST_MAPPING=PRECISE", "FS=MRC", "CURRENCY=USD", "XLFILL=b")</f>
        <v>#N/A Requesting Data...</v>
      </c>
      <c r="Y146" s="6" t="str">
        <f>_xll.BQL("NOW US Equity", "IS_AMORT_ACQD_INTANGIBLES_COGS/1M", "FPR=2021Y", "FPT=A", "FA_ACT_EST_DATA=E, EST_SOURCE=DBG", "ACT_EST_MAPPING=PRECISE", "FS=MRC", "CURRENCY=USD", "XLFILL=b")</f>
        <v>#N/A Requesting Data...</v>
      </c>
      <c r="Z146" s="6" t="str">
        <f>_xll.BQL("NOW US Equity", "IS_AMORT_ACQD_INTANGIBLES_COGS/1M", "FPR=2021Y", "FPT=A", "FA_ACT_EST_DATA=E, EST_SOURCE=UBS", "ACT_EST_MAPPING=PRECISE", "FS=MRC", "CURRENCY=USD", "XLFILL=b")</f>
        <v>#N/A Requesting Data...</v>
      </c>
      <c r="AA146" s="6" t="str">
        <f>_xll.BQL("NOW US Equity", "IS_AMORT_ACQD_INTANGIBLES_COGS/1M", "FPR=2021Y", "FPT=A", "FA_ACT_EST_DATA=E, EST_SOURCE=RBC", "ACT_EST_MAPPING=PRECISE", "FS=MRC", "CURRENCY=USD", "XLFILL=b")</f>
        <v>#N/A Requesting Data...</v>
      </c>
      <c r="AB146" s="6" t="str">
        <f>_xll.BQL("NOW US Equity", "IS_AMORT_ACQD_INTANGIBLES_COGS/1M", "FPR=2021Y", "FPT=A", "FA_ACT_EST_DATA=E, EST_SOURCE=EVR", "ACT_EST_MAPPING=PRECISE", "FS=MRC", "CURRENCY=USD", "XLFILL=b")</f>
        <v>#N/A Requesting Data...</v>
      </c>
      <c r="AC146" s="6" t="str">
        <f>_xll.BQL("NOW US Equity", "IS_AMORT_ACQD_INTANGIBLES_COGS/1M", "FPR=2021Y", "FPT=A", "FA_ACT_EST_DATA=E, EST_SOURCE=BNS", "ACT_EST_MAPPING=PRECISE", "FS=MRC", "CURRENCY=USD", "XLFILL=b")</f>
        <v>#N/A Requesting Data...</v>
      </c>
      <c r="AD146" s="6" t="str">
        <f>_xll.BQL("NOW US Equity", "IS_AMORT_ACQD_INTANGIBLES_COGS/1M", "FPR=2021Y", "FPT=A", "FA_ACT_EST_DATA=E, EST_SOURCE=BAM", "ACT_EST_MAPPING=PRECISE", "FS=MRC", "CURRENCY=USD", "XLFILL=b")</f>
        <v>#N/A Requesting Data...</v>
      </c>
      <c r="AE146" s="6" t="str">
        <f>_xll.BQL("NOW US Equity", "IS_AMORT_ACQD_INTANGIBLES_COGS/1M", "FPR=2021Y", "FPT=A", "FA_ACT_EST_DATA=E, EST_SOURCE=GSR", "ACT_EST_MAPPING=PRECISE", "FS=MRC", "CURRENCY=USD", "XLFILL=b")</f>
        <v>#N/A Requesting Data...</v>
      </c>
      <c r="AF146" s="6" t="str">
        <f>_xll.BQL("NOW US Equity", "IS_AMORT_ACQD_INTANGIBLES_COGS/1M", "FPR=2021Y", "FPT=A", "FA_ACT_EST_DATA=E, EST_SOURCE=FBC", "ACT_EST_MAPPING=PRECISE", "FS=MRC", "CURRENCY=USD", "XLFILL=b")</f>
        <v>#N/A Requesting Data...</v>
      </c>
      <c r="AG146" s="6" t="str">
        <f>_xll.BQL("NOW US Equity", "IS_AMORT_ACQD_INTANGIBLES_COGS/1M", "FPR=2021Y", "FPT=A", "FA_ACT_EST_DATA=E, EST_SOURCE=MAC", "ACT_EST_MAPPING=PRECISE", "FS=MRC", "CURRENCY=USD", "XLFILL=b")</f>
        <v>#N/A Requesting Data...</v>
      </c>
      <c r="AH146" s="6" t="str">
        <f>_xll.BQL("NOW US Equity", "IS_AMORT_ACQD_INTANGIBLES_COGS/1M", "FPR=2021Y", "FPT=A", "FA_ACT_EST_DATA=E, EST_SOURCE=PSG", "ACT_EST_MAPPING=PRECISE", "FS=MRC", "CURRENCY=USD", "XLFILL=b")</f>
        <v>#N/A Requesting Data...</v>
      </c>
      <c r="AI146" s="6" t="str">
        <f>_xll.BQL("NOW US Equity", "IS_AMORT_ACQD_INTANGIBLES_COGS/1M", "FPR=2021Y", "FPT=A", "FA_ACT_EST_DATA=E, EST_SOURCE=MSR", "ACT_EST_MAPPING=PRECISE", "FS=MRC", "CURRENCY=USD", "XLFILL=b")</f>
        <v>#N/A Requesting Data...</v>
      </c>
      <c r="AJ146" s="6" t="str">
        <f>_xll.BQL("NOW US Equity", "IS_AMORT_ACQD_INTANGIBLES_COGS/1M", "FPR=2021Y", "FPT=A", "FA_ACT_EST_DATA=E, EST_SOURCE=JEF", "ACT_EST_MAPPING=PRECISE", "FS=MRC", "CURRENCY=USD", "XLFILL=b")</f>
        <v>#N/A Requesting Data...</v>
      </c>
      <c r="AK146" s="6" t="str">
        <f>_xll.BQL("NOW US Equity", "IS_AMORT_ACQD_INTANGIBLES_COGS/1M", "FPR=2021Y", "FPT=A", "FA_ACT_EST_DATA=E, EST_SOURCE=TTC", "ACT_EST_MAPPING=PRECISE", "FS=MRC", "CURRENCY=USD", "XLFILL=b")</f>
        <v>#N/A Requesting Data...</v>
      </c>
      <c r="AL146" s="6" t="str">
        <f>_xll.BQL("NOW US Equity", "IS_AMORT_ACQD_INTANGIBLES_COGS/1M", "FPR=2021Y", "FPT=A", "FA_ACT_EST_DATA=E, EST_SOURCE=RWB", "ACT_EST_MAPPING=PRECISE", "FS=MRC", "CURRENCY=USD", "XLFILL=b")</f>
        <v>#N/A Requesting Data...</v>
      </c>
      <c r="AM146" s="6" t="str">
        <f>_xll.BQL("NOW US Equity", "IS_AMORT_ACQD_INTANGIBLES_COGS/1M", "FPR=2021Y", "FPT=A", "FA_ACT_EST_DATA=E, EST_SOURCE=DZB", "ACT_EST_MAPPING=PRECISE", "FS=MRC", "CURRENCY=USD", "XLFILL=b")</f>
        <v>#N/A Requesting Data...</v>
      </c>
      <c r="AN146" s="6" t="str">
        <f>_xll.BQL("NOW US Equity", "IS_AMORT_ACQD_INTANGIBLES_COGS/1M", "FPR=2021Y", "FPT=A", "FA_ACT_EST_DATA=E, EST_SOURCE=DWI", "ACT_EST_MAPPING=PRECISE", "FS=MRC", "CURRENCY=USD", "XLFILL=b")</f>
        <v>#N/A Requesting Data...</v>
      </c>
      <c r="AO146" s="6" t="str">
        <f>_xll.BQL("NOW US Equity", "IS_AMORT_ACQD_INTANGIBLES_COGS/1M", "FPR=2021Y", "FPT=A", "FA_ACT_EST_DATA=E, EST_SOURCE=ARG", "ACT_EST_MAPPING=PRECISE", "FS=MRC", "CURRENCY=USD", "XLFILL=b")</f>
        <v>#N/A Requesting Data...</v>
      </c>
      <c r="AP146" s="6" t="str">
        <f>_xll.BQL("NOW US Equity", "IS_AMORT_ACQD_INTANGIBLES_COGS/1M", "FPR=2021Y", "FPT=A", "FA_ACT_EST_DATA=E, EST_SOURCE=CTI", "ACT_EST_MAPPING=PRECISE", "FS=MRC", "CURRENCY=USD", "XLFILL=b")</f>
        <v>#N/A Requesting Data...</v>
      </c>
      <c r="AQ146" s="6" t="str">
        <f>_xll.BQL("NOW US Equity", "IS_AMORT_ACQD_INTANGIBLES_COGS/1M", "FPR=2021Y", "FPT=A", "FA_ACT_EST_DATA=E, EST_SOURCE=WFT", "ACT_EST_MAPPING=PRECISE", "FS=MRC", "CURRENCY=USD", "XLFILL=b")</f>
        <v>#N/A Requesting Data...</v>
      </c>
      <c r="AR146" s="6" t="str">
        <f>_xll.BQL("NOW US Equity", "IS_AMORT_ACQD_INTANGIBLES_COGS/1M", "FPR=2021Y", "FPT=A", "FA_ACT_EST_DATA=E, EST_SOURCE=ARE", "ACT_EST_MAPPING=PRECISE", "FS=MRC", "CURRENCY=USD", "XLFILL=b")</f>
        <v>#N/A Requesting Data...</v>
      </c>
      <c r="AS146" s="6" t="str">
        <f>_xll.BQL("NOW US Equity", "IS_AMORT_ACQD_INTANGIBLES_COGS/1M", "FPR=2021Y", "FPT=A", "FA_ACT_EST_DATA=E, EST_SOURCE=PJE", "ACT_EST_MAPPING=PRECISE", "FS=MRC", "CURRENCY=USD", "XLFILL=b")</f>
        <v>#N/A Requesting Data...</v>
      </c>
      <c r="AT146" s="6" t="str">
        <f>_xll.BQL("NOW US Equity", "IS_AMORT_ACQD_INTANGIBLES_COGS/1M", "FPR=2021Y", "FPT=A", "FA_ACT_EST_DATA=E, EST_SOURCE=MZS", "ACT_EST_MAPPING=PRECISE", "FS=MRC", "CURRENCY=USD", "XLFILL=b")</f>
        <v>#N/A Requesting Data...</v>
      </c>
      <c r="AU146" s="6" t="str">
        <f>_xll.BQL("NOW US Equity", "IS_AMORT_ACQD_INTANGIBLES_COGS/1M", "FPR=2021Y", "FPT=A", "FA_ACT_EST_DATA=E, EST_SOURCE=SUM", "ACT_EST_MAPPING=PRECISE", "FS=MRC", "CURRENCY=USD", "XLFILL=b")</f>
        <v>#N/A Requesting Data...</v>
      </c>
      <c r="AV146" s="6" t="str">
        <f>_xll.BQL("NOW US Equity", "IS_AMORT_ACQD_INTANGIBLES_COGS/1M", "FPR=2021Y", "FPT=A", "FA_ACT_EST_DATA=E, EST_SOURCE=CRC", "ACT_EST_MAPPING=PRECISE", "FS=MRC", "CURRENCY=USD", "XLFILL=b")</f>
        <v>#N/A Requesting Data...</v>
      </c>
      <c r="AW146" s="6" t="str">
        <f>_xll.BQL("NOW US Equity", "IS_AMORT_ACQD_INTANGIBLES_COGS/1M", "FPR=2021Y", "FPT=A", "FA_ACT_EST_DATA=E, EST_SOURCE=SCB", "ACT_EST_MAPPING=PRECISE", "FS=MRC", "CURRENCY=USD", "XLFILL=b")</f>
        <v>#N/A Requesting Data...</v>
      </c>
    </row>
    <row r="147" spans="1:49" x14ac:dyDescent="0.55000000000000004">
      <c r="A147" s="5" t="s">
        <v>241</v>
      </c>
      <c r="B147" s="2" t="s">
        <v>242</v>
      </c>
      <c r="C147" s="2" t="s">
        <v>144</v>
      </c>
      <c r="D147" s="2"/>
      <c r="E147" s="6" t="str">
        <f>_xll.BQL("NOW US Equity", "IS_AMORT_OF_TOT_INTANG_PRETX/1M", "FPR=2021Y", "FPT=A", "FA_ACT_EST_DATA=E", "ACT_EST_MAPPING=PRECISE", "FS=MRC", "CURRENCY=USD", "XLFILL=b")</f>
        <v>#N/A Requesting Data...</v>
      </c>
      <c r="F147" s="6" t="str">
        <f>_xll.BQL("NOW US Equity", "CONTRIBUTOR_STATS(IS_AMORT_OF_TOT_INTANG_PRETX, MIN)/1M", "FPR=2021Y", "FPT=A", "FA_ACT_EST_DATA=E", "ACT_EST_MAPPING=PRECISE", "FS=MRC", "CURRENCY=USD", "XLFILL=b")</f>
        <v>#N/A Requesting Data...</v>
      </c>
      <c r="G147" s="6" t="str">
        <f>_xll.BQL("NOW US Equity", "CONTRIBUTOR_STATS(IS_AMORT_OF_TOT_INTANG_PRETX, MAX)/1M", "FPR=2021Y", "FPT=A", "FA_ACT_EST_DATA=E", "ACT_EST_MAPPING=PRECISE", "FS=MRC", "CURRENCY=USD", "XLFILL=b")</f>
        <v>#N/A Requesting Data...</v>
      </c>
      <c r="H147" s="6" t="str">
        <f>_xll.BQL("NOW US Equity", "CONTRIBUTOR_STATS(IS_AMORT_OF_TOT_INTANG_PRETX, STD)/1M", "FPR=2021Y", "FPT=A", "FA_ACT_EST_DATA=E", "ACT_EST_MAPPING=PRECISE", "FS=MRC", "CURRENCY=USD", "XLFILL=b")</f>
        <v>#N/A Requesting Data...</v>
      </c>
      <c r="I147" s="6" t="str">
        <f>_xll.BQL("NOW US Equity", "CONTRIBUTOR_STATS(IS_AMORT_OF_TOT_INTANG_PRETX, MEDIAN)/1M", "FPR=2021Y", "FPT=A", "FA_ACT_EST_DATA=E", "ACT_EST_MAPPING=PRECISE", "FS=MRC", "CURRENCY=USD", "XLFILL=b")</f>
        <v>#N/A Requesting Data...</v>
      </c>
      <c r="J147" s="6" t="str">
        <f>_xll.BQL("NOW US Equity", "IS_AMORT_OF_TOT_INTANG_PRETX/1M", "FPR=2021Y", "FPT=A", "FA_ACT_EST_DATA=E, EST_SOURCE=CMPY", "ACT_EST_MAPPING=PRECISE", "FS=MRC", "CURRENCY=USD", "XLFILL=b")</f>
        <v>#N/A Requesting Data...</v>
      </c>
      <c r="K147" s="6" t="str">
        <f>_xll.BQL("NOW US Equity", "IS_AMORT_OF_TOT_INTANG_PRETX/1M", "FPR=2021Y", "FPT=A", "FA_ACT_EST_DATA=E, EST_SOURCE=JPM", "ACT_EST_MAPPING=PRECISE", "FS=MRC", "CURRENCY=USD", "XLFILL=b")</f>
        <v>#N/A Requesting Data...</v>
      </c>
      <c r="L147" s="6" t="str">
        <f>_xll.BQL("NOW US Equity", "IS_AMORT_OF_TOT_INTANG_PRETX/1M", "FPR=2021Y", "FPT=A", "FA_ACT_EST_DATA=E, EST_SOURCE=WBL", "ACT_EST_MAPPING=PRECISE", "FS=MRC", "CURRENCY=USD", "XLFILL=b")</f>
        <v>#N/A Requesting Data...</v>
      </c>
      <c r="M147" s="6" t="str">
        <f>_xll.BQL("NOW US Equity", "IS_AMORT_OF_TOT_INTANG_PRETX/1M", "FPR=2021Y", "FPT=A", "FA_ACT_EST_DATA=E, EST_SOURCE=KEY", "ACT_EST_MAPPING=PRECISE", "FS=MRC", "CURRENCY=USD", "XLFILL=b")</f>
        <v>#N/A Requesting Data...</v>
      </c>
      <c r="N147" s="6" t="str">
        <f>_xll.BQL("NOW US Equity", "IS_AMORT_OF_TOT_INTANG_PRETX/1M", "FPR=2021Y", "FPT=A", "FA_ACT_EST_DATA=E, EST_SOURCE=BMO", "ACT_EST_MAPPING=PRECISE", "FS=MRC", "CURRENCY=USD", "XLFILL=b")</f>
        <v>#N/A Requesting Data...</v>
      </c>
      <c r="O147" s="6" t="str">
        <f>_xll.BQL("NOW US Equity", "IS_AMORT_OF_TOT_INTANG_PRETX/1M", "FPR=2021Y", "FPT=A", "FA_ACT_EST_DATA=E, EST_SOURCE=OPY", "ACT_EST_MAPPING=PRECISE", "FS=MRC", "CURRENCY=USD", "XLFILL=b")</f>
        <v>#N/A Requesting Data...</v>
      </c>
      <c r="P147" s="6" t="str">
        <f>_xll.BQL("NOW US Equity", "IS_AMORT_OF_TOT_INTANG_PRETX/1M", "FPR=2021Y", "FPT=A", "FA_ACT_EST_DATA=E, EST_SOURCE=BCA", "ACT_EST_MAPPING=PRECISE", "FS=MRC", "CURRENCY=USD", "XLFILL=b")</f>
        <v>#N/A Requesting Data...</v>
      </c>
      <c r="Q147" s="6" t="str">
        <f>_xll.BQL("NOW US Equity", "IS_AMORT_OF_TOT_INTANG_PRETX/1M", "FPR=2021Y", "FPT=A", "FA_ACT_EST_DATA=E, EST_SOURCE=RHR", "ACT_EST_MAPPING=PRECISE", "FS=MRC", "CURRENCY=USD", "XLFILL=b")</f>
        <v>#N/A Requesting Data...</v>
      </c>
      <c r="R147" s="6" t="str">
        <f>_xll.BQL("NOW US Equity", "IS_AMORT_OF_TOT_INTANG_PRETX/1M", "FPR=2021Y", "FPT=A", "FA_ACT_EST_DATA=E, EST_SOURCE=SNR", "ACT_EST_MAPPING=PRECISE", "FS=MRC", "CURRENCY=USD", "XLFILL=b")</f>
        <v>#N/A Requesting Data...</v>
      </c>
      <c r="S147" s="6" t="str">
        <f>_xll.BQL("NOW US Equity", "IS_AMORT_OF_TOT_INTANG_PRETX/1M", "FPR=2021Y", "FPT=A", "FA_ACT_EST_DATA=E, EST_SOURCE=MSV", "ACT_EST_MAPPING=PRECISE", "FS=MRC", "CURRENCY=USD", "XLFILL=b")</f>
        <v>#N/A Requesting Data...</v>
      </c>
      <c r="T147" s="6" t="str">
        <f>_xll.BQL("NOW US Equity", "IS_AMORT_OF_TOT_INTANG_PRETX/1M", "FPR=2021Y", "FPT=A", "FA_ACT_EST_DATA=E, EST_SOURCE=CAN", "ACT_EST_MAPPING=PRECISE", "FS=MRC", "CURRENCY=USD", "XLFILL=b")</f>
        <v>#N/A Requesting Data...</v>
      </c>
      <c r="U147" s="6" t="str">
        <f>_xll.BQL("NOW US Equity", "IS_AMORT_OF_TOT_INTANG_PRETX/1M", "FPR=2021Y", "FPT=A", "FA_ACT_EST_DATA=E, EST_SOURCE=JMP", "ACT_EST_MAPPING=PRECISE", "FS=MRC", "CURRENCY=USD", "XLFILL=b")</f>
        <v>#N/A Requesting Data...</v>
      </c>
      <c r="V147" s="6" t="str">
        <f>_xll.BQL("NOW US Equity", "IS_AMORT_OF_TOT_INTANG_PRETX/1M", "FPR=2021Y", "FPT=A", "FA_ACT_EST_DATA=E, EST_SOURCE=NDH", "ACT_EST_MAPPING=PRECISE", "FS=MRC", "CURRENCY=USD", "XLFILL=b")</f>
        <v>#N/A Requesting Data...</v>
      </c>
      <c r="W147" s="6" t="str">
        <f>_xll.BQL("NOW US Equity", "IS_AMORT_OF_TOT_INTANG_PRETX/1M", "FPR=2021Y", "FPT=A", "FA_ACT_EST_DATA=E, EST_SOURCE=ZXS", "ACT_EST_MAPPING=PRECISE", "FS=MRC", "CURRENCY=USD", "XLFILL=b")</f>
        <v>#N/A Requesting Data...</v>
      </c>
      <c r="X147" s="6" t="str">
        <f>_xll.BQL("NOW US Equity", "IS_AMORT_OF_TOT_INTANG_PRETX/1M", "FPR=2021Y", "FPT=A", "FA_ACT_EST_DATA=E, EST_SOURCE=CWN", "ACT_EST_MAPPING=PRECISE", "FS=MRC", "CURRENCY=USD", "XLFILL=b")</f>
        <v>#N/A Requesting Data...</v>
      </c>
      <c r="Y147" s="6" t="str">
        <f>_xll.BQL("NOW US Equity", "IS_AMORT_OF_TOT_INTANG_PRETX/1M", "FPR=2021Y", "FPT=A", "FA_ACT_EST_DATA=E, EST_SOURCE=DBG", "ACT_EST_MAPPING=PRECISE", "FS=MRC", "CURRENCY=USD", "XLFILL=b")</f>
        <v>#N/A Requesting Data...</v>
      </c>
      <c r="Z147" s="6" t="str">
        <f>_xll.BQL("NOW US Equity", "IS_AMORT_OF_TOT_INTANG_PRETX/1M", "FPR=2021Y", "FPT=A", "FA_ACT_EST_DATA=E, EST_SOURCE=UBS", "ACT_EST_MAPPING=PRECISE", "FS=MRC", "CURRENCY=USD", "XLFILL=b")</f>
        <v>#N/A Requesting Data...</v>
      </c>
      <c r="AA147" s="6" t="str">
        <f>_xll.BQL("NOW US Equity", "IS_AMORT_OF_TOT_INTANG_PRETX/1M", "FPR=2021Y", "FPT=A", "FA_ACT_EST_DATA=E, EST_SOURCE=RBC", "ACT_EST_MAPPING=PRECISE", "FS=MRC", "CURRENCY=USD", "XLFILL=b")</f>
        <v>#N/A Requesting Data...</v>
      </c>
      <c r="AB147" s="6" t="str">
        <f>_xll.BQL("NOW US Equity", "IS_AMORT_OF_TOT_INTANG_PRETX/1M", "FPR=2021Y", "FPT=A", "FA_ACT_EST_DATA=E, EST_SOURCE=EVR", "ACT_EST_MAPPING=PRECISE", "FS=MRC", "CURRENCY=USD", "XLFILL=b")</f>
        <v>#N/A Requesting Data...</v>
      </c>
      <c r="AC147" s="6" t="str">
        <f>_xll.BQL("NOW US Equity", "IS_AMORT_OF_TOT_INTANG_PRETX/1M", "FPR=2021Y", "FPT=A", "FA_ACT_EST_DATA=E, EST_SOURCE=BNS", "ACT_EST_MAPPING=PRECISE", "FS=MRC", "CURRENCY=USD", "XLFILL=b")</f>
        <v>#N/A Requesting Data...</v>
      </c>
      <c r="AD147" s="6" t="str">
        <f>_xll.BQL("NOW US Equity", "IS_AMORT_OF_TOT_INTANG_PRETX/1M", "FPR=2021Y", "FPT=A", "FA_ACT_EST_DATA=E, EST_SOURCE=BAM", "ACT_EST_MAPPING=PRECISE", "FS=MRC", "CURRENCY=USD", "XLFILL=b")</f>
        <v>#N/A Requesting Data...</v>
      </c>
      <c r="AE147" s="6" t="str">
        <f>_xll.BQL("NOW US Equity", "IS_AMORT_OF_TOT_INTANG_PRETX/1M", "FPR=2021Y", "FPT=A", "FA_ACT_EST_DATA=E, EST_SOURCE=GSR", "ACT_EST_MAPPING=PRECISE", "FS=MRC", "CURRENCY=USD", "XLFILL=b")</f>
        <v>#N/A Requesting Data...</v>
      </c>
      <c r="AF147" s="6" t="str">
        <f>_xll.BQL("NOW US Equity", "IS_AMORT_OF_TOT_INTANG_PRETX/1M", "FPR=2021Y", "FPT=A", "FA_ACT_EST_DATA=E, EST_SOURCE=FBC", "ACT_EST_MAPPING=PRECISE", "FS=MRC", "CURRENCY=USD", "XLFILL=b")</f>
        <v>#N/A Requesting Data...</v>
      </c>
      <c r="AG147" s="6" t="str">
        <f>_xll.BQL("NOW US Equity", "IS_AMORT_OF_TOT_INTANG_PRETX/1M", "FPR=2021Y", "FPT=A", "FA_ACT_EST_DATA=E, EST_SOURCE=MAC", "ACT_EST_MAPPING=PRECISE", "FS=MRC", "CURRENCY=USD", "XLFILL=b")</f>
        <v>#N/A Requesting Data...</v>
      </c>
      <c r="AH147" s="6" t="str">
        <f>_xll.BQL("NOW US Equity", "IS_AMORT_OF_TOT_INTANG_PRETX/1M", "FPR=2021Y", "FPT=A", "FA_ACT_EST_DATA=E, EST_SOURCE=PSG", "ACT_EST_MAPPING=PRECISE", "FS=MRC", "CURRENCY=USD", "XLFILL=b")</f>
        <v>#N/A Requesting Data...</v>
      </c>
      <c r="AI147" s="6" t="str">
        <f>_xll.BQL("NOW US Equity", "IS_AMORT_OF_TOT_INTANG_PRETX/1M", "FPR=2021Y", "FPT=A", "FA_ACT_EST_DATA=E, EST_SOURCE=MSR", "ACT_EST_MAPPING=PRECISE", "FS=MRC", "CURRENCY=USD", "XLFILL=b")</f>
        <v>#N/A Requesting Data...</v>
      </c>
      <c r="AJ147" s="6" t="str">
        <f>_xll.BQL("NOW US Equity", "IS_AMORT_OF_TOT_INTANG_PRETX/1M", "FPR=2021Y", "FPT=A", "FA_ACT_EST_DATA=E, EST_SOURCE=JEF", "ACT_EST_MAPPING=PRECISE", "FS=MRC", "CURRENCY=USD", "XLFILL=b")</f>
        <v>#N/A Requesting Data...</v>
      </c>
      <c r="AK147" s="6" t="str">
        <f>_xll.BQL("NOW US Equity", "IS_AMORT_OF_TOT_INTANG_PRETX/1M", "FPR=2021Y", "FPT=A", "FA_ACT_EST_DATA=E, EST_SOURCE=TTC", "ACT_EST_MAPPING=PRECISE", "FS=MRC", "CURRENCY=USD", "XLFILL=b")</f>
        <v>#N/A Requesting Data...</v>
      </c>
      <c r="AL147" s="6" t="str">
        <f>_xll.BQL("NOW US Equity", "IS_AMORT_OF_TOT_INTANG_PRETX/1M", "FPR=2021Y", "FPT=A", "FA_ACT_EST_DATA=E, EST_SOURCE=RWB", "ACT_EST_MAPPING=PRECISE", "FS=MRC", "CURRENCY=USD", "XLFILL=b")</f>
        <v>#N/A Requesting Data...</v>
      </c>
      <c r="AM147" s="6" t="str">
        <f>_xll.BQL("NOW US Equity", "IS_AMORT_OF_TOT_INTANG_PRETX/1M", "FPR=2021Y", "FPT=A", "FA_ACT_EST_DATA=E, EST_SOURCE=DZB", "ACT_EST_MAPPING=PRECISE", "FS=MRC", "CURRENCY=USD", "XLFILL=b")</f>
        <v>#N/A Requesting Data...</v>
      </c>
      <c r="AN147" s="6" t="str">
        <f>_xll.BQL("NOW US Equity", "IS_AMORT_OF_TOT_INTANG_PRETX/1M", "FPR=2021Y", "FPT=A", "FA_ACT_EST_DATA=E, EST_SOURCE=DWI", "ACT_EST_MAPPING=PRECISE", "FS=MRC", "CURRENCY=USD", "XLFILL=b")</f>
        <v>#N/A Requesting Data...</v>
      </c>
      <c r="AO147" s="6" t="str">
        <f>_xll.BQL("NOW US Equity", "IS_AMORT_OF_TOT_INTANG_PRETX/1M", "FPR=2021Y", "FPT=A", "FA_ACT_EST_DATA=E, EST_SOURCE=ARG", "ACT_EST_MAPPING=PRECISE", "FS=MRC", "CURRENCY=USD", "XLFILL=b")</f>
        <v>#N/A Requesting Data...</v>
      </c>
      <c r="AP147" s="6" t="str">
        <f>_xll.BQL("NOW US Equity", "IS_AMORT_OF_TOT_INTANG_PRETX/1M", "FPR=2021Y", "FPT=A", "FA_ACT_EST_DATA=E, EST_SOURCE=CTI", "ACT_EST_MAPPING=PRECISE", "FS=MRC", "CURRENCY=USD", "XLFILL=b")</f>
        <v>#N/A Requesting Data...</v>
      </c>
      <c r="AQ147" s="6" t="str">
        <f>_xll.BQL("NOW US Equity", "IS_AMORT_OF_TOT_INTANG_PRETX/1M", "FPR=2021Y", "FPT=A", "FA_ACT_EST_DATA=E, EST_SOURCE=WFT", "ACT_EST_MAPPING=PRECISE", "FS=MRC", "CURRENCY=USD", "XLFILL=b")</f>
        <v>#N/A Requesting Data...</v>
      </c>
      <c r="AR147" s="6" t="str">
        <f>_xll.BQL("NOW US Equity", "IS_AMORT_OF_TOT_INTANG_PRETX/1M", "FPR=2021Y", "FPT=A", "FA_ACT_EST_DATA=E, EST_SOURCE=ARE", "ACT_EST_MAPPING=PRECISE", "FS=MRC", "CURRENCY=USD", "XLFILL=b")</f>
        <v>#N/A Requesting Data...</v>
      </c>
      <c r="AS147" s="6" t="str">
        <f>_xll.BQL("NOW US Equity", "IS_AMORT_OF_TOT_INTANG_PRETX/1M", "FPR=2021Y", "FPT=A", "FA_ACT_EST_DATA=E, EST_SOURCE=PJE", "ACT_EST_MAPPING=PRECISE", "FS=MRC", "CURRENCY=USD", "XLFILL=b")</f>
        <v>#N/A Requesting Data...</v>
      </c>
      <c r="AT147" s="6" t="str">
        <f>_xll.BQL("NOW US Equity", "IS_AMORT_OF_TOT_INTANG_PRETX/1M", "FPR=2021Y", "FPT=A", "FA_ACT_EST_DATA=E, EST_SOURCE=MZS", "ACT_EST_MAPPING=PRECISE", "FS=MRC", "CURRENCY=USD", "XLFILL=b")</f>
        <v>#N/A Requesting Data...</v>
      </c>
      <c r="AU147" s="6" t="str">
        <f>_xll.BQL("NOW US Equity", "IS_AMORT_OF_TOT_INTANG_PRETX/1M", "FPR=2021Y", "FPT=A", "FA_ACT_EST_DATA=E, EST_SOURCE=SUM", "ACT_EST_MAPPING=PRECISE", "FS=MRC", "CURRENCY=USD", "XLFILL=b")</f>
        <v>#N/A Requesting Data...</v>
      </c>
      <c r="AV147" s="6" t="str">
        <f>_xll.BQL("NOW US Equity", "IS_AMORT_OF_TOT_INTANG_PRETX/1M", "FPR=2021Y", "FPT=A", "FA_ACT_EST_DATA=E, EST_SOURCE=CRC", "ACT_EST_MAPPING=PRECISE", "FS=MRC", "CURRENCY=USD", "XLFILL=b")</f>
        <v>#N/A Requesting Data...</v>
      </c>
      <c r="AW147" s="6" t="str">
        <f>_xll.BQL("NOW US Equity", "IS_AMORT_OF_TOT_INTANG_PRETX/1M", "FPR=2021Y", "FPT=A", "FA_ACT_EST_DATA=E, EST_SOURCE=SCB", "ACT_EST_MAPPING=PRECISE", "FS=MRC", "CURRENCY=USD", "XLFILL=b")</f>
        <v>#N/A Requesting Data...</v>
      </c>
    </row>
    <row r="148" spans="1:49" x14ac:dyDescent="0.55000000000000004">
      <c r="A148" s="5" t="s">
        <v>185</v>
      </c>
      <c r="B148" s="2" t="s">
        <v>243</v>
      </c>
      <c r="C148" s="2" t="s">
        <v>136</v>
      </c>
      <c r="D148" s="2"/>
      <c r="E148" s="6" t="str">
        <f>_xll.BQL("NOW US Equity", "IS_AMORT_ACQD_INTANGIBLES_R_AND_D/1M", "FPR=2021Y", "FPT=A", "FA_ACT_EST_DATA=E", "ACT_EST_MAPPING=PRECISE", "FS=MRC", "CURRENCY=USD", "XLFILL=b")</f>
        <v>#N/A Requesting Data...</v>
      </c>
      <c r="F148" s="6" t="str">
        <f>_xll.BQL("NOW US Equity", "CONTRIBUTOR_STATS(IS_AMORT_ACQD_INTANGIBLES_R_AND_D, MIN)/1M", "FPR=2021Y", "FPT=A", "FA_ACT_EST_DATA=E", "ACT_EST_MAPPING=PRECISE", "FS=MRC", "CURRENCY=USD", "XLFILL=b")</f>
        <v>#N/A Requesting Data...</v>
      </c>
      <c r="G148" s="6" t="str">
        <f>_xll.BQL("NOW US Equity", "CONTRIBUTOR_STATS(IS_AMORT_ACQD_INTANGIBLES_R_AND_D, MAX)/1M", "FPR=2021Y", "FPT=A", "FA_ACT_EST_DATA=E", "ACT_EST_MAPPING=PRECISE", "FS=MRC", "CURRENCY=USD", "XLFILL=b")</f>
        <v>#N/A Requesting Data...</v>
      </c>
      <c r="H148" s="6">
        <f>_xll.BQL("NOW US Equity", "CONTRIBUTOR_STATS(IS_AMORT_ACQD_INTANGIBLES_R_AND_D, STD)/1M", "FPR=2021Y", "FPT=A", "FA_ACT_EST_DATA=E", "ACT_EST_MAPPING=PRECISE", "FS=MRC", "CURRENCY=USD", "XLFILL=b")</f>
        <v>0</v>
      </c>
      <c r="I148" s="6" t="str">
        <f>_xll.BQL("NOW US Equity", "CONTRIBUTOR_STATS(IS_AMORT_ACQD_INTANGIBLES_R_AND_D, MEDIAN)/1M", "FPR=2021Y", "FPT=A", "FA_ACT_EST_DATA=E", "ACT_EST_MAPPING=PRECISE", "FS=MRC", "CURRENCY=USD", "XLFILL=b")</f>
        <v>#N/A Requesting Data...</v>
      </c>
      <c r="J148" s="6" t="str">
        <f>_xll.BQL("NOW US Equity", "IS_AMORT_ACQD_INTANGIBLES_R_AND_D/1M", "FPR=2021Y", "FPT=A", "FA_ACT_EST_DATA=E, EST_SOURCE=CMPY", "ACT_EST_MAPPING=PRECISE", "FS=MRC", "CURRENCY=USD", "XLFILL=b")</f>
        <v>#N/A Requesting Data...</v>
      </c>
      <c r="K148" s="6" t="str">
        <f>_xll.BQL("NOW US Equity", "IS_AMORT_ACQD_INTANGIBLES_R_AND_D/1M", "FPR=2021Y", "FPT=A", "FA_ACT_EST_DATA=E, EST_SOURCE=JPM", "ACT_EST_MAPPING=PRECISE", "FS=MRC", "CURRENCY=USD", "XLFILL=b")</f>
        <v>#N/A Requesting Data...</v>
      </c>
      <c r="L148" s="6" t="str">
        <f>_xll.BQL("NOW US Equity", "IS_AMORT_ACQD_INTANGIBLES_R_AND_D/1M", "FPR=2021Y", "FPT=A", "FA_ACT_EST_DATA=E, EST_SOURCE=WBL", "ACT_EST_MAPPING=PRECISE", "FS=MRC", "CURRENCY=USD", "XLFILL=b")</f>
        <v>#N/A Requesting Data...</v>
      </c>
      <c r="M148" s="6" t="str">
        <f>_xll.BQL("NOW US Equity", "IS_AMORT_ACQD_INTANGIBLES_R_AND_D/1M", "FPR=2021Y", "FPT=A", "FA_ACT_EST_DATA=E, EST_SOURCE=KEY", "ACT_EST_MAPPING=PRECISE", "FS=MRC", "CURRENCY=USD", "XLFILL=b")</f>
        <v>#N/A Requesting Data...</v>
      </c>
      <c r="N148" s="6" t="str">
        <f>_xll.BQL("NOW US Equity", "IS_AMORT_ACQD_INTANGIBLES_R_AND_D/1M", "FPR=2021Y", "FPT=A", "FA_ACT_EST_DATA=E, EST_SOURCE=BMO", "ACT_EST_MAPPING=PRECISE", "FS=MRC", "CURRENCY=USD", "XLFILL=b")</f>
        <v>#N/A Requesting Data...</v>
      </c>
      <c r="O148" s="6" t="str">
        <f>_xll.BQL("NOW US Equity", "IS_AMORT_ACQD_INTANGIBLES_R_AND_D/1M", "FPR=2021Y", "FPT=A", "FA_ACT_EST_DATA=E, EST_SOURCE=OPY", "ACT_EST_MAPPING=PRECISE", "FS=MRC", "CURRENCY=USD", "XLFILL=b")</f>
        <v>#N/A Requesting Data...</v>
      </c>
      <c r="P148" s="6" t="str">
        <f>_xll.BQL("NOW US Equity", "IS_AMORT_ACQD_INTANGIBLES_R_AND_D/1M", "FPR=2021Y", "FPT=A", "FA_ACT_EST_DATA=E, EST_SOURCE=BCA", "ACT_EST_MAPPING=PRECISE", "FS=MRC", "CURRENCY=USD", "XLFILL=b")</f>
        <v>#N/A Requesting Data...</v>
      </c>
      <c r="Q148" s="6" t="str">
        <f>_xll.BQL("NOW US Equity", "IS_AMORT_ACQD_INTANGIBLES_R_AND_D/1M", "FPR=2021Y", "FPT=A", "FA_ACT_EST_DATA=E, EST_SOURCE=RHR", "ACT_EST_MAPPING=PRECISE", "FS=MRC", "CURRENCY=USD", "XLFILL=b")</f>
        <v>#N/A Requesting Data...</v>
      </c>
      <c r="R148" s="6" t="str">
        <f>_xll.BQL("NOW US Equity", "IS_AMORT_ACQD_INTANGIBLES_R_AND_D/1M", "FPR=2021Y", "FPT=A", "FA_ACT_EST_DATA=E, EST_SOURCE=SNR", "ACT_EST_MAPPING=PRECISE", "FS=MRC", "CURRENCY=USD", "XLFILL=b")</f>
        <v>#N/A Requesting Data...</v>
      </c>
      <c r="S148" s="6" t="str">
        <f>_xll.BQL("NOW US Equity", "IS_AMORT_ACQD_INTANGIBLES_R_AND_D/1M", "FPR=2021Y", "FPT=A", "FA_ACT_EST_DATA=E, EST_SOURCE=MSV", "ACT_EST_MAPPING=PRECISE", "FS=MRC", "CURRENCY=USD", "XLFILL=b")</f>
        <v>#N/A Requesting Data...</v>
      </c>
      <c r="T148" s="6" t="str">
        <f>_xll.BQL("NOW US Equity", "IS_AMORT_ACQD_INTANGIBLES_R_AND_D/1M", "FPR=2021Y", "FPT=A", "FA_ACT_EST_DATA=E, EST_SOURCE=CAN", "ACT_EST_MAPPING=PRECISE", "FS=MRC", "CURRENCY=USD", "XLFILL=b")</f>
        <v>#N/A Requesting Data...</v>
      </c>
      <c r="U148" s="6" t="str">
        <f>_xll.BQL("NOW US Equity", "IS_AMORT_ACQD_INTANGIBLES_R_AND_D/1M", "FPR=2021Y", "FPT=A", "FA_ACT_EST_DATA=E, EST_SOURCE=JMP", "ACT_EST_MAPPING=PRECISE", "FS=MRC", "CURRENCY=USD", "XLFILL=b")</f>
        <v>#N/A Requesting Data...</v>
      </c>
      <c r="V148" s="6" t="str">
        <f>_xll.BQL("NOW US Equity", "IS_AMORT_ACQD_INTANGIBLES_R_AND_D/1M", "FPR=2021Y", "FPT=A", "FA_ACT_EST_DATA=E, EST_SOURCE=NDH", "ACT_EST_MAPPING=PRECISE", "FS=MRC", "CURRENCY=USD", "XLFILL=b")</f>
        <v>#N/A Requesting Data...</v>
      </c>
      <c r="W148" s="6" t="str">
        <f>_xll.BQL("NOW US Equity", "IS_AMORT_ACQD_INTANGIBLES_R_AND_D/1M", "FPR=2021Y", "FPT=A", "FA_ACT_EST_DATA=E, EST_SOURCE=ZXS", "ACT_EST_MAPPING=PRECISE", "FS=MRC", "CURRENCY=USD", "XLFILL=b")</f>
        <v>#N/A Requesting Data...</v>
      </c>
      <c r="X148" s="6" t="str">
        <f>_xll.BQL("NOW US Equity", "IS_AMORT_ACQD_INTANGIBLES_R_AND_D/1M", "FPR=2021Y", "FPT=A", "FA_ACT_EST_DATA=E, EST_SOURCE=CWN", "ACT_EST_MAPPING=PRECISE", "FS=MRC", "CURRENCY=USD", "XLFILL=b")</f>
        <v>#N/A Requesting Data...</v>
      </c>
      <c r="Y148" s="6" t="str">
        <f>_xll.BQL("NOW US Equity", "IS_AMORT_ACQD_INTANGIBLES_R_AND_D/1M", "FPR=2021Y", "FPT=A", "FA_ACT_EST_DATA=E, EST_SOURCE=DBG", "ACT_EST_MAPPING=PRECISE", "FS=MRC", "CURRENCY=USD", "XLFILL=b")</f>
        <v>#N/A Requesting Data...</v>
      </c>
      <c r="Z148" s="6" t="str">
        <f>_xll.BQL("NOW US Equity", "IS_AMORT_ACQD_INTANGIBLES_R_AND_D/1M", "FPR=2021Y", "FPT=A", "FA_ACT_EST_DATA=E, EST_SOURCE=UBS", "ACT_EST_MAPPING=PRECISE", "FS=MRC", "CURRENCY=USD", "XLFILL=b")</f>
        <v>#N/A Requesting Data...</v>
      </c>
      <c r="AA148" s="6" t="str">
        <f>_xll.BQL("NOW US Equity", "IS_AMORT_ACQD_INTANGIBLES_R_AND_D/1M", "FPR=2021Y", "FPT=A", "FA_ACT_EST_DATA=E, EST_SOURCE=RBC", "ACT_EST_MAPPING=PRECISE", "FS=MRC", "CURRENCY=USD", "XLFILL=b")</f>
        <v>#N/A Requesting Data...</v>
      </c>
      <c r="AB148" s="6" t="str">
        <f>_xll.BQL("NOW US Equity", "IS_AMORT_ACQD_INTANGIBLES_R_AND_D/1M", "FPR=2021Y", "FPT=A", "FA_ACT_EST_DATA=E, EST_SOURCE=EVR", "ACT_EST_MAPPING=PRECISE", "FS=MRC", "CURRENCY=USD", "XLFILL=b")</f>
        <v>#N/A Requesting Data...</v>
      </c>
      <c r="AC148" s="6" t="str">
        <f>_xll.BQL("NOW US Equity", "IS_AMORT_ACQD_INTANGIBLES_R_AND_D/1M", "FPR=2021Y", "FPT=A", "FA_ACT_EST_DATA=E, EST_SOURCE=BNS", "ACT_EST_MAPPING=PRECISE", "FS=MRC", "CURRENCY=USD", "XLFILL=b")</f>
        <v>#N/A Requesting Data...</v>
      </c>
      <c r="AD148" s="6" t="str">
        <f>_xll.BQL("NOW US Equity", "IS_AMORT_ACQD_INTANGIBLES_R_AND_D/1M", "FPR=2021Y", "FPT=A", "FA_ACT_EST_DATA=E, EST_SOURCE=BAM", "ACT_EST_MAPPING=PRECISE", "FS=MRC", "CURRENCY=USD", "XLFILL=b")</f>
        <v>#N/A Requesting Data...</v>
      </c>
      <c r="AE148" s="6" t="str">
        <f>_xll.BQL("NOW US Equity", "IS_AMORT_ACQD_INTANGIBLES_R_AND_D/1M", "FPR=2021Y", "FPT=A", "FA_ACT_EST_DATA=E, EST_SOURCE=GSR", "ACT_EST_MAPPING=PRECISE", "FS=MRC", "CURRENCY=USD", "XLFILL=b")</f>
        <v>#N/A Requesting Data...</v>
      </c>
      <c r="AF148" s="6" t="str">
        <f>_xll.BQL("NOW US Equity", "IS_AMORT_ACQD_INTANGIBLES_R_AND_D/1M", "FPR=2021Y", "FPT=A", "FA_ACT_EST_DATA=E, EST_SOURCE=FBC", "ACT_EST_MAPPING=PRECISE", "FS=MRC", "CURRENCY=USD", "XLFILL=b")</f>
        <v>#N/A Requesting Data...</v>
      </c>
      <c r="AG148" s="6" t="str">
        <f>_xll.BQL("NOW US Equity", "IS_AMORT_ACQD_INTANGIBLES_R_AND_D/1M", "FPR=2021Y", "FPT=A", "FA_ACT_EST_DATA=E, EST_SOURCE=MAC", "ACT_EST_MAPPING=PRECISE", "FS=MRC", "CURRENCY=USD", "XLFILL=b")</f>
        <v>#N/A Requesting Data...</v>
      </c>
      <c r="AH148" s="6" t="str">
        <f>_xll.BQL("NOW US Equity", "IS_AMORT_ACQD_INTANGIBLES_R_AND_D/1M", "FPR=2021Y", "FPT=A", "FA_ACT_EST_DATA=E, EST_SOURCE=PSG", "ACT_EST_MAPPING=PRECISE", "FS=MRC", "CURRENCY=USD", "XLFILL=b")</f>
        <v>#N/A Requesting Data...</v>
      </c>
      <c r="AI148" s="6" t="str">
        <f>_xll.BQL("NOW US Equity", "IS_AMORT_ACQD_INTANGIBLES_R_AND_D/1M", "FPR=2021Y", "FPT=A", "FA_ACT_EST_DATA=E, EST_SOURCE=MSR", "ACT_EST_MAPPING=PRECISE", "FS=MRC", "CURRENCY=USD", "XLFILL=b")</f>
        <v>#N/A Requesting Data...</v>
      </c>
      <c r="AJ148" s="6" t="str">
        <f>_xll.BQL("NOW US Equity", "IS_AMORT_ACQD_INTANGIBLES_R_AND_D/1M", "FPR=2021Y", "FPT=A", "FA_ACT_EST_DATA=E, EST_SOURCE=JEF", "ACT_EST_MAPPING=PRECISE", "FS=MRC", "CURRENCY=USD", "XLFILL=b")</f>
        <v>#N/A Requesting Data...</v>
      </c>
      <c r="AK148" s="6" t="str">
        <f>_xll.BQL("NOW US Equity", "IS_AMORT_ACQD_INTANGIBLES_R_AND_D/1M", "FPR=2021Y", "FPT=A", "FA_ACT_EST_DATA=E, EST_SOURCE=TTC", "ACT_EST_MAPPING=PRECISE", "FS=MRC", "CURRENCY=USD", "XLFILL=b")</f>
        <v>#N/A Requesting Data...</v>
      </c>
      <c r="AL148" s="6" t="str">
        <f>_xll.BQL("NOW US Equity", "IS_AMORT_ACQD_INTANGIBLES_R_AND_D/1M", "FPR=2021Y", "FPT=A", "FA_ACT_EST_DATA=E, EST_SOURCE=RWB", "ACT_EST_MAPPING=PRECISE", "FS=MRC", "CURRENCY=USD", "XLFILL=b")</f>
        <v>#N/A Requesting Data...</v>
      </c>
      <c r="AM148" s="6" t="str">
        <f>_xll.BQL("NOW US Equity", "IS_AMORT_ACQD_INTANGIBLES_R_AND_D/1M", "FPR=2021Y", "FPT=A", "FA_ACT_EST_DATA=E, EST_SOURCE=DZB", "ACT_EST_MAPPING=PRECISE", "FS=MRC", "CURRENCY=USD", "XLFILL=b")</f>
        <v>#N/A Requesting Data...</v>
      </c>
      <c r="AN148" s="6" t="str">
        <f>_xll.BQL("NOW US Equity", "IS_AMORT_ACQD_INTANGIBLES_R_AND_D/1M", "FPR=2021Y", "FPT=A", "FA_ACT_EST_DATA=E, EST_SOURCE=DWI", "ACT_EST_MAPPING=PRECISE", "FS=MRC", "CURRENCY=USD", "XLFILL=b")</f>
        <v>#N/A Requesting Data...</v>
      </c>
      <c r="AO148" s="6" t="str">
        <f>_xll.BQL("NOW US Equity", "IS_AMORT_ACQD_INTANGIBLES_R_AND_D/1M", "FPR=2021Y", "FPT=A", "FA_ACT_EST_DATA=E, EST_SOURCE=ARG", "ACT_EST_MAPPING=PRECISE", "FS=MRC", "CURRENCY=USD", "XLFILL=b")</f>
        <v>#N/A Requesting Data...</v>
      </c>
      <c r="AP148" s="6" t="str">
        <f>_xll.BQL("NOW US Equity", "IS_AMORT_ACQD_INTANGIBLES_R_AND_D/1M", "FPR=2021Y", "FPT=A", "FA_ACT_EST_DATA=E, EST_SOURCE=CTI", "ACT_EST_MAPPING=PRECISE", "FS=MRC", "CURRENCY=USD", "XLFILL=b")</f>
        <v>#N/A Requesting Data...</v>
      </c>
      <c r="AQ148" s="6" t="str">
        <f>_xll.BQL("NOW US Equity", "IS_AMORT_ACQD_INTANGIBLES_R_AND_D/1M", "FPR=2021Y", "FPT=A", "FA_ACT_EST_DATA=E, EST_SOURCE=WFT", "ACT_EST_MAPPING=PRECISE", "FS=MRC", "CURRENCY=USD", "XLFILL=b")</f>
        <v>#N/A Requesting Data...</v>
      </c>
      <c r="AR148" s="6" t="str">
        <f>_xll.BQL("NOW US Equity", "IS_AMORT_ACQD_INTANGIBLES_R_AND_D/1M", "FPR=2021Y", "FPT=A", "FA_ACT_EST_DATA=E, EST_SOURCE=ARE", "ACT_EST_MAPPING=PRECISE", "FS=MRC", "CURRENCY=USD", "XLFILL=b")</f>
        <v>#N/A Requesting Data...</v>
      </c>
      <c r="AS148" s="6" t="str">
        <f>_xll.BQL("NOW US Equity", "IS_AMORT_ACQD_INTANGIBLES_R_AND_D/1M", "FPR=2021Y", "FPT=A", "FA_ACT_EST_DATA=E, EST_SOURCE=PJE", "ACT_EST_MAPPING=PRECISE", "FS=MRC", "CURRENCY=USD", "XLFILL=b")</f>
        <v>#N/A Requesting Data...</v>
      </c>
      <c r="AT148" s="6" t="str">
        <f>_xll.BQL("NOW US Equity", "IS_AMORT_ACQD_INTANGIBLES_R_AND_D/1M", "FPR=2021Y", "FPT=A", "FA_ACT_EST_DATA=E, EST_SOURCE=MZS", "ACT_EST_MAPPING=PRECISE", "FS=MRC", "CURRENCY=USD", "XLFILL=b")</f>
        <v>#N/A Requesting Data...</v>
      </c>
      <c r="AU148" s="6" t="str">
        <f>_xll.BQL("NOW US Equity", "IS_AMORT_ACQD_INTANGIBLES_R_AND_D/1M", "FPR=2021Y", "FPT=A", "FA_ACT_EST_DATA=E, EST_SOURCE=SUM", "ACT_EST_MAPPING=PRECISE", "FS=MRC", "CURRENCY=USD", "XLFILL=b")</f>
        <v>#N/A Requesting Data...</v>
      </c>
      <c r="AV148" s="6" t="str">
        <f>_xll.BQL("NOW US Equity", "IS_AMORT_ACQD_INTANGIBLES_R_AND_D/1M", "FPR=2021Y", "FPT=A", "FA_ACT_EST_DATA=E, EST_SOURCE=CRC", "ACT_EST_MAPPING=PRECISE", "FS=MRC", "CURRENCY=USD", "XLFILL=b")</f>
        <v>#N/A Requesting Data...</v>
      </c>
      <c r="AW148" s="6" t="str">
        <f>_xll.BQL("NOW US Equity", "IS_AMORT_ACQD_INTANGIBLES_R_AND_D/1M", "FPR=2021Y", "FPT=A", "FA_ACT_EST_DATA=E, EST_SOURCE=SCB", "ACT_EST_MAPPING=PRECISE", "FS=MRC", "CURRENCY=USD", "XLFILL=b")</f>
        <v>#N/A Requesting Data...</v>
      </c>
    </row>
    <row r="149" spans="1:49" x14ac:dyDescent="0.55000000000000004">
      <c r="A149" s="5" t="s">
        <v>187</v>
      </c>
      <c r="B149" s="2" t="s">
        <v>244</v>
      </c>
      <c r="C149" s="2" t="s">
        <v>140</v>
      </c>
      <c r="D149" s="2"/>
      <c r="E149" s="6" t="str">
        <f>_xll.BQL("NOW US Equity", "IS_AMORT_ACQD_INTANG_GEN_AND_ADMIN/1M", "FPR=2021Y", "FPT=A", "FA_ACT_EST_DATA=E", "ACT_EST_MAPPING=PRECISE", "FS=MRC", "CURRENCY=USD", "XLFILL=b")</f>
        <v>#N/A Requesting Data...</v>
      </c>
      <c r="F149" s="6" t="str">
        <f>_xll.BQL("NOW US Equity", "CONTRIBUTOR_STATS(IS_AMORT_ACQD_INTANG_GEN_AND_ADMIN, MIN)/1M", "FPR=2021Y", "FPT=A", "FA_ACT_EST_DATA=E", "ACT_EST_MAPPING=PRECISE", "FS=MRC", "CURRENCY=USD", "XLFILL=b")</f>
        <v>#N/A Requesting Data...</v>
      </c>
      <c r="G149" s="6" t="str">
        <f>_xll.BQL("NOW US Equity", "CONTRIBUTOR_STATS(IS_AMORT_ACQD_INTANG_GEN_AND_ADMIN, MAX)/1M", "FPR=2021Y", "FPT=A", "FA_ACT_EST_DATA=E", "ACT_EST_MAPPING=PRECISE", "FS=MRC", "CURRENCY=USD", "XLFILL=b")</f>
        <v>#N/A Requesting Data...</v>
      </c>
      <c r="H149" s="6" t="str">
        <f>_xll.BQL("NOW US Equity", "CONTRIBUTOR_STATS(IS_AMORT_ACQD_INTANG_GEN_AND_ADMIN, STD)/1M", "FPR=2021Y", "FPT=A", "FA_ACT_EST_DATA=E", "ACT_EST_MAPPING=PRECISE", "FS=MRC", "CURRENCY=USD", "XLFILL=b")</f>
        <v>#N/A Requesting Data...</v>
      </c>
      <c r="I149" s="6" t="str">
        <f>_xll.BQL("NOW US Equity", "CONTRIBUTOR_STATS(IS_AMORT_ACQD_INTANG_GEN_AND_ADMIN, MEDIAN)/1M", "FPR=2021Y", "FPT=A", "FA_ACT_EST_DATA=E", "ACT_EST_MAPPING=PRECISE", "FS=MRC", "CURRENCY=USD", "XLFILL=b")</f>
        <v>#N/A Requesting Data...</v>
      </c>
      <c r="J149" s="6" t="str">
        <f>_xll.BQL("NOW US Equity", "IS_AMORT_ACQD_INTANG_GEN_AND_ADMIN/1M", "FPR=2021Y", "FPT=A", "FA_ACT_EST_DATA=E, EST_SOURCE=CMPY", "ACT_EST_MAPPING=PRECISE", "FS=MRC", "CURRENCY=USD", "XLFILL=b")</f>
        <v>#N/A Requesting Data...</v>
      </c>
      <c r="K149" s="6" t="str">
        <f>_xll.BQL("NOW US Equity", "IS_AMORT_ACQD_INTANG_GEN_AND_ADMIN/1M", "FPR=2021Y", "FPT=A", "FA_ACT_EST_DATA=E, EST_SOURCE=JPM", "ACT_EST_MAPPING=PRECISE", "FS=MRC", "CURRENCY=USD", "XLFILL=b")</f>
        <v>#N/A Requesting Data...</v>
      </c>
      <c r="L149" s="6" t="str">
        <f>_xll.BQL("NOW US Equity", "IS_AMORT_ACQD_INTANG_GEN_AND_ADMIN/1M", "FPR=2021Y", "FPT=A", "FA_ACT_EST_DATA=E, EST_SOURCE=WBL", "ACT_EST_MAPPING=PRECISE", "FS=MRC", "CURRENCY=USD", "XLFILL=b")</f>
        <v>#N/A Requesting Data...</v>
      </c>
      <c r="M149" s="6" t="str">
        <f>_xll.BQL("NOW US Equity", "IS_AMORT_ACQD_INTANG_GEN_AND_ADMIN/1M", "FPR=2021Y", "FPT=A", "FA_ACT_EST_DATA=E, EST_SOURCE=KEY", "ACT_EST_MAPPING=PRECISE", "FS=MRC", "CURRENCY=USD", "XLFILL=b")</f>
        <v>#N/A Requesting Data...</v>
      </c>
      <c r="N149" s="6" t="str">
        <f>_xll.BQL("NOW US Equity", "IS_AMORT_ACQD_INTANG_GEN_AND_ADMIN/1M", "FPR=2021Y", "FPT=A", "FA_ACT_EST_DATA=E, EST_SOURCE=BMO", "ACT_EST_MAPPING=PRECISE", "FS=MRC", "CURRENCY=USD", "XLFILL=b")</f>
        <v>#N/A Requesting Data...</v>
      </c>
      <c r="O149" s="6" t="str">
        <f>_xll.BQL("NOW US Equity", "IS_AMORT_ACQD_INTANG_GEN_AND_ADMIN/1M", "FPR=2021Y", "FPT=A", "FA_ACT_EST_DATA=E, EST_SOURCE=OPY", "ACT_EST_MAPPING=PRECISE", "FS=MRC", "CURRENCY=USD", "XLFILL=b")</f>
        <v>#N/A Requesting Data...</v>
      </c>
      <c r="P149" s="6" t="str">
        <f>_xll.BQL("NOW US Equity", "IS_AMORT_ACQD_INTANG_GEN_AND_ADMIN/1M", "FPR=2021Y", "FPT=A", "FA_ACT_EST_DATA=E, EST_SOURCE=BCA", "ACT_EST_MAPPING=PRECISE", "FS=MRC", "CURRENCY=USD", "XLFILL=b")</f>
        <v>#N/A Requesting Data...</v>
      </c>
      <c r="Q149" s="6" t="str">
        <f>_xll.BQL("NOW US Equity", "IS_AMORT_ACQD_INTANG_GEN_AND_ADMIN/1M", "FPR=2021Y", "FPT=A", "FA_ACT_EST_DATA=E, EST_SOURCE=RHR", "ACT_EST_MAPPING=PRECISE", "FS=MRC", "CURRENCY=USD", "XLFILL=b")</f>
        <v>#N/A Requesting Data...</v>
      </c>
      <c r="R149" s="6" t="str">
        <f>_xll.BQL("NOW US Equity", "IS_AMORT_ACQD_INTANG_GEN_AND_ADMIN/1M", "FPR=2021Y", "FPT=A", "FA_ACT_EST_DATA=E, EST_SOURCE=SNR", "ACT_EST_MAPPING=PRECISE", "FS=MRC", "CURRENCY=USD", "XLFILL=b")</f>
        <v>#N/A Requesting Data...</v>
      </c>
      <c r="S149" s="6" t="str">
        <f>_xll.BQL("NOW US Equity", "IS_AMORT_ACQD_INTANG_GEN_AND_ADMIN/1M", "FPR=2021Y", "FPT=A", "FA_ACT_EST_DATA=E, EST_SOURCE=MSV", "ACT_EST_MAPPING=PRECISE", "FS=MRC", "CURRENCY=USD", "XLFILL=b")</f>
        <v>#N/A Requesting Data...</v>
      </c>
      <c r="T149" s="6" t="str">
        <f>_xll.BQL("NOW US Equity", "IS_AMORT_ACQD_INTANG_GEN_AND_ADMIN/1M", "FPR=2021Y", "FPT=A", "FA_ACT_EST_DATA=E, EST_SOURCE=CAN", "ACT_EST_MAPPING=PRECISE", "FS=MRC", "CURRENCY=USD", "XLFILL=b")</f>
        <v>#N/A Requesting Data...</v>
      </c>
      <c r="U149" s="6" t="str">
        <f>_xll.BQL("NOW US Equity", "IS_AMORT_ACQD_INTANG_GEN_AND_ADMIN/1M", "FPR=2021Y", "FPT=A", "FA_ACT_EST_DATA=E, EST_SOURCE=JMP", "ACT_EST_MAPPING=PRECISE", "FS=MRC", "CURRENCY=USD", "XLFILL=b")</f>
        <v>#N/A Requesting Data...</v>
      </c>
      <c r="V149" s="6" t="str">
        <f>_xll.BQL("NOW US Equity", "IS_AMORT_ACQD_INTANG_GEN_AND_ADMIN/1M", "FPR=2021Y", "FPT=A", "FA_ACT_EST_DATA=E, EST_SOURCE=NDH", "ACT_EST_MAPPING=PRECISE", "FS=MRC", "CURRENCY=USD", "XLFILL=b")</f>
        <v>#N/A Requesting Data...</v>
      </c>
      <c r="W149" s="6" t="str">
        <f>_xll.BQL("NOW US Equity", "IS_AMORT_ACQD_INTANG_GEN_AND_ADMIN/1M", "FPR=2021Y", "FPT=A", "FA_ACT_EST_DATA=E, EST_SOURCE=ZXS", "ACT_EST_MAPPING=PRECISE", "FS=MRC", "CURRENCY=USD", "XLFILL=b")</f>
        <v>#N/A Requesting Data...</v>
      </c>
      <c r="X149" s="6" t="str">
        <f>_xll.BQL("NOW US Equity", "IS_AMORT_ACQD_INTANG_GEN_AND_ADMIN/1M", "FPR=2021Y", "FPT=A", "FA_ACT_EST_DATA=E, EST_SOURCE=CWN", "ACT_EST_MAPPING=PRECISE", "FS=MRC", "CURRENCY=USD", "XLFILL=b")</f>
        <v>#N/A Requesting Data...</v>
      </c>
      <c r="Y149" s="6" t="str">
        <f>_xll.BQL("NOW US Equity", "IS_AMORT_ACQD_INTANG_GEN_AND_ADMIN/1M", "FPR=2021Y", "FPT=A", "FA_ACT_EST_DATA=E, EST_SOURCE=DBG", "ACT_EST_MAPPING=PRECISE", "FS=MRC", "CURRENCY=USD", "XLFILL=b")</f>
        <v>#N/A Requesting Data...</v>
      </c>
      <c r="Z149" s="6" t="str">
        <f>_xll.BQL("NOW US Equity", "IS_AMORT_ACQD_INTANG_GEN_AND_ADMIN/1M", "FPR=2021Y", "FPT=A", "FA_ACT_EST_DATA=E, EST_SOURCE=UBS", "ACT_EST_MAPPING=PRECISE", "FS=MRC", "CURRENCY=USD", "XLFILL=b")</f>
        <v>#N/A Requesting Data...</v>
      </c>
      <c r="AA149" s="6" t="str">
        <f>_xll.BQL("NOW US Equity", "IS_AMORT_ACQD_INTANG_GEN_AND_ADMIN/1M", "FPR=2021Y", "FPT=A", "FA_ACT_EST_DATA=E, EST_SOURCE=RBC", "ACT_EST_MAPPING=PRECISE", "FS=MRC", "CURRENCY=USD", "XLFILL=b")</f>
        <v>#N/A Requesting Data...</v>
      </c>
      <c r="AB149" s="6" t="str">
        <f>_xll.BQL("NOW US Equity", "IS_AMORT_ACQD_INTANG_GEN_AND_ADMIN/1M", "FPR=2021Y", "FPT=A", "FA_ACT_EST_DATA=E, EST_SOURCE=EVR", "ACT_EST_MAPPING=PRECISE", "FS=MRC", "CURRENCY=USD", "XLFILL=b")</f>
        <v>#N/A Requesting Data...</v>
      </c>
      <c r="AC149" s="6" t="str">
        <f>_xll.BQL("NOW US Equity", "IS_AMORT_ACQD_INTANG_GEN_AND_ADMIN/1M", "FPR=2021Y", "FPT=A", "FA_ACT_EST_DATA=E, EST_SOURCE=BNS", "ACT_EST_MAPPING=PRECISE", "FS=MRC", "CURRENCY=USD", "XLFILL=b")</f>
        <v>#N/A Requesting Data...</v>
      </c>
      <c r="AD149" s="6" t="str">
        <f>_xll.BQL("NOW US Equity", "IS_AMORT_ACQD_INTANG_GEN_AND_ADMIN/1M", "FPR=2021Y", "FPT=A", "FA_ACT_EST_DATA=E, EST_SOURCE=BAM", "ACT_EST_MAPPING=PRECISE", "FS=MRC", "CURRENCY=USD", "XLFILL=b")</f>
        <v>#N/A Requesting Data...</v>
      </c>
      <c r="AE149" s="6" t="str">
        <f>_xll.BQL("NOW US Equity", "IS_AMORT_ACQD_INTANG_GEN_AND_ADMIN/1M", "FPR=2021Y", "FPT=A", "FA_ACT_EST_DATA=E, EST_SOURCE=GSR", "ACT_EST_MAPPING=PRECISE", "FS=MRC", "CURRENCY=USD", "XLFILL=b")</f>
        <v>#N/A Requesting Data...</v>
      </c>
      <c r="AF149" s="6" t="str">
        <f>_xll.BQL("NOW US Equity", "IS_AMORT_ACQD_INTANG_GEN_AND_ADMIN/1M", "FPR=2021Y", "FPT=A", "FA_ACT_EST_DATA=E, EST_SOURCE=FBC", "ACT_EST_MAPPING=PRECISE", "FS=MRC", "CURRENCY=USD", "XLFILL=b")</f>
        <v>#N/A Requesting Data...</v>
      </c>
      <c r="AG149" s="6" t="str">
        <f>_xll.BQL("NOW US Equity", "IS_AMORT_ACQD_INTANG_GEN_AND_ADMIN/1M", "FPR=2021Y", "FPT=A", "FA_ACT_EST_DATA=E, EST_SOURCE=MAC", "ACT_EST_MAPPING=PRECISE", "FS=MRC", "CURRENCY=USD", "XLFILL=b")</f>
        <v>#N/A Requesting Data...</v>
      </c>
      <c r="AH149" s="6" t="str">
        <f>_xll.BQL("NOW US Equity", "IS_AMORT_ACQD_INTANG_GEN_AND_ADMIN/1M", "FPR=2021Y", "FPT=A", "FA_ACT_EST_DATA=E, EST_SOURCE=PSG", "ACT_EST_MAPPING=PRECISE", "FS=MRC", "CURRENCY=USD", "XLFILL=b")</f>
        <v>#N/A Requesting Data...</v>
      </c>
      <c r="AI149" s="6" t="str">
        <f>_xll.BQL("NOW US Equity", "IS_AMORT_ACQD_INTANG_GEN_AND_ADMIN/1M", "FPR=2021Y", "FPT=A", "FA_ACT_EST_DATA=E, EST_SOURCE=MSR", "ACT_EST_MAPPING=PRECISE", "FS=MRC", "CURRENCY=USD", "XLFILL=b")</f>
        <v>#N/A Requesting Data...</v>
      </c>
      <c r="AJ149" s="6" t="str">
        <f>_xll.BQL("NOW US Equity", "IS_AMORT_ACQD_INTANG_GEN_AND_ADMIN/1M", "FPR=2021Y", "FPT=A", "FA_ACT_EST_DATA=E, EST_SOURCE=JEF", "ACT_EST_MAPPING=PRECISE", "FS=MRC", "CURRENCY=USD", "XLFILL=b")</f>
        <v>#N/A Requesting Data...</v>
      </c>
      <c r="AK149" s="6" t="str">
        <f>_xll.BQL("NOW US Equity", "IS_AMORT_ACQD_INTANG_GEN_AND_ADMIN/1M", "FPR=2021Y", "FPT=A", "FA_ACT_EST_DATA=E, EST_SOURCE=TTC", "ACT_EST_MAPPING=PRECISE", "FS=MRC", "CURRENCY=USD", "XLFILL=b")</f>
        <v>#N/A Requesting Data...</v>
      </c>
      <c r="AL149" s="6" t="str">
        <f>_xll.BQL("NOW US Equity", "IS_AMORT_ACQD_INTANG_GEN_AND_ADMIN/1M", "FPR=2021Y", "FPT=A", "FA_ACT_EST_DATA=E, EST_SOURCE=RWB", "ACT_EST_MAPPING=PRECISE", "FS=MRC", "CURRENCY=USD", "XLFILL=b")</f>
        <v>#N/A Requesting Data...</v>
      </c>
      <c r="AM149" s="6" t="str">
        <f>_xll.BQL("NOW US Equity", "IS_AMORT_ACQD_INTANG_GEN_AND_ADMIN/1M", "FPR=2021Y", "FPT=A", "FA_ACT_EST_DATA=E, EST_SOURCE=DZB", "ACT_EST_MAPPING=PRECISE", "FS=MRC", "CURRENCY=USD", "XLFILL=b")</f>
        <v>#N/A Requesting Data...</v>
      </c>
      <c r="AN149" s="6" t="str">
        <f>_xll.BQL("NOW US Equity", "IS_AMORT_ACQD_INTANG_GEN_AND_ADMIN/1M", "FPR=2021Y", "FPT=A", "FA_ACT_EST_DATA=E, EST_SOURCE=DWI", "ACT_EST_MAPPING=PRECISE", "FS=MRC", "CURRENCY=USD", "XLFILL=b")</f>
        <v>#N/A Requesting Data...</v>
      </c>
      <c r="AO149" s="6" t="str">
        <f>_xll.BQL("NOW US Equity", "IS_AMORT_ACQD_INTANG_GEN_AND_ADMIN/1M", "FPR=2021Y", "FPT=A", "FA_ACT_EST_DATA=E, EST_SOURCE=ARG", "ACT_EST_MAPPING=PRECISE", "FS=MRC", "CURRENCY=USD", "XLFILL=b")</f>
        <v>#N/A Requesting Data...</v>
      </c>
      <c r="AP149" s="6" t="str">
        <f>_xll.BQL("NOW US Equity", "IS_AMORT_ACQD_INTANG_GEN_AND_ADMIN/1M", "FPR=2021Y", "FPT=A", "FA_ACT_EST_DATA=E, EST_SOURCE=CTI", "ACT_EST_MAPPING=PRECISE", "FS=MRC", "CURRENCY=USD", "XLFILL=b")</f>
        <v>#N/A Requesting Data...</v>
      </c>
      <c r="AQ149" s="6" t="str">
        <f>_xll.BQL("NOW US Equity", "IS_AMORT_ACQD_INTANG_GEN_AND_ADMIN/1M", "FPR=2021Y", "FPT=A", "FA_ACT_EST_DATA=E, EST_SOURCE=WFT", "ACT_EST_MAPPING=PRECISE", "FS=MRC", "CURRENCY=USD", "XLFILL=b")</f>
        <v>#N/A Requesting Data...</v>
      </c>
      <c r="AR149" s="6" t="str">
        <f>_xll.BQL("NOW US Equity", "IS_AMORT_ACQD_INTANG_GEN_AND_ADMIN/1M", "FPR=2021Y", "FPT=A", "FA_ACT_EST_DATA=E, EST_SOURCE=ARE", "ACT_EST_MAPPING=PRECISE", "FS=MRC", "CURRENCY=USD", "XLFILL=b")</f>
        <v>#N/A Requesting Data...</v>
      </c>
      <c r="AS149" s="6" t="str">
        <f>_xll.BQL("NOW US Equity", "IS_AMORT_ACQD_INTANG_GEN_AND_ADMIN/1M", "FPR=2021Y", "FPT=A", "FA_ACT_EST_DATA=E, EST_SOURCE=PJE", "ACT_EST_MAPPING=PRECISE", "FS=MRC", "CURRENCY=USD", "XLFILL=b")</f>
        <v>#N/A Requesting Data...</v>
      </c>
      <c r="AT149" s="6" t="str">
        <f>_xll.BQL("NOW US Equity", "IS_AMORT_ACQD_INTANG_GEN_AND_ADMIN/1M", "FPR=2021Y", "FPT=A", "FA_ACT_EST_DATA=E, EST_SOURCE=MZS", "ACT_EST_MAPPING=PRECISE", "FS=MRC", "CURRENCY=USD", "XLFILL=b")</f>
        <v>#N/A Requesting Data...</v>
      </c>
      <c r="AU149" s="6" t="str">
        <f>_xll.BQL("NOW US Equity", "IS_AMORT_ACQD_INTANG_GEN_AND_ADMIN/1M", "FPR=2021Y", "FPT=A", "FA_ACT_EST_DATA=E, EST_SOURCE=SUM", "ACT_EST_MAPPING=PRECISE", "FS=MRC", "CURRENCY=USD", "XLFILL=b")</f>
        <v>#N/A Requesting Data...</v>
      </c>
      <c r="AV149" s="6" t="str">
        <f>_xll.BQL("NOW US Equity", "IS_AMORT_ACQD_INTANG_GEN_AND_ADMIN/1M", "FPR=2021Y", "FPT=A", "FA_ACT_EST_DATA=E, EST_SOURCE=CRC", "ACT_EST_MAPPING=PRECISE", "FS=MRC", "CURRENCY=USD", "XLFILL=b")</f>
        <v>#N/A Requesting Data...</v>
      </c>
      <c r="AW149" s="6" t="str">
        <f>_xll.BQL("NOW US Equity", "IS_AMORT_ACQD_INTANG_GEN_AND_ADMIN/1M", "FPR=2021Y", "FPT=A", "FA_ACT_EST_DATA=E, EST_SOURCE=SCB", "ACT_EST_MAPPING=PRECISE", "FS=MRC", "CURRENCY=USD", "XLFILL=b")</f>
        <v>#N/A Requesting Data...</v>
      </c>
    </row>
    <row r="150" spans="1:49" x14ac:dyDescent="0.55000000000000004">
      <c r="A150" s="5" t="s">
        <v>245</v>
      </c>
      <c r="B150" s="2" t="s">
        <v>246</v>
      </c>
      <c r="C150" s="2" t="s">
        <v>247</v>
      </c>
      <c r="D150" s="2"/>
      <c r="E150" s="6" t="str">
        <f>_xll.BQL("NOW US Equity", "IS_INC_TAX_EFFECT_NONGAAP_REC/1M", "FPR=2021Y", "FPT=A", "FA_ACT_EST_DATA=E", "ACT_EST_MAPPING=PRECISE", "FS=MRC", "CURRENCY=USD", "XLFILL=b")</f>
        <v>#N/A Requesting Data...</v>
      </c>
      <c r="F150" s="6" t="str">
        <f>_xll.BQL("NOW US Equity", "CONTRIBUTOR_STATS(IS_INC_TAX_EFFECT_NONGAAP_REC, MIN)/1M", "FPR=2021Y", "FPT=A", "FA_ACT_EST_DATA=E", "ACT_EST_MAPPING=PRECISE", "FS=MRC", "CURRENCY=USD", "XLFILL=b")</f>
        <v>#N/A Requesting Data...</v>
      </c>
      <c r="G150" s="6" t="str">
        <f>_xll.BQL("NOW US Equity", "CONTRIBUTOR_STATS(IS_INC_TAX_EFFECT_NONGAAP_REC, MAX)/1M", "FPR=2021Y", "FPT=A", "FA_ACT_EST_DATA=E", "ACT_EST_MAPPING=PRECISE", "FS=MRC", "CURRENCY=USD", "XLFILL=b")</f>
        <v>#N/A Requesting Data...</v>
      </c>
      <c r="H150" s="6" t="str">
        <f>_xll.BQL("NOW US Equity", "CONTRIBUTOR_STATS(IS_INC_TAX_EFFECT_NONGAAP_REC, STD)/1M", "FPR=2021Y", "FPT=A", "FA_ACT_EST_DATA=E", "ACT_EST_MAPPING=PRECISE", "FS=MRC", "CURRENCY=USD", "XLFILL=b")</f>
        <v>#N/A Requesting Data...</v>
      </c>
      <c r="I150" s="6" t="str">
        <f>_xll.BQL("NOW US Equity", "CONTRIBUTOR_STATS(IS_INC_TAX_EFFECT_NONGAAP_REC, MEDIAN)/1M", "FPR=2021Y", "FPT=A", "FA_ACT_EST_DATA=E", "ACT_EST_MAPPING=PRECISE", "FS=MRC", "CURRENCY=USD", "XLFILL=b")</f>
        <v>#N/A Requesting Data...</v>
      </c>
      <c r="J150" s="6" t="str">
        <f>_xll.BQL("NOW US Equity", "IS_INC_TAX_EFFECT_NONGAAP_REC/1M", "FPR=2021Y", "FPT=A", "FA_ACT_EST_DATA=E, EST_SOURCE=CMPY", "ACT_EST_MAPPING=PRECISE", "FS=MRC", "CURRENCY=USD", "XLFILL=b")</f>
        <v>#N/A Requesting Data...</v>
      </c>
      <c r="K150" s="6" t="str">
        <f>_xll.BQL("NOW US Equity", "IS_INC_TAX_EFFECT_NONGAAP_REC/1M", "FPR=2021Y", "FPT=A", "FA_ACT_EST_DATA=E, EST_SOURCE=JPM", "ACT_EST_MAPPING=PRECISE", "FS=MRC", "CURRENCY=USD", "XLFILL=b")</f>
        <v>#N/A Requesting Data...</v>
      </c>
      <c r="L150" s="6" t="str">
        <f>_xll.BQL("NOW US Equity", "IS_INC_TAX_EFFECT_NONGAAP_REC/1M", "FPR=2021Y", "FPT=A", "FA_ACT_EST_DATA=E, EST_SOURCE=WBL", "ACT_EST_MAPPING=PRECISE", "FS=MRC", "CURRENCY=USD", "XLFILL=b")</f>
        <v>#N/A Requesting Data...</v>
      </c>
      <c r="M150" s="6" t="str">
        <f>_xll.BQL("NOW US Equity", "IS_INC_TAX_EFFECT_NONGAAP_REC/1M", "FPR=2021Y", "FPT=A", "FA_ACT_EST_DATA=E, EST_SOURCE=KEY", "ACT_EST_MAPPING=PRECISE", "FS=MRC", "CURRENCY=USD", "XLFILL=b")</f>
        <v>#N/A Requesting Data...</v>
      </c>
      <c r="N150" s="6" t="str">
        <f>_xll.BQL("NOW US Equity", "IS_INC_TAX_EFFECT_NONGAAP_REC/1M", "FPR=2021Y", "FPT=A", "FA_ACT_EST_DATA=E, EST_SOURCE=BMO", "ACT_EST_MAPPING=PRECISE", "FS=MRC", "CURRENCY=USD", "XLFILL=b")</f>
        <v>#N/A Requesting Data...</v>
      </c>
      <c r="O150" s="6" t="str">
        <f>_xll.BQL("NOW US Equity", "IS_INC_TAX_EFFECT_NONGAAP_REC/1M", "FPR=2021Y", "FPT=A", "FA_ACT_EST_DATA=E, EST_SOURCE=OPY", "ACT_EST_MAPPING=PRECISE", "FS=MRC", "CURRENCY=USD", "XLFILL=b")</f>
        <v>#N/A Requesting Data...</v>
      </c>
      <c r="P150" s="6" t="str">
        <f>_xll.BQL("NOW US Equity", "IS_INC_TAX_EFFECT_NONGAAP_REC/1M", "FPR=2021Y", "FPT=A", "FA_ACT_EST_DATA=E, EST_SOURCE=BCA", "ACT_EST_MAPPING=PRECISE", "FS=MRC", "CURRENCY=USD", "XLFILL=b")</f>
        <v>#N/A Requesting Data...</v>
      </c>
      <c r="Q150" s="6" t="str">
        <f>_xll.BQL("NOW US Equity", "IS_INC_TAX_EFFECT_NONGAAP_REC/1M", "FPR=2021Y", "FPT=A", "FA_ACT_EST_DATA=E, EST_SOURCE=RHR", "ACT_EST_MAPPING=PRECISE", "FS=MRC", "CURRENCY=USD", "XLFILL=b")</f>
        <v>#N/A Requesting Data...</v>
      </c>
      <c r="R150" s="6" t="str">
        <f>_xll.BQL("NOW US Equity", "IS_INC_TAX_EFFECT_NONGAAP_REC/1M", "FPR=2021Y", "FPT=A", "FA_ACT_EST_DATA=E, EST_SOURCE=SNR", "ACT_EST_MAPPING=PRECISE", "FS=MRC", "CURRENCY=USD", "XLFILL=b")</f>
        <v>#N/A Requesting Data...</v>
      </c>
      <c r="S150" s="6" t="str">
        <f>_xll.BQL("NOW US Equity", "IS_INC_TAX_EFFECT_NONGAAP_REC/1M", "FPR=2021Y", "FPT=A", "FA_ACT_EST_DATA=E, EST_SOURCE=MSV", "ACT_EST_MAPPING=PRECISE", "FS=MRC", "CURRENCY=USD", "XLFILL=b")</f>
        <v>#N/A Requesting Data...</v>
      </c>
      <c r="T150" s="6" t="str">
        <f>_xll.BQL("NOW US Equity", "IS_INC_TAX_EFFECT_NONGAAP_REC/1M", "FPR=2021Y", "FPT=A", "FA_ACT_EST_DATA=E, EST_SOURCE=CAN", "ACT_EST_MAPPING=PRECISE", "FS=MRC", "CURRENCY=USD", "XLFILL=b")</f>
        <v>#N/A Requesting Data...</v>
      </c>
      <c r="U150" s="6" t="str">
        <f>_xll.BQL("NOW US Equity", "IS_INC_TAX_EFFECT_NONGAAP_REC/1M", "FPR=2021Y", "FPT=A", "FA_ACT_EST_DATA=E, EST_SOURCE=JMP", "ACT_EST_MAPPING=PRECISE", "FS=MRC", "CURRENCY=USD", "XLFILL=b")</f>
        <v>#N/A Requesting Data...</v>
      </c>
      <c r="V150" s="6" t="str">
        <f>_xll.BQL("NOW US Equity", "IS_INC_TAX_EFFECT_NONGAAP_REC/1M", "FPR=2021Y", "FPT=A", "FA_ACT_EST_DATA=E, EST_SOURCE=NDH", "ACT_EST_MAPPING=PRECISE", "FS=MRC", "CURRENCY=USD", "XLFILL=b")</f>
        <v>#N/A Requesting Data...</v>
      </c>
      <c r="W150" s="6" t="str">
        <f>_xll.BQL("NOW US Equity", "IS_INC_TAX_EFFECT_NONGAAP_REC/1M", "FPR=2021Y", "FPT=A", "FA_ACT_EST_DATA=E, EST_SOURCE=ZXS", "ACT_EST_MAPPING=PRECISE", "FS=MRC", "CURRENCY=USD", "XLFILL=b")</f>
        <v>#N/A Requesting Data...</v>
      </c>
      <c r="X150" s="6" t="str">
        <f>_xll.BQL("NOW US Equity", "IS_INC_TAX_EFFECT_NONGAAP_REC/1M", "FPR=2021Y", "FPT=A", "FA_ACT_EST_DATA=E, EST_SOURCE=CWN", "ACT_EST_MAPPING=PRECISE", "FS=MRC", "CURRENCY=USD", "XLFILL=b")</f>
        <v>#N/A Requesting Data...</v>
      </c>
      <c r="Y150" s="6" t="str">
        <f>_xll.BQL("NOW US Equity", "IS_INC_TAX_EFFECT_NONGAAP_REC/1M", "FPR=2021Y", "FPT=A", "FA_ACT_EST_DATA=E, EST_SOURCE=DBG", "ACT_EST_MAPPING=PRECISE", "FS=MRC", "CURRENCY=USD", "XLFILL=b")</f>
        <v>#N/A Requesting Data...</v>
      </c>
      <c r="Z150" s="6" t="str">
        <f>_xll.BQL("NOW US Equity", "IS_INC_TAX_EFFECT_NONGAAP_REC/1M", "FPR=2021Y", "FPT=A", "FA_ACT_EST_DATA=E, EST_SOURCE=UBS", "ACT_EST_MAPPING=PRECISE", "FS=MRC", "CURRENCY=USD", "XLFILL=b")</f>
        <v>#N/A Requesting Data...</v>
      </c>
      <c r="AA150" s="6" t="str">
        <f>_xll.BQL("NOW US Equity", "IS_INC_TAX_EFFECT_NONGAAP_REC/1M", "FPR=2021Y", "FPT=A", "FA_ACT_EST_DATA=E, EST_SOURCE=RBC", "ACT_EST_MAPPING=PRECISE", "FS=MRC", "CURRENCY=USD", "XLFILL=b")</f>
        <v>#N/A Requesting Data...</v>
      </c>
      <c r="AB150" s="6" t="str">
        <f>_xll.BQL("NOW US Equity", "IS_INC_TAX_EFFECT_NONGAAP_REC/1M", "FPR=2021Y", "FPT=A", "FA_ACT_EST_DATA=E, EST_SOURCE=EVR", "ACT_EST_MAPPING=PRECISE", "FS=MRC", "CURRENCY=USD", "XLFILL=b")</f>
        <v>#N/A Requesting Data...</v>
      </c>
      <c r="AC150" s="6" t="str">
        <f>_xll.BQL("NOW US Equity", "IS_INC_TAX_EFFECT_NONGAAP_REC/1M", "FPR=2021Y", "FPT=A", "FA_ACT_EST_DATA=E, EST_SOURCE=BNS", "ACT_EST_MAPPING=PRECISE", "FS=MRC", "CURRENCY=USD", "XLFILL=b")</f>
        <v>#N/A Requesting Data...</v>
      </c>
      <c r="AD150" s="6" t="str">
        <f>_xll.BQL("NOW US Equity", "IS_INC_TAX_EFFECT_NONGAAP_REC/1M", "FPR=2021Y", "FPT=A", "FA_ACT_EST_DATA=E, EST_SOURCE=BAM", "ACT_EST_MAPPING=PRECISE", "FS=MRC", "CURRENCY=USD", "XLFILL=b")</f>
        <v>#N/A Requesting Data...</v>
      </c>
      <c r="AE150" s="6" t="str">
        <f>_xll.BQL("NOW US Equity", "IS_INC_TAX_EFFECT_NONGAAP_REC/1M", "FPR=2021Y", "FPT=A", "FA_ACT_EST_DATA=E, EST_SOURCE=GSR", "ACT_EST_MAPPING=PRECISE", "FS=MRC", "CURRENCY=USD", "XLFILL=b")</f>
        <v>#N/A Requesting Data...</v>
      </c>
      <c r="AF150" s="6" t="str">
        <f>_xll.BQL("NOW US Equity", "IS_INC_TAX_EFFECT_NONGAAP_REC/1M", "FPR=2021Y", "FPT=A", "FA_ACT_EST_DATA=E, EST_SOURCE=FBC", "ACT_EST_MAPPING=PRECISE", "FS=MRC", "CURRENCY=USD", "XLFILL=b")</f>
        <v>#N/A Requesting Data...</v>
      </c>
      <c r="AG150" s="6" t="str">
        <f>_xll.BQL("NOW US Equity", "IS_INC_TAX_EFFECT_NONGAAP_REC/1M", "FPR=2021Y", "FPT=A", "FA_ACT_EST_DATA=E, EST_SOURCE=MAC", "ACT_EST_MAPPING=PRECISE", "FS=MRC", "CURRENCY=USD", "XLFILL=b")</f>
        <v>#N/A Requesting Data...</v>
      </c>
      <c r="AH150" s="6" t="str">
        <f>_xll.BQL("NOW US Equity", "IS_INC_TAX_EFFECT_NONGAAP_REC/1M", "FPR=2021Y", "FPT=A", "FA_ACT_EST_DATA=E, EST_SOURCE=PSG", "ACT_EST_MAPPING=PRECISE", "FS=MRC", "CURRENCY=USD", "XLFILL=b")</f>
        <v>#N/A Requesting Data...</v>
      </c>
      <c r="AI150" s="6" t="str">
        <f>_xll.BQL("NOW US Equity", "IS_INC_TAX_EFFECT_NONGAAP_REC/1M", "FPR=2021Y", "FPT=A", "FA_ACT_EST_DATA=E, EST_SOURCE=MSR", "ACT_EST_MAPPING=PRECISE", "FS=MRC", "CURRENCY=USD", "XLFILL=b")</f>
        <v>#N/A Requesting Data...</v>
      </c>
      <c r="AJ150" s="6" t="str">
        <f>_xll.BQL("NOW US Equity", "IS_INC_TAX_EFFECT_NONGAAP_REC/1M", "FPR=2021Y", "FPT=A", "FA_ACT_EST_DATA=E, EST_SOURCE=JEF", "ACT_EST_MAPPING=PRECISE", "FS=MRC", "CURRENCY=USD", "XLFILL=b")</f>
        <v>#N/A Requesting Data...</v>
      </c>
      <c r="AK150" s="6" t="str">
        <f>_xll.BQL("NOW US Equity", "IS_INC_TAX_EFFECT_NONGAAP_REC/1M", "FPR=2021Y", "FPT=A", "FA_ACT_EST_DATA=E, EST_SOURCE=TTC", "ACT_EST_MAPPING=PRECISE", "FS=MRC", "CURRENCY=USD", "XLFILL=b")</f>
        <v>#N/A Requesting Data...</v>
      </c>
      <c r="AL150" s="6" t="str">
        <f>_xll.BQL("NOW US Equity", "IS_INC_TAX_EFFECT_NONGAAP_REC/1M", "FPR=2021Y", "FPT=A", "FA_ACT_EST_DATA=E, EST_SOURCE=RWB", "ACT_EST_MAPPING=PRECISE", "FS=MRC", "CURRENCY=USD", "XLFILL=b")</f>
        <v>#N/A Requesting Data...</v>
      </c>
      <c r="AM150" s="6" t="str">
        <f>_xll.BQL("NOW US Equity", "IS_INC_TAX_EFFECT_NONGAAP_REC/1M", "FPR=2021Y", "FPT=A", "FA_ACT_EST_DATA=E, EST_SOURCE=DZB", "ACT_EST_MAPPING=PRECISE", "FS=MRC", "CURRENCY=USD", "XLFILL=b")</f>
        <v>#N/A Requesting Data...</v>
      </c>
      <c r="AN150" s="6" t="str">
        <f>_xll.BQL("NOW US Equity", "IS_INC_TAX_EFFECT_NONGAAP_REC/1M", "FPR=2021Y", "FPT=A", "FA_ACT_EST_DATA=E, EST_SOURCE=DWI", "ACT_EST_MAPPING=PRECISE", "FS=MRC", "CURRENCY=USD", "XLFILL=b")</f>
        <v>#N/A Requesting Data...</v>
      </c>
      <c r="AO150" s="6" t="str">
        <f>_xll.BQL("NOW US Equity", "IS_INC_TAX_EFFECT_NONGAAP_REC/1M", "FPR=2021Y", "FPT=A", "FA_ACT_EST_DATA=E, EST_SOURCE=ARG", "ACT_EST_MAPPING=PRECISE", "FS=MRC", "CURRENCY=USD", "XLFILL=b")</f>
        <v>#N/A Requesting Data...</v>
      </c>
      <c r="AP150" s="6" t="str">
        <f>_xll.BQL("NOW US Equity", "IS_INC_TAX_EFFECT_NONGAAP_REC/1M", "FPR=2021Y", "FPT=A", "FA_ACT_EST_DATA=E, EST_SOURCE=CTI", "ACT_EST_MAPPING=PRECISE", "FS=MRC", "CURRENCY=USD", "XLFILL=b")</f>
        <v>#N/A Requesting Data...</v>
      </c>
      <c r="AQ150" s="6" t="str">
        <f>_xll.BQL("NOW US Equity", "IS_INC_TAX_EFFECT_NONGAAP_REC/1M", "FPR=2021Y", "FPT=A", "FA_ACT_EST_DATA=E, EST_SOURCE=WFT", "ACT_EST_MAPPING=PRECISE", "FS=MRC", "CURRENCY=USD", "XLFILL=b")</f>
        <v>#N/A Requesting Data...</v>
      </c>
      <c r="AR150" s="6" t="str">
        <f>_xll.BQL("NOW US Equity", "IS_INC_TAX_EFFECT_NONGAAP_REC/1M", "FPR=2021Y", "FPT=A", "FA_ACT_EST_DATA=E, EST_SOURCE=ARE", "ACT_EST_MAPPING=PRECISE", "FS=MRC", "CURRENCY=USD", "XLFILL=b")</f>
        <v>#N/A Requesting Data...</v>
      </c>
      <c r="AS150" s="6" t="str">
        <f>_xll.BQL("NOW US Equity", "IS_INC_TAX_EFFECT_NONGAAP_REC/1M", "FPR=2021Y", "FPT=A", "FA_ACT_EST_DATA=E, EST_SOURCE=PJE", "ACT_EST_MAPPING=PRECISE", "FS=MRC", "CURRENCY=USD", "XLFILL=b")</f>
        <v>#N/A Requesting Data...</v>
      </c>
      <c r="AT150" s="6" t="str">
        <f>_xll.BQL("NOW US Equity", "IS_INC_TAX_EFFECT_NONGAAP_REC/1M", "FPR=2021Y", "FPT=A", "FA_ACT_EST_DATA=E, EST_SOURCE=MZS", "ACT_EST_MAPPING=PRECISE", "FS=MRC", "CURRENCY=USD", "XLFILL=b")</f>
        <v>#N/A Requesting Data...</v>
      </c>
      <c r="AU150" s="6" t="str">
        <f>_xll.BQL("NOW US Equity", "IS_INC_TAX_EFFECT_NONGAAP_REC/1M", "FPR=2021Y", "FPT=A", "FA_ACT_EST_DATA=E, EST_SOURCE=SUM", "ACT_EST_MAPPING=PRECISE", "FS=MRC", "CURRENCY=USD", "XLFILL=b")</f>
        <v>#N/A Requesting Data...</v>
      </c>
      <c r="AV150" s="6" t="str">
        <f>_xll.BQL("NOW US Equity", "IS_INC_TAX_EFFECT_NONGAAP_REC/1M", "FPR=2021Y", "FPT=A", "FA_ACT_EST_DATA=E, EST_SOURCE=CRC", "ACT_EST_MAPPING=PRECISE", "FS=MRC", "CURRENCY=USD", "XLFILL=b")</f>
        <v>#N/A Requesting Data...</v>
      </c>
      <c r="AW150" s="6" t="str">
        <f>_xll.BQL("NOW US Equity", "IS_INC_TAX_EFFECT_NONGAAP_REC/1M", "FPR=2021Y", "FPT=A", "FA_ACT_EST_DATA=E, EST_SOURCE=SCB", "ACT_EST_MAPPING=PRECISE", "FS=MRC", "CURRENCY=USD", "XLFILL=b")</f>
        <v>#N/A Requesting Data...</v>
      </c>
    </row>
    <row r="151" spans="1:49" x14ac:dyDescent="0.55000000000000004">
      <c r="A151" s="5" t="s">
        <v>23</v>
      </c>
      <c r="B151" s="2"/>
      <c r="C151" s="2"/>
      <c r="D151" s="2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</row>
    <row r="152" spans="1:49" x14ac:dyDescent="0.55000000000000004">
      <c r="A152" s="5" t="s">
        <v>248</v>
      </c>
      <c r="B152" s="2"/>
      <c r="C152" s="2" t="s">
        <v>249</v>
      </c>
      <c r="D152" s="2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</row>
    <row r="153" spans="1:49" x14ac:dyDescent="0.55000000000000004">
      <c r="A153" s="5" t="s">
        <v>250</v>
      </c>
      <c r="B153" s="2"/>
      <c r="C153" s="2" t="s">
        <v>251</v>
      </c>
      <c r="D153" s="2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</row>
    <row r="154" spans="1:49" x14ac:dyDescent="0.55000000000000004">
      <c r="A154" s="5" t="s">
        <v>252</v>
      </c>
      <c r="B154" s="2" t="s">
        <v>253</v>
      </c>
      <c r="C154" s="2" t="s">
        <v>254</v>
      </c>
      <c r="D154" s="2"/>
      <c r="E154" s="6" t="str">
        <f>_xll.BQL("NOW US Equity", "BS_CUR_ASSET_REPORT/1M", "FPR=2021Y", "FPT=A", "FA_ACT_EST_DATA=E", "ACT_EST_MAPPING=PRECISE", "FS=MRC", "CURRENCY=USD", "XLFILL=b")</f>
        <v>#N/A Requesting Data...</v>
      </c>
      <c r="F154" s="6">
        <f>_xll.BQL("NOW US Equity", "CONTRIBUTOR_STATS(BS_CUR_ASSET_REPORT, MIN)/1M", "FPR=2021Y", "FPT=A", "FA_ACT_EST_DATA=E", "ACT_EST_MAPPING=PRECISE", "FS=MRC", "CURRENCY=USD", "XLFILL=b")</f>
        <v>5280.1722807189872</v>
      </c>
      <c r="G154" s="6">
        <f>_xll.BQL("NOW US Equity", "CONTRIBUTOR_STATS(BS_CUR_ASSET_REPORT, MAX)/1M", "FPR=2021Y", "FPT=A", "FA_ACT_EST_DATA=E", "ACT_EST_MAPPING=PRECISE", "FS=MRC", "CURRENCY=USD", "XLFILL=b")</f>
        <v>6590.5523093966995</v>
      </c>
      <c r="H154" s="6">
        <f>_xll.BQL("NOW US Equity", "CONTRIBUTOR_STATS(BS_CUR_ASSET_REPORT, STD)/1M", "FPR=2021Y", "FPT=A", "FA_ACT_EST_DATA=E", "ACT_EST_MAPPING=PRECISE", "FS=MRC", "CURRENCY=USD", "XLFILL=b")</f>
        <v>318.43297397949948</v>
      </c>
      <c r="I154" s="6" t="str">
        <f>_xll.BQL("NOW US Equity", "CONTRIBUTOR_STATS(BS_CUR_ASSET_REPORT, MEDIAN)/1M", "FPR=2021Y", "FPT=A", "FA_ACT_EST_DATA=E", "ACT_EST_MAPPING=PRECISE", "FS=MRC", "CURRENCY=USD", "XLFILL=b")</f>
        <v>#N/A Requesting Data...</v>
      </c>
      <c r="J154" s="6" t="str">
        <f>_xll.BQL("NOW US Equity", "BS_CUR_ASSET_REPORT/1M", "FPR=2021Y", "FPT=A", "FA_ACT_EST_DATA=E, EST_SOURCE=CMPY", "ACT_EST_MAPPING=PRECISE", "FS=MRC", "CURRENCY=USD", "XLFILL=b")</f>
        <v/>
      </c>
      <c r="K154" s="6" t="str">
        <f>_xll.BQL("NOW US Equity", "BS_CUR_ASSET_REPORT/1M", "FPR=2021Y", "FPT=A", "FA_ACT_EST_DATA=E, EST_SOURCE=JPM", "ACT_EST_MAPPING=PRECISE", "FS=MRC", "CURRENCY=USD", "XLFILL=b")</f>
        <v>#N/A Requesting Data...</v>
      </c>
      <c r="L154" s="6" t="str">
        <f>_xll.BQL("NOW US Equity", "BS_CUR_ASSET_REPORT/1M", "FPR=2021Y", "FPT=A", "FA_ACT_EST_DATA=E, EST_SOURCE=WBL", "ACT_EST_MAPPING=PRECISE", "FS=MRC", "CURRENCY=USD", "XLFILL=b")</f>
        <v>#N/A Requesting Data...</v>
      </c>
      <c r="M154" s="6" t="str">
        <f>_xll.BQL("NOW US Equity", "BS_CUR_ASSET_REPORT/1M", "FPR=2021Y", "FPT=A", "FA_ACT_EST_DATA=E, EST_SOURCE=KEY", "ACT_EST_MAPPING=PRECISE", "FS=MRC", "CURRENCY=USD", "XLFILL=b")</f>
        <v>#N/A Requesting Data...</v>
      </c>
      <c r="N154" s="6" t="str">
        <f>_xll.BQL("NOW US Equity", "BS_CUR_ASSET_REPORT/1M", "FPR=2021Y", "FPT=A", "FA_ACT_EST_DATA=E, EST_SOURCE=BMO", "ACT_EST_MAPPING=PRECISE", "FS=MRC", "CURRENCY=USD", "XLFILL=b")</f>
        <v>#N/A Requesting Data...</v>
      </c>
      <c r="O154" s="6" t="str">
        <f>_xll.BQL("NOW US Equity", "BS_CUR_ASSET_REPORT/1M", "FPR=2021Y", "FPT=A", "FA_ACT_EST_DATA=E, EST_SOURCE=OPY", "ACT_EST_MAPPING=PRECISE", "FS=MRC", "CURRENCY=USD", "XLFILL=b")</f>
        <v>#N/A Requesting Data...</v>
      </c>
      <c r="P154" s="6" t="str">
        <f>_xll.BQL("NOW US Equity", "BS_CUR_ASSET_REPORT/1M", "FPR=2021Y", "FPT=A", "FA_ACT_EST_DATA=E, EST_SOURCE=BCA", "ACT_EST_MAPPING=PRECISE", "FS=MRC", "CURRENCY=USD", "XLFILL=b")</f>
        <v>#N/A Requesting Data...</v>
      </c>
      <c r="Q154" s="6" t="str">
        <f>_xll.BQL("NOW US Equity", "BS_CUR_ASSET_REPORT/1M", "FPR=2021Y", "FPT=A", "FA_ACT_EST_DATA=E, EST_SOURCE=RHR", "ACT_EST_MAPPING=PRECISE", "FS=MRC", "CURRENCY=USD", "XLFILL=b")</f>
        <v>#N/A Requesting Data...</v>
      </c>
      <c r="R154" s="6" t="str">
        <f>_xll.BQL("NOW US Equity", "BS_CUR_ASSET_REPORT/1M", "FPR=2021Y", "FPT=A", "FA_ACT_EST_DATA=E, EST_SOURCE=SNR", "ACT_EST_MAPPING=PRECISE", "FS=MRC", "CURRENCY=USD", "XLFILL=b")</f>
        <v>#N/A Requesting Data...</v>
      </c>
      <c r="S154" s="6" t="str">
        <f>_xll.BQL("NOW US Equity", "BS_CUR_ASSET_REPORT/1M", "FPR=2021Y", "FPT=A", "FA_ACT_EST_DATA=E, EST_SOURCE=MSV", "ACT_EST_MAPPING=PRECISE", "FS=MRC", "CURRENCY=USD", "XLFILL=b")</f>
        <v>#N/A Requesting Data...</v>
      </c>
      <c r="T154" s="6" t="str">
        <f>_xll.BQL("NOW US Equity", "BS_CUR_ASSET_REPORT/1M", "FPR=2021Y", "FPT=A", "FA_ACT_EST_DATA=E, EST_SOURCE=CAN", "ACT_EST_MAPPING=PRECISE", "FS=MRC", "CURRENCY=USD", "XLFILL=b")</f>
        <v>#N/A Requesting Data...</v>
      </c>
      <c r="U154" s="6" t="str">
        <f>_xll.BQL("NOW US Equity", "BS_CUR_ASSET_REPORT/1M", "FPR=2021Y", "FPT=A", "FA_ACT_EST_DATA=E, EST_SOURCE=JMP", "ACT_EST_MAPPING=PRECISE", "FS=MRC", "CURRENCY=USD", "XLFILL=b")</f>
        <v>#N/A Requesting Data...</v>
      </c>
      <c r="V154" s="6" t="str">
        <f>_xll.BQL("NOW US Equity", "BS_CUR_ASSET_REPORT/1M", "FPR=2021Y", "FPT=A", "FA_ACT_EST_DATA=E, EST_SOURCE=NDH", "ACT_EST_MAPPING=PRECISE", "FS=MRC", "CURRENCY=USD", "XLFILL=b")</f>
        <v>#N/A Requesting Data...</v>
      </c>
      <c r="W154" s="6" t="str">
        <f>_xll.BQL("NOW US Equity", "BS_CUR_ASSET_REPORT/1M", "FPR=2021Y", "FPT=A", "FA_ACT_EST_DATA=E, EST_SOURCE=ZXS", "ACT_EST_MAPPING=PRECISE", "FS=MRC", "CURRENCY=USD", "XLFILL=b")</f>
        <v>#N/A Requesting Data...</v>
      </c>
      <c r="X154" s="6" t="str">
        <f>_xll.BQL("NOW US Equity", "BS_CUR_ASSET_REPORT/1M", "FPR=2021Y", "FPT=A", "FA_ACT_EST_DATA=E, EST_SOURCE=CWN", "ACT_EST_MAPPING=PRECISE", "FS=MRC", "CURRENCY=USD", "XLFILL=b")</f>
        <v>#N/A Requesting Data...</v>
      </c>
      <c r="Y154" s="6" t="str">
        <f>_xll.BQL("NOW US Equity", "BS_CUR_ASSET_REPORT/1M", "FPR=2021Y", "FPT=A", "FA_ACT_EST_DATA=E, EST_SOURCE=DBG", "ACT_EST_MAPPING=PRECISE", "FS=MRC", "CURRENCY=USD", "XLFILL=b")</f>
        <v>#N/A Requesting Data...</v>
      </c>
      <c r="Z154" s="6" t="str">
        <f>_xll.BQL("NOW US Equity", "BS_CUR_ASSET_REPORT/1M", "FPR=2021Y", "FPT=A", "FA_ACT_EST_DATA=E, EST_SOURCE=UBS", "ACT_EST_MAPPING=PRECISE", "FS=MRC", "CURRENCY=USD", "XLFILL=b")</f>
        <v>#N/A Requesting Data...</v>
      </c>
      <c r="AA154" s="6" t="str">
        <f>_xll.BQL("NOW US Equity", "BS_CUR_ASSET_REPORT/1M", "FPR=2021Y", "FPT=A", "FA_ACT_EST_DATA=E, EST_SOURCE=RBC", "ACT_EST_MAPPING=PRECISE", "FS=MRC", "CURRENCY=USD", "XLFILL=b")</f>
        <v>#N/A Requesting Data...</v>
      </c>
      <c r="AB154" s="6" t="str">
        <f>_xll.BQL("NOW US Equity", "BS_CUR_ASSET_REPORT/1M", "FPR=2021Y", "FPT=A", "FA_ACT_EST_DATA=E, EST_SOURCE=EVR", "ACT_EST_MAPPING=PRECISE", "FS=MRC", "CURRENCY=USD", "XLFILL=b")</f>
        <v>#N/A Requesting Data...</v>
      </c>
      <c r="AC154" s="6" t="str">
        <f>_xll.BQL("NOW US Equity", "BS_CUR_ASSET_REPORT/1M", "FPR=2021Y", "FPT=A", "FA_ACT_EST_DATA=E, EST_SOURCE=BNS", "ACT_EST_MAPPING=PRECISE", "FS=MRC", "CURRENCY=USD", "XLFILL=b")</f>
        <v>#N/A Requesting Data...</v>
      </c>
      <c r="AD154" s="6" t="str">
        <f>_xll.BQL("NOW US Equity", "BS_CUR_ASSET_REPORT/1M", "FPR=2021Y", "FPT=A", "FA_ACT_EST_DATA=E, EST_SOURCE=BAM", "ACT_EST_MAPPING=PRECISE", "FS=MRC", "CURRENCY=USD", "XLFILL=b")</f>
        <v>#N/A Requesting Data...</v>
      </c>
      <c r="AE154" s="6" t="str">
        <f>_xll.BQL("NOW US Equity", "BS_CUR_ASSET_REPORT/1M", "FPR=2021Y", "FPT=A", "FA_ACT_EST_DATA=E, EST_SOURCE=GSR", "ACT_EST_MAPPING=PRECISE", "FS=MRC", "CURRENCY=USD", "XLFILL=b")</f>
        <v>#N/A Requesting Data...</v>
      </c>
      <c r="AF154" s="6" t="str">
        <f>_xll.BQL("NOW US Equity", "BS_CUR_ASSET_REPORT/1M", "FPR=2021Y", "FPT=A", "FA_ACT_EST_DATA=E, EST_SOURCE=FBC", "ACT_EST_MAPPING=PRECISE", "FS=MRC", "CURRENCY=USD", "XLFILL=b")</f>
        <v>#N/A Requesting Data...</v>
      </c>
      <c r="AG154" s="6" t="str">
        <f>_xll.BQL("NOW US Equity", "BS_CUR_ASSET_REPORT/1M", "FPR=2021Y", "FPT=A", "FA_ACT_EST_DATA=E, EST_SOURCE=MAC", "ACT_EST_MAPPING=PRECISE", "FS=MRC", "CURRENCY=USD", "XLFILL=b")</f>
        <v>#N/A Requesting Data...</v>
      </c>
      <c r="AH154" s="6" t="str">
        <f>_xll.BQL("NOW US Equity", "BS_CUR_ASSET_REPORT/1M", "FPR=2021Y", "FPT=A", "FA_ACT_EST_DATA=E, EST_SOURCE=PSG", "ACT_EST_MAPPING=PRECISE", "FS=MRC", "CURRENCY=USD", "XLFILL=b")</f>
        <v>#N/A Requesting Data...</v>
      </c>
      <c r="AI154" s="6" t="str">
        <f>_xll.BQL("NOW US Equity", "BS_CUR_ASSET_REPORT/1M", "FPR=2021Y", "FPT=A", "FA_ACT_EST_DATA=E, EST_SOURCE=MSR", "ACT_EST_MAPPING=PRECISE", "FS=MRC", "CURRENCY=USD", "XLFILL=b")</f>
        <v>#N/A Requesting Data...</v>
      </c>
      <c r="AJ154" s="6" t="str">
        <f>_xll.BQL("NOW US Equity", "BS_CUR_ASSET_REPORT/1M", "FPR=2021Y", "FPT=A", "FA_ACT_EST_DATA=E, EST_SOURCE=JEF", "ACT_EST_MAPPING=PRECISE", "FS=MRC", "CURRENCY=USD", "XLFILL=b")</f>
        <v>#N/A Requesting Data...</v>
      </c>
      <c r="AK154" s="6" t="str">
        <f>_xll.BQL("NOW US Equity", "BS_CUR_ASSET_REPORT/1M", "FPR=2021Y", "FPT=A", "FA_ACT_EST_DATA=E, EST_SOURCE=TTC", "ACT_EST_MAPPING=PRECISE", "FS=MRC", "CURRENCY=USD", "XLFILL=b")</f>
        <v>#N/A Requesting Data...</v>
      </c>
      <c r="AL154" s="6" t="str">
        <f>_xll.BQL("NOW US Equity", "BS_CUR_ASSET_REPORT/1M", "FPR=2021Y", "FPT=A", "FA_ACT_EST_DATA=E, EST_SOURCE=RWB", "ACT_EST_MAPPING=PRECISE", "FS=MRC", "CURRENCY=USD", "XLFILL=b")</f>
        <v>#N/A Requesting Data...</v>
      </c>
      <c r="AM154" s="6" t="str">
        <f>_xll.BQL("NOW US Equity", "BS_CUR_ASSET_REPORT/1M", "FPR=2021Y", "FPT=A", "FA_ACT_EST_DATA=E, EST_SOURCE=DZB", "ACT_EST_MAPPING=PRECISE", "FS=MRC", "CURRENCY=USD", "XLFILL=b")</f>
        <v>#N/A Requesting Data...</v>
      </c>
      <c r="AN154" s="6" t="str">
        <f>_xll.BQL("NOW US Equity", "BS_CUR_ASSET_REPORT/1M", "FPR=2021Y", "FPT=A", "FA_ACT_EST_DATA=E, EST_SOURCE=DWI", "ACT_EST_MAPPING=PRECISE", "FS=MRC", "CURRENCY=USD", "XLFILL=b")</f>
        <v>#N/A Requesting Data...</v>
      </c>
      <c r="AO154" s="6" t="str">
        <f>_xll.BQL("NOW US Equity", "BS_CUR_ASSET_REPORT/1M", "FPR=2021Y", "FPT=A", "FA_ACT_EST_DATA=E, EST_SOURCE=ARG", "ACT_EST_MAPPING=PRECISE", "FS=MRC", "CURRENCY=USD", "XLFILL=b")</f>
        <v>#N/A Requesting Data...</v>
      </c>
      <c r="AP154" s="6" t="str">
        <f>_xll.BQL("NOW US Equity", "BS_CUR_ASSET_REPORT/1M", "FPR=2021Y", "FPT=A", "FA_ACT_EST_DATA=E, EST_SOURCE=CTI", "ACT_EST_MAPPING=PRECISE", "FS=MRC", "CURRENCY=USD", "XLFILL=b")</f>
        <v>#N/A Requesting Data...</v>
      </c>
      <c r="AQ154" s="6" t="str">
        <f>_xll.BQL("NOW US Equity", "BS_CUR_ASSET_REPORT/1M", "FPR=2021Y", "FPT=A", "FA_ACT_EST_DATA=E, EST_SOURCE=WFT", "ACT_EST_MAPPING=PRECISE", "FS=MRC", "CURRENCY=USD", "XLFILL=b")</f>
        <v>#N/A Requesting Data...</v>
      </c>
      <c r="AR154" s="6" t="str">
        <f>_xll.BQL("NOW US Equity", "BS_CUR_ASSET_REPORT/1M", "FPR=2021Y", "FPT=A", "FA_ACT_EST_DATA=E, EST_SOURCE=ARE", "ACT_EST_MAPPING=PRECISE", "FS=MRC", "CURRENCY=USD", "XLFILL=b")</f>
        <v>#N/A Requesting Data...</v>
      </c>
      <c r="AS154" s="6" t="str">
        <f>_xll.BQL("NOW US Equity", "BS_CUR_ASSET_REPORT/1M", "FPR=2021Y", "FPT=A", "FA_ACT_EST_DATA=E, EST_SOURCE=PJE", "ACT_EST_MAPPING=PRECISE", "FS=MRC", "CURRENCY=USD", "XLFILL=b")</f>
        <v>#N/A Requesting Data...</v>
      </c>
      <c r="AT154" s="6" t="str">
        <f>_xll.BQL("NOW US Equity", "BS_CUR_ASSET_REPORT/1M", "FPR=2021Y", "FPT=A", "FA_ACT_EST_DATA=E, EST_SOURCE=MZS", "ACT_EST_MAPPING=PRECISE", "FS=MRC", "CURRENCY=USD", "XLFILL=b")</f>
        <v>#N/A Requesting Data...</v>
      </c>
      <c r="AU154" s="6" t="str">
        <f>_xll.BQL("NOW US Equity", "BS_CUR_ASSET_REPORT/1M", "FPR=2021Y", "FPT=A", "FA_ACT_EST_DATA=E, EST_SOURCE=SUM", "ACT_EST_MAPPING=PRECISE", "FS=MRC", "CURRENCY=USD", "XLFILL=b")</f>
        <v>#N/A Requesting Data...</v>
      </c>
      <c r="AV154" s="6" t="str">
        <f>_xll.BQL("NOW US Equity", "BS_CUR_ASSET_REPORT/1M", "FPR=2021Y", "FPT=A", "FA_ACT_EST_DATA=E, EST_SOURCE=CRC", "ACT_EST_MAPPING=PRECISE", "FS=MRC", "CURRENCY=USD", "XLFILL=b")</f>
        <v>#N/A Requesting Data...</v>
      </c>
      <c r="AW154" s="6" t="str">
        <f>_xll.BQL("NOW US Equity", "BS_CUR_ASSET_REPORT/1M", "FPR=2021Y", "FPT=A", "FA_ACT_EST_DATA=E, EST_SOURCE=SCB", "ACT_EST_MAPPING=PRECISE", "FS=MRC", "CURRENCY=USD", "XLFILL=b")</f>
        <v>#N/A Requesting Data...</v>
      </c>
    </row>
    <row r="155" spans="1:49" x14ac:dyDescent="0.55000000000000004">
      <c r="A155" s="5" t="s">
        <v>255</v>
      </c>
      <c r="B155" s="2" t="s">
        <v>256</v>
      </c>
      <c r="C155" s="2" t="s">
        <v>257</v>
      </c>
      <c r="D155" s="2"/>
      <c r="E155" s="6" t="str">
        <f>_xll.BQL("NOW US Equity", "BS_CASH_CASH_EQUIVALENTS_AND_STI/1M", "FPR=2021Y", "FPT=A", "FA_ACT_EST_DATA=E", "ACT_EST_MAPPING=PRECISE", "FS=MRC", "CURRENCY=USD", "XLFILL=b")</f>
        <v>#N/A Requesting Data...</v>
      </c>
      <c r="F155" s="6" t="str">
        <f>_xll.BQL("NOW US Equity", "CONTRIBUTOR_STATS(BS_CASH_CASH_EQUIVALENTS_AND_STI, MIN)/1M", "FPR=2021Y", "FPT=A", "FA_ACT_EST_DATA=E", "ACT_EST_MAPPING=PRECISE", "FS=MRC", "CURRENCY=USD", "XLFILL=b")</f>
        <v>#N/A Requesting Data...</v>
      </c>
      <c r="G155" s="6" t="str">
        <f>_xll.BQL("NOW US Equity", "CONTRIBUTOR_STATS(BS_CASH_CASH_EQUIVALENTS_AND_STI, MAX)/1M", "FPR=2021Y", "FPT=A", "FA_ACT_EST_DATA=E", "ACT_EST_MAPPING=PRECISE", "FS=MRC", "CURRENCY=USD", "XLFILL=b")</f>
        <v>#N/A Requesting Data...</v>
      </c>
      <c r="H155" s="6" t="str">
        <f>_xll.BQL("NOW US Equity", "CONTRIBUTOR_STATS(BS_CASH_CASH_EQUIVALENTS_AND_STI, STD)/1M", "FPR=2021Y", "FPT=A", "FA_ACT_EST_DATA=E", "ACT_EST_MAPPING=PRECISE", "FS=MRC", "CURRENCY=USD", "XLFILL=b")</f>
        <v>#N/A Requesting Data...</v>
      </c>
      <c r="I155" s="6" t="str">
        <f>_xll.BQL("NOW US Equity", "CONTRIBUTOR_STATS(BS_CASH_CASH_EQUIVALENTS_AND_STI, MEDIAN)/1M", "FPR=2021Y", "FPT=A", "FA_ACT_EST_DATA=E", "ACT_EST_MAPPING=PRECISE", "FS=MRC", "CURRENCY=USD", "XLFILL=b")</f>
        <v>#N/A Requesting Data...</v>
      </c>
      <c r="J155" s="6" t="str">
        <f>_xll.BQL("NOW US Equity", "BS_CASH_CASH_EQUIVALENTS_AND_STI/1M", "FPR=2021Y", "FPT=A", "FA_ACT_EST_DATA=E, EST_SOURCE=CMPY", "ACT_EST_MAPPING=PRECISE", "FS=MRC", "CURRENCY=USD", "XLFILL=b")</f>
        <v>#N/A Requesting Data...</v>
      </c>
      <c r="K155" s="6" t="str">
        <f>_xll.BQL("NOW US Equity", "BS_CASH_CASH_EQUIVALENTS_AND_STI/1M", "FPR=2021Y", "FPT=A", "FA_ACT_EST_DATA=E, EST_SOURCE=JPM", "ACT_EST_MAPPING=PRECISE", "FS=MRC", "CURRENCY=USD", "XLFILL=b")</f>
        <v>#N/A Requesting Data...</v>
      </c>
      <c r="L155" s="6" t="str">
        <f>_xll.BQL("NOW US Equity", "BS_CASH_CASH_EQUIVALENTS_AND_STI/1M", "FPR=2021Y", "FPT=A", "FA_ACT_EST_DATA=E, EST_SOURCE=WBL", "ACT_EST_MAPPING=PRECISE", "FS=MRC", "CURRENCY=USD", "XLFILL=b")</f>
        <v>#N/A Requesting Data...</v>
      </c>
      <c r="M155" s="6" t="str">
        <f>_xll.BQL("NOW US Equity", "BS_CASH_CASH_EQUIVALENTS_AND_STI/1M", "FPR=2021Y", "FPT=A", "FA_ACT_EST_DATA=E, EST_SOURCE=KEY", "ACT_EST_MAPPING=PRECISE", "FS=MRC", "CURRENCY=USD", "XLFILL=b")</f>
        <v>#N/A Requesting Data...</v>
      </c>
      <c r="N155" s="6" t="str">
        <f>_xll.BQL("NOW US Equity", "BS_CASH_CASH_EQUIVALENTS_AND_STI/1M", "FPR=2021Y", "FPT=A", "FA_ACT_EST_DATA=E, EST_SOURCE=BMO", "ACT_EST_MAPPING=PRECISE", "FS=MRC", "CURRENCY=USD", "XLFILL=b")</f>
        <v>#N/A Requesting Data...</v>
      </c>
      <c r="O155" s="6" t="str">
        <f>_xll.BQL("NOW US Equity", "BS_CASH_CASH_EQUIVALENTS_AND_STI/1M", "FPR=2021Y", "FPT=A", "FA_ACT_EST_DATA=E, EST_SOURCE=OPY", "ACT_EST_MAPPING=PRECISE", "FS=MRC", "CURRENCY=USD", "XLFILL=b")</f>
        <v>#N/A Requesting Data...</v>
      </c>
      <c r="P155" s="6" t="str">
        <f>_xll.BQL("NOW US Equity", "BS_CASH_CASH_EQUIVALENTS_AND_STI/1M", "FPR=2021Y", "FPT=A", "FA_ACT_EST_DATA=E, EST_SOURCE=BCA", "ACT_EST_MAPPING=PRECISE", "FS=MRC", "CURRENCY=USD", "XLFILL=b")</f>
        <v>#N/A Requesting Data...</v>
      </c>
      <c r="Q155" s="6" t="str">
        <f>_xll.BQL("NOW US Equity", "BS_CASH_CASH_EQUIVALENTS_AND_STI/1M", "FPR=2021Y", "FPT=A", "FA_ACT_EST_DATA=E, EST_SOURCE=RHR", "ACT_EST_MAPPING=PRECISE", "FS=MRC", "CURRENCY=USD", "XLFILL=b")</f>
        <v>#N/A Requesting Data...</v>
      </c>
      <c r="R155" s="6" t="str">
        <f>_xll.BQL("NOW US Equity", "BS_CASH_CASH_EQUIVALENTS_AND_STI/1M", "FPR=2021Y", "FPT=A", "FA_ACT_EST_DATA=E, EST_SOURCE=SNR", "ACT_EST_MAPPING=PRECISE", "FS=MRC", "CURRENCY=USD", "XLFILL=b")</f>
        <v>#N/A Requesting Data...</v>
      </c>
      <c r="S155" s="6" t="str">
        <f>_xll.BQL("NOW US Equity", "BS_CASH_CASH_EQUIVALENTS_AND_STI/1M", "FPR=2021Y", "FPT=A", "FA_ACT_EST_DATA=E, EST_SOURCE=MSV", "ACT_EST_MAPPING=PRECISE", "FS=MRC", "CURRENCY=USD", "XLFILL=b")</f>
        <v>#N/A Requesting Data...</v>
      </c>
      <c r="T155" s="6" t="str">
        <f>_xll.BQL("NOW US Equity", "BS_CASH_CASH_EQUIVALENTS_AND_STI/1M", "FPR=2021Y", "FPT=A", "FA_ACT_EST_DATA=E, EST_SOURCE=CAN", "ACT_EST_MAPPING=PRECISE", "FS=MRC", "CURRENCY=USD", "XLFILL=b")</f>
        <v>#N/A Requesting Data...</v>
      </c>
      <c r="U155" s="6" t="str">
        <f>_xll.BQL("NOW US Equity", "BS_CASH_CASH_EQUIVALENTS_AND_STI/1M", "FPR=2021Y", "FPT=A", "FA_ACT_EST_DATA=E, EST_SOURCE=JMP", "ACT_EST_MAPPING=PRECISE", "FS=MRC", "CURRENCY=USD", "XLFILL=b")</f>
        <v>#N/A Requesting Data...</v>
      </c>
      <c r="V155" s="6" t="str">
        <f>_xll.BQL("NOW US Equity", "BS_CASH_CASH_EQUIVALENTS_AND_STI/1M", "FPR=2021Y", "FPT=A", "FA_ACT_EST_DATA=E, EST_SOURCE=NDH", "ACT_EST_MAPPING=PRECISE", "FS=MRC", "CURRENCY=USD", "XLFILL=b")</f>
        <v>#N/A Requesting Data...</v>
      </c>
      <c r="W155" s="6" t="str">
        <f>_xll.BQL("NOW US Equity", "BS_CASH_CASH_EQUIVALENTS_AND_STI/1M", "FPR=2021Y", "FPT=A", "FA_ACT_EST_DATA=E, EST_SOURCE=ZXS", "ACT_EST_MAPPING=PRECISE", "FS=MRC", "CURRENCY=USD", "XLFILL=b")</f>
        <v>#N/A Requesting Data...</v>
      </c>
      <c r="X155" s="6" t="str">
        <f>_xll.BQL("NOW US Equity", "BS_CASH_CASH_EQUIVALENTS_AND_STI/1M", "FPR=2021Y", "FPT=A", "FA_ACT_EST_DATA=E, EST_SOURCE=CWN", "ACT_EST_MAPPING=PRECISE", "FS=MRC", "CURRENCY=USD", "XLFILL=b")</f>
        <v>#N/A Requesting Data...</v>
      </c>
      <c r="Y155" s="6" t="str">
        <f>_xll.BQL("NOW US Equity", "BS_CASH_CASH_EQUIVALENTS_AND_STI/1M", "FPR=2021Y", "FPT=A", "FA_ACT_EST_DATA=E, EST_SOURCE=DBG", "ACT_EST_MAPPING=PRECISE", "FS=MRC", "CURRENCY=USD", "XLFILL=b")</f>
        <v>#N/A Requesting Data...</v>
      </c>
      <c r="Z155" s="6" t="str">
        <f>_xll.BQL("NOW US Equity", "BS_CASH_CASH_EQUIVALENTS_AND_STI/1M", "FPR=2021Y", "FPT=A", "FA_ACT_EST_DATA=E, EST_SOURCE=UBS", "ACT_EST_MAPPING=PRECISE", "FS=MRC", "CURRENCY=USD", "XLFILL=b")</f>
        <v>#N/A Requesting Data...</v>
      </c>
      <c r="AA155" s="6" t="str">
        <f>_xll.BQL("NOW US Equity", "BS_CASH_CASH_EQUIVALENTS_AND_STI/1M", "FPR=2021Y", "FPT=A", "FA_ACT_EST_DATA=E, EST_SOURCE=RBC", "ACT_EST_MAPPING=PRECISE", "FS=MRC", "CURRENCY=USD", "XLFILL=b")</f>
        <v>#N/A Requesting Data...</v>
      </c>
      <c r="AB155" s="6" t="str">
        <f>_xll.BQL("NOW US Equity", "BS_CASH_CASH_EQUIVALENTS_AND_STI/1M", "FPR=2021Y", "FPT=A", "FA_ACT_EST_DATA=E, EST_SOURCE=EVR", "ACT_EST_MAPPING=PRECISE", "FS=MRC", "CURRENCY=USD", "XLFILL=b")</f>
        <v>#N/A Requesting Data...</v>
      </c>
      <c r="AC155" s="6" t="str">
        <f>_xll.BQL("NOW US Equity", "BS_CASH_CASH_EQUIVALENTS_AND_STI/1M", "FPR=2021Y", "FPT=A", "FA_ACT_EST_DATA=E, EST_SOURCE=BNS", "ACT_EST_MAPPING=PRECISE", "FS=MRC", "CURRENCY=USD", "XLFILL=b")</f>
        <v>#N/A Requesting Data...</v>
      </c>
      <c r="AD155" s="6" t="str">
        <f>_xll.BQL("NOW US Equity", "BS_CASH_CASH_EQUIVALENTS_AND_STI/1M", "FPR=2021Y", "FPT=A", "FA_ACT_EST_DATA=E, EST_SOURCE=BAM", "ACT_EST_MAPPING=PRECISE", "FS=MRC", "CURRENCY=USD", "XLFILL=b")</f>
        <v>#N/A Requesting Data...</v>
      </c>
      <c r="AE155" s="6" t="str">
        <f>_xll.BQL("NOW US Equity", "BS_CASH_CASH_EQUIVALENTS_AND_STI/1M", "FPR=2021Y", "FPT=A", "FA_ACT_EST_DATA=E, EST_SOURCE=GSR", "ACT_EST_MAPPING=PRECISE", "FS=MRC", "CURRENCY=USD", "XLFILL=b")</f>
        <v>#N/A Requesting Data...</v>
      </c>
      <c r="AF155" s="6" t="str">
        <f>_xll.BQL("NOW US Equity", "BS_CASH_CASH_EQUIVALENTS_AND_STI/1M", "FPR=2021Y", "FPT=A", "FA_ACT_EST_DATA=E, EST_SOURCE=FBC", "ACT_EST_MAPPING=PRECISE", "FS=MRC", "CURRENCY=USD", "XLFILL=b")</f>
        <v>#N/A Requesting Data...</v>
      </c>
      <c r="AG155" s="6" t="str">
        <f>_xll.BQL("NOW US Equity", "BS_CASH_CASH_EQUIVALENTS_AND_STI/1M", "FPR=2021Y", "FPT=A", "FA_ACT_EST_DATA=E, EST_SOURCE=MAC", "ACT_EST_MAPPING=PRECISE", "FS=MRC", "CURRENCY=USD", "XLFILL=b")</f>
        <v>#N/A Requesting Data...</v>
      </c>
      <c r="AH155" s="6" t="str">
        <f>_xll.BQL("NOW US Equity", "BS_CASH_CASH_EQUIVALENTS_AND_STI/1M", "FPR=2021Y", "FPT=A", "FA_ACT_EST_DATA=E, EST_SOURCE=PSG", "ACT_EST_MAPPING=PRECISE", "FS=MRC", "CURRENCY=USD", "XLFILL=b")</f>
        <v>#N/A Requesting Data...</v>
      </c>
      <c r="AI155" s="6" t="str">
        <f>_xll.BQL("NOW US Equity", "BS_CASH_CASH_EQUIVALENTS_AND_STI/1M", "FPR=2021Y", "FPT=A", "FA_ACT_EST_DATA=E, EST_SOURCE=MSR", "ACT_EST_MAPPING=PRECISE", "FS=MRC", "CURRENCY=USD", "XLFILL=b")</f>
        <v>#N/A Requesting Data...</v>
      </c>
      <c r="AJ155" s="6" t="str">
        <f>_xll.BQL("NOW US Equity", "BS_CASH_CASH_EQUIVALENTS_AND_STI/1M", "FPR=2021Y", "FPT=A", "FA_ACT_EST_DATA=E, EST_SOURCE=JEF", "ACT_EST_MAPPING=PRECISE", "FS=MRC", "CURRENCY=USD", "XLFILL=b")</f>
        <v>#N/A Requesting Data...</v>
      </c>
      <c r="AK155" s="6" t="str">
        <f>_xll.BQL("NOW US Equity", "BS_CASH_CASH_EQUIVALENTS_AND_STI/1M", "FPR=2021Y", "FPT=A", "FA_ACT_EST_DATA=E, EST_SOURCE=TTC", "ACT_EST_MAPPING=PRECISE", "FS=MRC", "CURRENCY=USD", "XLFILL=b")</f>
        <v>#N/A Requesting Data...</v>
      </c>
      <c r="AL155" s="6" t="str">
        <f>_xll.BQL("NOW US Equity", "BS_CASH_CASH_EQUIVALENTS_AND_STI/1M", "FPR=2021Y", "FPT=A", "FA_ACT_EST_DATA=E, EST_SOURCE=RWB", "ACT_EST_MAPPING=PRECISE", "FS=MRC", "CURRENCY=USD", "XLFILL=b")</f>
        <v>#N/A Requesting Data...</v>
      </c>
      <c r="AM155" s="6" t="str">
        <f>_xll.BQL("NOW US Equity", "BS_CASH_CASH_EQUIVALENTS_AND_STI/1M", "FPR=2021Y", "FPT=A", "FA_ACT_EST_DATA=E, EST_SOURCE=DZB", "ACT_EST_MAPPING=PRECISE", "FS=MRC", "CURRENCY=USD", "XLFILL=b")</f>
        <v>#N/A Requesting Data...</v>
      </c>
      <c r="AN155" s="6" t="str">
        <f>_xll.BQL("NOW US Equity", "BS_CASH_CASH_EQUIVALENTS_AND_STI/1M", "FPR=2021Y", "FPT=A", "FA_ACT_EST_DATA=E, EST_SOURCE=DWI", "ACT_EST_MAPPING=PRECISE", "FS=MRC", "CURRENCY=USD", "XLFILL=b")</f>
        <v>#N/A Requesting Data...</v>
      </c>
      <c r="AO155" s="6" t="str">
        <f>_xll.BQL("NOW US Equity", "BS_CASH_CASH_EQUIVALENTS_AND_STI/1M", "FPR=2021Y", "FPT=A", "FA_ACT_EST_DATA=E, EST_SOURCE=ARG", "ACT_EST_MAPPING=PRECISE", "FS=MRC", "CURRENCY=USD", "XLFILL=b")</f>
        <v>#N/A Requesting Data...</v>
      </c>
      <c r="AP155" s="6" t="str">
        <f>_xll.BQL("NOW US Equity", "BS_CASH_CASH_EQUIVALENTS_AND_STI/1M", "FPR=2021Y", "FPT=A", "FA_ACT_EST_DATA=E, EST_SOURCE=CTI", "ACT_EST_MAPPING=PRECISE", "FS=MRC", "CURRENCY=USD", "XLFILL=b")</f>
        <v>#N/A Requesting Data...</v>
      </c>
      <c r="AQ155" s="6" t="str">
        <f>_xll.BQL("NOW US Equity", "BS_CASH_CASH_EQUIVALENTS_AND_STI/1M", "FPR=2021Y", "FPT=A", "FA_ACT_EST_DATA=E, EST_SOURCE=WFT", "ACT_EST_MAPPING=PRECISE", "FS=MRC", "CURRENCY=USD", "XLFILL=b")</f>
        <v>#N/A Requesting Data...</v>
      </c>
      <c r="AR155" s="6" t="str">
        <f>_xll.BQL("NOW US Equity", "BS_CASH_CASH_EQUIVALENTS_AND_STI/1M", "FPR=2021Y", "FPT=A", "FA_ACT_EST_DATA=E, EST_SOURCE=ARE", "ACT_EST_MAPPING=PRECISE", "FS=MRC", "CURRENCY=USD", "XLFILL=b")</f>
        <v>#N/A Requesting Data...</v>
      </c>
      <c r="AS155" s="6" t="str">
        <f>_xll.BQL("NOW US Equity", "BS_CASH_CASH_EQUIVALENTS_AND_STI/1M", "FPR=2021Y", "FPT=A", "FA_ACT_EST_DATA=E, EST_SOURCE=PJE", "ACT_EST_MAPPING=PRECISE", "FS=MRC", "CURRENCY=USD", "XLFILL=b")</f>
        <v>#N/A Requesting Data...</v>
      </c>
      <c r="AT155" s="6" t="str">
        <f>_xll.BQL("NOW US Equity", "BS_CASH_CASH_EQUIVALENTS_AND_STI/1M", "FPR=2021Y", "FPT=A", "FA_ACT_EST_DATA=E, EST_SOURCE=MZS", "ACT_EST_MAPPING=PRECISE", "FS=MRC", "CURRENCY=USD", "XLFILL=b")</f>
        <v>#N/A Requesting Data...</v>
      </c>
      <c r="AU155" s="6" t="str">
        <f>_xll.BQL("NOW US Equity", "BS_CASH_CASH_EQUIVALENTS_AND_STI/1M", "FPR=2021Y", "FPT=A", "FA_ACT_EST_DATA=E, EST_SOURCE=SUM", "ACT_EST_MAPPING=PRECISE", "FS=MRC", "CURRENCY=USD", "XLFILL=b")</f>
        <v>#N/A Requesting Data...</v>
      </c>
      <c r="AV155" s="6" t="str">
        <f>_xll.BQL("NOW US Equity", "BS_CASH_CASH_EQUIVALENTS_AND_STI/1M", "FPR=2021Y", "FPT=A", "FA_ACT_EST_DATA=E, EST_SOURCE=CRC", "ACT_EST_MAPPING=PRECISE", "FS=MRC", "CURRENCY=USD", "XLFILL=b")</f>
        <v>#N/A Requesting Data...</v>
      </c>
      <c r="AW155" s="6" t="str">
        <f>_xll.BQL("NOW US Equity", "BS_CASH_CASH_EQUIVALENTS_AND_STI/1M", "FPR=2021Y", "FPT=A", "FA_ACT_EST_DATA=E, EST_SOURCE=SCB", "ACT_EST_MAPPING=PRECISE", "FS=MRC", "CURRENCY=USD", "XLFILL=b")</f>
        <v>#N/A Requesting Data...</v>
      </c>
    </row>
    <row r="156" spans="1:49" x14ac:dyDescent="0.55000000000000004">
      <c r="A156" s="5" t="s">
        <v>258</v>
      </c>
      <c r="B156" s="2" t="s">
        <v>259</v>
      </c>
      <c r="C156" s="2" t="s">
        <v>260</v>
      </c>
      <c r="D156" s="2"/>
      <c r="E156" s="6" t="str">
        <f>_xll.BQL("NOW US Equity", "BS_CASH_NEAR_CASH_ITEM/1M", "FPR=2021Y", "FPT=A", "FA_ACT_EST_DATA=E", "ACT_EST_MAPPING=PRECISE", "FS=MRC", "CURRENCY=USD", "XLFILL=b")</f>
        <v>#N/A Requesting Data...</v>
      </c>
      <c r="F156" s="6" t="str">
        <f>_xll.BQL("NOW US Equity", "CONTRIBUTOR_STATS(BS_CASH_NEAR_CASH_ITEM, MIN)/1M", "FPR=2021Y", "FPT=A", "FA_ACT_EST_DATA=E", "ACT_EST_MAPPING=PRECISE", "FS=MRC", "CURRENCY=USD", "XLFILL=b")</f>
        <v>#N/A Requesting Data...</v>
      </c>
      <c r="G156" s="6" t="str">
        <f>_xll.BQL("NOW US Equity", "CONTRIBUTOR_STATS(BS_CASH_NEAR_CASH_ITEM, MAX)/1M", "FPR=2021Y", "FPT=A", "FA_ACT_EST_DATA=E", "ACT_EST_MAPPING=PRECISE", "FS=MRC", "CURRENCY=USD", "XLFILL=b")</f>
        <v>#N/A Requesting Data...</v>
      </c>
      <c r="H156" s="6" t="str">
        <f>_xll.BQL("NOW US Equity", "CONTRIBUTOR_STATS(BS_CASH_NEAR_CASH_ITEM, STD)/1M", "FPR=2021Y", "FPT=A", "FA_ACT_EST_DATA=E", "ACT_EST_MAPPING=PRECISE", "FS=MRC", "CURRENCY=USD", "XLFILL=b")</f>
        <v>#N/A Requesting Data...</v>
      </c>
      <c r="I156" s="6">
        <f>_xll.BQL("NOW US Equity", "CONTRIBUTOR_STATS(BS_CASH_NEAR_CASH_ITEM, MEDIAN)/1M", "FPR=2021Y", "FPT=A", "FA_ACT_EST_DATA=E", "ACT_EST_MAPPING=PRECISE", "FS=MRC", "CURRENCY=USD", "XLFILL=b")</f>
        <v>2148.461598614369</v>
      </c>
      <c r="J156" s="6" t="str">
        <f>_xll.BQL("NOW US Equity", "BS_CASH_NEAR_CASH_ITEM/1M", "FPR=2021Y", "FPT=A", "FA_ACT_EST_DATA=E, EST_SOURCE=CMPY", "ACT_EST_MAPPING=PRECISE", "FS=MRC", "CURRENCY=USD", "XLFILL=b")</f>
        <v>#N/A Requesting Data...</v>
      </c>
      <c r="K156" s="6" t="str">
        <f>_xll.BQL("NOW US Equity", "BS_CASH_NEAR_CASH_ITEM/1M", "FPR=2021Y", "FPT=A", "FA_ACT_EST_DATA=E, EST_SOURCE=JPM", "ACT_EST_MAPPING=PRECISE", "FS=MRC", "CURRENCY=USD", "XLFILL=b")</f>
        <v>#N/A Requesting Data...</v>
      </c>
      <c r="L156" s="6" t="str">
        <f>_xll.BQL("NOW US Equity", "BS_CASH_NEAR_CASH_ITEM/1M", "FPR=2021Y", "FPT=A", "FA_ACT_EST_DATA=E, EST_SOURCE=WBL", "ACT_EST_MAPPING=PRECISE", "FS=MRC", "CURRENCY=USD", "XLFILL=b")</f>
        <v>#N/A Requesting Data...</v>
      </c>
      <c r="M156" s="6" t="str">
        <f>_xll.BQL("NOW US Equity", "BS_CASH_NEAR_CASH_ITEM/1M", "FPR=2021Y", "FPT=A", "FA_ACT_EST_DATA=E, EST_SOURCE=KEY", "ACT_EST_MAPPING=PRECISE", "FS=MRC", "CURRENCY=USD", "XLFILL=b")</f>
        <v>#N/A Requesting Data...</v>
      </c>
      <c r="N156" s="6" t="str">
        <f>_xll.BQL("NOW US Equity", "BS_CASH_NEAR_CASH_ITEM/1M", "FPR=2021Y", "FPT=A", "FA_ACT_EST_DATA=E, EST_SOURCE=BMO", "ACT_EST_MAPPING=PRECISE", "FS=MRC", "CURRENCY=USD", "XLFILL=b")</f>
        <v>#N/A Requesting Data...</v>
      </c>
      <c r="O156" s="6" t="str">
        <f>_xll.BQL("NOW US Equity", "BS_CASH_NEAR_CASH_ITEM/1M", "FPR=2021Y", "FPT=A", "FA_ACT_EST_DATA=E, EST_SOURCE=OPY", "ACT_EST_MAPPING=PRECISE", "FS=MRC", "CURRENCY=USD", "XLFILL=b")</f>
        <v>#N/A Requesting Data...</v>
      </c>
      <c r="P156" s="6" t="str">
        <f>_xll.BQL("NOW US Equity", "BS_CASH_NEAR_CASH_ITEM/1M", "FPR=2021Y", "FPT=A", "FA_ACT_EST_DATA=E, EST_SOURCE=BCA", "ACT_EST_MAPPING=PRECISE", "FS=MRC", "CURRENCY=USD", "XLFILL=b")</f>
        <v>#N/A Requesting Data...</v>
      </c>
      <c r="Q156" s="6" t="str">
        <f>_xll.BQL("NOW US Equity", "BS_CASH_NEAR_CASH_ITEM/1M", "FPR=2021Y", "FPT=A", "FA_ACT_EST_DATA=E, EST_SOURCE=RHR", "ACT_EST_MAPPING=PRECISE", "FS=MRC", "CURRENCY=USD", "XLFILL=b")</f>
        <v>#N/A Requesting Data...</v>
      </c>
      <c r="R156" s="6" t="str">
        <f>_xll.BQL("NOW US Equity", "BS_CASH_NEAR_CASH_ITEM/1M", "FPR=2021Y", "FPT=A", "FA_ACT_EST_DATA=E, EST_SOURCE=SNR", "ACT_EST_MAPPING=PRECISE", "FS=MRC", "CURRENCY=USD", "XLFILL=b")</f>
        <v>#N/A Requesting Data...</v>
      </c>
      <c r="S156" s="6" t="str">
        <f>_xll.BQL("NOW US Equity", "BS_CASH_NEAR_CASH_ITEM/1M", "FPR=2021Y", "FPT=A", "FA_ACT_EST_DATA=E, EST_SOURCE=MSV", "ACT_EST_MAPPING=PRECISE", "FS=MRC", "CURRENCY=USD", "XLFILL=b")</f>
        <v>#N/A Requesting Data...</v>
      </c>
      <c r="T156" s="6" t="str">
        <f>_xll.BQL("NOW US Equity", "BS_CASH_NEAR_CASH_ITEM/1M", "FPR=2021Y", "FPT=A", "FA_ACT_EST_DATA=E, EST_SOURCE=CAN", "ACT_EST_MAPPING=PRECISE", "FS=MRC", "CURRENCY=USD", "XLFILL=b")</f>
        <v>#N/A Requesting Data...</v>
      </c>
      <c r="U156" s="6" t="str">
        <f>_xll.BQL("NOW US Equity", "BS_CASH_NEAR_CASH_ITEM/1M", "FPR=2021Y", "FPT=A", "FA_ACT_EST_DATA=E, EST_SOURCE=JMP", "ACT_EST_MAPPING=PRECISE", "FS=MRC", "CURRENCY=USD", "XLFILL=b")</f>
        <v>#N/A Requesting Data...</v>
      </c>
      <c r="V156" s="6" t="str">
        <f>_xll.BQL("NOW US Equity", "BS_CASH_NEAR_CASH_ITEM/1M", "FPR=2021Y", "FPT=A", "FA_ACT_EST_DATA=E, EST_SOURCE=NDH", "ACT_EST_MAPPING=PRECISE", "FS=MRC", "CURRENCY=USD", "XLFILL=b")</f>
        <v>#N/A Requesting Data...</v>
      </c>
      <c r="W156" s="6" t="str">
        <f>_xll.BQL("NOW US Equity", "BS_CASH_NEAR_CASH_ITEM/1M", "FPR=2021Y", "FPT=A", "FA_ACT_EST_DATA=E, EST_SOURCE=ZXS", "ACT_EST_MAPPING=PRECISE", "FS=MRC", "CURRENCY=USD", "XLFILL=b")</f>
        <v>#N/A Requesting Data...</v>
      </c>
      <c r="X156" s="6" t="str">
        <f>_xll.BQL("NOW US Equity", "BS_CASH_NEAR_CASH_ITEM/1M", "FPR=2021Y", "FPT=A", "FA_ACT_EST_DATA=E, EST_SOURCE=CWN", "ACT_EST_MAPPING=PRECISE", "FS=MRC", "CURRENCY=USD", "XLFILL=b")</f>
        <v>#N/A Requesting Data...</v>
      </c>
      <c r="Y156" s="6" t="str">
        <f>_xll.BQL("NOW US Equity", "BS_CASH_NEAR_CASH_ITEM/1M", "FPR=2021Y", "FPT=A", "FA_ACT_EST_DATA=E, EST_SOURCE=DBG", "ACT_EST_MAPPING=PRECISE", "FS=MRC", "CURRENCY=USD", "XLFILL=b")</f>
        <v>#N/A Requesting Data...</v>
      </c>
      <c r="Z156" s="6" t="str">
        <f>_xll.BQL("NOW US Equity", "BS_CASH_NEAR_CASH_ITEM/1M", "FPR=2021Y", "FPT=A", "FA_ACT_EST_DATA=E, EST_SOURCE=UBS", "ACT_EST_MAPPING=PRECISE", "FS=MRC", "CURRENCY=USD", "XLFILL=b")</f>
        <v>#N/A Requesting Data...</v>
      </c>
      <c r="AA156" s="6" t="str">
        <f>_xll.BQL("NOW US Equity", "BS_CASH_NEAR_CASH_ITEM/1M", "FPR=2021Y", "FPT=A", "FA_ACT_EST_DATA=E, EST_SOURCE=RBC", "ACT_EST_MAPPING=PRECISE", "FS=MRC", "CURRENCY=USD", "XLFILL=b")</f>
        <v>#N/A Requesting Data...</v>
      </c>
      <c r="AB156" s="6" t="str">
        <f>_xll.BQL("NOW US Equity", "BS_CASH_NEAR_CASH_ITEM/1M", "FPR=2021Y", "FPT=A", "FA_ACT_EST_DATA=E, EST_SOURCE=EVR", "ACT_EST_MAPPING=PRECISE", "FS=MRC", "CURRENCY=USD", "XLFILL=b")</f>
        <v>#N/A Requesting Data...</v>
      </c>
      <c r="AC156" s="6" t="str">
        <f>_xll.BQL("NOW US Equity", "BS_CASH_NEAR_CASH_ITEM/1M", "FPR=2021Y", "FPT=A", "FA_ACT_EST_DATA=E, EST_SOURCE=BNS", "ACT_EST_MAPPING=PRECISE", "FS=MRC", "CURRENCY=USD", "XLFILL=b")</f>
        <v>#N/A Requesting Data...</v>
      </c>
      <c r="AD156" s="6" t="str">
        <f>_xll.BQL("NOW US Equity", "BS_CASH_NEAR_CASH_ITEM/1M", "FPR=2021Y", "FPT=A", "FA_ACT_EST_DATA=E, EST_SOURCE=BAM", "ACT_EST_MAPPING=PRECISE", "FS=MRC", "CURRENCY=USD", "XLFILL=b")</f>
        <v>#N/A Requesting Data...</v>
      </c>
      <c r="AE156" s="6" t="str">
        <f>_xll.BQL("NOW US Equity", "BS_CASH_NEAR_CASH_ITEM/1M", "FPR=2021Y", "FPT=A", "FA_ACT_EST_DATA=E, EST_SOURCE=GSR", "ACT_EST_MAPPING=PRECISE", "FS=MRC", "CURRENCY=USD", "XLFILL=b")</f>
        <v>#N/A Requesting Data...</v>
      </c>
      <c r="AF156" s="6" t="str">
        <f>_xll.BQL("NOW US Equity", "BS_CASH_NEAR_CASH_ITEM/1M", "FPR=2021Y", "FPT=A", "FA_ACT_EST_DATA=E, EST_SOURCE=FBC", "ACT_EST_MAPPING=PRECISE", "FS=MRC", "CURRENCY=USD", "XLFILL=b")</f>
        <v>#N/A Requesting Data...</v>
      </c>
      <c r="AG156" s="6" t="str">
        <f>_xll.BQL("NOW US Equity", "BS_CASH_NEAR_CASH_ITEM/1M", "FPR=2021Y", "FPT=A", "FA_ACT_EST_DATA=E, EST_SOURCE=MAC", "ACT_EST_MAPPING=PRECISE", "FS=MRC", "CURRENCY=USD", "XLFILL=b")</f>
        <v>#N/A Requesting Data...</v>
      </c>
      <c r="AH156" s="6" t="str">
        <f>_xll.BQL("NOW US Equity", "BS_CASH_NEAR_CASH_ITEM/1M", "FPR=2021Y", "FPT=A", "FA_ACT_EST_DATA=E, EST_SOURCE=PSG", "ACT_EST_MAPPING=PRECISE", "FS=MRC", "CURRENCY=USD", "XLFILL=b")</f>
        <v>#N/A Requesting Data...</v>
      </c>
      <c r="AI156" s="6" t="str">
        <f>_xll.BQL("NOW US Equity", "BS_CASH_NEAR_CASH_ITEM/1M", "FPR=2021Y", "FPT=A", "FA_ACT_EST_DATA=E, EST_SOURCE=MSR", "ACT_EST_MAPPING=PRECISE", "FS=MRC", "CURRENCY=USD", "XLFILL=b")</f>
        <v>#N/A Requesting Data...</v>
      </c>
      <c r="AJ156" s="6" t="str">
        <f>_xll.BQL("NOW US Equity", "BS_CASH_NEAR_CASH_ITEM/1M", "FPR=2021Y", "FPT=A", "FA_ACT_EST_DATA=E, EST_SOURCE=JEF", "ACT_EST_MAPPING=PRECISE", "FS=MRC", "CURRENCY=USD", "XLFILL=b")</f>
        <v>#N/A Requesting Data...</v>
      </c>
      <c r="AK156" s="6" t="str">
        <f>_xll.BQL("NOW US Equity", "BS_CASH_NEAR_CASH_ITEM/1M", "FPR=2021Y", "FPT=A", "FA_ACT_EST_DATA=E, EST_SOURCE=TTC", "ACT_EST_MAPPING=PRECISE", "FS=MRC", "CURRENCY=USD", "XLFILL=b")</f>
        <v>#N/A Requesting Data...</v>
      </c>
      <c r="AL156" s="6" t="str">
        <f>_xll.BQL("NOW US Equity", "BS_CASH_NEAR_CASH_ITEM/1M", "FPR=2021Y", "FPT=A", "FA_ACT_EST_DATA=E, EST_SOURCE=RWB", "ACT_EST_MAPPING=PRECISE", "FS=MRC", "CURRENCY=USD", "XLFILL=b")</f>
        <v>#N/A Requesting Data...</v>
      </c>
      <c r="AM156" s="6" t="str">
        <f>_xll.BQL("NOW US Equity", "BS_CASH_NEAR_CASH_ITEM/1M", "FPR=2021Y", "FPT=A", "FA_ACT_EST_DATA=E, EST_SOURCE=DZB", "ACT_EST_MAPPING=PRECISE", "FS=MRC", "CURRENCY=USD", "XLFILL=b")</f>
        <v>#N/A Requesting Data...</v>
      </c>
      <c r="AN156" s="6" t="str">
        <f>_xll.BQL("NOW US Equity", "BS_CASH_NEAR_CASH_ITEM/1M", "FPR=2021Y", "FPT=A", "FA_ACT_EST_DATA=E, EST_SOURCE=DWI", "ACT_EST_MAPPING=PRECISE", "FS=MRC", "CURRENCY=USD", "XLFILL=b")</f>
        <v>#N/A Requesting Data...</v>
      </c>
      <c r="AO156" s="6" t="str">
        <f>_xll.BQL("NOW US Equity", "BS_CASH_NEAR_CASH_ITEM/1M", "FPR=2021Y", "FPT=A", "FA_ACT_EST_DATA=E, EST_SOURCE=ARG", "ACT_EST_MAPPING=PRECISE", "FS=MRC", "CURRENCY=USD", "XLFILL=b")</f>
        <v>#N/A Requesting Data...</v>
      </c>
      <c r="AP156" s="6" t="str">
        <f>_xll.BQL("NOW US Equity", "BS_CASH_NEAR_CASH_ITEM/1M", "FPR=2021Y", "FPT=A", "FA_ACT_EST_DATA=E, EST_SOURCE=CTI", "ACT_EST_MAPPING=PRECISE", "FS=MRC", "CURRENCY=USD", "XLFILL=b")</f>
        <v>#N/A Requesting Data...</v>
      </c>
      <c r="AQ156" s="6" t="str">
        <f>_xll.BQL("NOW US Equity", "BS_CASH_NEAR_CASH_ITEM/1M", "FPR=2021Y", "FPT=A", "FA_ACT_EST_DATA=E, EST_SOURCE=WFT", "ACT_EST_MAPPING=PRECISE", "FS=MRC", "CURRENCY=USD", "XLFILL=b")</f>
        <v>#N/A Requesting Data...</v>
      </c>
      <c r="AR156" s="6" t="str">
        <f>_xll.BQL("NOW US Equity", "BS_CASH_NEAR_CASH_ITEM/1M", "FPR=2021Y", "FPT=A", "FA_ACT_EST_DATA=E, EST_SOURCE=ARE", "ACT_EST_MAPPING=PRECISE", "FS=MRC", "CURRENCY=USD", "XLFILL=b")</f>
        <v>#N/A Requesting Data...</v>
      </c>
      <c r="AS156" s="6" t="str">
        <f>_xll.BQL("NOW US Equity", "BS_CASH_NEAR_CASH_ITEM/1M", "FPR=2021Y", "FPT=A", "FA_ACT_EST_DATA=E, EST_SOURCE=PJE", "ACT_EST_MAPPING=PRECISE", "FS=MRC", "CURRENCY=USD", "XLFILL=b")</f>
        <v>#N/A Requesting Data...</v>
      </c>
      <c r="AT156" s="6" t="str">
        <f>_xll.BQL("NOW US Equity", "BS_CASH_NEAR_CASH_ITEM/1M", "FPR=2021Y", "FPT=A", "FA_ACT_EST_DATA=E, EST_SOURCE=MZS", "ACT_EST_MAPPING=PRECISE", "FS=MRC", "CURRENCY=USD", "XLFILL=b")</f>
        <v>#N/A Requesting Data...</v>
      </c>
      <c r="AU156" s="6" t="str">
        <f>_xll.BQL("NOW US Equity", "BS_CASH_NEAR_CASH_ITEM/1M", "FPR=2021Y", "FPT=A", "FA_ACT_EST_DATA=E, EST_SOURCE=SUM", "ACT_EST_MAPPING=PRECISE", "FS=MRC", "CURRENCY=USD", "XLFILL=b")</f>
        <v>#N/A Requesting Data...</v>
      </c>
      <c r="AV156" s="6" t="str">
        <f>_xll.BQL("NOW US Equity", "BS_CASH_NEAR_CASH_ITEM/1M", "FPR=2021Y", "FPT=A", "FA_ACT_EST_DATA=E, EST_SOURCE=CRC", "ACT_EST_MAPPING=PRECISE", "FS=MRC", "CURRENCY=USD", "XLFILL=b")</f>
        <v>#N/A Requesting Data...</v>
      </c>
      <c r="AW156" s="6" t="str">
        <f>_xll.BQL("NOW US Equity", "BS_CASH_NEAR_CASH_ITEM/1M", "FPR=2021Y", "FPT=A", "FA_ACT_EST_DATA=E, EST_SOURCE=SCB", "ACT_EST_MAPPING=PRECISE", "FS=MRC", "CURRENCY=USD", "XLFILL=b")</f>
        <v>#N/A Requesting Data...</v>
      </c>
    </row>
    <row r="157" spans="1:49" x14ac:dyDescent="0.55000000000000004">
      <c r="A157" s="5" t="s">
        <v>261</v>
      </c>
      <c r="B157" s="2" t="s">
        <v>262</v>
      </c>
      <c r="C157" s="2" t="s">
        <v>263</v>
      </c>
      <c r="D157" s="2"/>
      <c r="E157" s="6" t="str">
        <f>_xll.BQL("NOW US Equity", "BS_MKT_SEC_OTHER_ST_INVEST/1M", "FPR=2021Y", "FPT=A", "FA_ACT_EST_DATA=E", "ACT_EST_MAPPING=PRECISE", "FS=MRC", "CURRENCY=USD", "XLFILL=b")</f>
        <v>#N/A Requesting Data...</v>
      </c>
      <c r="F157" s="6" t="str">
        <f>_xll.BQL("NOW US Equity", "CONTRIBUTOR_STATS(BS_MKT_SEC_OTHER_ST_INVEST, MIN)/1M", "FPR=2021Y", "FPT=A", "FA_ACT_EST_DATA=E", "ACT_EST_MAPPING=PRECISE", "FS=MRC", "CURRENCY=USD", "XLFILL=b")</f>
        <v>#N/A Requesting Data...</v>
      </c>
      <c r="G157" s="6" t="str">
        <f>_xll.BQL("NOW US Equity", "CONTRIBUTOR_STATS(BS_MKT_SEC_OTHER_ST_INVEST, MAX)/1M", "FPR=2021Y", "FPT=A", "FA_ACT_EST_DATA=E", "ACT_EST_MAPPING=PRECISE", "FS=MRC", "CURRENCY=USD", "XLFILL=b")</f>
        <v>#N/A Requesting Data...</v>
      </c>
      <c r="H157" s="6" t="str">
        <f>_xll.BQL("NOW US Equity", "CONTRIBUTOR_STATS(BS_MKT_SEC_OTHER_ST_INVEST, STD)/1M", "FPR=2021Y", "FPT=A", "FA_ACT_EST_DATA=E", "ACT_EST_MAPPING=PRECISE", "FS=MRC", "CURRENCY=USD", "XLFILL=b")</f>
        <v>#N/A Requesting Data...</v>
      </c>
      <c r="I157" s="6" t="str">
        <f>_xll.BQL("NOW US Equity", "CONTRIBUTOR_STATS(BS_MKT_SEC_OTHER_ST_INVEST, MEDIAN)/1M", "FPR=2021Y", "FPT=A", "FA_ACT_EST_DATA=E", "ACT_EST_MAPPING=PRECISE", "FS=MRC", "CURRENCY=USD", "XLFILL=b")</f>
        <v>#N/A Requesting Data...</v>
      </c>
      <c r="J157" s="6" t="str">
        <f>_xll.BQL("NOW US Equity", "BS_MKT_SEC_OTHER_ST_INVEST/1M", "FPR=2021Y", "FPT=A", "FA_ACT_EST_DATA=E, EST_SOURCE=CMPY", "ACT_EST_MAPPING=PRECISE", "FS=MRC", "CURRENCY=USD", "XLFILL=b")</f>
        <v>#N/A Requesting Data...</v>
      </c>
      <c r="K157" s="6" t="str">
        <f>_xll.BQL("NOW US Equity", "BS_MKT_SEC_OTHER_ST_INVEST/1M", "FPR=2021Y", "FPT=A", "FA_ACT_EST_DATA=E, EST_SOURCE=JPM", "ACT_EST_MAPPING=PRECISE", "FS=MRC", "CURRENCY=USD", "XLFILL=b")</f>
        <v>#N/A Requesting Data...</v>
      </c>
      <c r="L157" s="6" t="str">
        <f>_xll.BQL("NOW US Equity", "BS_MKT_SEC_OTHER_ST_INVEST/1M", "FPR=2021Y", "FPT=A", "FA_ACT_EST_DATA=E, EST_SOURCE=WBL", "ACT_EST_MAPPING=PRECISE", "FS=MRC", "CURRENCY=USD", "XLFILL=b")</f>
        <v>#N/A Requesting Data...</v>
      </c>
      <c r="M157" s="6" t="str">
        <f>_xll.BQL("NOW US Equity", "BS_MKT_SEC_OTHER_ST_INVEST/1M", "FPR=2021Y", "FPT=A", "FA_ACT_EST_DATA=E, EST_SOURCE=KEY", "ACT_EST_MAPPING=PRECISE", "FS=MRC", "CURRENCY=USD", "XLFILL=b")</f>
        <v>#N/A Requesting Data...</v>
      </c>
      <c r="N157" s="6" t="str">
        <f>_xll.BQL("NOW US Equity", "BS_MKT_SEC_OTHER_ST_INVEST/1M", "FPR=2021Y", "FPT=A", "FA_ACT_EST_DATA=E, EST_SOURCE=BMO", "ACT_EST_MAPPING=PRECISE", "FS=MRC", "CURRENCY=USD", "XLFILL=b")</f>
        <v>#N/A Requesting Data...</v>
      </c>
      <c r="O157" s="6" t="str">
        <f>_xll.BQL("NOW US Equity", "BS_MKT_SEC_OTHER_ST_INVEST/1M", "FPR=2021Y", "FPT=A", "FA_ACT_EST_DATA=E, EST_SOURCE=OPY", "ACT_EST_MAPPING=PRECISE", "FS=MRC", "CURRENCY=USD", "XLFILL=b")</f>
        <v>#N/A Requesting Data...</v>
      </c>
      <c r="P157" s="6" t="str">
        <f>_xll.BQL("NOW US Equity", "BS_MKT_SEC_OTHER_ST_INVEST/1M", "FPR=2021Y", "FPT=A", "FA_ACT_EST_DATA=E, EST_SOURCE=BCA", "ACT_EST_MAPPING=PRECISE", "FS=MRC", "CURRENCY=USD", "XLFILL=b")</f>
        <v>#N/A Requesting Data...</v>
      </c>
      <c r="Q157" s="6" t="str">
        <f>_xll.BQL("NOW US Equity", "BS_MKT_SEC_OTHER_ST_INVEST/1M", "FPR=2021Y", "FPT=A", "FA_ACT_EST_DATA=E, EST_SOURCE=RHR", "ACT_EST_MAPPING=PRECISE", "FS=MRC", "CURRENCY=USD", "XLFILL=b")</f>
        <v>#N/A Requesting Data...</v>
      </c>
      <c r="R157" s="6" t="str">
        <f>_xll.BQL("NOW US Equity", "BS_MKT_SEC_OTHER_ST_INVEST/1M", "FPR=2021Y", "FPT=A", "FA_ACT_EST_DATA=E, EST_SOURCE=SNR", "ACT_EST_MAPPING=PRECISE", "FS=MRC", "CURRENCY=USD", "XLFILL=b")</f>
        <v>#N/A Requesting Data...</v>
      </c>
      <c r="S157" s="6" t="str">
        <f>_xll.BQL("NOW US Equity", "BS_MKT_SEC_OTHER_ST_INVEST/1M", "FPR=2021Y", "FPT=A", "FA_ACT_EST_DATA=E, EST_SOURCE=MSV", "ACT_EST_MAPPING=PRECISE", "FS=MRC", "CURRENCY=USD", "XLFILL=b")</f>
        <v>#N/A Requesting Data...</v>
      </c>
      <c r="T157" s="6" t="str">
        <f>_xll.BQL("NOW US Equity", "BS_MKT_SEC_OTHER_ST_INVEST/1M", "FPR=2021Y", "FPT=A", "FA_ACT_EST_DATA=E, EST_SOURCE=CAN", "ACT_EST_MAPPING=PRECISE", "FS=MRC", "CURRENCY=USD", "XLFILL=b")</f>
        <v>#N/A Requesting Data...</v>
      </c>
      <c r="U157" s="6" t="str">
        <f>_xll.BQL("NOW US Equity", "BS_MKT_SEC_OTHER_ST_INVEST/1M", "FPR=2021Y", "FPT=A", "FA_ACT_EST_DATA=E, EST_SOURCE=JMP", "ACT_EST_MAPPING=PRECISE", "FS=MRC", "CURRENCY=USD", "XLFILL=b")</f>
        <v>#N/A Requesting Data...</v>
      </c>
      <c r="V157" s="6" t="str">
        <f>_xll.BQL("NOW US Equity", "BS_MKT_SEC_OTHER_ST_INVEST/1M", "FPR=2021Y", "FPT=A", "FA_ACT_EST_DATA=E, EST_SOURCE=NDH", "ACT_EST_MAPPING=PRECISE", "FS=MRC", "CURRENCY=USD", "XLFILL=b")</f>
        <v>#N/A Requesting Data...</v>
      </c>
      <c r="W157" s="6" t="str">
        <f>_xll.BQL("NOW US Equity", "BS_MKT_SEC_OTHER_ST_INVEST/1M", "FPR=2021Y", "FPT=A", "FA_ACT_EST_DATA=E, EST_SOURCE=ZXS", "ACT_EST_MAPPING=PRECISE", "FS=MRC", "CURRENCY=USD", "XLFILL=b")</f>
        <v>#N/A Requesting Data...</v>
      </c>
      <c r="X157" s="6" t="str">
        <f>_xll.BQL("NOW US Equity", "BS_MKT_SEC_OTHER_ST_INVEST/1M", "FPR=2021Y", "FPT=A", "FA_ACT_EST_DATA=E, EST_SOURCE=CWN", "ACT_EST_MAPPING=PRECISE", "FS=MRC", "CURRENCY=USD", "XLFILL=b")</f>
        <v>#N/A Requesting Data...</v>
      </c>
      <c r="Y157" s="6" t="str">
        <f>_xll.BQL("NOW US Equity", "BS_MKT_SEC_OTHER_ST_INVEST/1M", "FPR=2021Y", "FPT=A", "FA_ACT_EST_DATA=E, EST_SOURCE=DBG", "ACT_EST_MAPPING=PRECISE", "FS=MRC", "CURRENCY=USD", "XLFILL=b")</f>
        <v>#N/A Requesting Data...</v>
      </c>
      <c r="Z157" s="6" t="str">
        <f>_xll.BQL("NOW US Equity", "BS_MKT_SEC_OTHER_ST_INVEST/1M", "FPR=2021Y", "FPT=A", "FA_ACT_EST_DATA=E, EST_SOURCE=UBS", "ACT_EST_MAPPING=PRECISE", "FS=MRC", "CURRENCY=USD", "XLFILL=b")</f>
        <v>#N/A Requesting Data...</v>
      </c>
      <c r="AA157" s="6" t="str">
        <f>_xll.BQL("NOW US Equity", "BS_MKT_SEC_OTHER_ST_INVEST/1M", "FPR=2021Y", "FPT=A", "FA_ACT_EST_DATA=E, EST_SOURCE=RBC", "ACT_EST_MAPPING=PRECISE", "FS=MRC", "CURRENCY=USD", "XLFILL=b")</f>
        <v>#N/A Requesting Data...</v>
      </c>
      <c r="AB157" s="6" t="str">
        <f>_xll.BQL("NOW US Equity", "BS_MKT_SEC_OTHER_ST_INVEST/1M", "FPR=2021Y", "FPT=A", "FA_ACT_EST_DATA=E, EST_SOURCE=EVR", "ACT_EST_MAPPING=PRECISE", "FS=MRC", "CURRENCY=USD", "XLFILL=b")</f>
        <v>#N/A Requesting Data...</v>
      </c>
      <c r="AC157" s="6" t="str">
        <f>_xll.BQL("NOW US Equity", "BS_MKT_SEC_OTHER_ST_INVEST/1M", "FPR=2021Y", "FPT=A", "FA_ACT_EST_DATA=E, EST_SOURCE=BNS", "ACT_EST_MAPPING=PRECISE", "FS=MRC", "CURRENCY=USD", "XLFILL=b")</f>
        <v>#N/A Requesting Data...</v>
      </c>
      <c r="AD157" s="6" t="str">
        <f>_xll.BQL("NOW US Equity", "BS_MKT_SEC_OTHER_ST_INVEST/1M", "FPR=2021Y", "FPT=A", "FA_ACT_EST_DATA=E, EST_SOURCE=BAM", "ACT_EST_MAPPING=PRECISE", "FS=MRC", "CURRENCY=USD", "XLFILL=b")</f>
        <v>#N/A Requesting Data...</v>
      </c>
      <c r="AE157" s="6" t="str">
        <f>_xll.BQL("NOW US Equity", "BS_MKT_SEC_OTHER_ST_INVEST/1M", "FPR=2021Y", "FPT=A", "FA_ACT_EST_DATA=E, EST_SOURCE=GSR", "ACT_EST_MAPPING=PRECISE", "FS=MRC", "CURRENCY=USD", "XLFILL=b")</f>
        <v>#N/A Requesting Data...</v>
      </c>
      <c r="AF157" s="6" t="str">
        <f>_xll.BQL("NOW US Equity", "BS_MKT_SEC_OTHER_ST_INVEST/1M", "FPR=2021Y", "FPT=A", "FA_ACT_EST_DATA=E, EST_SOURCE=FBC", "ACT_EST_MAPPING=PRECISE", "FS=MRC", "CURRENCY=USD", "XLFILL=b")</f>
        <v>#N/A Requesting Data...</v>
      </c>
      <c r="AG157" s="6" t="str">
        <f>_xll.BQL("NOW US Equity", "BS_MKT_SEC_OTHER_ST_INVEST/1M", "FPR=2021Y", "FPT=A", "FA_ACT_EST_DATA=E, EST_SOURCE=MAC", "ACT_EST_MAPPING=PRECISE", "FS=MRC", "CURRENCY=USD", "XLFILL=b")</f>
        <v>#N/A Requesting Data...</v>
      </c>
      <c r="AH157" s="6" t="str">
        <f>_xll.BQL("NOW US Equity", "BS_MKT_SEC_OTHER_ST_INVEST/1M", "FPR=2021Y", "FPT=A", "FA_ACT_EST_DATA=E, EST_SOURCE=PSG", "ACT_EST_MAPPING=PRECISE", "FS=MRC", "CURRENCY=USD", "XLFILL=b")</f>
        <v>#N/A Requesting Data...</v>
      </c>
      <c r="AI157" s="6" t="str">
        <f>_xll.BQL("NOW US Equity", "BS_MKT_SEC_OTHER_ST_INVEST/1M", "FPR=2021Y", "FPT=A", "FA_ACT_EST_DATA=E, EST_SOURCE=MSR", "ACT_EST_MAPPING=PRECISE", "FS=MRC", "CURRENCY=USD", "XLFILL=b")</f>
        <v>#N/A Requesting Data...</v>
      </c>
      <c r="AJ157" s="6" t="str">
        <f>_xll.BQL("NOW US Equity", "BS_MKT_SEC_OTHER_ST_INVEST/1M", "FPR=2021Y", "FPT=A", "FA_ACT_EST_DATA=E, EST_SOURCE=JEF", "ACT_EST_MAPPING=PRECISE", "FS=MRC", "CURRENCY=USD", "XLFILL=b")</f>
        <v>#N/A Requesting Data...</v>
      </c>
      <c r="AK157" s="6" t="str">
        <f>_xll.BQL("NOW US Equity", "BS_MKT_SEC_OTHER_ST_INVEST/1M", "FPR=2021Y", "FPT=A", "FA_ACT_EST_DATA=E, EST_SOURCE=TTC", "ACT_EST_MAPPING=PRECISE", "FS=MRC", "CURRENCY=USD", "XLFILL=b")</f>
        <v>#N/A Requesting Data...</v>
      </c>
      <c r="AL157" s="6" t="str">
        <f>_xll.BQL("NOW US Equity", "BS_MKT_SEC_OTHER_ST_INVEST/1M", "FPR=2021Y", "FPT=A", "FA_ACT_EST_DATA=E, EST_SOURCE=RWB", "ACT_EST_MAPPING=PRECISE", "FS=MRC", "CURRENCY=USD", "XLFILL=b")</f>
        <v>#N/A Requesting Data...</v>
      </c>
      <c r="AM157" s="6" t="str">
        <f>_xll.BQL("NOW US Equity", "BS_MKT_SEC_OTHER_ST_INVEST/1M", "FPR=2021Y", "FPT=A", "FA_ACT_EST_DATA=E, EST_SOURCE=DZB", "ACT_EST_MAPPING=PRECISE", "FS=MRC", "CURRENCY=USD", "XLFILL=b")</f>
        <v>#N/A Requesting Data...</v>
      </c>
      <c r="AN157" s="6" t="str">
        <f>_xll.BQL("NOW US Equity", "BS_MKT_SEC_OTHER_ST_INVEST/1M", "FPR=2021Y", "FPT=A", "FA_ACT_EST_DATA=E, EST_SOURCE=DWI", "ACT_EST_MAPPING=PRECISE", "FS=MRC", "CURRENCY=USD", "XLFILL=b")</f>
        <v>#N/A Requesting Data...</v>
      </c>
      <c r="AO157" s="6" t="str">
        <f>_xll.BQL("NOW US Equity", "BS_MKT_SEC_OTHER_ST_INVEST/1M", "FPR=2021Y", "FPT=A", "FA_ACT_EST_DATA=E, EST_SOURCE=ARG", "ACT_EST_MAPPING=PRECISE", "FS=MRC", "CURRENCY=USD", "XLFILL=b")</f>
        <v>#N/A Requesting Data...</v>
      </c>
      <c r="AP157" s="6" t="str">
        <f>_xll.BQL("NOW US Equity", "BS_MKT_SEC_OTHER_ST_INVEST/1M", "FPR=2021Y", "FPT=A", "FA_ACT_EST_DATA=E, EST_SOURCE=CTI", "ACT_EST_MAPPING=PRECISE", "FS=MRC", "CURRENCY=USD", "XLFILL=b")</f>
        <v>#N/A Requesting Data...</v>
      </c>
      <c r="AQ157" s="6" t="str">
        <f>_xll.BQL("NOW US Equity", "BS_MKT_SEC_OTHER_ST_INVEST/1M", "FPR=2021Y", "FPT=A", "FA_ACT_EST_DATA=E, EST_SOURCE=WFT", "ACT_EST_MAPPING=PRECISE", "FS=MRC", "CURRENCY=USD", "XLFILL=b")</f>
        <v>#N/A Requesting Data...</v>
      </c>
      <c r="AR157" s="6" t="str">
        <f>_xll.BQL("NOW US Equity", "BS_MKT_SEC_OTHER_ST_INVEST/1M", "FPR=2021Y", "FPT=A", "FA_ACT_EST_DATA=E, EST_SOURCE=ARE", "ACT_EST_MAPPING=PRECISE", "FS=MRC", "CURRENCY=USD", "XLFILL=b")</f>
        <v>#N/A Requesting Data...</v>
      </c>
      <c r="AS157" s="6" t="str">
        <f>_xll.BQL("NOW US Equity", "BS_MKT_SEC_OTHER_ST_INVEST/1M", "FPR=2021Y", "FPT=A", "FA_ACT_EST_DATA=E, EST_SOURCE=PJE", "ACT_EST_MAPPING=PRECISE", "FS=MRC", "CURRENCY=USD", "XLFILL=b")</f>
        <v>#N/A Requesting Data...</v>
      </c>
      <c r="AT157" s="6" t="str">
        <f>_xll.BQL("NOW US Equity", "BS_MKT_SEC_OTHER_ST_INVEST/1M", "FPR=2021Y", "FPT=A", "FA_ACT_EST_DATA=E, EST_SOURCE=MZS", "ACT_EST_MAPPING=PRECISE", "FS=MRC", "CURRENCY=USD", "XLFILL=b")</f>
        <v>#N/A Requesting Data...</v>
      </c>
      <c r="AU157" s="6" t="str">
        <f>_xll.BQL("NOW US Equity", "BS_MKT_SEC_OTHER_ST_INVEST/1M", "FPR=2021Y", "FPT=A", "FA_ACT_EST_DATA=E, EST_SOURCE=SUM", "ACT_EST_MAPPING=PRECISE", "FS=MRC", "CURRENCY=USD", "XLFILL=b")</f>
        <v>#N/A Requesting Data...</v>
      </c>
      <c r="AV157" s="6" t="str">
        <f>_xll.BQL("NOW US Equity", "BS_MKT_SEC_OTHER_ST_INVEST/1M", "FPR=2021Y", "FPT=A", "FA_ACT_EST_DATA=E, EST_SOURCE=CRC", "ACT_EST_MAPPING=PRECISE", "FS=MRC", "CURRENCY=USD", "XLFILL=b")</f>
        <v>#N/A Requesting Data...</v>
      </c>
      <c r="AW157" s="6" t="str">
        <f>_xll.BQL("NOW US Equity", "BS_MKT_SEC_OTHER_ST_INVEST/1M", "FPR=2021Y", "FPT=A", "FA_ACT_EST_DATA=E, EST_SOURCE=SCB", "ACT_EST_MAPPING=PRECISE", "FS=MRC", "CURRENCY=USD", "XLFILL=b")</f>
        <v>#N/A Requesting Data...</v>
      </c>
    </row>
    <row r="158" spans="1:49" x14ac:dyDescent="0.55000000000000004">
      <c r="A158" s="5" t="s">
        <v>264</v>
      </c>
      <c r="B158" s="2" t="s">
        <v>265</v>
      </c>
      <c r="C158" s="2" t="s">
        <v>266</v>
      </c>
      <c r="D158" s="2"/>
      <c r="E158" s="6">
        <f>_xll.BQL("NOW US Equity", "BS_ACCTS_REC_EXCL_NOTES_REC/1M", "FPR=2021Y", "FPT=A", "FA_ACT_EST_DATA=E", "ACT_EST_MAPPING=PRECISE", "FS=MRC", "CURRENCY=USD", "XLFILL=b")</f>
        <v>1241.1516082905789</v>
      </c>
      <c r="F158" s="6" t="str">
        <f>_xll.BQL("NOW US Equity", "CONTRIBUTOR_STATS(BS_ACCTS_REC_EXCL_NOTES_REC, MIN)/1M", "FPR=2021Y", "FPT=A", "FA_ACT_EST_DATA=E", "ACT_EST_MAPPING=PRECISE", "FS=MRC", "CURRENCY=USD", "XLFILL=b")</f>
        <v>#N/A Requesting Data...</v>
      </c>
      <c r="G158" s="6" t="str">
        <f>_xll.BQL("NOW US Equity", "CONTRIBUTOR_STATS(BS_ACCTS_REC_EXCL_NOTES_REC, MAX)/1M", "FPR=2021Y", "FPT=A", "FA_ACT_EST_DATA=E", "ACT_EST_MAPPING=PRECISE", "FS=MRC", "CURRENCY=USD", "XLFILL=b")</f>
        <v>#N/A Requesting Data...</v>
      </c>
      <c r="H158" s="6" t="str">
        <f>_xll.BQL("NOW US Equity", "CONTRIBUTOR_STATS(BS_ACCTS_REC_EXCL_NOTES_REC, STD)/1M", "FPR=2021Y", "FPT=A", "FA_ACT_EST_DATA=E", "ACT_EST_MAPPING=PRECISE", "FS=MRC", "CURRENCY=USD", "XLFILL=b")</f>
        <v>#N/A Requesting Data...</v>
      </c>
      <c r="I158" s="6" t="str">
        <f>_xll.BQL("NOW US Equity", "CONTRIBUTOR_STATS(BS_ACCTS_REC_EXCL_NOTES_REC, MEDIAN)/1M", "FPR=2021Y", "FPT=A", "FA_ACT_EST_DATA=E", "ACT_EST_MAPPING=PRECISE", "FS=MRC", "CURRENCY=USD", "XLFILL=b")</f>
        <v>#N/A Requesting Data...</v>
      </c>
      <c r="J158" s="6" t="str">
        <f>_xll.BQL("NOW US Equity", "BS_ACCTS_REC_EXCL_NOTES_REC/1M", "FPR=2021Y", "FPT=A", "FA_ACT_EST_DATA=E, EST_SOURCE=CMPY", "ACT_EST_MAPPING=PRECISE", "FS=MRC", "CURRENCY=USD", "XLFILL=b")</f>
        <v>#N/A Requesting Data...</v>
      </c>
      <c r="K158" s="6" t="str">
        <f>_xll.BQL("NOW US Equity", "BS_ACCTS_REC_EXCL_NOTES_REC/1M", "FPR=2021Y", "FPT=A", "FA_ACT_EST_DATA=E, EST_SOURCE=JPM", "ACT_EST_MAPPING=PRECISE", "FS=MRC", "CURRENCY=USD", "XLFILL=b")</f>
        <v>#N/A Requesting Data...</v>
      </c>
      <c r="L158" s="6" t="str">
        <f>_xll.BQL("NOW US Equity", "BS_ACCTS_REC_EXCL_NOTES_REC/1M", "FPR=2021Y", "FPT=A", "FA_ACT_EST_DATA=E, EST_SOURCE=WBL", "ACT_EST_MAPPING=PRECISE", "FS=MRC", "CURRENCY=USD", "XLFILL=b")</f>
        <v>#N/A Requesting Data...</v>
      </c>
      <c r="M158" s="6" t="str">
        <f>_xll.BQL("NOW US Equity", "BS_ACCTS_REC_EXCL_NOTES_REC/1M", "FPR=2021Y", "FPT=A", "FA_ACT_EST_DATA=E, EST_SOURCE=KEY", "ACT_EST_MAPPING=PRECISE", "FS=MRC", "CURRENCY=USD", "XLFILL=b")</f>
        <v>#N/A Requesting Data...</v>
      </c>
      <c r="N158" s="6" t="str">
        <f>_xll.BQL("NOW US Equity", "BS_ACCTS_REC_EXCL_NOTES_REC/1M", "FPR=2021Y", "FPT=A", "FA_ACT_EST_DATA=E, EST_SOURCE=BMO", "ACT_EST_MAPPING=PRECISE", "FS=MRC", "CURRENCY=USD", "XLFILL=b")</f>
        <v>#N/A Requesting Data...</v>
      </c>
      <c r="O158" s="6" t="str">
        <f>_xll.BQL("NOW US Equity", "BS_ACCTS_REC_EXCL_NOTES_REC/1M", "FPR=2021Y", "FPT=A", "FA_ACT_EST_DATA=E, EST_SOURCE=OPY", "ACT_EST_MAPPING=PRECISE", "FS=MRC", "CURRENCY=USD", "XLFILL=b")</f>
        <v>#N/A Requesting Data...</v>
      </c>
      <c r="P158" s="6" t="str">
        <f>_xll.BQL("NOW US Equity", "BS_ACCTS_REC_EXCL_NOTES_REC/1M", "FPR=2021Y", "FPT=A", "FA_ACT_EST_DATA=E, EST_SOURCE=BCA", "ACT_EST_MAPPING=PRECISE", "FS=MRC", "CURRENCY=USD", "XLFILL=b")</f>
        <v>#N/A Requesting Data...</v>
      </c>
      <c r="Q158" s="6" t="str">
        <f>_xll.BQL("NOW US Equity", "BS_ACCTS_REC_EXCL_NOTES_REC/1M", "FPR=2021Y", "FPT=A", "FA_ACT_EST_DATA=E, EST_SOURCE=RHR", "ACT_EST_MAPPING=PRECISE", "FS=MRC", "CURRENCY=USD", "XLFILL=b")</f>
        <v>#N/A Requesting Data...</v>
      </c>
      <c r="R158" s="6" t="str">
        <f>_xll.BQL("NOW US Equity", "BS_ACCTS_REC_EXCL_NOTES_REC/1M", "FPR=2021Y", "FPT=A", "FA_ACT_EST_DATA=E, EST_SOURCE=SNR", "ACT_EST_MAPPING=PRECISE", "FS=MRC", "CURRENCY=USD", "XLFILL=b")</f>
        <v>#N/A Requesting Data...</v>
      </c>
      <c r="S158" s="6" t="str">
        <f>_xll.BQL("NOW US Equity", "BS_ACCTS_REC_EXCL_NOTES_REC/1M", "FPR=2021Y", "FPT=A", "FA_ACT_EST_DATA=E, EST_SOURCE=MSV", "ACT_EST_MAPPING=PRECISE", "FS=MRC", "CURRENCY=USD", "XLFILL=b")</f>
        <v>#N/A Requesting Data...</v>
      </c>
      <c r="T158" s="6" t="str">
        <f>_xll.BQL("NOW US Equity", "BS_ACCTS_REC_EXCL_NOTES_REC/1M", "FPR=2021Y", "FPT=A", "FA_ACT_EST_DATA=E, EST_SOURCE=CAN", "ACT_EST_MAPPING=PRECISE", "FS=MRC", "CURRENCY=USD", "XLFILL=b")</f>
        <v>#N/A Requesting Data...</v>
      </c>
      <c r="U158" s="6" t="str">
        <f>_xll.BQL("NOW US Equity", "BS_ACCTS_REC_EXCL_NOTES_REC/1M", "FPR=2021Y", "FPT=A", "FA_ACT_EST_DATA=E, EST_SOURCE=JMP", "ACT_EST_MAPPING=PRECISE", "FS=MRC", "CURRENCY=USD", "XLFILL=b")</f>
        <v>#N/A Requesting Data...</v>
      </c>
      <c r="V158" s="6" t="str">
        <f>_xll.BQL("NOW US Equity", "BS_ACCTS_REC_EXCL_NOTES_REC/1M", "FPR=2021Y", "FPT=A", "FA_ACT_EST_DATA=E, EST_SOURCE=NDH", "ACT_EST_MAPPING=PRECISE", "FS=MRC", "CURRENCY=USD", "XLFILL=b")</f>
        <v>#N/A Requesting Data...</v>
      </c>
      <c r="W158" s="6" t="str">
        <f>_xll.BQL("NOW US Equity", "BS_ACCTS_REC_EXCL_NOTES_REC/1M", "FPR=2021Y", "FPT=A", "FA_ACT_EST_DATA=E, EST_SOURCE=ZXS", "ACT_EST_MAPPING=PRECISE", "FS=MRC", "CURRENCY=USD", "XLFILL=b")</f>
        <v>#N/A Requesting Data...</v>
      </c>
      <c r="X158" s="6" t="str">
        <f>_xll.BQL("NOW US Equity", "BS_ACCTS_REC_EXCL_NOTES_REC/1M", "FPR=2021Y", "FPT=A", "FA_ACT_EST_DATA=E, EST_SOURCE=CWN", "ACT_EST_MAPPING=PRECISE", "FS=MRC", "CURRENCY=USD", "XLFILL=b")</f>
        <v>#N/A Requesting Data...</v>
      </c>
      <c r="Y158" s="6" t="str">
        <f>_xll.BQL("NOW US Equity", "BS_ACCTS_REC_EXCL_NOTES_REC/1M", "FPR=2021Y", "FPT=A", "FA_ACT_EST_DATA=E, EST_SOURCE=DBG", "ACT_EST_MAPPING=PRECISE", "FS=MRC", "CURRENCY=USD", "XLFILL=b")</f>
        <v>#N/A Requesting Data...</v>
      </c>
      <c r="Z158" s="6" t="str">
        <f>_xll.BQL("NOW US Equity", "BS_ACCTS_REC_EXCL_NOTES_REC/1M", "FPR=2021Y", "FPT=A", "FA_ACT_EST_DATA=E, EST_SOURCE=UBS", "ACT_EST_MAPPING=PRECISE", "FS=MRC", "CURRENCY=USD", "XLFILL=b")</f>
        <v>#N/A Requesting Data...</v>
      </c>
      <c r="AA158" s="6" t="str">
        <f>_xll.BQL("NOW US Equity", "BS_ACCTS_REC_EXCL_NOTES_REC/1M", "FPR=2021Y", "FPT=A", "FA_ACT_EST_DATA=E, EST_SOURCE=RBC", "ACT_EST_MAPPING=PRECISE", "FS=MRC", "CURRENCY=USD", "XLFILL=b")</f>
        <v>#N/A Requesting Data...</v>
      </c>
      <c r="AB158" s="6" t="str">
        <f>_xll.BQL("NOW US Equity", "BS_ACCTS_REC_EXCL_NOTES_REC/1M", "FPR=2021Y", "FPT=A", "FA_ACT_EST_DATA=E, EST_SOURCE=EVR", "ACT_EST_MAPPING=PRECISE", "FS=MRC", "CURRENCY=USD", "XLFILL=b")</f>
        <v>#N/A Requesting Data...</v>
      </c>
      <c r="AC158" s="6" t="str">
        <f>_xll.BQL("NOW US Equity", "BS_ACCTS_REC_EXCL_NOTES_REC/1M", "FPR=2021Y", "FPT=A", "FA_ACT_EST_DATA=E, EST_SOURCE=BNS", "ACT_EST_MAPPING=PRECISE", "FS=MRC", "CURRENCY=USD", "XLFILL=b")</f>
        <v>#N/A Requesting Data...</v>
      </c>
      <c r="AD158" s="6" t="str">
        <f>_xll.BQL("NOW US Equity", "BS_ACCTS_REC_EXCL_NOTES_REC/1M", "FPR=2021Y", "FPT=A", "FA_ACT_EST_DATA=E, EST_SOURCE=BAM", "ACT_EST_MAPPING=PRECISE", "FS=MRC", "CURRENCY=USD", "XLFILL=b")</f>
        <v>#N/A Requesting Data...</v>
      </c>
      <c r="AE158" s="6" t="str">
        <f>_xll.BQL("NOW US Equity", "BS_ACCTS_REC_EXCL_NOTES_REC/1M", "FPR=2021Y", "FPT=A", "FA_ACT_EST_DATA=E, EST_SOURCE=GSR", "ACT_EST_MAPPING=PRECISE", "FS=MRC", "CURRENCY=USD", "XLFILL=b")</f>
        <v>#N/A Requesting Data...</v>
      </c>
      <c r="AF158" s="6" t="str">
        <f>_xll.BQL("NOW US Equity", "BS_ACCTS_REC_EXCL_NOTES_REC/1M", "FPR=2021Y", "FPT=A", "FA_ACT_EST_DATA=E, EST_SOURCE=FBC", "ACT_EST_MAPPING=PRECISE", "FS=MRC", "CURRENCY=USD", "XLFILL=b")</f>
        <v>#N/A Requesting Data...</v>
      </c>
      <c r="AG158" s="6" t="str">
        <f>_xll.BQL("NOW US Equity", "BS_ACCTS_REC_EXCL_NOTES_REC/1M", "FPR=2021Y", "FPT=A", "FA_ACT_EST_DATA=E, EST_SOURCE=MAC", "ACT_EST_MAPPING=PRECISE", "FS=MRC", "CURRENCY=USD", "XLFILL=b")</f>
        <v>#N/A Requesting Data...</v>
      </c>
      <c r="AH158" s="6" t="str">
        <f>_xll.BQL("NOW US Equity", "BS_ACCTS_REC_EXCL_NOTES_REC/1M", "FPR=2021Y", "FPT=A", "FA_ACT_EST_DATA=E, EST_SOURCE=PSG", "ACT_EST_MAPPING=PRECISE", "FS=MRC", "CURRENCY=USD", "XLFILL=b")</f>
        <v>#N/A Requesting Data...</v>
      </c>
      <c r="AI158" s="6" t="str">
        <f>_xll.BQL("NOW US Equity", "BS_ACCTS_REC_EXCL_NOTES_REC/1M", "FPR=2021Y", "FPT=A", "FA_ACT_EST_DATA=E, EST_SOURCE=MSR", "ACT_EST_MAPPING=PRECISE", "FS=MRC", "CURRENCY=USD", "XLFILL=b")</f>
        <v>#N/A Requesting Data...</v>
      </c>
      <c r="AJ158" s="6" t="str">
        <f>_xll.BQL("NOW US Equity", "BS_ACCTS_REC_EXCL_NOTES_REC/1M", "FPR=2021Y", "FPT=A", "FA_ACT_EST_DATA=E, EST_SOURCE=JEF", "ACT_EST_MAPPING=PRECISE", "FS=MRC", "CURRENCY=USD", "XLFILL=b")</f>
        <v>#N/A Requesting Data...</v>
      </c>
      <c r="AK158" s="6" t="str">
        <f>_xll.BQL("NOW US Equity", "BS_ACCTS_REC_EXCL_NOTES_REC/1M", "FPR=2021Y", "FPT=A", "FA_ACT_EST_DATA=E, EST_SOURCE=TTC", "ACT_EST_MAPPING=PRECISE", "FS=MRC", "CURRENCY=USD", "XLFILL=b")</f>
        <v>#N/A Requesting Data...</v>
      </c>
      <c r="AL158" s="6" t="str">
        <f>_xll.BQL("NOW US Equity", "BS_ACCTS_REC_EXCL_NOTES_REC/1M", "FPR=2021Y", "FPT=A", "FA_ACT_EST_DATA=E, EST_SOURCE=RWB", "ACT_EST_MAPPING=PRECISE", "FS=MRC", "CURRENCY=USD", "XLFILL=b")</f>
        <v>#N/A Requesting Data...</v>
      </c>
      <c r="AM158" s="6" t="str">
        <f>_xll.BQL("NOW US Equity", "BS_ACCTS_REC_EXCL_NOTES_REC/1M", "FPR=2021Y", "FPT=A", "FA_ACT_EST_DATA=E, EST_SOURCE=DZB", "ACT_EST_MAPPING=PRECISE", "FS=MRC", "CURRENCY=USD", "XLFILL=b")</f>
        <v>#N/A Requesting Data...</v>
      </c>
      <c r="AN158" s="6" t="str">
        <f>_xll.BQL("NOW US Equity", "BS_ACCTS_REC_EXCL_NOTES_REC/1M", "FPR=2021Y", "FPT=A", "FA_ACT_EST_DATA=E, EST_SOURCE=DWI", "ACT_EST_MAPPING=PRECISE", "FS=MRC", "CURRENCY=USD", "XLFILL=b")</f>
        <v>#N/A Requesting Data...</v>
      </c>
      <c r="AO158" s="6" t="str">
        <f>_xll.BQL("NOW US Equity", "BS_ACCTS_REC_EXCL_NOTES_REC/1M", "FPR=2021Y", "FPT=A", "FA_ACT_EST_DATA=E, EST_SOURCE=ARG", "ACT_EST_MAPPING=PRECISE", "FS=MRC", "CURRENCY=USD", "XLFILL=b")</f>
        <v>#N/A Requesting Data...</v>
      </c>
      <c r="AP158" s="6" t="str">
        <f>_xll.BQL("NOW US Equity", "BS_ACCTS_REC_EXCL_NOTES_REC/1M", "FPR=2021Y", "FPT=A", "FA_ACT_EST_DATA=E, EST_SOURCE=CTI", "ACT_EST_MAPPING=PRECISE", "FS=MRC", "CURRENCY=USD", "XLFILL=b")</f>
        <v>#N/A Requesting Data...</v>
      </c>
      <c r="AQ158" s="6" t="str">
        <f>_xll.BQL("NOW US Equity", "BS_ACCTS_REC_EXCL_NOTES_REC/1M", "FPR=2021Y", "FPT=A", "FA_ACT_EST_DATA=E, EST_SOURCE=WFT", "ACT_EST_MAPPING=PRECISE", "FS=MRC", "CURRENCY=USD", "XLFILL=b")</f>
        <v>#N/A Requesting Data...</v>
      </c>
      <c r="AR158" s="6" t="str">
        <f>_xll.BQL("NOW US Equity", "BS_ACCTS_REC_EXCL_NOTES_REC/1M", "FPR=2021Y", "FPT=A", "FA_ACT_EST_DATA=E, EST_SOURCE=ARE", "ACT_EST_MAPPING=PRECISE", "FS=MRC", "CURRENCY=USD", "XLFILL=b")</f>
        <v>#N/A Requesting Data...</v>
      </c>
      <c r="AS158" s="6" t="str">
        <f>_xll.BQL("NOW US Equity", "BS_ACCTS_REC_EXCL_NOTES_REC/1M", "FPR=2021Y", "FPT=A", "FA_ACT_EST_DATA=E, EST_SOURCE=PJE", "ACT_EST_MAPPING=PRECISE", "FS=MRC", "CURRENCY=USD", "XLFILL=b")</f>
        <v>#N/A Requesting Data...</v>
      </c>
      <c r="AT158" s="6" t="str">
        <f>_xll.BQL("NOW US Equity", "BS_ACCTS_REC_EXCL_NOTES_REC/1M", "FPR=2021Y", "FPT=A", "FA_ACT_EST_DATA=E, EST_SOURCE=MZS", "ACT_EST_MAPPING=PRECISE", "FS=MRC", "CURRENCY=USD", "XLFILL=b")</f>
        <v>#N/A Requesting Data...</v>
      </c>
      <c r="AU158" s="6" t="str">
        <f>_xll.BQL("NOW US Equity", "BS_ACCTS_REC_EXCL_NOTES_REC/1M", "FPR=2021Y", "FPT=A", "FA_ACT_EST_DATA=E, EST_SOURCE=SUM", "ACT_EST_MAPPING=PRECISE", "FS=MRC", "CURRENCY=USD", "XLFILL=b")</f>
        <v>#N/A Requesting Data...</v>
      </c>
      <c r="AV158" s="6" t="str">
        <f>_xll.BQL("NOW US Equity", "BS_ACCTS_REC_EXCL_NOTES_REC/1M", "FPR=2021Y", "FPT=A", "FA_ACT_EST_DATA=E, EST_SOURCE=CRC", "ACT_EST_MAPPING=PRECISE", "FS=MRC", "CURRENCY=USD", "XLFILL=b")</f>
        <v>#N/A Requesting Data...</v>
      </c>
      <c r="AW158" s="6" t="str">
        <f>_xll.BQL("NOW US Equity", "BS_ACCTS_REC_EXCL_NOTES_REC/1M", "FPR=2021Y", "FPT=A", "FA_ACT_EST_DATA=E, EST_SOURCE=SCB", "ACT_EST_MAPPING=PRECISE", "FS=MRC", "CURRENCY=USD", "XLFILL=b")</f>
        <v>#N/A Requesting Data...</v>
      </c>
    </row>
    <row r="159" spans="1:49" x14ac:dyDescent="0.55000000000000004">
      <c r="A159" s="5" t="s">
        <v>267</v>
      </c>
      <c r="B159" s="2" t="s">
        <v>268</v>
      </c>
      <c r="C159" s="2" t="s">
        <v>269</v>
      </c>
      <c r="D159" s="2"/>
      <c r="E159" s="6" t="str">
        <f>_xll.BQL("NOW US Equity", "CB_BS_OTHER_CURRENT_ASSETS/1M", "FPR=2021Y", "FPT=A", "FA_ACT_EST_DATA=E", "ACT_EST_MAPPING=PRECISE", "FS=MRC", "CURRENCY=USD", "XLFILL=b")</f>
        <v>#N/A Requesting Data...</v>
      </c>
      <c r="F159" s="6" t="str">
        <f>_xll.BQL("NOW US Equity", "CONTRIBUTOR_STATS(CB_BS_OTHER_CURRENT_ASSETS, MIN)/1M", "FPR=2021Y", "FPT=A", "FA_ACT_EST_DATA=E", "ACT_EST_MAPPING=PRECISE", "FS=MRC", "CURRENCY=USD", "XLFILL=b")</f>
        <v>#N/A Requesting Data...</v>
      </c>
      <c r="G159" s="6" t="str">
        <f>_xll.BQL("NOW US Equity", "CONTRIBUTOR_STATS(CB_BS_OTHER_CURRENT_ASSETS, MAX)/1M", "FPR=2021Y", "FPT=A", "FA_ACT_EST_DATA=E", "ACT_EST_MAPPING=PRECISE", "FS=MRC", "CURRENCY=USD", "XLFILL=b")</f>
        <v>#N/A Requesting Data...</v>
      </c>
      <c r="H159" s="6" t="str">
        <f>_xll.BQL("NOW US Equity", "CONTRIBUTOR_STATS(CB_BS_OTHER_CURRENT_ASSETS, STD)/1M", "FPR=2021Y", "FPT=A", "FA_ACT_EST_DATA=E", "ACT_EST_MAPPING=PRECISE", "FS=MRC", "CURRENCY=USD", "XLFILL=b")</f>
        <v>#N/A Requesting Data...</v>
      </c>
      <c r="I159" s="6" t="str">
        <f>_xll.BQL("NOW US Equity", "CONTRIBUTOR_STATS(CB_BS_OTHER_CURRENT_ASSETS, MEDIAN)/1M", "FPR=2021Y", "FPT=A", "FA_ACT_EST_DATA=E", "ACT_EST_MAPPING=PRECISE", "FS=MRC", "CURRENCY=USD", "XLFILL=b")</f>
        <v>#N/A Requesting Data...</v>
      </c>
      <c r="J159" s="6" t="str">
        <f>_xll.BQL("NOW US Equity", "CB_BS_OTHER_CURRENT_ASSETS/1M", "FPR=2021Y", "FPT=A", "FA_ACT_EST_DATA=E, EST_SOURCE=CMPY", "ACT_EST_MAPPING=PRECISE", "FS=MRC", "CURRENCY=USD", "XLFILL=b")</f>
        <v>#N/A Requesting Data...</v>
      </c>
      <c r="K159" s="6" t="str">
        <f>_xll.BQL("NOW US Equity", "CB_BS_OTHER_CURRENT_ASSETS/1M", "FPR=2021Y", "FPT=A", "FA_ACT_EST_DATA=E, EST_SOURCE=JPM", "ACT_EST_MAPPING=PRECISE", "FS=MRC", "CURRENCY=USD", "XLFILL=b")</f>
        <v>#N/A Requesting Data...</v>
      </c>
      <c r="L159" s="6" t="str">
        <f>_xll.BQL("NOW US Equity", "CB_BS_OTHER_CURRENT_ASSETS/1M", "FPR=2021Y", "FPT=A", "FA_ACT_EST_DATA=E, EST_SOURCE=WBL", "ACT_EST_MAPPING=PRECISE", "FS=MRC", "CURRENCY=USD", "XLFILL=b")</f>
        <v>#N/A Requesting Data...</v>
      </c>
      <c r="M159" s="6" t="str">
        <f>_xll.BQL("NOW US Equity", "CB_BS_OTHER_CURRENT_ASSETS/1M", "FPR=2021Y", "FPT=A", "FA_ACT_EST_DATA=E, EST_SOURCE=KEY", "ACT_EST_MAPPING=PRECISE", "FS=MRC", "CURRENCY=USD", "XLFILL=b")</f>
        <v>#N/A Requesting Data...</v>
      </c>
      <c r="N159" s="6" t="str">
        <f>_xll.BQL("NOW US Equity", "CB_BS_OTHER_CURRENT_ASSETS/1M", "FPR=2021Y", "FPT=A", "FA_ACT_EST_DATA=E, EST_SOURCE=BMO", "ACT_EST_MAPPING=PRECISE", "FS=MRC", "CURRENCY=USD", "XLFILL=b")</f>
        <v>#N/A Requesting Data...</v>
      </c>
      <c r="O159" s="6" t="str">
        <f>_xll.BQL("NOW US Equity", "CB_BS_OTHER_CURRENT_ASSETS/1M", "FPR=2021Y", "FPT=A", "FA_ACT_EST_DATA=E, EST_SOURCE=OPY", "ACT_EST_MAPPING=PRECISE", "FS=MRC", "CURRENCY=USD", "XLFILL=b")</f>
        <v>#N/A Requesting Data...</v>
      </c>
      <c r="P159" s="6" t="str">
        <f>_xll.BQL("NOW US Equity", "CB_BS_OTHER_CURRENT_ASSETS/1M", "FPR=2021Y", "FPT=A", "FA_ACT_EST_DATA=E, EST_SOURCE=BCA", "ACT_EST_MAPPING=PRECISE", "FS=MRC", "CURRENCY=USD", "XLFILL=b")</f>
        <v>#N/A Requesting Data...</v>
      </c>
      <c r="Q159" s="6" t="str">
        <f>_xll.BQL("NOW US Equity", "CB_BS_OTHER_CURRENT_ASSETS/1M", "FPR=2021Y", "FPT=A", "FA_ACT_EST_DATA=E, EST_SOURCE=RHR", "ACT_EST_MAPPING=PRECISE", "FS=MRC", "CURRENCY=USD", "XLFILL=b")</f>
        <v>#N/A Requesting Data...</v>
      </c>
      <c r="R159" s="6" t="str">
        <f>_xll.BQL("NOW US Equity", "CB_BS_OTHER_CURRENT_ASSETS/1M", "FPR=2021Y", "FPT=A", "FA_ACT_EST_DATA=E, EST_SOURCE=SNR", "ACT_EST_MAPPING=PRECISE", "FS=MRC", "CURRENCY=USD", "XLFILL=b")</f>
        <v>#N/A Requesting Data...</v>
      </c>
      <c r="S159" s="6" t="str">
        <f>_xll.BQL("NOW US Equity", "CB_BS_OTHER_CURRENT_ASSETS/1M", "FPR=2021Y", "FPT=A", "FA_ACT_EST_DATA=E, EST_SOURCE=MSV", "ACT_EST_MAPPING=PRECISE", "FS=MRC", "CURRENCY=USD", "XLFILL=b")</f>
        <v>#N/A Requesting Data...</v>
      </c>
      <c r="T159" s="6" t="str">
        <f>_xll.BQL("NOW US Equity", "CB_BS_OTHER_CURRENT_ASSETS/1M", "FPR=2021Y", "FPT=A", "FA_ACT_EST_DATA=E, EST_SOURCE=CAN", "ACT_EST_MAPPING=PRECISE", "FS=MRC", "CURRENCY=USD", "XLFILL=b")</f>
        <v>#N/A Requesting Data...</v>
      </c>
      <c r="U159" s="6" t="str">
        <f>_xll.BQL("NOW US Equity", "CB_BS_OTHER_CURRENT_ASSETS/1M", "FPR=2021Y", "FPT=A", "FA_ACT_EST_DATA=E, EST_SOURCE=JMP", "ACT_EST_MAPPING=PRECISE", "FS=MRC", "CURRENCY=USD", "XLFILL=b")</f>
        <v>#N/A Requesting Data...</v>
      </c>
      <c r="V159" s="6" t="str">
        <f>_xll.BQL("NOW US Equity", "CB_BS_OTHER_CURRENT_ASSETS/1M", "FPR=2021Y", "FPT=A", "FA_ACT_EST_DATA=E, EST_SOURCE=NDH", "ACT_EST_MAPPING=PRECISE", "FS=MRC", "CURRENCY=USD", "XLFILL=b")</f>
        <v>#N/A Requesting Data...</v>
      </c>
      <c r="W159" s="6" t="str">
        <f>_xll.BQL("NOW US Equity", "CB_BS_OTHER_CURRENT_ASSETS/1M", "FPR=2021Y", "FPT=A", "FA_ACT_EST_DATA=E, EST_SOURCE=ZXS", "ACT_EST_MAPPING=PRECISE", "FS=MRC", "CURRENCY=USD", "XLFILL=b")</f>
        <v>#N/A Requesting Data...</v>
      </c>
      <c r="X159" s="6" t="str">
        <f>_xll.BQL("NOW US Equity", "CB_BS_OTHER_CURRENT_ASSETS/1M", "FPR=2021Y", "FPT=A", "FA_ACT_EST_DATA=E, EST_SOURCE=CWN", "ACT_EST_MAPPING=PRECISE", "FS=MRC", "CURRENCY=USD", "XLFILL=b")</f>
        <v>#N/A Requesting Data...</v>
      </c>
      <c r="Y159" s="6" t="str">
        <f>_xll.BQL("NOW US Equity", "CB_BS_OTHER_CURRENT_ASSETS/1M", "FPR=2021Y", "FPT=A", "FA_ACT_EST_DATA=E, EST_SOURCE=DBG", "ACT_EST_MAPPING=PRECISE", "FS=MRC", "CURRENCY=USD", "XLFILL=b")</f>
        <v>#N/A Requesting Data...</v>
      </c>
      <c r="Z159" s="6" t="str">
        <f>_xll.BQL("NOW US Equity", "CB_BS_OTHER_CURRENT_ASSETS/1M", "FPR=2021Y", "FPT=A", "FA_ACT_EST_DATA=E, EST_SOURCE=UBS", "ACT_EST_MAPPING=PRECISE", "FS=MRC", "CURRENCY=USD", "XLFILL=b")</f>
        <v>#N/A Requesting Data...</v>
      </c>
      <c r="AA159" s="6" t="str">
        <f>_xll.BQL("NOW US Equity", "CB_BS_OTHER_CURRENT_ASSETS/1M", "FPR=2021Y", "FPT=A", "FA_ACT_EST_DATA=E, EST_SOURCE=RBC", "ACT_EST_MAPPING=PRECISE", "FS=MRC", "CURRENCY=USD", "XLFILL=b")</f>
        <v>#N/A Requesting Data...</v>
      </c>
      <c r="AB159" s="6" t="str">
        <f>_xll.BQL("NOW US Equity", "CB_BS_OTHER_CURRENT_ASSETS/1M", "FPR=2021Y", "FPT=A", "FA_ACT_EST_DATA=E, EST_SOURCE=EVR", "ACT_EST_MAPPING=PRECISE", "FS=MRC", "CURRENCY=USD", "XLFILL=b")</f>
        <v>#N/A Requesting Data...</v>
      </c>
      <c r="AC159" s="6" t="str">
        <f>_xll.BQL("NOW US Equity", "CB_BS_OTHER_CURRENT_ASSETS/1M", "FPR=2021Y", "FPT=A", "FA_ACT_EST_DATA=E, EST_SOURCE=BNS", "ACT_EST_MAPPING=PRECISE", "FS=MRC", "CURRENCY=USD", "XLFILL=b")</f>
        <v>#N/A Requesting Data...</v>
      </c>
      <c r="AD159" s="6" t="str">
        <f>_xll.BQL("NOW US Equity", "CB_BS_OTHER_CURRENT_ASSETS/1M", "FPR=2021Y", "FPT=A", "FA_ACT_EST_DATA=E, EST_SOURCE=BAM", "ACT_EST_MAPPING=PRECISE", "FS=MRC", "CURRENCY=USD", "XLFILL=b")</f>
        <v>#N/A Requesting Data...</v>
      </c>
      <c r="AE159" s="6" t="str">
        <f>_xll.BQL("NOW US Equity", "CB_BS_OTHER_CURRENT_ASSETS/1M", "FPR=2021Y", "FPT=A", "FA_ACT_EST_DATA=E, EST_SOURCE=GSR", "ACT_EST_MAPPING=PRECISE", "FS=MRC", "CURRENCY=USD", "XLFILL=b")</f>
        <v>#N/A Requesting Data...</v>
      </c>
      <c r="AF159" s="6" t="str">
        <f>_xll.BQL("NOW US Equity", "CB_BS_OTHER_CURRENT_ASSETS/1M", "FPR=2021Y", "FPT=A", "FA_ACT_EST_DATA=E, EST_SOURCE=FBC", "ACT_EST_MAPPING=PRECISE", "FS=MRC", "CURRENCY=USD", "XLFILL=b")</f>
        <v>#N/A Requesting Data...</v>
      </c>
      <c r="AG159" s="6" t="str">
        <f>_xll.BQL("NOW US Equity", "CB_BS_OTHER_CURRENT_ASSETS/1M", "FPR=2021Y", "FPT=A", "FA_ACT_EST_DATA=E, EST_SOURCE=MAC", "ACT_EST_MAPPING=PRECISE", "FS=MRC", "CURRENCY=USD", "XLFILL=b")</f>
        <v>#N/A Requesting Data...</v>
      </c>
      <c r="AH159" s="6" t="str">
        <f>_xll.BQL("NOW US Equity", "CB_BS_OTHER_CURRENT_ASSETS/1M", "FPR=2021Y", "FPT=A", "FA_ACT_EST_DATA=E, EST_SOURCE=PSG", "ACT_EST_MAPPING=PRECISE", "FS=MRC", "CURRENCY=USD", "XLFILL=b")</f>
        <v>#N/A Requesting Data...</v>
      </c>
      <c r="AI159" s="6" t="str">
        <f>_xll.BQL("NOW US Equity", "CB_BS_OTHER_CURRENT_ASSETS/1M", "FPR=2021Y", "FPT=A", "FA_ACT_EST_DATA=E, EST_SOURCE=MSR", "ACT_EST_MAPPING=PRECISE", "FS=MRC", "CURRENCY=USD", "XLFILL=b")</f>
        <v>#N/A Requesting Data...</v>
      </c>
      <c r="AJ159" s="6" t="str">
        <f>_xll.BQL("NOW US Equity", "CB_BS_OTHER_CURRENT_ASSETS/1M", "FPR=2021Y", "FPT=A", "FA_ACT_EST_DATA=E, EST_SOURCE=JEF", "ACT_EST_MAPPING=PRECISE", "FS=MRC", "CURRENCY=USD", "XLFILL=b")</f>
        <v>#N/A Requesting Data...</v>
      </c>
      <c r="AK159" s="6" t="str">
        <f>_xll.BQL("NOW US Equity", "CB_BS_OTHER_CURRENT_ASSETS/1M", "FPR=2021Y", "FPT=A", "FA_ACT_EST_DATA=E, EST_SOURCE=TTC", "ACT_EST_MAPPING=PRECISE", "FS=MRC", "CURRENCY=USD", "XLFILL=b")</f>
        <v>#N/A Requesting Data...</v>
      </c>
      <c r="AL159" s="6" t="str">
        <f>_xll.BQL("NOW US Equity", "CB_BS_OTHER_CURRENT_ASSETS/1M", "FPR=2021Y", "FPT=A", "FA_ACT_EST_DATA=E, EST_SOURCE=RWB", "ACT_EST_MAPPING=PRECISE", "FS=MRC", "CURRENCY=USD", "XLFILL=b")</f>
        <v>#N/A Requesting Data...</v>
      </c>
      <c r="AM159" s="6" t="str">
        <f>_xll.BQL("NOW US Equity", "CB_BS_OTHER_CURRENT_ASSETS/1M", "FPR=2021Y", "FPT=A", "FA_ACT_EST_DATA=E, EST_SOURCE=DZB", "ACT_EST_MAPPING=PRECISE", "FS=MRC", "CURRENCY=USD", "XLFILL=b")</f>
        <v>#N/A Requesting Data...</v>
      </c>
      <c r="AN159" s="6" t="str">
        <f>_xll.BQL("NOW US Equity", "CB_BS_OTHER_CURRENT_ASSETS/1M", "FPR=2021Y", "FPT=A", "FA_ACT_EST_DATA=E, EST_SOURCE=DWI", "ACT_EST_MAPPING=PRECISE", "FS=MRC", "CURRENCY=USD", "XLFILL=b")</f>
        <v>#N/A Requesting Data...</v>
      </c>
      <c r="AO159" s="6" t="str">
        <f>_xll.BQL("NOW US Equity", "CB_BS_OTHER_CURRENT_ASSETS/1M", "FPR=2021Y", "FPT=A", "FA_ACT_EST_DATA=E, EST_SOURCE=ARG", "ACT_EST_MAPPING=PRECISE", "FS=MRC", "CURRENCY=USD", "XLFILL=b")</f>
        <v>#N/A Requesting Data...</v>
      </c>
      <c r="AP159" s="6" t="str">
        <f>_xll.BQL("NOW US Equity", "CB_BS_OTHER_CURRENT_ASSETS/1M", "FPR=2021Y", "FPT=A", "FA_ACT_EST_DATA=E, EST_SOURCE=CTI", "ACT_EST_MAPPING=PRECISE", "FS=MRC", "CURRENCY=USD", "XLFILL=b")</f>
        <v>#N/A Requesting Data...</v>
      </c>
      <c r="AQ159" s="6" t="str">
        <f>_xll.BQL("NOW US Equity", "CB_BS_OTHER_CURRENT_ASSETS/1M", "FPR=2021Y", "FPT=A", "FA_ACT_EST_DATA=E, EST_SOURCE=WFT", "ACT_EST_MAPPING=PRECISE", "FS=MRC", "CURRENCY=USD", "XLFILL=b")</f>
        <v>#N/A Requesting Data...</v>
      </c>
      <c r="AR159" s="6" t="str">
        <f>_xll.BQL("NOW US Equity", "CB_BS_OTHER_CURRENT_ASSETS/1M", "FPR=2021Y", "FPT=A", "FA_ACT_EST_DATA=E, EST_SOURCE=ARE", "ACT_EST_MAPPING=PRECISE", "FS=MRC", "CURRENCY=USD", "XLFILL=b")</f>
        <v>#N/A Requesting Data...</v>
      </c>
      <c r="AS159" s="6" t="str">
        <f>_xll.BQL("NOW US Equity", "CB_BS_OTHER_CURRENT_ASSETS/1M", "FPR=2021Y", "FPT=A", "FA_ACT_EST_DATA=E, EST_SOURCE=PJE", "ACT_EST_MAPPING=PRECISE", "FS=MRC", "CURRENCY=USD", "XLFILL=b")</f>
        <v>#N/A Requesting Data...</v>
      </c>
      <c r="AT159" s="6" t="str">
        <f>_xll.BQL("NOW US Equity", "CB_BS_OTHER_CURRENT_ASSETS/1M", "FPR=2021Y", "FPT=A", "FA_ACT_EST_DATA=E, EST_SOURCE=MZS", "ACT_EST_MAPPING=PRECISE", "FS=MRC", "CURRENCY=USD", "XLFILL=b")</f>
        <v>#N/A Requesting Data...</v>
      </c>
      <c r="AU159" s="6" t="str">
        <f>_xll.BQL("NOW US Equity", "CB_BS_OTHER_CURRENT_ASSETS/1M", "FPR=2021Y", "FPT=A", "FA_ACT_EST_DATA=E, EST_SOURCE=SUM", "ACT_EST_MAPPING=PRECISE", "FS=MRC", "CURRENCY=USD", "XLFILL=b")</f>
        <v>#N/A Requesting Data...</v>
      </c>
      <c r="AV159" s="6" t="str">
        <f>_xll.BQL("NOW US Equity", "CB_BS_OTHER_CURRENT_ASSETS/1M", "FPR=2021Y", "FPT=A", "FA_ACT_EST_DATA=E, EST_SOURCE=CRC", "ACT_EST_MAPPING=PRECISE", "FS=MRC", "CURRENCY=USD", "XLFILL=b")</f>
        <v>#N/A Requesting Data...</v>
      </c>
      <c r="AW159" s="6" t="str">
        <f>_xll.BQL("NOW US Equity", "CB_BS_OTHER_CURRENT_ASSETS/1M", "FPR=2021Y", "FPT=A", "FA_ACT_EST_DATA=E, EST_SOURCE=SCB", "ACT_EST_MAPPING=PRECISE", "FS=MRC", "CURRENCY=USD", "XLFILL=b")</f>
        <v>#N/A Requesting Data...</v>
      </c>
    </row>
    <row r="160" spans="1:49" x14ac:dyDescent="0.55000000000000004">
      <c r="A160" s="5" t="s">
        <v>270</v>
      </c>
      <c r="B160" s="2" t="s">
        <v>271</v>
      </c>
      <c r="C160" s="2" t="s">
        <v>272</v>
      </c>
      <c r="D160" s="2"/>
      <c r="E160" s="6" t="str">
        <f>_xll.BQL("NOW US Equity", "PREPAID_EXPNSS_AND_OTHR/1M", "FPR=2021Y", "FPT=A", "FA_ACT_EST_DATA=E", "ACT_EST_MAPPING=PRECISE", "FS=MRC", "CURRENCY=USD", "XLFILL=b")</f>
        <v>#N/A Requesting Data...</v>
      </c>
      <c r="F160" s="6" t="str">
        <f>_xll.BQL("NOW US Equity", "CONTRIBUTOR_STATS(PREPAID_EXPNSS_AND_OTHR, MIN)/1M", "FPR=2021Y", "FPT=A", "FA_ACT_EST_DATA=E", "ACT_EST_MAPPING=PRECISE", "FS=MRC", "CURRENCY=USD", "XLFILL=b")</f>
        <v>#N/A Requesting Data...</v>
      </c>
      <c r="G160" s="6" t="str">
        <f>_xll.BQL("NOW US Equity", "CONTRIBUTOR_STATS(PREPAID_EXPNSS_AND_OTHR, MAX)/1M", "FPR=2021Y", "FPT=A", "FA_ACT_EST_DATA=E", "ACT_EST_MAPPING=PRECISE", "FS=MRC", "CURRENCY=USD", "XLFILL=b")</f>
        <v>#N/A Requesting Data...</v>
      </c>
      <c r="H160" s="6" t="str">
        <f>_xll.BQL("NOW US Equity", "CONTRIBUTOR_STATS(PREPAID_EXPNSS_AND_OTHR, STD)/1M", "FPR=2021Y", "FPT=A", "FA_ACT_EST_DATA=E", "ACT_EST_MAPPING=PRECISE", "FS=MRC", "CURRENCY=USD", "XLFILL=b")</f>
        <v>#N/A Requesting Data...</v>
      </c>
      <c r="I160" s="6" t="str">
        <f>_xll.BQL("NOW US Equity", "CONTRIBUTOR_STATS(PREPAID_EXPNSS_AND_OTHR, MEDIAN)/1M", "FPR=2021Y", "FPT=A", "FA_ACT_EST_DATA=E", "ACT_EST_MAPPING=PRECISE", "FS=MRC", "CURRENCY=USD", "XLFILL=b")</f>
        <v>#N/A Requesting Data...</v>
      </c>
      <c r="J160" s="6" t="str">
        <f>_xll.BQL("NOW US Equity", "PREPAID_EXPNSS_AND_OTHR/1M", "FPR=2021Y", "FPT=A", "FA_ACT_EST_DATA=E, EST_SOURCE=CMPY", "ACT_EST_MAPPING=PRECISE", "FS=MRC", "CURRENCY=USD", "XLFILL=b")</f>
        <v>#N/A Requesting Data...</v>
      </c>
      <c r="K160" s="6" t="str">
        <f>_xll.BQL("NOW US Equity", "PREPAID_EXPNSS_AND_OTHR/1M", "FPR=2021Y", "FPT=A", "FA_ACT_EST_DATA=E, EST_SOURCE=JPM", "ACT_EST_MAPPING=PRECISE", "FS=MRC", "CURRENCY=USD", "XLFILL=b")</f>
        <v>#N/A Requesting Data...</v>
      </c>
      <c r="L160" s="6" t="str">
        <f>_xll.BQL("NOW US Equity", "PREPAID_EXPNSS_AND_OTHR/1M", "FPR=2021Y", "FPT=A", "FA_ACT_EST_DATA=E, EST_SOURCE=WBL", "ACT_EST_MAPPING=PRECISE", "FS=MRC", "CURRENCY=USD", "XLFILL=b")</f>
        <v>#N/A Requesting Data...</v>
      </c>
      <c r="M160" s="6" t="str">
        <f>_xll.BQL("NOW US Equity", "PREPAID_EXPNSS_AND_OTHR/1M", "FPR=2021Y", "FPT=A", "FA_ACT_EST_DATA=E, EST_SOURCE=KEY", "ACT_EST_MAPPING=PRECISE", "FS=MRC", "CURRENCY=USD", "XLFILL=b")</f>
        <v>#N/A Requesting Data...</v>
      </c>
      <c r="N160" s="6" t="str">
        <f>_xll.BQL("NOW US Equity", "PREPAID_EXPNSS_AND_OTHR/1M", "FPR=2021Y", "FPT=A", "FA_ACT_EST_DATA=E, EST_SOURCE=BMO", "ACT_EST_MAPPING=PRECISE", "FS=MRC", "CURRENCY=USD", "XLFILL=b")</f>
        <v>#N/A Requesting Data...</v>
      </c>
      <c r="O160" s="6" t="str">
        <f>_xll.BQL("NOW US Equity", "PREPAID_EXPNSS_AND_OTHR/1M", "FPR=2021Y", "FPT=A", "FA_ACT_EST_DATA=E, EST_SOURCE=OPY", "ACT_EST_MAPPING=PRECISE", "FS=MRC", "CURRENCY=USD", "XLFILL=b")</f>
        <v>#N/A Requesting Data...</v>
      </c>
      <c r="P160" s="6" t="str">
        <f>_xll.BQL("NOW US Equity", "PREPAID_EXPNSS_AND_OTHR/1M", "FPR=2021Y", "FPT=A", "FA_ACT_EST_DATA=E, EST_SOURCE=BCA", "ACT_EST_MAPPING=PRECISE", "FS=MRC", "CURRENCY=USD", "XLFILL=b")</f>
        <v>#N/A Requesting Data...</v>
      </c>
      <c r="Q160" s="6" t="str">
        <f>_xll.BQL("NOW US Equity", "PREPAID_EXPNSS_AND_OTHR/1M", "FPR=2021Y", "FPT=A", "FA_ACT_EST_DATA=E, EST_SOURCE=RHR", "ACT_EST_MAPPING=PRECISE", "FS=MRC", "CURRENCY=USD", "XLFILL=b")</f>
        <v>#N/A Requesting Data...</v>
      </c>
      <c r="R160" s="6" t="str">
        <f>_xll.BQL("NOW US Equity", "PREPAID_EXPNSS_AND_OTHR/1M", "FPR=2021Y", "FPT=A", "FA_ACT_EST_DATA=E, EST_SOURCE=SNR", "ACT_EST_MAPPING=PRECISE", "FS=MRC", "CURRENCY=USD", "XLFILL=b")</f>
        <v>#N/A Requesting Data...</v>
      </c>
      <c r="S160" s="6" t="str">
        <f>_xll.BQL("NOW US Equity", "PREPAID_EXPNSS_AND_OTHR/1M", "FPR=2021Y", "FPT=A", "FA_ACT_EST_DATA=E, EST_SOURCE=MSV", "ACT_EST_MAPPING=PRECISE", "FS=MRC", "CURRENCY=USD", "XLFILL=b")</f>
        <v>#N/A Requesting Data...</v>
      </c>
      <c r="T160" s="6" t="str">
        <f>_xll.BQL("NOW US Equity", "PREPAID_EXPNSS_AND_OTHR/1M", "FPR=2021Y", "FPT=A", "FA_ACT_EST_DATA=E, EST_SOURCE=CAN", "ACT_EST_MAPPING=PRECISE", "FS=MRC", "CURRENCY=USD", "XLFILL=b")</f>
        <v>#N/A Requesting Data...</v>
      </c>
      <c r="U160" s="6" t="str">
        <f>_xll.BQL("NOW US Equity", "PREPAID_EXPNSS_AND_OTHR/1M", "FPR=2021Y", "FPT=A", "FA_ACT_EST_DATA=E, EST_SOURCE=JMP", "ACT_EST_MAPPING=PRECISE", "FS=MRC", "CURRENCY=USD", "XLFILL=b")</f>
        <v>#N/A Requesting Data...</v>
      </c>
      <c r="V160" s="6" t="str">
        <f>_xll.BQL("NOW US Equity", "PREPAID_EXPNSS_AND_OTHR/1M", "FPR=2021Y", "FPT=A", "FA_ACT_EST_DATA=E, EST_SOURCE=NDH", "ACT_EST_MAPPING=PRECISE", "FS=MRC", "CURRENCY=USD", "XLFILL=b")</f>
        <v>#N/A Requesting Data...</v>
      </c>
      <c r="W160" s="6" t="str">
        <f>_xll.BQL("NOW US Equity", "PREPAID_EXPNSS_AND_OTHR/1M", "FPR=2021Y", "FPT=A", "FA_ACT_EST_DATA=E, EST_SOURCE=ZXS", "ACT_EST_MAPPING=PRECISE", "FS=MRC", "CURRENCY=USD", "XLFILL=b")</f>
        <v>#N/A Requesting Data...</v>
      </c>
      <c r="X160" s="6" t="str">
        <f>_xll.BQL("NOW US Equity", "PREPAID_EXPNSS_AND_OTHR/1M", "FPR=2021Y", "FPT=A", "FA_ACT_EST_DATA=E, EST_SOURCE=CWN", "ACT_EST_MAPPING=PRECISE", "FS=MRC", "CURRENCY=USD", "XLFILL=b")</f>
        <v>#N/A Requesting Data...</v>
      </c>
      <c r="Y160" s="6" t="str">
        <f>_xll.BQL("NOW US Equity", "PREPAID_EXPNSS_AND_OTHR/1M", "FPR=2021Y", "FPT=A", "FA_ACT_EST_DATA=E, EST_SOURCE=DBG", "ACT_EST_MAPPING=PRECISE", "FS=MRC", "CURRENCY=USD", "XLFILL=b")</f>
        <v>#N/A Requesting Data...</v>
      </c>
      <c r="Z160" s="6" t="str">
        <f>_xll.BQL("NOW US Equity", "PREPAID_EXPNSS_AND_OTHR/1M", "FPR=2021Y", "FPT=A", "FA_ACT_EST_DATA=E, EST_SOURCE=UBS", "ACT_EST_MAPPING=PRECISE", "FS=MRC", "CURRENCY=USD", "XLFILL=b")</f>
        <v>#N/A Requesting Data...</v>
      </c>
      <c r="AA160" s="6" t="str">
        <f>_xll.BQL("NOW US Equity", "PREPAID_EXPNSS_AND_OTHR/1M", "FPR=2021Y", "FPT=A", "FA_ACT_EST_DATA=E, EST_SOURCE=RBC", "ACT_EST_MAPPING=PRECISE", "FS=MRC", "CURRENCY=USD", "XLFILL=b")</f>
        <v>#N/A Requesting Data...</v>
      </c>
      <c r="AB160" s="6" t="str">
        <f>_xll.BQL("NOW US Equity", "PREPAID_EXPNSS_AND_OTHR/1M", "FPR=2021Y", "FPT=A", "FA_ACT_EST_DATA=E, EST_SOURCE=EVR", "ACT_EST_MAPPING=PRECISE", "FS=MRC", "CURRENCY=USD", "XLFILL=b")</f>
        <v>#N/A Requesting Data...</v>
      </c>
      <c r="AC160" s="6" t="str">
        <f>_xll.BQL("NOW US Equity", "PREPAID_EXPNSS_AND_OTHR/1M", "FPR=2021Y", "FPT=A", "FA_ACT_EST_DATA=E, EST_SOURCE=BNS", "ACT_EST_MAPPING=PRECISE", "FS=MRC", "CURRENCY=USD", "XLFILL=b")</f>
        <v>#N/A Requesting Data...</v>
      </c>
      <c r="AD160" s="6" t="str">
        <f>_xll.BQL("NOW US Equity", "PREPAID_EXPNSS_AND_OTHR/1M", "FPR=2021Y", "FPT=A", "FA_ACT_EST_DATA=E, EST_SOURCE=BAM", "ACT_EST_MAPPING=PRECISE", "FS=MRC", "CURRENCY=USD", "XLFILL=b")</f>
        <v>#N/A Requesting Data...</v>
      </c>
      <c r="AE160" s="6" t="str">
        <f>_xll.BQL("NOW US Equity", "PREPAID_EXPNSS_AND_OTHR/1M", "FPR=2021Y", "FPT=A", "FA_ACT_EST_DATA=E, EST_SOURCE=GSR", "ACT_EST_MAPPING=PRECISE", "FS=MRC", "CURRENCY=USD", "XLFILL=b")</f>
        <v>#N/A Requesting Data...</v>
      </c>
      <c r="AF160" s="6" t="str">
        <f>_xll.BQL("NOW US Equity", "PREPAID_EXPNSS_AND_OTHR/1M", "FPR=2021Y", "FPT=A", "FA_ACT_EST_DATA=E, EST_SOURCE=FBC", "ACT_EST_MAPPING=PRECISE", "FS=MRC", "CURRENCY=USD", "XLFILL=b")</f>
        <v>#N/A Requesting Data...</v>
      </c>
      <c r="AG160" s="6" t="str">
        <f>_xll.BQL("NOW US Equity", "PREPAID_EXPNSS_AND_OTHR/1M", "FPR=2021Y", "FPT=A", "FA_ACT_EST_DATA=E, EST_SOURCE=MAC", "ACT_EST_MAPPING=PRECISE", "FS=MRC", "CURRENCY=USD", "XLFILL=b")</f>
        <v>#N/A Requesting Data...</v>
      </c>
      <c r="AH160" s="6" t="str">
        <f>_xll.BQL("NOW US Equity", "PREPAID_EXPNSS_AND_OTHR/1M", "FPR=2021Y", "FPT=A", "FA_ACT_EST_DATA=E, EST_SOURCE=PSG", "ACT_EST_MAPPING=PRECISE", "FS=MRC", "CURRENCY=USD", "XLFILL=b")</f>
        <v>#N/A Requesting Data...</v>
      </c>
      <c r="AI160" s="6" t="str">
        <f>_xll.BQL("NOW US Equity", "PREPAID_EXPNSS_AND_OTHR/1M", "FPR=2021Y", "FPT=A", "FA_ACT_EST_DATA=E, EST_SOURCE=MSR", "ACT_EST_MAPPING=PRECISE", "FS=MRC", "CURRENCY=USD", "XLFILL=b")</f>
        <v>#N/A Requesting Data...</v>
      </c>
      <c r="AJ160" s="6" t="str">
        <f>_xll.BQL("NOW US Equity", "PREPAID_EXPNSS_AND_OTHR/1M", "FPR=2021Y", "FPT=A", "FA_ACT_EST_DATA=E, EST_SOURCE=JEF", "ACT_EST_MAPPING=PRECISE", "FS=MRC", "CURRENCY=USD", "XLFILL=b")</f>
        <v>#N/A Requesting Data...</v>
      </c>
      <c r="AK160" s="6" t="str">
        <f>_xll.BQL("NOW US Equity", "PREPAID_EXPNSS_AND_OTHR/1M", "FPR=2021Y", "FPT=A", "FA_ACT_EST_DATA=E, EST_SOURCE=TTC", "ACT_EST_MAPPING=PRECISE", "FS=MRC", "CURRENCY=USD", "XLFILL=b")</f>
        <v>#N/A Requesting Data...</v>
      </c>
      <c r="AL160" s="6" t="str">
        <f>_xll.BQL("NOW US Equity", "PREPAID_EXPNSS_AND_OTHR/1M", "FPR=2021Y", "FPT=A", "FA_ACT_EST_DATA=E, EST_SOURCE=RWB", "ACT_EST_MAPPING=PRECISE", "FS=MRC", "CURRENCY=USD", "XLFILL=b")</f>
        <v>#N/A Requesting Data...</v>
      </c>
      <c r="AM160" s="6" t="str">
        <f>_xll.BQL("NOW US Equity", "PREPAID_EXPNSS_AND_OTHR/1M", "FPR=2021Y", "FPT=A", "FA_ACT_EST_DATA=E, EST_SOURCE=DZB", "ACT_EST_MAPPING=PRECISE", "FS=MRC", "CURRENCY=USD", "XLFILL=b")</f>
        <v>#N/A Requesting Data...</v>
      </c>
      <c r="AN160" s="6" t="str">
        <f>_xll.BQL("NOW US Equity", "PREPAID_EXPNSS_AND_OTHR/1M", "FPR=2021Y", "FPT=A", "FA_ACT_EST_DATA=E, EST_SOURCE=DWI", "ACT_EST_MAPPING=PRECISE", "FS=MRC", "CURRENCY=USD", "XLFILL=b")</f>
        <v>#N/A Requesting Data...</v>
      </c>
      <c r="AO160" s="6" t="str">
        <f>_xll.BQL("NOW US Equity", "PREPAID_EXPNSS_AND_OTHR/1M", "FPR=2021Y", "FPT=A", "FA_ACT_EST_DATA=E, EST_SOURCE=ARG", "ACT_EST_MAPPING=PRECISE", "FS=MRC", "CURRENCY=USD", "XLFILL=b")</f>
        <v>#N/A Requesting Data...</v>
      </c>
      <c r="AP160" s="6" t="str">
        <f>_xll.BQL("NOW US Equity", "PREPAID_EXPNSS_AND_OTHR/1M", "FPR=2021Y", "FPT=A", "FA_ACT_EST_DATA=E, EST_SOURCE=CTI", "ACT_EST_MAPPING=PRECISE", "FS=MRC", "CURRENCY=USD", "XLFILL=b")</f>
        <v>#N/A Requesting Data...</v>
      </c>
      <c r="AQ160" s="6" t="str">
        <f>_xll.BQL("NOW US Equity", "PREPAID_EXPNSS_AND_OTHR/1M", "FPR=2021Y", "FPT=A", "FA_ACT_EST_DATA=E, EST_SOURCE=WFT", "ACT_EST_MAPPING=PRECISE", "FS=MRC", "CURRENCY=USD", "XLFILL=b")</f>
        <v>#N/A Requesting Data...</v>
      </c>
      <c r="AR160" s="6" t="str">
        <f>_xll.BQL("NOW US Equity", "PREPAID_EXPNSS_AND_OTHR/1M", "FPR=2021Y", "FPT=A", "FA_ACT_EST_DATA=E, EST_SOURCE=ARE", "ACT_EST_MAPPING=PRECISE", "FS=MRC", "CURRENCY=USD", "XLFILL=b")</f>
        <v>#N/A Requesting Data...</v>
      </c>
      <c r="AS160" s="6" t="str">
        <f>_xll.BQL("NOW US Equity", "PREPAID_EXPNSS_AND_OTHR/1M", "FPR=2021Y", "FPT=A", "FA_ACT_EST_DATA=E, EST_SOURCE=PJE", "ACT_EST_MAPPING=PRECISE", "FS=MRC", "CURRENCY=USD", "XLFILL=b")</f>
        <v>#N/A Requesting Data...</v>
      </c>
      <c r="AT160" s="6" t="str">
        <f>_xll.BQL("NOW US Equity", "PREPAID_EXPNSS_AND_OTHR/1M", "FPR=2021Y", "FPT=A", "FA_ACT_EST_DATA=E, EST_SOURCE=MZS", "ACT_EST_MAPPING=PRECISE", "FS=MRC", "CURRENCY=USD", "XLFILL=b")</f>
        <v>#N/A Requesting Data...</v>
      </c>
      <c r="AU160" s="6" t="str">
        <f>_xll.BQL("NOW US Equity", "PREPAID_EXPNSS_AND_OTHR/1M", "FPR=2021Y", "FPT=A", "FA_ACT_EST_DATA=E, EST_SOURCE=SUM", "ACT_EST_MAPPING=PRECISE", "FS=MRC", "CURRENCY=USD", "XLFILL=b")</f>
        <v>#N/A Requesting Data...</v>
      </c>
      <c r="AV160" s="6" t="str">
        <f>_xll.BQL("NOW US Equity", "PREPAID_EXPNSS_AND_OTHR/1M", "FPR=2021Y", "FPT=A", "FA_ACT_EST_DATA=E, EST_SOURCE=CRC", "ACT_EST_MAPPING=PRECISE", "FS=MRC", "CURRENCY=USD", "XLFILL=b")</f>
        <v>#N/A Requesting Data...</v>
      </c>
      <c r="AW160" s="6" t="str">
        <f>_xll.BQL("NOW US Equity", "PREPAID_EXPNSS_AND_OTHR/1M", "FPR=2021Y", "FPT=A", "FA_ACT_EST_DATA=E, EST_SOURCE=SCB", "ACT_EST_MAPPING=PRECISE", "FS=MRC", "CURRENCY=USD", "XLFILL=b")</f>
        <v>#N/A Requesting Data...</v>
      </c>
    </row>
    <row r="161" spans="1:49" x14ac:dyDescent="0.55000000000000004">
      <c r="A161" s="5" t="s">
        <v>273</v>
      </c>
      <c r="B161" s="2" t="s">
        <v>274</v>
      </c>
      <c r="C161" s="2" t="s">
        <v>275</v>
      </c>
      <c r="D161" s="2"/>
      <c r="E161" s="6" t="str">
        <f>_xll.BQL("NOW US Equity", "BS_TOTAL_NON_CURRENT_ASSETS/1M", "FPR=2021Y", "FPT=A", "FA_ACT_EST_DATA=E", "ACT_EST_MAPPING=PRECISE", "FS=MRC", "CURRENCY=USD", "XLFILL=b")</f>
        <v>#N/A Requesting Data...</v>
      </c>
      <c r="F161" s="6" t="str">
        <f>_xll.BQL("NOW US Equity", "CONTRIBUTOR_STATS(BS_TOTAL_NON_CURRENT_ASSETS, MIN)/1M", "FPR=2021Y", "FPT=A", "FA_ACT_EST_DATA=E", "ACT_EST_MAPPING=PRECISE", "FS=MRC", "CURRENCY=USD", "XLFILL=b")</f>
        <v>#N/A Requesting Data...</v>
      </c>
      <c r="G161" s="6" t="str">
        <f>_xll.BQL("NOW US Equity", "CONTRIBUTOR_STATS(BS_TOTAL_NON_CURRENT_ASSETS, MAX)/1M", "FPR=2021Y", "FPT=A", "FA_ACT_EST_DATA=E", "ACT_EST_MAPPING=PRECISE", "FS=MRC", "CURRENCY=USD", "XLFILL=b")</f>
        <v>#N/A Requesting Data...</v>
      </c>
      <c r="H161" s="6" t="str">
        <f>_xll.BQL("NOW US Equity", "CONTRIBUTOR_STATS(BS_TOTAL_NON_CURRENT_ASSETS, STD)/1M", "FPR=2021Y", "FPT=A", "FA_ACT_EST_DATA=E", "ACT_EST_MAPPING=PRECISE", "FS=MRC", "CURRENCY=USD", "XLFILL=b")</f>
        <v>#N/A Requesting Data...</v>
      </c>
      <c r="I161" s="6" t="str">
        <f>_xll.BQL("NOW US Equity", "CONTRIBUTOR_STATS(BS_TOTAL_NON_CURRENT_ASSETS, MEDIAN)/1M", "FPR=2021Y", "FPT=A", "FA_ACT_EST_DATA=E", "ACT_EST_MAPPING=PRECISE", "FS=MRC", "CURRENCY=USD", "XLFILL=b")</f>
        <v>#N/A Requesting Data...</v>
      </c>
      <c r="J161" s="6" t="str">
        <f>_xll.BQL("NOW US Equity", "BS_TOTAL_NON_CURRENT_ASSETS/1M", "FPR=2021Y", "FPT=A", "FA_ACT_EST_DATA=E, EST_SOURCE=CMPY", "ACT_EST_MAPPING=PRECISE", "FS=MRC", "CURRENCY=USD", "XLFILL=b")</f>
        <v>#N/A Requesting Data...</v>
      </c>
      <c r="K161" s="6" t="str">
        <f>_xll.BQL("NOW US Equity", "BS_TOTAL_NON_CURRENT_ASSETS/1M", "FPR=2021Y", "FPT=A", "FA_ACT_EST_DATA=E, EST_SOURCE=JPM", "ACT_EST_MAPPING=PRECISE", "FS=MRC", "CURRENCY=USD", "XLFILL=b")</f>
        <v>#N/A Requesting Data...</v>
      </c>
      <c r="L161" s="6" t="str">
        <f>_xll.BQL("NOW US Equity", "BS_TOTAL_NON_CURRENT_ASSETS/1M", "FPR=2021Y", "FPT=A", "FA_ACT_EST_DATA=E, EST_SOURCE=WBL", "ACT_EST_MAPPING=PRECISE", "FS=MRC", "CURRENCY=USD", "XLFILL=b")</f>
        <v>#N/A Requesting Data...</v>
      </c>
      <c r="M161" s="6" t="str">
        <f>_xll.BQL("NOW US Equity", "BS_TOTAL_NON_CURRENT_ASSETS/1M", "FPR=2021Y", "FPT=A", "FA_ACT_EST_DATA=E, EST_SOURCE=KEY", "ACT_EST_MAPPING=PRECISE", "FS=MRC", "CURRENCY=USD", "XLFILL=b")</f>
        <v>#N/A Requesting Data...</v>
      </c>
      <c r="N161" s="6" t="str">
        <f>_xll.BQL("NOW US Equity", "BS_TOTAL_NON_CURRENT_ASSETS/1M", "FPR=2021Y", "FPT=A", "FA_ACT_EST_DATA=E, EST_SOURCE=BMO", "ACT_EST_MAPPING=PRECISE", "FS=MRC", "CURRENCY=USD", "XLFILL=b")</f>
        <v>#N/A Requesting Data...</v>
      </c>
      <c r="O161" s="6" t="str">
        <f>_xll.BQL("NOW US Equity", "BS_TOTAL_NON_CURRENT_ASSETS/1M", "FPR=2021Y", "FPT=A", "FA_ACT_EST_DATA=E, EST_SOURCE=OPY", "ACT_EST_MAPPING=PRECISE", "FS=MRC", "CURRENCY=USD", "XLFILL=b")</f>
        <v>#N/A Requesting Data...</v>
      </c>
      <c r="P161" s="6" t="str">
        <f>_xll.BQL("NOW US Equity", "BS_TOTAL_NON_CURRENT_ASSETS/1M", "FPR=2021Y", "FPT=A", "FA_ACT_EST_DATA=E, EST_SOURCE=BCA", "ACT_EST_MAPPING=PRECISE", "FS=MRC", "CURRENCY=USD", "XLFILL=b")</f>
        <v>#N/A Requesting Data...</v>
      </c>
      <c r="Q161" s="6" t="str">
        <f>_xll.BQL("NOW US Equity", "BS_TOTAL_NON_CURRENT_ASSETS/1M", "FPR=2021Y", "FPT=A", "FA_ACT_EST_DATA=E, EST_SOURCE=RHR", "ACT_EST_MAPPING=PRECISE", "FS=MRC", "CURRENCY=USD", "XLFILL=b")</f>
        <v>#N/A Requesting Data...</v>
      </c>
      <c r="R161" s="6" t="str">
        <f>_xll.BQL("NOW US Equity", "BS_TOTAL_NON_CURRENT_ASSETS/1M", "FPR=2021Y", "FPT=A", "FA_ACT_EST_DATA=E, EST_SOURCE=SNR", "ACT_EST_MAPPING=PRECISE", "FS=MRC", "CURRENCY=USD", "XLFILL=b")</f>
        <v>#N/A Requesting Data...</v>
      </c>
      <c r="S161" s="6" t="str">
        <f>_xll.BQL("NOW US Equity", "BS_TOTAL_NON_CURRENT_ASSETS/1M", "FPR=2021Y", "FPT=A", "FA_ACT_EST_DATA=E, EST_SOURCE=MSV", "ACT_EST_MAPPING=PRECISE", "FS=MRC", "CURRENCY=USD", "XLFILL=b")</f>
        <v>#N/A Requesting Data...</v>
      </c>
      <c r="T161" s="6" t="str">
        <f>_xll.BQL("NOW US Equity", "BS_TOTAL_NON_CURRENT_ASSETS/1M", "FPR=2021Y", "FPT=A", "FA_ACT_EST_DATA=E, EST_SOURCE=CAN", "ACT_EST_MAPPING=PRECISE", "FS=MRC", "CURRENCY=USD", "XLFILL=b")</f>
        <v>#N/A Requesting Data...</v>
      </c>
      <c r="U161" s="6" t="str">
        <f>_xll.BQL("NOW US Equity", "BS_TOTAL_NON_CURRENT_ASSETS/1M", "FPR=2021Y", "FPT=A", "FA_ACT_EST_DATA=E, EST_SOURCE=JMP", "ACT_EST_MAPPING=PRECISE", "FS=MRC", "CURRENCY=USD", "XLFILL=b")</f>
        <v>#N/A Requesting Data...</v>
      </c>
      <c r="V161" s="6" t="str">
        <f>_xll.BQL("NOW US Equity", "BS_TOTAL_NON_CURRENT_ASSETS/1M", "FPR=2021Y", "FPT=A", "FA_ACT_EST_DATA=E, EST_SOURCE=NDH", "ACT_EST_MAPPING=PRECISE", "FS=MRC", "CURRENCY=USD", "XLFILL=b")</f>
        <v>#N/A Requesting Data...</v>
      </c>
      <c r="W161" s="6" t="str">
        <f>_xll.BQL("NOW US Equity", "BS_TOTAL_NON_CURRENT_ASSETS/1M", "FPR=2021Y", "FPT=A", "FA_ACT_EST_DATA=E, EST_SOURCE=ZXS", "ACT_EST_MAPPING=PRECISE", "FS=MRC", "CURRENCY=USD", "XLFILL=b")</f>
        <v>#N/A Requesting Data...</v>
      </c>
      <c r="X161" s="6" t="str">
        <f>_xll.BQL("NOW US Equity", "BS_TOTAL_NON_CURRENT_ASSETS/1M", "FPR=2021Y", "FPT=A", "FA_ACT_EST_DATA=E, EST_SOURCE=CWN", "ACT_EST_MAPPING=PRECISE", "FS=MRC", "CURRENCY=USD", "XLFILL=b")</f>
        <v>#N/A Requesting Data...</v>
      </c>
      <c r="Y161" s="6" t="str">
        <f>_xll.BQL("NOW US Equity", "BS_TOTAL_NON_CURRENT_ASSETS/1M", "FPR=2021Y", "FPT=A", "FA_ACT_EST_DATA=E, EST_SOURCE=DBG", "ACT_EST_MAPPING=PRECISE", "FS=MRC", "CURRENCY=USD", "XLFILL=b")</f>
        <v>#N/A Requesting Data...</v>
      </c>
      <c r="Z161" s="6" t="str">
        <f>_xll.BQL("NOW US Equity", "BS_TOTAL_NON_CURRENT_ASSETS/1M", "FPR=2021Y", "FPT=A", "FA_ACT_EST_DATA=E, EST_SOURCE=UBS", "ACT_EST_MAPPING=PRECISE", "FS=MRC", "CURRENCY=USD", "XLFILL=b")</f>
        <v>#N/A Requesting Data...</v>
      </c>
      <c r="AA161" s="6" t="str">
        <f>_xll.BQL("NOW US Equity", "BS_TOTAL_NON_CURRENT_ASSETS/1M", "FPR=2021Y", "FPT=A", "FA_ACT_EST_DATA=E, EST_SOURCE=RBC", "ACT_EST_MAPPING=PRECISE", "FS=MRC", "CURRENCY=USD", "XLFILL=b")</f>
        <v>#N/A Requesting Data...</v>
      </c>
      <c r="AB161" s="6" t="str">
        <f>_xll.BQL("NOW US Equity", "BS_TOTAL_NON_CURRENT_ASSETS/1M", "FPR=2021Y", "FPT=A", "FA_ACT_EST_DATA=E, EST_SOURCE=EVR", "ACT_EST_MAPPING=PRECISE", "FS=MRC", "CURRENCY=USD", "XLFILL=b")</f>
        <v>#N/A Requesting Data...</v>
      </c>
      <c r="AC161" s="6" t="str">
        <f>_xll.BQL("NOW US Equity", "BS_TOTAL_NON_CURRENT_ASSETS/1M", "FPR=2021Y", "FPT=A", "FA_ACT_EST_DATA=E, EST_SOURCE=BNS", "ACT_EST_MAPPING=PRECISE", "FS=MRC", "CURRENCY=USD", "XLFILL=b")</f>
        <v>#N/A Requesting Data...</v>
      </c>
      <c r="AD161" s="6" t="str">
        <f>_xll.BQL("NOW US Equity", "BS_TOTAL_NON_CURRENT_ASSETS/1M", "FPR=2021Y", "FPT=A", "FA_ACT_EST_DATA=E, EST_SOURCE=BAM", "ACT_EST_MAPPING=PRECISE", "FS=MRC", "CURRENCY=USD", "XLFILL=b")</f>
        <v>#N/A Requesting Data...</v>
      </c>
      <c r="AE161" s="6" t="str">
        <f>_xll.BQL("NOW US Equity", "BS_TOTAL_NON_CURRENT_ASSETS/1M", "FPR=2021Y", "FPT=A", "FA_ACT_EST_DATA=E, EST_SOURCE=GSR", "ACT_EST_MAPPING=PRECISE", "FS=MRC", "CURRENCY=USD", "XLFILL=b")</f>
        <v>#N/A Requesting Data...</v>
      </c>
      <c r="AF161" s="6" t="str">
        <f>_xll.BQL("NOW US Equity", "BS_TOTAL_NON_CURRENT_ASSETS/1M", "FPR=2021Y", "FPT=A", "FA_ACT_EST_DATA=E, EST_SOURCE=FBC", "ACT_EST_MAPPING=PRECISE", "FS=MRC", "CURRENCY=USD", "XLFILL=b")</f>
        <v>#N/A Requesting Data...</v>
      </c>
      <c r="AG161" s="6" t="str">
        <f>_xll.BQL("NOW US Equity", "BS_TOTAL_NON_CURRENT_ASSETS/1M", "FPR=2021Y", "FPT=A", "FA_ACT_EST_DATA=E, EST_SOURCE=MAC", "ACT_EST_MAPPING=PRECISE", "FS=MRC", "CURRENCY=USD", "XLFILL=b")</f>
        <v>#N/A Requesting Data...</v>
      </c>
      <c r="AH161" s="6" t="str">
        <f>_xll.BQL("NOW US Equity", "BS_TOTAL_NON_CURRENT_ASSETS/1M", "FPR=2021Y", "FPT=A", "FA_ACT_EST_DATA=E, EST_SOURCE=PSG", "ACT_EST_MAPPING=PRECISE", "FS=MRC", "CURRENCY=USD", "XLFILL=b")</f>
        <v>#N/A Requesting Data...</v>
      </c>
      <c r="AI161" s="6" t="str">
        <f>_xll.BQL("NOW US Equity", "BS_TOTAL_NON_CURRENT_ASSETS/1M", "FPR=2021Y", "FPT=A", "FA_ACT_EST_DATA=E, EST_SOURCE=MSR", "ACT_EST_MAPPING=PRECISE", "FS=MRC", "CURRENCY=USD", "XLFILL=b")</f>
        <v>#N/A Requesting Data...</v>
      </c>
      <c r="AJ161" s="6" t="str">
        <f>_xll.BQL("NOW US Equity", "BS_TOTAL_NON_CURRENT_ASSETS/1M", "FPR=2021Y", "FPT=A", "FA_ACT_EST_DATA=E, EST_SOURCE=JEF", "ACT_EST_MAPPING=PRECISE", "FS=MRC", "CURRENCY=USD", "XLFILL=b")</f>
        <v>#N/A Requesting Data...</v>
      </c>
      <c r="AK161" s="6" t="str">
        <f>_xll.BQL("NOW US Equity", "BS_TOTAL_NON_CURRENT_ASSETS/1M", "FPR=2021Y", "FPT=A", "FA_ACT_EST_DATA=E, EST_SOURCE=TTC", "ACT_EST_MAPPING=PRECISE", "FS=MRC", "CURRENCY=USD", "XLFILL=b")</f>
        <v>#N/A Requesting Data...</v>
      </c>
      <c r="AL161" s="6" t="str">
        <f>_xll.BQL("NOW US Equity", "BS_TOTAL_NON_CURRENT_ASSETS/1M", "FPR=2021Y", "FPT=A", "FA_ACT_EST_DATA=E, EST_SOURCE=RWB", "ACT_EST_MAPPING=PRECISE", "FS=MRC", "CURRENCY=USD", "XLFILL=b")</f>
        <v>#N/A Requesting Data...</v>
      </c>
      <c r="AM161" s="6" t="str">
        <f>_xll.BQL("NOW US Equity", "BS_TOTAL_NON_CURRENT_ASSETS/1M", "FPR=2021Y", "FPT=A", "FA_ACT_EST_DATA=E, EST_SOURCE=DZB", "ACT_EST_MAPPING=PRECISE", "FS=MRC", "CURRENCY=USD", "XLFILL=b")</f>
        <v>#N/A Requesting Data...</v>
      </c>
      <c r="AN161" s="6" t="str">
        <f>_xll.BQL("NOW US Equity", "BS_TOTAL_NON_CURRENT_ASSETS/1M", "FPR=2021Y", "FPT=A", "FA_ACT_EST_DATA=E, EST_SOURCE=DWI", "ACT_EST_MAPPING=PRECISE", "FS=MRC", "CURRENCY=USD", "XLFILL=b")</f>
        <v>#N/A Requesting Data...</v>
      </c>
      <c r="AO161" s="6" t="str">
        <f>_xll.BQL("NOW US Equity", "BS_TOTAL_NON_CURRENT_ASSETS/1M", "FPR=2021Y", "FPT=A", "FA_ACT_EST_DATA=E, EST_SOURCE=ARG", "ACT_EST_MAPPING=PRECISE", "FS=MRC", "CURRENCY=USD", "XLFILL=b")</f>
        <v>#N/A Requesting Data...</v>
      </c>
      <c r="AP161" s="6" t="str">
        <f>_xll.BQL("NOW US Equity", "BS_TOTAL_NON_CURRENT_ASSETS/1M", "FPR=2021Y", "FPT=A", "FA_ACT_EST_DATA=E, EST_SOURCE=CTI", "ACT_EST_MAPPING=PRECISE", "FS=MRC", "CURRENCY=USD", "XLFILL=b")</f>
        <v>#N/A Requesting Data...</v>
      </c>
      <c r="AQ161" s="6" t="str">
        <f>_xll.BQL("NOW US Equity", "BS_TOTAL_NON_CURRENT_ASSETS/1M", "FPR=2021Y", "FPT=A", "FA_ACT_EST_DATA=E, EST_SOURCE=WFT", "ACT_EST_MAPPING=PRECISE", "FS=MRC", "CURRENCY=USD", "XLFILL=b")</f>
        <v>#N/A Requesting Data...</v>
      </c>
      <c r="AR161" s="6" t="str">
        <f>_xll.BQL("NOW US Equity", "BS_TOTAL_NON_CURRENT_ASSETS/1M", "FPR=2021Y", "FPT=A", "FA_ACT_EST_DATA=E, EST_SOURCE=ARE", "ACT_EST_MAPPING=PRECISE", "FS=MRC", "CURRENCY=USD", "XLFILL=b")</f>
        <v>#N/A Requesting Data...</v>
      </c>
      <c r="AS161" s="6" t="str">
        <f>_xll.BQL("NOW US Equity", "BS_TOTAL_NON_CURRENT_ASSETS/1M", "FPR=2021Y", "FPT=A", "FA_ACT_EST_DATA=E, EST_SOURCE=PJE", "ACT_EST_MAPPING=PRECISE", "FS=MRC", "CURRENCY=USD", "XLFILL=b")</f>
        <v>#N/A Requesting Data...</v>
      </c>
      <c r="AT161" s="6" t="str">
        <f>_xll.BQL("NOW US Equity", "BS_TOTAL_NON_CURRENT_ASSETS/1M", "FPR=2021Y", "FPT=A", "FA_ACT_EST_DATA=E, EST_SOURCE=MZS", "ACT_EST_MAPPING=PRECISE", "FS=MRC", "CURRENCY=USD", "XLFILL=b")</f>
        <v>#N/A Requesting Data...</v>
      </c>
      <c r="AU161" s="6" t="str">
        <f>_xll.BQL("NOW US Equity", "BS_TOTAL_NON_CURRENT_ASSETS/1M", "FPR=2021Y", "FPT=A", "FA_ACT_EST_DATA=E, EST_SOURCE=SUM", "ACT_EST_MAPPING=PRECISE", "FS=MRC", "CURRENCY=USD", "XLFILL=b")</f>
        <v>#N/A Requesting Data...</v>
      </c>
      <c r="AV161" s="6" t="str">
        <f>_xll.BQL("NOW US Equity", "BS_TOTAL_NON_CURRENT_ASSETS/1M", "FPR=2021Y", "FPT=A", "FA_ACT_EST_DATA=E, EST_SOURCE=CRC", "ACT_EST_MAPPING=PRECISE", "FS=MRC", "CURRENCY=USD", "XLFILL=b")</f>
        <v>#N/A Requesting Data...</v>
      </c>
      <c r="AW161" s="6" t="str">
        <f>_xll.BQL("NOW US Equity", "BS_TOTAL_NON_CURRENT_ASSETS/1M", "FPR=2021Y", "FPT=A", "FA_ACT_EST_DATA=E, EST_SOURCE=SCB", "ACT_EST_MAPPING=PRECISE", "FS=MRC", "CURRENCY=USD", "XLFILL=b")</f>
        <v>#N/A Requesting Data...</v>
      </c>
    </row>
    <row r="162" spans="1:49" x14ac:dyDescent="0.55000000000000004">
      <c r="A162" s="5" t="s">
        <v>276</v>
      </c>
      <c r="B162" s="2" t="s">
        <v>277</v>
      </c>
      <c r="C162" s="2" t="s">
        <v>278</v>
      </c>
      <c r="D162" s="2"/>
      <c r="E162" s="6" t="str">
        <f>_xll.BQL("NOW US Equity", "BS_LONG_TERM_INVESTMENTS/1M", "FPR=2021Y", "FPT=A", "FA_ACT_EST_DATA=E", "ACT_EST_MAPPING=PRECISE", "FS=MRC", "CURRENCY=USD", "XLFILL=b")</f>
        <v>#N/A Requesting Data...</v>
      </c>
      <c r="F162" s="6" t="str">
        <f>_xll.BQL("NOW US Equity", "CONTRIBUTOR_STATS(BS_LONG_TERM_INVESTMENTS, MIN)/1M", "FPR=2021Y", "FPT=A", "FA_ACT_EST_DATA=E", "ACT_EST_MAPPING=PRECISE", "FS=MRC", "CURRENCY=USD", "XLFILL=b")</f>
        <v>#N/A Requesting Data...</v>
      </c>
      <c r="G162" s="6" t="str">
        <f>_xll.BQL("NOW US Equity", "CONTRIBUTOR_STATS(BS_LONG_TERM_INVESTMENTS, MAX)/1M", "FPR=2021Y", "FPT=A", "FA_ACT_EST_DATA=E", "ACT_EST_MAPPING=PRECISE", "FS=MRC", "CURRENCY=USD", "XLFILL=b")</f>
        <v>#N/A Requesting Data...</v>
      </c>
      <c r="H162" s="6" t="str">
        <f>_xll.BQL("NOW US Equity", "CONTRIBUTOR_STATS(BS_LONG_TERM_INVESTMENTS, STD)/1M", "FPR=2021Y", "FPT=A", "FA_ACT_EST_DATA=E", "ACT_EST_MAPPING=PRECISE", "FS=MRC", "CURRENCY=USD", "XLFILL=b")</f>
        <v>#N/A Requesting Data...</v>
      </c>
      <c r="I162" s="6" t="str">
        <f>_xll.BQL("NOW US Equity", "CONTRIBUTOR_STATS(BS_LONG_TERM_INVESTMENTS, MEDIAN)/1M", "FPR=2021Y", "FPT=A", "FA_ACT_EST_DATA=E", "ACT_EST_MAPPING=PRECISE", "FS=MRC", "CURRENCY=USD", "XLFILL=b")</f>
        <v>#N/A Requesting Data...</v>
      </c>
      <c r="J162" s="6" t="str">
        <f>_xll.BQL("NOW US Equity", "BS_LONG_TERM_INVESTMENTS/1M", "FPR=2021Y", "FPT=A", "FA_ACT_EST_DATA=E, EST_SOURCE=CMPY", "ACT_EST_MAPPING=PRECISE", "FS=MRC", "CURRENCY=USD", "XLFILL=b")</f>
        <v>#N/A Requesting Data...</v>
      </c>
      <c r="K162" s="6" t="str">
        <f>_xll.BQL("NOW US Equity", "BS_LONG_TERM_INVESTMENTS/1M", "FPR=2021Y", "FPT=A", "FA_ACT_EST_DATA=E, EST_SOURCE=JPM", "ACT_EST_MAPPING=PRECISE", "FS=MRC", "CURRENCY=USD", "XLFILL=b")</f>
        <v>#N/A Requesting Data...</v>
      </c>
      <c r="L162" s="6" t="str">
        <f>_xll.BQL("NOW US Equity", "BS_LONG_TERM_INVESTMENTS/1M", "FPR=2021Y", "FPT=A", "FA_ACT_EST_DATA=E, EST_SOURCE=WBL", "ACT_EST_MAPPING=PRECISE", "FS=MRC", "CURRENCY=USD", "XLFILL=b")</f>
        <v>#N/A Requesting Data...</v>
      </c>
      <c r="M162" s="6" t="str">
        <f>_xll.BQL("NOW US Equity", "BS_LONG_TERM_INVESTMENTS/1M", "FPR=2021Y", "FPT=A", "FA_ACT_EST_DATA=E, EST_SOURCE=KEY", "ACT_EST_MAPPING=PRECISE", "FS=MRC", "CURRENCY=USD", "XLFILL=b")</f>
        <v>#N/A Requesting Data...</v>
      </c>
      <c r="N162" s="6" t="str">
        <f>_xll.BQL("NOW US Equity", "BS_LONG_TERM_INVESTMENTS/1M", "FPR=2021Y", "FPT=A", "FA_ACT_EST_DATA=E, EST_SOURCE=BMO", "ACT_EST_MAPPING=PRECISE", "FS=MRC", "CURRENCY=USD", "XLFILL=b")</f>
        <v/>
      </c>
      <c r="O162" s="6" t="str">
        <f>_xll.BQL("NOW US Equity", "BS_LONG_TERM_INVESTMENTS/1M", "FPR=2021Y", "FPT=A", "FA_ACT_EST_DATA=E, EST_SOURCE=OPY", "ACT_EST_MAPPING=PRECISE", "FS=MRC", "CURRENCY=USD", "XLFILL=b")</f>
        <v>#N/A Requesting Data...</v>
      </c>
      <c r="P162" s="6" t="str">
        <f>_xll.BQL("NOW US Equity", "BS_LONG_TERM_INVESTMENTS/1M", "FPR=2021Y", "FPT=A", "FA_ACT_EST_DATA=E, EST_SOURCE=BCA", "ACT_EST_MAPPING=PRECISE", "FS=MRC", "CURRENCY=USD", "XLFILL=b")</f>
        <v>#N/A Requesting Data...</v>
      </c>
      <c r="Q162" s="6" t="str">
        <f>_xll.BQL("NOW US Equity", "BS_LONG_TERM_INVESTMENTS/1M", "FPR=2021Y", "FPT=A", "FA_ACT_EST_DATA=E, EST_SOURCE=RHR", "ACT_EST_MAPPING=PRECISE", "FS=MRC", "CURRENCY=USD", "XLFILL=b")</f>
        <v/>
      </c>
      <c r="R162" s="6" t="str">
        <f>_xll.BQL("NOW US Equity", "BS_LONG_TERM_INVESTMENTS/1M", "FPR=2021Y", "FPT=A", "FA_ACT_EST_DATA=E, EST_SOURCE=SNR", "ACT_EST_MAPPING=PRECISE", "FS=MRC", "CURRENCY=USD", "XLFILL=b")</f>
        <v/>
      </c>
      <c r="S162" s="6" t="str">
        <f>_xll.BQL("NOW US Equity", "BS_LONG_TERM_INVESTMENTS/1M", "FPR=2021Y", "FPT=A", "FA_ACT_EST_DATA=E, EST_SOURCE=MSV", "ACT_EST_MAPPING=PRECISE", "FS=MRC", "CURRENCY=USD", "XLFILL=b")</f>
        <v>#N/A Requesting Data...</v>
      </c>
      <c r="T162" s="6" t="str">
        <f>_xll.BQL("NOW US Equity", "BS_LONG_TERM_INVESTMENTS/1M", "FPR=2021Y", "FPT=A", "FA_ACT_EST_DATA=E, EST_SOURCE=CAN", "ACT_EST_MAPPING=PRECISE", "FS=MRC", "CURRENCY=USD", "XLFILL=b")</f>
        <v>#N/A Requesting Data...</v>
      </c>
      <c r="U162" s="6" t="str">
        <f>_xll.BQL("NOW US Equity", "BS_LONG_TERM_INVESTMENTS/1M", "FPR=2021Y", "FPT=A", "FA_ACT_EST_DATA=E, EST_SOURCE=JMP", "ACT_EST_MAPPING=PRECISE", "FS=MRC", "CURRENCY=USD", "XLFILL=b")</f>
        <v>#N/A Requesting Data...</v>
      </c>
      <c r="V162" s="6" t="str">
        <f>_xll.BQL("NOW US Equity", "BS_LONG_TERM_INVESTMENTS/1M", "FPR=2021Y", "FPT=A", "FA_ACT_EST_DATA=E, EST_SOURCE=NDH", "ACT_EST_MAPPING=PRECISE", "FS=MRC", "CURRENCY=USD", "XLFILL=b")</f>
        <v>#N/A Requesting Data...</v>
      </c>
      <c r="W162" s="6" t="str">
        <f>_xll.BQL("NOW US Equity", "BS_LONG_TERM_INVESTMENTS/1M", "FPR=2021Y", "FPT=A", "FA_ACT_EST_DATA=E, EST_SOURCE=ZXS", "ACT_EST_MAPPING=PRECISE", "FS=MRC", "CURRENCY=USD", "XLFILL=b")</f>
        <v>#N/A Requesting Data...</v>
      </c>
      <c r="X162" s="6" t="str">
        <f>_xll.BQL("NOW US Equity", "BS_LONG_TERM_INVESTMENTS/1M", "FPR=2021Y", "FPT=A", "FA_ACT_EST_DATA=E, EST_SOURCE=CWN", "ACT_EST_MAPPING=PRECISE", "FS=MRC", "CURRENCY=USD", "XLFILL=b")</f>
        <v>#N/A Requesting Data...</v>
      </c>
      <c r="Y162" s="6" t="str">
        <f>_xll.BQL("NOW US Equity", "BS_LONG_TERM_INVESTMENTS/1M", "FPR=2021Y", "FPT=A", "FA_ACT_EST_DATA=E, EST_SOURCE=DBG", "ACT_EST_MAPPING=PRECISE", "FS=MRC", "CURRENCY=USD", "XLFILL=b")</f>
        <v>#N/A Requesting Data...</v>
      </c>
      <c r="Z162" s="6" t="str">
        <f>_xll.BQL("NOW US Equity", "BS_LONG_TERM_INVESTMENTS/1M", "FPR=2021Y", "FPT=A", "FA_ACT_EST_DATA=E, EST_SOURCE=UBS", "ACT_EST_MAPPING=PRECISE", "FS=MRC", "CURRENCY=USD", "XLFILL=b")</f>
        <v>#N/A Requesting Data...</v>
      </c>
      <c r="AA162" s="6" t="str">
        <f>_xll.BQL("NOW US Equity", "BS_LONG_TERM_INVESTMENTS/1M", "FPR=2021Y", "FPT=A", "FA_ACT_EST_DATA=E, EST_SOURCE=RBC", "ACT_EST_MAPPING=PRECISE", "FS=MRC", "CURRENCY=USD", "XLFILL=b")</f>
        <v>#N/A Requesting Data...</v>
      </c>
      <c r="AB162" s="6" t="str">
        <f>_xll.BQL("NOW US Equity", "BS_LONG_TERM_INVESTMENTS/1M", "FPR=2021Y", "FPT=A", "FA_ACT_EST_DATA=E, EST_SOURCE=EVR", "ACT_EST_MAPPING=PRECISE", "FS=MRC", "CURRENCY=USD", "XLFILL=b")</f>
        <v>#N/A Requesting Data...</v>
      </c>
      <c r="AC162" s="6" t="str">
        <f>_xll.BQL("NOW US Equity", "BS_LONG_TERM_INVESTMENTS/1M", "FPR=2021Y", "FPT=A", "FA_ACT_EST_DATA=E, EST_SOURCE=BNS", "ACT_EST_MAPPING=PRECISE", "FS=MRC", "CURRENCY=USD", "XLFILL=b")</f>
        <v/>
      </c>
      <c r="AD162" s="6" t="str">
        <f>_xll.BQL("NOW US Equity", "BS_LONG_TERM_INVESTMENTS/1M", "FPR=2021Y", "FPT=A", "FA_ACT_EST_DATA=E, EST_SOURCE=BAM", "ACT_EST_MAPPING=PRECISE", "FS=MRC", "CURRENCY=USD", "XLFILL=b")</f>
        <v>#N/A Requesting Data...</v>
      </c>
      <c r="AE162" s="6" t="str">
        <f>_xll.BQL("NOW US Equity", "BS_LONG_TERM_INVESTMENTS/1M", "FPR=2021Y", "FPT=A", "FA_ACT_EST_DATA=E, EST_SOURCE=GSR", "ACT_EST_MAPPING=PRECISE", "FS=MRC", "CURRENCY=USD", "XLFILL=b")</f>
        <v>#N/A Requesting Data...</v>
      </c>
      <c r="AF162" s="6" t="str">
        <f>_xll.BQL("NOW US Equity", "BS_LONG_TERM_INVESTMENTS/1M", "FPR=2021Y", "FPT=A", "FA_ACT_EST_DATA=E, EST_SOURCE=FBC", "ACT_EST_MAPPING=PRECISE", "FS=MRC", "CURRENCY=USD", "XLFILL=b")</f>
        <v>#N/A Requesting Data...</v>
      </c>
      <c r="AG162" s="6" t="str">
        <f>_xll.BQL("NOW US Equity", "BS_LONG_TERM_INVESTMENTS/1M", "FPR=2021Y", "FPT=A", "FA_ACT_EST_DATA=E, EST_SOURCE=MAC", "ACT_EST_MAPPING=PRECISE", "FS=MRC", "CURRENCY=USD", "XLFILL=b")</f>
        <v>#N/A Requesting Data...</v>
      </c>
      <c r="AH162" s="6" t="str">
        <f>_xll.BQL("NOW US Equity", "BS_LONG_TERM_INVESTMENTS/1M", "FPR=2021Y", "FPT=A", "FA_ACT_EST_DATA=E, EST_SOURCE=PSG", "ACT_EST_MAPPING=PRECISE", "FS=MRC", "CURRENCY=USD", "XLFILL=b")</f>
        <v>#N/A Requesting Data...</v>
      </c>
      <c r="AI162" s="6" t="str">
        <f>_xll.BQL("NOW US Equity", "BS_LONG_TERM_INVESTMENTS/1M", "FPR=2021Y", "FPT=A", "FA_ACT_EST_DATA=E, EST_SOURCE=MSR", "ACT_EST_MAPPING=PRECISE", "FS=MRC", "CURRENCY=USD", "XLFILL=b")</f>
        <v>#N/A Requesting Data...</v>
      </c>
      <c r="AJ162" s="6" t="str">
        <f>_xll.BQL("NOW US Equity", "BS_LONG_TERM_INVESTMENTS/1M", "FPR=2021Y", "FPT=A", "FA_ACT_EST_DATA=E, EST_SOURCE=JEF", "ACT_EST_MAPPING=PRECISE", "FS=MRC", "CURRENCY=USD", "XLFILL=b")</f>
        <v>#N/A Requesting Data...</v>
      </c>
      <c r="AK162" s="6" t="str">
        <f>_xll.BQL("NOW US Equity", "BS_LONG_TERM_INVESTMENTS/1M", "FPR=2021Y", "FPT=A", "FA_ACT_EST_DATA=E, EST_SOURCE=TTC", "ACT_EST_MAPPING=PRECISE", "FS=MRC", "CURRENCY=USD", "XLFILL=b")</f>
        <v>#N/A Requesting Data...</v>
      </c>
      <c r="AL162" s="6" t="str">
        <f>_xll.BQL("NOW US Equity", "BS_LONG_TERM_INVESTMENTS/1M", "FPR=2021Y", "FPT=A", "FA_ACT_EST_DATA=E, EST_SOURCE=RWB", "ACT_EST_MAPPING=PRECISE", "FS=MRC", "CURRENCY=USD", "XLFILL=b")</f>
        <v>#N/A Requesting Data...</v>
      </c>
      <c r="AM162" s="6" t="str">
        <f>_xll.BQL("NOW US Equity", "BS_LONG_TERM_INVESTMENTS/1M", "FPR=2021Y", "FPT=A", "FA_ACT_EST_DATA=E, EST_SOURCE=DZB", "ACT_EST_MAPPING=PRECISE", "FS=MRC", "CURRENCY=USD", "XLFILL=b")</f>
        <v>#N/A Requesting Data...</v>
      </c>
      <c r="AN162" s="6" t="str">
        <f>_xll.BQL("NOW US Equity", "BS_LONG_TERM_INVESTMENTS/1M", "FPR=2021Y", "FPT=A", "FA_ACT_EST_DATA=E, EST_SOURCE=DWI", "ACT_EST_MAPPING=PRECISE", "FS=MRC", "CURRENCY=USD", "XLFILL=b")</f>
        <v>#N/A Requesting Data...</v>
      </c>
      <c r="AO162" s="6" t="str">
        <f>_xll.BQL("NOW US Equity", "BS_LONG_TERM_INVESTMENTS/1M", "FPR=2021Y", "FPT=A", "FA_ACT_EST_DATA=E, EST_SOURCE=ARG", "ACT_EST_MAPPING=PRECISE", "FS=MRC", "CURRENCY=USD", "XLFILL=b")</f>
        <v>#N/A Requesting Data...</v>
      </c>
      <c r="AP162" s="6" t="str">
        <f>_xll.BQL("NOW US Equity", "BS_LONG_TERM_INVESTMENTS/1M", "FPR=2021Y", "FPT=A", "FA_ACT_EST_DATA=E, EST_SOURCE=CTI", "ACT_EST_MAPPING=PRECISE", "FS=MRC", "CURRENCY=USD", "XLFILL=b")</f>
        <v>#N/A Requesting Data...</v>
      </c>
      <c r="AQ162" s="6" t="str">
        <f>_xll.BQL("NOW US Equity", "BS_LONG_TERM_INVESTMENTS/1M", "FPR=2021Y", "FPT=A", "FA_ACT_EST_DATA=E, EST_SOURCE=WFT", "ACT_EST_MAPPING=PRECISE", "FS=MRC", "CURRENCY=USD", "XLFILL=b")</f>
        <v>#N/A Requesting Data...</v>
      </c>
      <c r="AR162" s="6" t="str">
        <f>_xll.BQL("NOW US Equity", "BS_LONG_TERM_INVESTMENTS/1M", "FPR=2021Y", "FPT=A", "FA_ACT_EST_DATA=E, EST_SOURCE=ARE", "ACT_EST_MAPPING=PRECISE", "FS=MRC", "CURRENCY=USD", "XLFILL=b")</f>
        <v>#N/A Requesting Data...</v>
      </c>
      <c r="AS162" s="6" t="str">
        <f>_xll.BQL("NOW US Equity", "BS_LONG_TERM_INVESTMENTS/1M", "FPR=2021Y", "FPT=A", "FA_ACT_EST_DATA=E, EST_SOURCE=PJE", "ACT_EST_MAPPING=PRECISE", "FS=MRC", "CURRENCY=USD", "XLFILL=b")</f>
        <v>#N/A Requesting Data...</v>
      </c>
      <c r="AT162" s="6" t="str">
        <f>_xll.BQL("NOW US Equity", "BS_LONG_TERM_INVESTMENTS/1M", "FPR=2021Y", "FPT=A", "FA_ACT_EST_DATA=E, EST_SOURCE=MZS", "ACT_EST_MAPPING=PRECISE", "FS=MRC", "CURRENCY=USD", "XLFILL=b")</f>
        <v>#N/A Requesting Data...</v>
      </c>
      <c r="AU162" s="6" t="str">
        <f>_xll.BQL("NOW US Equity", "BS_LONG_TERM_INVESTMENTS/1M", "FPR=2021Y", "FPT=A", "FA_ACT_EST_DATA=E, EST_SOURCE=SUM", "ACT_EST_MAPPING=PRECISE", "FS=MRC", "CURRENCY=USD", "XLFILL=b")</f>
        <v>#N/A Requesting Data...</v>
      </c>
      <c r="AV162" s="6" t="str">
        <f>_xll.BQL("NOW US Equity", "BS_LONG_TERM_INVESTMENTS/1M", "FPR=2021Y", "FPT=A", "FA_ACT_EST_DATA=E, EST_SOURCE=CRC", "ACT_EST_MAPPING=PRECISE", "FS=MRC", "CURRENCY=USD", "XLFILL=b")</f>
        <v>#N/A Requesting Data...</v>
      </c>
      <c r="AW162" s="6" t="str">
        <f>_xll.BQL("NOW US Equity", "BS_LONG_TERM_INVESTMENTS/1M", "FPR=2021Y", "FPT=A", "FA_ACT_EST_DATA=E, EST_SOURCE=SCB", "ACT_EST_MAPPING=PRECISE", "FS=MRC", "CURRENCY=USD", "XLFILL=b")</f>
        <v>#N/A Requesting Data...</v>
      </c>
    </row>
    <row r="163" spans="1:49" x14ac:dyDescent="0.55000000000000004">
      <c r="A163" s="5" t="s">
        <v>279</v>
      </c>
      <c r="B163" s="2" t="s">
        <v>280</v>
      </c>
      <c r="C163" s="2" t="s">
        <v>281</v>
      </c>
      <c r="D163" s="2"/>
      <c r="E163" s="6" t="str">
        <f>_xll.BQL("NOW US Equity", "CB_BS_PP_AND_E_NET/1M", "FPR=2021Y", "FPT=A", "FA_ACT_EST_DATA=E", "ACT_EST_MAPPING=PRECISE", "FS=MRC", "CURRENCY=USD", "XLFILL=b")</f>
        <v>#N/A Requesting Data...</v>
      </c>
      <c r="F163" s="6" t="str">
        <f>_xll.BQL("NOW US Equity", "CONTRIBUTOR_STATS(CB_BS_PP_AND_E_NET, MIN)/1M", "FPR=2021Y", "FPT=A", "FA_ACT_EST_DATA=E", "ACT_EST_MAPPING=PRECISE", "FS=MRC", "CURRENCY=USD", "XLFILL=b")</f>
        <v>#N/A Requesting Data...</v>
      </c>
      <c r="G163" s="6" t="str">
        <f>_xll.BQL("NOW US Equity", "CONTRIBUTOR_STATS(CB_BS_PP_AND_E_NET, MAX)/1M", "FPR=2021Y", "FPT=A", "FA_ACT_EST_DATA=E", "ACT_EST_MAPPING=PRECISE", "FS=MRC", "CURRENCY=USD", "XLFILL=b")</f>
        <v>#N/A Requesting Data...</v>
      </c>
      <c r="H163" s="6" t="str">
        <f>_xll.BQL("NOW US Equity", "CONTRIBUTOR_STATS(CB_BS_PP_AND_E_NET, STD)/1M", "FPR=2021Y", "FPT=A", "FA_ACT_EST_DATA=E", "ACT_EST_MAPPING=PRECISE", "FS=MRC", "CURRENCY=USD", "XLFILL=b")</f>
        <v>#N/A Requesting Data...</v>
      </c>
      <c r="I163" s="6" t="str">
        <f>_xll.BQL("NOW US Equity", "CONTRIBUTOR_STATS(CB_BS_PP_AND_E_NET, MEDIAN)/1M", "FPR=2021Y", "FPT=A", "FA_ACT_EST_DATA=E", "ACT_EST_MAPPING=PRECISE", "FS=MRC", "CURRENCY=USD", "XLFILL=b")</f>
        <v>#N/A Requesting Data...</v>
      </c>
      <c r="J163" s="6" t="str">
        <f>_xll.BQL("NOW US Equity", "CB_BS_PP_AND_E_NET/1M", "FPR=2021Y", "FPT=A", "FA_ACT_EST_DATA=E, EST_SOURCE=CMPY", "ACT_EST_MAPPING=PRECISE", "FS=MRC", "CURRENCY=USD", "XLFILL=b")</f>
        <v>#N/A Requesting Data...</v>
      </c>
      <c r="K163" s="6" t="str">
        <f>_xll.BQL("NOW US Equity", "CB_BS_PP_AND_E_NET/1M", "FPR=2021Y", "FPT=A", "FA_ACT_EST_DATA=E, EST_SOURCE=JPM", "ACT_EST_MAPPING=PRECISE", "FS=MRC", "CURRENCY=USD", "XLFILL=b")</f>
        <v>#N/A Requesting Data...</v>
      </c>
      <c r="L163" s="6" t="str">
        <f>_xll.BQL("NOW US Equity", "CB_BS_PP_AND_E_NET/1M", "FPR=2021Y", "FPT=A", "FA_ACT_EST_DATA=E, EST_SOURCE=WBL", "ACT_EST_MAPPING=PRECISE", "FS=MRC", "CURRENCY=USD", "XLFILL=b")</f>
        <v>#N/A Requesting Data...</v>
      </c>
      <c r="M163" s="6" t="str">
        <f>_xll.BQL("NOW US Equity", "CB_BS_PP_AND_E_NET/1M", "FPR=2021Y", "FPT=A", "FA_ACT_EST_DATA=E, EST_SOURCE=KEY", "ACT_EST_MAPPING=PRECISE", "FS=MRC", "CURRENCY=USD", "XLFILL=b")</f>
        <v>#N/A Requesting Data...</v>
      </c>
      <c r="N163" s="6" t="str">
        <f>_xll.BQL("NOW US Equity", "CB_BS_PP_AND_E_NET/1M", "FPR=2021Y", "FPT=A", "FA_ACT_EST_DATA=E, EST_SOURCE=BMO", "ACT_EST_MAPPING=PRECISE", "FS=MRC", "CURRENCY=USD", "XLFILL=b")</f>
        <v>#N/A Requesting Data...</v>
      </c>
      <c r="O163" s="6" t="str">
        <f>_xll.BQL("NOW US Equity", "CB_BS_PP_AND_E_NET/1M", "FPR=2021Y", "FPT=A", "FA_ACT_EST_DATA=E, EST_SOURCE=OPY", "ACT_EST_MAPPING=PRECISE", "FS=MRC", "CURRENCY=USD", "XLFILL=b")</f>
        <v>#N/A Requesting Data...</v>
      </c>
      <c r="P163" s="6" t="str">
        <f>_xll.BQL("NOW US Equity", "CB_BS_PP_AND_E_NET/1M", "FPR=2021Y", "FPT=A", "FA_ACT_EST_DATA=E, EST_SOURCE=BCA", "ACT_EST_MAPPING=PRECISE", "FS=MRC", "CURRENCY=USD", "XLFILL=b")</f>
        <v>#N/A Requesting Data...</v>
      </c>
      <c r="Q163" s="6" t="str">
        <f>_xll.BQL("NOW US Equity", "CB_BS_PP_AND_E_NET/1M", "FPR=2021Y", "FPT=A", "FA_ACT_EST_DATA=E, EST_SOURCE=RHR", "ACT_EST_MAPPING=PRECISE", "FS=MRC", "CURRENCY=USD", "XLFILL=b")</f>
        <v>#N/A Requesting Data...</v>
      </c>
      <c r="R163" s="6" t="str">
        <f>_xll.BQL("NOW US Equity", "CB_BS_PP_AND_E_NET/1M", "FPR=2021Y", "FPT=A", "FA_ACT_EST_DATA=E, EST_SOURCE=SNR", "ACT_EST_MAPPING=PRECISE", "FS=MRC", "CURRENCY=USD", "XLFILL=b")</f>
        <v>#N/A Requesting Data...</v>
      </c>
      <c r="S163" s="6" t="str">
        <f>_xll.BQL("NOW US Equity", "CB_BS_PP_AND_E_NET/1M", "FPR=2021Y", "FPT=A", "FA_ACT_EST_DATA=E, EST_SOURCE=MSV", "ACT_EST_MAPPING=PRECISE", "FS=MRC", "CURRENCY=USD", "XLFILL=b")</f>
        <v>#N/A Requesting Data...</v>
      </c>
      <c r="T163" s="6" t="str">
        <f>_xll.BQL("NOW US Equity", "CB_BS_PP_AND_E_NET/1M", "FPR=2021Y", "FPT=A", "FA_ACT_EST_DATA=E, EST_SOURCE=CAN", "ACT_EST_MAPPING=PRECISE", "FS=MRC", "CURRENCY=USD", "XLFILL=b")</f>
        <v>#N/A Requesting Data...</v>
      </c>
      <c r="U163" s="6" t="str">
        <f>_xll.BQL("NOW US Equity", "CB_BS_PP_AND_E_NET/1M", "FPR=2021Y", "FPT=A", "FA_ACT_EST_DATA=E, EST_SOURCE=JMP", "ACT_EST_MAPPING=PRECISE", "FS=MRC", "CURRENCY=USD", "XLFILL=b")</f>
        <v>#N/A Requesting Data...</v>
      </c>
      <c r="V163" s="6" t="str">
        <f>_xll.BQL("NOW US Equity", "CB_BS_PP_AND_E_NET/1M", "FPR=2021Y", "FPT=A", "FA_ACT_EST_DATA=E, EST_SOURCE=NDH", "ACT_EST_MAPPING=PRECISE", "FS=MRC", "CURRENCY=USD", "XLFILL=b")</f>
        <v>#N/A Requesting Data...</v>
      </c>
      <c r="W163" s="6" t="str">
        <f>_xll.BQL("NOW US Equity", "CB_BS_PP_AND_E_NET/1M", "FPR=2021Y", "FPT=A", "FA_ACT_EST_DATA=E, EST_SOURCE=ZXS", "ACT_EST_MAPPING=PRECISE", "FS=MRC", "CURRENCY=USD", "XLFILL=b")</f>
        <v>#N/A Requesting Data...</v>
      </c>
      <c r="X163" s="6" t="str">
        <f>_xll.BQL("NOW US Equity", "CB_BS_PP_AND_E_NET/1M", "FPR=2021Y", "FPT=A", "FA_ACT_EST_DATA=E, EST_SOURCE=CWN", "ACT_EST_MAPPING=PRECISE", "FS=MRC", "CURRENCY=USD", "XLFILL=b")</f>
        <v>#N/A Requesting Data...</v>
      </c>
      <c r="Y163" s="6" t="str">
        <f>_xll.BQL("NOW US Equity", "CB_BS_PP_AND_E_NET/1M", "FPR=2021Y", "FPT=A", "FA_ACT_EST_DATA=E, EST_SOURCE=DBG", "ACT_EST_MAPPING=PRECISE", "FS=MRC", "CURRENCY=USD", "XLFILL=b")</f>
        <v>#N/A Requesting Data...</v>
      </c>
      <c r="Z163" s="6" t="str">
        <f>_xll.BQL("NOW US Equity", "CB_BS_PP_AND_E_NET/1M", "FPR=2021Y", "FPT=A", "FA_ACT_EST_DATA=E, EST_SOURCE=UBS", "ACT_EST_MAPPING=PRECISE", "FS=MRC", "CURRENCY=USD", "XLFILL=b")</f>
        <v>#N/A Requesting Data...</v>
      </c>
      <c r="AA163" s="6" t="str">
        <f>_xll.BQL("NOW US Equity", "CB_BS_PP_AND_E_NET/1M", "FPR=2021Y", "FPT=A", "FA_ACT_EST_DATA=E, EST_SOURCE=RBC", "ACT_EST_MAPPING=PRECISE", "FS=MRC", "CURRENCY=USD", "XLFILL=b")</f>
        <v>#N/A Requesting Data...</v>
      </c>
      <c r="AB163" s="6" t="str">
        <f>_xll.BQL("NOW US Equity", "CB_BS_PP_AND_E_NET/1M", "FPR=2021Y", "FPT=A", "FA_ACT_EST_DATA=E, EST_SOURCE=EVR", "ACT_EST_MAPPING=PRECISE", "FS=MRC", "CURRENCY=USD", "XLFILL=b")</f>
        <v>#N/A Requesting Data...</v>
      </c>
      <c r="AC163" s="6" t="str">
        <f>_xll.BQL("NOW US Equity", "CB_BS_PP_AND_E_NET/1M", "FPR=2021Y", "FPT=A", "FA_ACT_EST_DATA=E, EST_SOURCE=BNS", "ACT_EST_MAPPING=PRECISE", "FS=MRC", "CURRENCY=USD", "XLFILL=b")</f>
        <v>#N/A Requesting Data...</v>
      </c>
      <c r="AD163" s="6" t="str">
        <f>_xll.BQL("NOW US Equity", "CB_BS_PP_AND_E_NET/1M", "FPR=2021Y", "FPT=A", "FA_ACT_EST_DATA=E, EST_SOURCE=BAM", "ACT_EST_MAPPING=PRECISE", "FS=MRC", "CURRENCY=USD", "XLFILL=b")</f>
        <v>#N/A Requesting Data...</v>
      </c>
      <c r="AE163" s="6" t="str">
        <f>_xll.BQL("NOW US Equity", "CB_BS_PP_AND_E_NET/1M", "FPR=2021Y", "FPT=A", "FA_ACT_EST_DATA=E, EST_SOURCE=GSR", "ACT_EST_MAPPING=PRECISE", "FS=MRC", "CURRENCY=USD", "XLFILL=b")</f>
        <v>#N/A Requesting Data...</v>
      </c>
      <c r="AF163" s="6" t="str">
        <f>_xll.BQL("NOW US Equity", "CB_BS_PP_AND_E_NET/1M", "FPR=2021Y", "FPT=A", "FA_ACT_EST_DATA=E, EST_SOURCE=FBC", "ACT_EST_MAPPING=PRECISE", "FS=MRC", "CURRENCY=USD", "XLFILL=b")</f>
        <v>#N/A Requesting Data...</v>
      </c>
      <c r="AG163" s="6" t="str">
        <f>_xll.BQL("NOW US Equity", "CB_BS_PP_AND_E_NET/1M", "FPR=2021Y", "FPT=A", "FA_ACT_EST_DATA=E, EST_SOURCE=MAC", "ACT_EST_MAPPING=PRECISE", "FS=MRC", "CURRENCY=USD", "XLFILL=b")</f>
        <v>#N/A Requesting Data...</v>
      </c>
      <c r="AH163" s="6" t="str">
        <f>_xll.BQL("NOW US Equity", "CB_BS_PP_AND_E_NET/1M", "FPR=2021Y", "FPT=A", "FA_ACT_EST_DATA=E, EST_SOURCE=PSG", "ACT_EST_MAPPING=PRECISE", "FS=MRC", "CURRENCY=USD", "XLFILL=b")</f>
        <v>#N/A Requesting Data...</v>
      </c>
      <c r="AI163" s="6" t="str">
        <f>_xll.BQL("NOW US Equity", "CB_BS_PP_AND_E_NET/1M", "FPR=2021Y", "FPT=A", "FA_ACT_EST_DATA=E, EST_SOURCE=MSR", "ACT_EST_MAPPING=PRECISE", "FS=MRC", "CURRENCY=USD", "XLFILL=b")</f>
        <v>#N/A Requesting Data...</v>
      </c>
      <c r="AJ163" s="6" t="str">
        <f>_xll.BQL("NOW US Equity", "CB_BS_PP_AND_E_NET/1M", "FPR=2021Y", "FPT=A", "FA_ACT_EST_DATA=E, EST_SOURCE=JEF", "ACT_EST_MAPPING=PRECISE", "FS=MRC", "CURRENCY=USD", "XLFILL=b")</f>
        <v>#N/A Requesting Data...</v>
      </c>
      <c r="AK163" s="6" t="str">
        <f>_xll.BQL("NOW US Equity", "CB_BS_PP_AND_E_NET/1M", "FPR=2021Y", "FPT=A", "FA_ACT_EST_DATA=E, EST_SOURCE=TTC", "ACT_EST_MAPPING=PRECISE", "FS=MRC", "CURRENCY=USD", "XLFILL=b")</f>
        <v>#N/A Requesting Data...</v>
      </c>
      <c r="AL163" s="6" t="str">
        <f>_xll.BQL("NOW US Equity", "CB_BS_PP_AND_E_NET/1M", "FPR=2021Y", "FPT=A", "FA_ACT_EST_DATA=E, EST_SOURCE=RWB", "ACT_EST_MAPPING=PRECISE", "FS=MRC", "CURRENCY=USD", "XLFILL=b")</f>
        <v>#N/A Requesting Data...</v>
      </c>
      <c r="AM163" s="6" t="str">
        <f>_xll.BQL("NOW US Equity", "CB_BS_PP_AND_E_NET/1M", "FPR=2021Y", "FPT=A", "FA_ACT_EST_DATA=E, EST_SOURCE=DZB", "ACT_EST_MAPPING=PRECISE", "FS=MRC", "CURRENCY=USD", "XLFILL=b")</f>
        <v>#N/A Requesting Data...</v>
      </c>
      <c r="AN163" s="6" t="str">
        <f>_xll.BQL("NOW US Equity", "CB_BS_PP_AND_E_NET/1M", "FPR=2021Y", "FPT=A", "FA_ACT_EST_DATA=E, EST_SOURCE=DWI", "ACT_EST_MAPPING=PRECISE", "FS=MRC", "CURRENCY=USD", "XLFILL=b")</f>
        <v>#N/A Requesting Data...</v>
      </c>
      <c r="AO163" s="6" t="str">
        <f>_xll.BQL("NOW US Equity", "CB_BS_PP_AND_E_NET/1M", "FPR=2021Y", "FPT=A", "FA_ACT_EST_DATA=E, EST_SOURCE=ARG", "ACT_EST_MAPPING=PRECISE", "FS=MRC", "CURRENCY=USD", "XLFILL=b")</f>
        <v>#N/A Requesting Data...</v>
      </c>
      <c r="AP163" s="6" t="str">
        <f>_xll.BQL("NOW US Equity", "CB_BS_PP_AND_E_NET/1M", "FPR=2021Y", "FPT=A", "FA_ACT_EST_DATA=E, EST_SOURCE=CTI", "ACT_EST_MAPPING=PRECISE", "FS=MRC", "CURRENCY=USD", "XLFILL=b")</f>
        <v>#N/A Requesting Data...</v>
      </c>
      <c r="AQ163" s="6" t="str">
        <f>_xll.BQL("NOW US Equity", "CB_BS_PP_AND_E_NET/1M", "FPR=2021Y", "FPT=A", "FA_ACT_EST_DATA=E, EST_SOURCE=WFT", "ACT_EST_MAPPING=PRECISE", "FS=MRC", "CURRENCY=USD", "XLFILL=b")</f>
        <v>#N/A Requesting Data...</v>
      </c>
      <c r="AR163" s="6" t="str">
        <f>_xll.BQL("NOW US Equity", "CB_BS_PP_AND_E_NET/1M", "FPR=2021Y", "FPT=A", "FA_ACT_EST_DATA=E, EST_SOURCE=ARE", "ACT_EST_MAPPING=PRECISE", "FS=MRC", "CURRENCY=USD", "XLFILL=b")</f>
        <v>#N/A Requesting Data...</v>
      </c>
      <c r="AS163" s="6" t="str">
        <f>_xll.BQL("NOW US Equity", "CB_BS_PP_AND_E_NET/1M", "FPR=2021Y", "FPT=A", "FA_ACT_EST_DATA=E, EST_SOURCE=PJE", "ACT_EST_MAPPING=PRECISE", "FS=MRC", "CURRENCY=USD", "XLFILL=b")</f>
        <v>#N/A Requesting Data...</v>
      </c>
      <c r="AT163" s="6" t="str">
        <f>_xll.BQL("NOW US Equity", "CB_BS_PP_AND_E_NET/1M", "FPR=2021Y", "FPT=A", "FA_ACT_EST_DATA=E, EST_SOURCE=MZS", "ACT_EST_MAPPING=PRECISE", "FS=MRC", "CURRENCY=USD", "XLFILL=b")</f>
        <v>#N/A Requesting Data...</v>
      </c>
      <c r="AU163" s="6" t="str">
        <f>_xll.BQL("NOW US Equity", "CB_BS_PP_AND_E_NET/1M", "FPR=2021Y", "FPT=A", "FA_ACT_EST_DATA=E, EST_SOURCE=SUM", "ACT_EST_MAPPING=PRECISE", "FS=MRC", "CURRENCY=USD", "XLFILL=b")</f>
        <v>#N/A Requesting Data...</v>
      </c>
      <c r="AV163" s="6" t="str">
        <f>_xll.BQL("NOW US Equity", "CB_BS_PP_AND_E_NET/1M", "FPR=2021Y", "FPT=A", "FA_ACT_EST_DATA=E, EST_SOURCE=CRC", "ACT_EST_MAPPING=PRECISE", "FS=MRC", "CURRENCY=USD", "XLFILL=b")</f>
        <v>#N/A Requesting Data...</v>
      </c>
      <c r="AW163" s="6" t="str">
        <f>_xll.BQL("NOW US Equity", "CB_BS_PP_AND_E_NET/1M", "FPR=2021Y", "FPT=A", "FA_ACT_EST_DATA=E, EST_SOURCE=SCB", "ACT_EST_MAPPING=PRECISE", "FS=MRC", "CURRENCY=USD", "XLFILL=b")</f>
        <v>#N/A Requesting Data...</v>
      </c>
    </row>
    <row r="164" spans="1:49" x14ac:dyDescent="0.55000000000000004">
      <c r="A164" s="5" t="s">
        <v>279</v>
      </c>
      <c r="B164" s="2" t="s">
        <v>280</v>
      </c>
      <c r="C164" s="2" t="s">
        <v>281</v>
      </c>
      <c r="D164" s="2"/>
      <c r="E164" s="6" t="str">
        <f>_xll.BQL("NOW US Equity", "CB_BS_PP_AND_E_NET/1M", "FPR=2021Y", "FPT=A", "FA_ACT_EST_DATA=E", "ACT_EST_MAPPING=PRECISE", "FS=MRC", "CURRENCY=USD", "XLFILL=b")</f>
        <v>#N/A Requesting Data...</v>
      </c>
      <c r="F164" s="6" t="str">
        <f>_xll.BQL("NOW US Equity", "CONTRIBUTOR_STATS(CB_BS_PP_AND_E_NET, MIN)/1M", "FPR=2021Y", "FPT=A", "FA_ACT_EST_DATA=E", "ACT_EST_MAPPING=PRECISE", "FS=MRC", "CURRENCY=USD", "XLFILL=b")</f>
        <v>#N/A Requesting Data...</v>
      </c>
      <c r="G164" s="6" t="str">
        <f>_xll.BQL("NOW US Equity", "CONTRIBUTOR_STATS(CB_BS_PP_AND_E_NET, MAX)/1M", "FPR=2021Y", "FPT=A", "FA_ACT_EST_DATA=E", "ACT_EST_MAPPING=PRECISE", "FS=MRC", "CURRENCY=USD", "XLFILL=b")</f>
        <v>#N/A Requesting Data...</v>
      </c>
      <c r="H164" s="6" t="str">
        <f>_xll.BQL("NOW US Equity", "CONTRIBUTOR_STATS(CB_BS_PP_AND_E_NET, STD)/1M", "FPR=2021Y", "FPT=A", "FA_ACT_EST_DATA=E", "ACT_EST_MAPPING=PRECISE", "FS=MRC", "CURRENCY=USD", "XLFILL=b")</f>
        <v>#N/A Requesting Data...</v>
      </c>
      <c r="I164" s="6" t="str">
        <f>_xll.BQL("NOW US Equity", "CONTRIBUTOR_STATS(CB_BS_PP_AND_E_NET, MEDIAN)/1M", "FPR=2021Y", "FPT=A", "FA_ACT_EST_DATA=E", "ACT_EST_MAPPING=PRECISE", "FS=MRC", "CURRENCY=USD", "XLFILL=b")</f>
        <v>#N/A Requesting Data...</v>
      </c>
      <c r="J164" s="6" t="str">
        <f>_xll.BQL("NOW US Equity", "CB_BS_PP_AND_E_NET/1M", "FPR=2021Y", "FPT=A", "FA_ACT_EST_DATA=E, EST_SOURCE=CMPY", "ACT_EST_MAPPING=PRECISE", "FS=MRC", "CURRENCY=USD", "XLFILL=b")</f>
        <v>#N/A Requesting Data...</v>
      </c>
      <c r="K164" s="6" t="str">
        <f>_xll.BQL("NOW US Equity", "CB_BS_PP_AND_E_NET/1M", "FPR=2021Y", "FPT=A", "FA_ACT_EST_DATA=E, EST_SOURCE=JPM", "ACT_EST_MAPPING=PRECISE", "FS=MRC", "CURRENCY=USD", "XLFILL=b")</f>
        <v>#N/A Requesting Data...</v>
      </c>
      <c r="L164" s="6" t="str">
        <f>_xll.BQL("NOW US Equity", "CB_BS_PP_AND_E_NET/1M", "FPR=2021Y", "FPT=A", "FA_ACT_EST_DATA=E, EST_SOURCE=WBL", "ACT_EST_MAPPING=PRECISE", "FS=MRC", "CURRENCY=USD", "XLFILL=b")</f>
        <v>#N/A Requesting Data...</v>
      </c>
      <c r="M164" s="6" t="str">
        <f>_xll.BQL("NOW US Equity", "CB_BS_PP_AND_E_NET/1M", "FPR=2021Y", "FPT=A", "FA_ACT_EST_DATA=E, EST_SOURCE=KEY", "ACT_EST_MAPPING=PRECISE", "FS=MRC", "CURRENCY=USD", "XLFILL=b")</f>
        <v>#N/A Requesting Data...</v>
      </c>
      <c r="N164" s="6" t="str">
        <f>_xll.BQL("NOW US Equity", "CB_BS_PP_AND_E_NET/1M", "FPR=2021Y", "FPT=A", "FA_ACT_EST_DATA=E, EST_SOURCE=BMO", "ACT_EST_MAPPING=PRECISE", "FS=MRC", "CURRENCY=USD", "XLFILL=b")</f>
        <v>#N/A Requesting Data...</v>
      </c>
      <c r="O164" s="6" t="str">
        <f>_xll.BQL("NOW US Equity", "CB_BS_PP_AND_E_NET/1M", "FPR=2021Y", "FPT=A", "FA_ACT_EST_DATA=E, EST_SOURCE=OPY", "ACT_EST_MAPPING=PRECISE", "FS=MRC", "CURRENCY=USD", "XLFILL=b")</f>
        <v>#N/A Requesting Data...</v>
      </c>
      <c r="P164" s="6" t="str">
        <f>_xll.BQL("NOW US Equity", "CB_BS_PP_AND_E_NET/1M", "FPR=2021Y", "FPT=A", "FA_ACT_EST_DATA=E, EST_SOURCE=BCA", "ACT_EST_MAPPING=PRECISE", "FS=MRC", "CURRENCY=USD", "XLFILL=b")</f>
        <v>#N/A Requesting Data...</v>
      </c>
      <c r="Q164" s="6" t="str">
        <f>_xll.BQL("NOW US Equity", "CB_BS_PP_AND_E_NET/1M", "FPR=2021Y", "FPT=A", "FA_ACT_EST_DATA=E, EST_SOURCE=RHR", "ACT_EST_MAPPING=PRECISE", "FS=MRC", "CURRENCY=USD", "XLFILL=b")</f>
        <v>#N/A Requesting Data...</v>
      </c>
      <c r="R164" s="6" t="str">
        <f>_xll.BQL("NOW US Equity", "CB_BS_PP_AND_E_NET/1M", "FPR=2021Y", "FPT=A", "FA_ACT_EST_DATA=E, EST_SOURCE=SNR", "ACT_EST_MAPPING=PRECISE", "FS=MRC", "CURRENCY=USD", "XLFILL=b")</f>
        <v>#N/A Requesting Data...</v>
      </c>
      <c r="S164" s="6" t="str">
        <f>_xll.BQL("NOW US Equity", "CB_BS_PP_AND_E_NET/1M", "FPR=2021Y", "FPT=A", "FA_ACT_EST_DATA=E, EST_SOURCE=MSV", "ACT_EST_MAPPING=PRECISE", "FS=MRC", "CURRENCY=USD", "XLFILL=b")</f>
        <v>#N/A Requesting Data...</v>
      </c>
      <c r="T164" s="6" t="str">
        <f>_xll.BQL("NOW US Equity", "CB_BS_PP_AND_E_NET/1M", "FPR=2021Y", "FPT=A", "FA_ACT_EST_DATA=E, EST_SOURCE=CAN", "ACT_EST_MAPPING=PRECISE", "FS=MRC", "CURRENCY=USD", "XLFILL=b")</f>
        <v>#N/A Requesting Data...</v>
      </c>
      <c r="U164" s="6" t="str">
        <f>_xll.BQL("NOW US Equity", "CB_BS_PP_AND_E_NET/1M", "FPR=2021Y", "FPT=A", "FA_ACT_EST_DATA=E, EST_SOURCE=JMP", "ACT_EST_MAPPING=PRECISE", "FS=MRC", "CURRENCY=USD", "XLFILL=b")</f>
        <v>#N/A Requesting Data...</v>
      </c>
      <c r="V164" s="6" t="str">
        <f>_xll.BQL("NOW US Equity", "CB_BS_PP_AND_E_NET/1M", "FPR=2021Y", "FPT=A", "FA_ACT_EST_DATA=E, EST_SOURCE=NDH", "ACT_EST_MAPPING=PRECISE", "FS=MRC", "CURRENCY=USD", "XLFILL=b")</f>
        <v>#N/A Requesting Data...</v>
      </c>
      <c r="W164" s="6" t="str">
        <f>_xll.BQL("NOW US Equity", "CB_BS_PP_AND_E_NET/1M", "FPR=2021Y", "FPT=A", "FA_ACT_EST_DATA=E, EST_SOURCE=ZXS", "ACT_EST_MAPPING=PRECISE", "FS=MRC", "CURRENCY=USD", "XLFILL=b")</f>
        <v>#N/A Requesting Data...</v>
      </c>
      <c r="X164" s="6" t="str">
        <f>_xll.BQL("NOW US Equity", "CB_BS_PP_AND_E_NET/1M", "FPR=2021Y", "FPT=A", "FA_ACT_EST_DATA=E, EST_SOURCE=CWN", "ACT_EST_MAPPING=PRECISE", "FS=MRC", "CURRENCY=USD", "XLFILL=b")</f>
        <v>#N/A Requesting Data...</v>
      </c>
      <c r="Y164" s="6" t="str">
        <f>_xll.BQL("NOW US Equity", "CB_BS_PP_AND_E_NET/1M", "FPR=2021Y", "FPT=A", "FA_ACT_EST_DATA=E, EST_SOURCE=DBG", "ACT_EST_MAPPING=PRECISE", "FS=MRC", "CURRENCY=USD", "XLFILL=b")</f>
        <v>#N/A Requesting Data...</v>
      </c>
      <c r="Z164" s="6" t="str">
        <f>_xll.BQL("NOW US Equity", "CB_BS_PP_AND_E_NET/1M", "FPR=2021Y", "FPT=A", "FA_ACT_EST_DATA=E, EST_SOURCE=UBS", "ACT_EST_MAPPING=PRECISE", "FS=MRC", "CURRENCY=USD", "XLFILL=b")</f>
        <v>#N/A Requesting Data...</v>
      </c>
      <c r="AA164" s="6" t="str">
        <f>_xll.BQL("NOW US Equity", "CB_BS_PP_AND_E_NET/1M", "FPR=2021Y", "FPT=A", "FA_ACT_EST_DATA=E, EST_SOURCE=RBC", "ACT_EST_MAPPING=PRECISE", "FS=MRC", "CURRENCY=USD", "XLFILL=b")</f>
        <v>#N/A Requesting Data...</v>
      </c>
      <c r="AB164" s="6" t="str">
        <f>_xll.BQL("NOW US Equity", "CB_BS_PP_AND_E_NET/1M", "FPR=2021Y", "FPT=A", "FA_ACT_EST_DATA=E, EST_SOURCE=EVR", "ACT_EST_MAPPING=PRECISE", "FS=MRC", "CURRENCY=USD", "XLFILL=b")</f>
        <v>#N/A Requesting Data...</v>
      </c>
      <c r="AC164" s="6" t="str">
        <f>_xll.BQL("NOW US Equity", "CB_BS_PP_AND_E_NET/1M", "FPR=2021Y", "FPT=A", "FA_ACT_EST_DATA=E, EST_SOURCE=BNS", "ACT_EST_MAPPING=PRECISE", "FS=MRC", "CURRENCY=USD", "XLFILL=b")</f>
        <v>#N/A Requesting Data...</v>
      </c>
      <c r="AD164" s="6" t="str">
        <f>_xll.BQL("NOW US Equity", "CB_BS_PP_AND_E_NET/1M", "FPR=2021Y", "FPT=A", "FA_ACT_EST_DATA=E, EST_SOURCE=BAM", "ACT_EST_MAPPING=PRECISE", "FS=MRC", "CURRENCY=USD", "XLFILL=b")</f>
        <v>#N/A Requesting Data...</v>
      </c>
      <c r="AE164" s="6" t="str">
        <f>_xll.BQL("NOW US Equity", "CB_BS_PP_AND_E_NET/1M", "FPR=2021Y", "FPT=A", "FA_ACT_EST_DATA=E, EST_SOURCE=GSR", "ACT_EST_MAPPING=PRECISE", "FS=MRC", "CURRENCY=USD", "XLFILL=b")</f>
        <v>#N/A Requesting Data...</v>
      </c>
      <c r="AF164" s="6" t="str">
        <f>_xll.BQL("NOW US Equity", "CB_BS_PP_AND_E_NET/1M", "FPR=2021Y", "FPT=A", "FA_ACT_EST_DATA=E, EST_SOURCE=FBC", "ACT_EST_MAPPING=PRECISE", "FS=MRC", "CURRENCY=USD", "XLFILL=b")</f>
        <v>#N/A Requesting Data...</v>
      </c>
      <c r="AG164" s="6" t="str">
        <f>_xll.BQL("NOW US Equity", "CB_BS_PP_AND_E_NET/1M", "FPR=2021Y", "FPT=A", "FA_ACT_EST_DATA=E, EST_SOURCE=MAC", "ACT_EST_MAPPING=PRECISE", "FS=MRC", "CURRENCY=USD", "XLFILL=b")</f>
        <v>#N/A Requesting Data...</v>
      </c>
      <c r="AH164" s="6" t="str">
        <f>_xll.BQL("NOW US Equity", "CB_BS_PP_AND_E_NET/1M", "FPR=2021Y", "FPT=A", "FA_ACT_EST_DATA=E, EST_SOURCE=PSG", "ACT_EST_MAPPING=PRECISE", "FS=MRC", "CURRENCY=USD", "XLFILL=b")</f>
        <v>#N/A Requesting Data...</v>
      </c>
      <c r="AI164" s="6" t="str">
        <f>_xll.BQL("NOW US Equity", "CB_BS_PP_AND_E_NET/1M", "FPR=2021Y", "FPT=A", "FA_ACT_EST_DATA=E, EST_SOURCE=MSR", "ACT_EST_MAPPING=PRECISE", "FS=MRC", "CURRENCY=USD", "XLFILL=b")</f>
        <v>#N/A Requesting Data...</v>
      </c>
      <c r="AJ164" s="6" t="str">
        <f>_xll.BQL("NOW US Equity", "CB_BS_PP_AND_E_NET/1M", "FPR=2021Y", "FPT=A", "FA_ACT_EST_DATA=E, EST_SOURCE=JEF", "ACT_EST_MAPPING=PRECISE", "FS=MRC", "CURRENCY=USD", "XLFILL=b")</f>
        <v>#N/A Requesting Data...</v>
      </c>
      <c r="AK164" s="6" t="str">
        <f>_xll.BQL("NOW US Equity", "CB_BS_PP_AND_E_NET/1M", "FPR=2021Y", "FPT=A", "FA_ACT_EST_DATA=E, EST_SOURCE=TTC", "ACT_EST_MAPPING=PRECISE", "FS=MRC", "CURRENCY=USD", "XLFILL=b")</f>
        <v>#N/A Requesting Data...</v>
      </c>
      <c r="AL164" s="6" t="str">
        <f>_xll.BQL("NOW US Equity", "CB_BS_PP_AND_E_NET/1M", "FPR=2021Y", "FPT=A", "FA_ACT_EST_DATA=E, EST_SOURCE=RWB", "ACT_EST_MAPPING=PRECISE", "FS=MRC", "CURRENCY=USD", "XLFILL=b")</f>
        <v>#N/A Requesting Data...</v>
      </c>
      <c r="AM164" s="6" t="str">
        <f>_xll.BQL("NOW US Equity", "CB_BS_PP_AND_E_NET/1M", "FPR=2021Y", "FPT=A", "FA_ACT_EST_DATA=E, EST_SOURCE=DZB", "ACT_EST_MAPPING=PRECISE", "FS=MRC", "CURRENCY=USD", "XLFILL=b")</f>
        <v>#N/A Requesting Data...</v>
      </c>
      <c r="AN164" s="6" t="str">
        <f>_xll.BQL("NOW US Equity", "CB_BS_PP_AND_E_NET/1M", "FPR=2021Y", "FPT=A", "FA_ACT_EST_DATA=E, EST_SOURCE=DWI", "ACT_EST_MAPPING=PRECISE", "FS=MRC", "CURRENCY=USD", "XLFILL=b")</f>
        <v>#N/A Requesting Data...</v>
      </c>
      <c r="AO164" s="6" t="str">
        <f>_xll.BQL("NOW US Equity", "CB_BS_PP_AND_E_NET/1M", "FPR=2021Y", "FPT=A", "FA_ACT_EST_DATA=E, EST_SOURCE=ARG", "ACT_EST_MAPPING=PRECISE", "FS=MRC", "CURRENCY=USD", "XLFILL=b")</f>
        <v>#N/A Requesting Data...</v>
      </c>
      <c r="AP164" s="6" t="str">
        <f>_xll.BQL("NOW US Equity", "CB_BS_PP_AND_E_NET/1M", "FPR=2021Y", "FPT=A", "FA_ACT_EST_DATA=E, EST_SOURCE=CTI", "ACT_EST_MAPPING=PRECISE", "FS=MRC", "CURRENCY=USD", "XLFILL=b")</f>
        <v>#N/A Requesting Data...</v>
      </c>
      <c r="AQ164" s="6" t="str">
        <f>_xll.BQL("NOW US Equity", "CB_BS_PP_AND_E_NET/1M", "FPR=2021Y", "FPT=A", "FA_ACT_EST_DATA=E, EST_SOURCE=WFT", "ACT_EST_MAPPING=PRECISE", "FS=MRC", "CURRENCY=USD", "XLFILL=b")</f>
        <v>#N/A Requesting Data...</v>
      </c>
      <c r="AR164" s="6" t="str">
        <f>_xll.BQL("NOW US Equity", "CB_BS_PP_AND_E_NET/1M", "FPR=2021Y", "FPT=A", "FA_ACT_EST_DATA=E, EST_SOURCE=ARE", "ACT_EST_MAPPING=PRECISE", "FS=MRC", "CURRENCY=USD", "XLFILL=b")</f>
        <v>#N/A Requesting Data...</v>
      </c>
      <c r="AS164" s="6" t="str">
        <f>_xll.BQL("NOW US Equity", "CB_BS_PP_AND_E_NET/1M", "FPR=2021Y", "FPT=A", "FA_ACT_EST_DATA=E, EST_SOURCE=PJE", "ACT_EST_MAPPING=PRECISE", "FS=MRC", "CURRENCY=USD", "XLFILL=b")</f>
        <v>#N/A Requesting Data...</v>
      </c>
      <c r="AT164" s="6" t="str">
        <f>_xll.BQL("NOW US Equity", "CB_BS_PP_AND_E_NET/1M", "FPR=2021Y", "FPT=A", "FA_ACT_EST_DATA=E, EST_SOURCE=MZS", "ACT_EST_MAPPING=PRECISE", "FS=MRC", "CURRENCY=USD", "XLFILL=b")</f>
        <v>#N/A Requesting Data...</v>
      </c>
      <c r="AU164" s="6" t="str">
        <f>_xll.BQL("NOW US Equity", "CB_BS_PP_AND_E_NET/1M", "FPR=2021Y", "FPT=A", "FA_ACT_EST_DATA=E, EST_SOURCE=SUM", "ACT_EST_MAPPING=PRECISE", "FS=MRC", "CURRENCY=USD", "XLFILL=b")</f>
        <v>#N/A Requesting Data...</v>
      </c>
      <c r="AV164" s="6" t="str">
        <f>_xll.BQL("NOW US Equity", "CB_BS_PP_AND_E_NET/1M", "FPR=2021Y", "FPT=A", "FA_ACT_EST_DATA=E, EST_SOURCE=CRC", "ACT_EST_MAPPING=PRECISE", "FS=MRC", "CURRENCY=USD", "XLFILL=b")</f>
        <v>#N/A Requesting Data...</v>
      </c>
      <c r="AW164" s="6" t="str">
        <f>_xll.BQL("NOW US Equity", "CB_BS_PP_AND_E_NET/1M", "FPR=2021Y", "FPT=A", "FA_ACT_EST_DATA=E, EST_SOURCE=SCB", "ACT_EST_MAPPING=PRECISE", "FS=MRC", "CURRENCY=USD", "XLFILL=b")</f>
        <v>#N/A Requesting Data...</v>
      </c>
    </row>
    <row r="165" spans="1:49" x14ac:dyDescent="0.55000000000000004">
      <c r="A165" s="5" t="s">
        <v>282</v>
      </c>
      <c r="B165" s="2" t="s">
        <v>283</v>
      </c>
      <c r="C165" s="2" t="s">
        <v>284</v>
      </c>
      <c r="D165" s="2"/>
      <c r="E165" s="6" t="str">
        <f>_xll.BQL("NOW US Equity", "BS_OPER_LEA_RT_OF_USE_ASSETS/1M", "FPR=2021Y", "FPT=A", "FA_ACT_EST_DATA=E", "ACT_EST_MAPPING=PRECISE", "FS=MRC", "CURRENCY=USD", "XLFILL=b")</f>
        <v>#N/A Requesting Data...</v>
      </c>
      <c r="F165" s="6" t="str">
        <f>_xll.BQL("NOW US Equity", "CONTRIBUTOR_STATS(BS_OPER_LEA_RT_OF_USE_ASSETS, MIN)/1M", "FPR=2021Y", "FPT=A", "FA_ACT_EST_DATA=E", "ACT_EST_MAPPING=PRECISE", "FS=MRC", "CURRENCY=USD", "XLFILL=b")</f>
        <v>#N/A Requesting Data...</v>
      </c>
      <c r="G165" s="6" t="str">
        <f>_xll.BQL("NOW US Equity", "CONTRIBUTOR_STATS(BS_OPER_LEA_RT_OF_USE_ASSETS, MAX)/1M", "FPR=2021Y", "FPT=A", "FA_ACT_EST_DATA=E", "ACT_EST_MAPPING=PRECISE", "FS=MRC", "CURRENCY=USD", "XLFILL=b")</f>
        <v>#N/A Requesting Data...</v>
      </c>
      <c r="H165" s="6" t="str">
        <f>_xll.BQL("NOW US Equity", "CONTRIBUTOR_STATS(BS_OPER_LEA_RT_OF_USE_ASSETS, STD)/1M", "FPR=2021Y", "FPT=A", "FA_ACT_EST_DATA=E", "ACT_EST_MAPPING=PRECISE", "FS=MRC", "CURRENCY=USD", "XLFILL=b")</f>
        <v>#N/A Requesting Data...</v>
      </c>
      <c r="I165" s="6" t="str">
        <f>_xll.BQL("NOW US Equity", "CONTRIBUTOR_STATS(BS_OPER_LEA_RT_OF_USE_ASSETS, MEDIAN)/1M", "FPR=2021Y", "FPT=A", "FA_ACT_EST_DATA=E", "ACT_EST_MAPPING=PRECISE", "FS=MRC", "CURRENCY=USD", "XLFILL=b")</f>
        <v>#N/A Requesting Data...</v>
      </c>
      <c r="J165" s="6" t="str">
        <f>_xll.BQL("NOW US Equity", "BS_OPER_LEA_RT_OF_USE_ASSETS/1M", "FPR=2021Y", "FPT=A", "FA_ACT_EST_DATA=E, EST_SOURCE=CMPY", "ACT_EST_MAPPING=PRECISE", "FS=MRC", "CURRENCY=USD", "XLFILL=b")</f>
        <v>#N/A Requesting Data...</v>
      </c>
      <c r="K165" s="6" t="str">
        <f>_xll.BQL("NOW US Equity", "BS_OPER_LEA_RT_OF_USE_ASSETS/1M", "FPR=2021Y", "FPT=A", "FA_ACT_EST_DATA=E, EST_SOURCE=JPM", "ACT_EST_MAPPING=PRECISE", "FS=MRC", "CURRENCY=USD", "XLFILL=b")</f>
        <v>#N/A Requesting Data...</v>
      </c>
      <c r="L165" s="6" t="str">
        <f>_xll.BQL("NOW US Equity", "BS_OPER_LEA_RT_OF_USE_ASSETS/1M", "FPR=2021Y", "FPT=A", "FA_ACT_EST_DATA=E, EST_SOURCE=WBL", "ACT_EST_MAPPING=PRECISE", "FS=MRC", "CURRENCY=USD", "XLFILL=b")</f>
        <v>#N/A Requesting Data...</v>
      </c>
      <c r="M165" s="6" t="str">
        <f>_xll.BQL("NOW US Equity", "BS_OPER_LEA_RT_OF_USE_ASSETS/1M", "FPR=2021Y", "FPT=A", "FA_ACT_EST_DATA=E, EST_SOURCE=KEY", "ACT_EST_MAPPING=PRECISE", "FS=MRC", "CURRENCY=USD", "XLFILL=b")</f>
        <v>#N/A Requesting Data...</v>
      </c>
      <c r="N165" s="6" t="str">
        <f>_xll.BQL("NOW US Equity", "BS_OPER_LEA_RT_OF_USE_ASSETS/1M", "FPR=2021Y", "FPT=A", "FA_ACT_EST_DATA=E, EST_SOURCE=BMO", "ACT_EST_MAPPING=PRECISE", "FS=MRC", "CURRENCY=USD", "XLFILL=b")</f>
        <v>#N/A Requesting Data...</v>
      </c>
      <c r="O165" s="6" t="str">
        <f>_xll.BQL("NOW US Equity", "BS_OPER_LEA_RT_OF_USE_ASSETS/1M", "FPR=2021Y", "FPT=A", "FA_ACT_EST_DATA=E, EST_SOURCE=OPY", "ACT_EST_MAPPING=PRECISE", "FS=MRC", "CURRENCY=USD", "XLFILL=b")</f>
        <v>#N/A Requesting Data...</v>
      </c>
      <c r="P165" s="6" t="str">
        <f>_xll.BQL("NOW US Equity", "BS_OPER_LEA_RT_OF_USE_ASSETS/1M", "FPR=2021Y", "FPT=A", "FA_ACT_EST_DATA=E, EST_SOURCE=BCA", "ACT_EST_MAPPING=PRECISE", "FS=MRC", "CURRENCY=USD", "XLFILL=b")</f>
        <v>#N/A Requesting Data...</v>
      </c>
      <c r="Q165" s="6" t="str">
        <f>_xll.BQL("NOW US Equity", "BS_OPER_LEA_RT_OF_USE_ASSETS/1M", "FPR=2021Y", "FPT=A", "FA_ACT_EST_DATA=E, EST_SOURCE=RHR", "ACT_EST_MAPPING=PRECISE", "FS=MRC", "CURRENCY=USD", "XLFILL=b")</f>
        <v>#N/A Requesting Data...</v>
      </c>
      <c r="R165" s="6" t="str">
        <f>_xll.BQL("NOW US Equity", "BS_OPER_LEA_RT_OF_USE_ASSETS/1M", "FPR=2021Y", "FPT=A", "FA_ACT_EST_DATA=E, EST_SOURCE=SNR", "ACT_EST_MAPPING=PRECISE", "FS=MRC", "CURRENCY=USD", "XLFILL=b")</f>
        <v>#N/A Requesting Data...</v>
      </c>
      <c r="S165" s="6" t="str">
        <f>_xll.BQL("NOW US Equity", "BS_OPER_LEA_RT_OF_USE_ASSETS/1M", "FPR=2021Y", "FPT=A", "FA_ACT_EST_DATA=E, EST_SOURCE=MSV", "ACT_EST_MAPPING=PRECISE", "FS=MRC", "CURRENCY=USD", "XLFILL=b")</f>
        <v>#N/A Requesting Data...</v>
      </c>
      <c r="T165" s="6" t="str">
        <f>_xll.BQL("NOW US Equity", "BS_OPER_LEA_RT_OF_USE_ASSETS/1M", "FPR=2021Y", "FPT=A", "FA_ACT_EST_DATA=E, EST_SOURCE=CAN", "ACT_EST_MAPPING=PRECISE", "FS=MRC", "CURRENCY=USD", "XLFILL=b")</f>
        <v>#N/A Requesting Data...</v>
      </c>
      <c r="U165" s="6" t="str">
        <f>_xll.BQL("NOW US Equity", "BS_OPER_LEA_RT_OF_USE_ASSETS/1M", "FPR=2021Y", "FPT=A", "FA_ACT_EST_DATA=E, EST_SOURCE=JMP", "ACT_EST_MAPPING=PRECISE", "FS=MRC", "CURRENCY=USD", "XLFILL=b")</f>
        <v>#N/A Requesting Data...</v>
      </c>
      <c r="V165" s="6" t="str">
        <f>_xll.BQL("NOW US Equity", "BS_OPER_LEA_RT_OF_USE_ASSETS/1M", "FPR=2021Y", "FPT=A", "FA_ACT_EST_DATA=E, EST_SOURCE=NDH", "ACT_EST_MAPPING=PRECISE", "FS=MRC", "CURRENCY=USD", "XLFILL=b")</f>
        <v>#N/A Requesting Data...</v>
      </c>
      <c r="W165" s="6" t="str">
        <f>_xll.BQL("NOW US Equity", "BS_OPER_LEA_RT_OF_USE_ASSETS/1M", "FPR=2021Y", "FPT=A", "FA_ACT_EST_DATA=E, EST_SOURCE=ZXS", "ACT_EST_MAPPING=PRECISE", "FS=MRC", "CURRENCY=USD", "XLFILL=b")</f>
        <v>#N/A Requesting Data...</v>
      </c>
      <c r="X165" s="6" t="str">
        <f>_xll.BQL("NOW US Equity", "BS_OPER_LEA_RT_OF_USE_ASSETS/1M", "FPR=2021Y", "FPT=A", "FA_ACT_EST_DATA=E, EST_SOURCE=CWN", "ACT_EST_MAPPING=PRECISE", "FS=MRC", "CURRENCY=USD", "XLFILL=b")</f>
        <v>#N/A Requesting Data...</v>
      </c>
      <c r="Y165" s="6" t="str">
        <f>_xll.BQL("NOW US Equity", "BS_OPER_LEA_RT_OF_USE_ASSETS/1M", "FPR=2021Y", "FPT=A", "FA_ACT_EST_DATA=E, EST_SOURCE=DBG", "ACT_EST_MAPPING=PRECISE", "FS=MRC", "CURRENCY=USD", "XLFILL=b")</f>
        <v>#N/A Requesting Data...</v>
      </c>
      <c r="Z165" s="6" t="str">
        <f>_xll.BQL("NOW US Equity", "BS_OPER_LEA_RT_OF_USE_ASSETS/1M", "FPR=2021Y", "FPT=A", "FA_ACT_EST_DATA=E, EST_SOURCE=UBS", "ACT_EST_MAPPING=PRECISE", "FS=MRC", "CURRENCY=USD", "XLFILL=b")</f>
        <v>#N/A Requesting Data...</v>
      </c>
      <c r="AA165" s="6" t="str">
        <f>_xll.BQL("NOW US Equity", "BS_OPER_LEA_RT_OF_USE_ASSETS/1M", "FPR=2021Y", "FPT=A", "FA_ACT_EST_DATA=E, EST_SOURCE=RBC", "ACT_EST_MAPPING=PRECISE", "FS=MRC", "CURRENCY=USD", "XLFILL=b")</f>
        <v>#N/A Requesting Data...</v>
      </c>
      <c r="AB165" s="6" t="str">
        <f>_xll.BQL("NOW US Equity", "BS_OPER_LEA_RT_OF_USE_ASSETS/1M", "FPR=2021Y", "FPT=A", "FA_ACT_EST_DATA=E, EST_SOURCE=EVR", "ACT_EST_MAPPING=PRECISE", "FS=MRC", "CURRENCY=USD", "XLFILL=b")</f>
        <v>#N/A Requesting Data...</v>
      </c>
      <c r="AC165" s="6" t="str">
        <f>_xll.BQL("NOW US Equity", "BS_OPER_LEA_RT_OF_USE_ASSETS/1M", "FPR=2021Y", "FPT=A", "FA_ACT_EST_DATA=E, EST_SOURCE=BNS", "ACT_EST_MAPPING=PRECISE", "FS=MRC", "CURRENCY=USD", "XLFILL=b")</f>
        <v>#N/A Requesting Data...</v>
      </c>
      <c r="AD165" s="6" t="str">
        <f>_xll.BQL("NOW US Equity", "BS_OPER_LEA_RT_OF_USE_ASSETS/1M", "FPR=2021Y", "FPT=A", "FA_ACT_EST_DATA=E, EST_SOURCE=BAM", "ACT_EST_MAPPING=PRECISE", "FS=MRC", "CURRENCY=USD", "XLFILL=b")</f>
        <v>#N/A Requesting Data...</v>
      </c>
      <c r="AE165" s="6" t="str">
        <f>_xll.BQL("NOW US Equity", "BS_OPER_LEA_RT_OF_USE_ASSETS/1M", "FPR=2021Y", "FPT=A", "FA_ACT_EST_DATA=E, EST_SOURCE=GSR", "ACT_EST_MAPPING=PRECISE", "FS=MRC", "CURRENCY=USD", "XLFILL=b")</f>
        <v>#N/A Requesting Data...</v>
      </c>
      <c r="AF165" s="6" t="str">
        <f>_xll.BQL("NOW US Equity", "BS_OPER_LEA_RT_OF_USE_ASSETS/1M", "FPR=2021Y", "FPT=A", "FA_ACT_EST_DATA=E, EST_SOURCE=FBC", "ACT_EST_MAPPING=PRECISE", "FS=MRC", "CURRENCY=USD", "XLFILL=b")</f>
        <v>#N/A Requesting Data...</v>
      </c>
      <c r="AG165" s="6" t="str">
        <f>_xll.BQL("NOW US Equity", "BS_OPER_LEA_RT_OF_USE_ASSETS/1M", "FPR=2021Y", "FPT=A", "FA_ACT_EST_DATA=E, EST_SOURCE=MAC", "ACT_EST_MAPPING=PRECISE", "FS=MRC", "CURRENCY=USD", "XLFILL=b")</f>
        <v>#N/A Requesting Data...</v>
      </c>
      <c r="AH165" s="6" t="str">
        <f>_xll.BQL("NOW US Equity", "BS_OPER_LEA_RT_OF_USE_ASSETS/1M", "FPR=2021Y", "FPT=A", "FA_ACT_EST_DATA=E, EST_SOURCE=PSG", "ACT_EST_MAPPING=PRECISE", "FS=MRC", "CURRENCY=USD", "XLFILL=b")</f>
        <v>#N/A Requesting Data...</v>
      </c>
      <c r="AI165" s="6" t="str">
        <f>_xll.BQL("NOW US Equity", "BS_OPER_LEA_RT_OF_USE_ASSETS/1M", "FPR=2021Y", "FPT=A", "FA_ACT_EST_DATA=E, EST_SOURCE=MSR", "ACT_EST_MAPPING=PRECISE", "FS=MRC", "CURRENCY=USD", "XLFILL=b")</f>
        <v>#N/A Requesting Data...</v>
      </c>
      <c r="AJ165" s="6" t="str">
        <f>_xll.BQL("NOW US Equity", "BS_OPER_LEA_RT_OF_USE_ASSETS/1M", "FPR=2021Y", "FPT=A", "FA_ACT_EST_DATA=E, EST_SOURCE=JEF", "ACT_EST_MAPPING=PRECISE", "FS=MRC", "CURRENCY=USD", "XLFILL=b")</f>
        <v>#N/A Requesting Data...</v>
      </c>
      <c r="AK165" s="6" t="str">
        <f>_xll.BQL("NOW US Equity", "BS_OPER_LEA_RT_OF_USE_ASSETS/1M", "FPR=2021Y", "FPT=A", "FA_ACT_EST_DATA=E, EST_SOURCE=TTC", "ACT_EST_MAPPING=PRECISE", "FS=MRC", "CURRENCY=USD", "XLFILL=b")</f>
        <v>#N/A Requesting Data...</v>
      </c>
      <c r="AL165" s="6" t="str">
        <f>_xll.BQL("NOW US Equity", "BS_OPER_LEA_RT_OF_USE_ASSETS/1M", "FPR=2021Y", "FPT=A", "FA_ACT_EST_DATA=E, EST_SOURCE=RWB", "ACT_EST_MAPPING=PRECISE", "FS=MRC", "CURRENCY=USD", "XLFILL=b")</f>
        <v>#N/A Requesting Data...</v>
      </c>
      <c r="AM165" s="6" t="str">
        <f>_xll.BQL("NOW US Equity", "BS_OPER_LEA_RT_OF_USE_ASSETS/1M", "FPR=2021Y", "FPT=A", "FA_ACT_EST_DATA=E, EST_SOURCE=DZB", "ACT_EST_MAPPING=PRECISE", "FS=MRC", "CURRENCY=USD", "XLFILL=b")</f>
        <v>#N/A Requesting Data...</v>
      </c>
      <c r="AN165" s="6" t="str">
        <f>_xll.BQL("NOW US Equity", "BS_OPER_LEA_RT_OF_USE_ASSETS/1M", "FPR=2021Y", "FPT=A", "FA_ACT_EST_DATA=E, EST_SOURCE=DWI", "ACT_EST_MAPPING=PRECISE", "FS=MRC", "CURRENCY=USD", "XLFILL=b")</f>
        <v>#N/A Requesting Data...</v>
      </c>
      <c r="AO165" s="6" t="str">
        <f>_xll.BQL("NOW US Equity", "BS_OPER_LEA_RT_OF_USE_ASSETS/1M", "FPR=2021Y", "FPT=A", "FA_ACT_EST_DATA=E, EST_SOURCE=ARG", "ACT_EST_MAPPING=PRECISE", "FS=MRC", "CURRENCY=USD", "XLFILL=b")</f>
        <v>#N/A Requesting Data...</v>
      </c>
      <c r="AP165" s="6" t="str">
        <f>_xll.BQL("NOW US Equity", "BS_OPER_LEA_RT_OF_USE_ASSETS/1M", "FPR=2021Y", "FPT=A", "FA_ACT_EST_DATA=E, EST_SOURCE=CTI", "ACT_EST_MAPPING=PRECISE", "FS=MRC", "CURRENCY=USD", "XLFILL=b")</f>
        <v>#N/A Requesting Data...</v>
      </c>
      <c r="AQ165" s="6" t="str">
        <f>_xll.BQL("NOW US Equity", "BS_OPER_LEA_RT_OF_USE_ASSETS/1M", "FPR=2021Y", "FPT=A", "FA_ACT_EST_DATA=E, EST_SOURCE=WFT", "ACT_EST_MAPPING=PRECISE", "FS=MRC", "CURRENCY=USD", "XLFILL=b")</f>
        <v>#N/A Requesting Data...</v>
      </c>
      <c r="AR165" s="6" t="str">
        <f>_xll.BQL("NOW US Equity", "BS_OPER_LEA_RT_OF_USE_ASSETS/1M", "FPR=2021Y", "FPT=A", "FA_ACT_EST_DATA=E, EST_SOURCE=ARE", "ACT_EST_MAPPING=PRECISE", "FS=MRC", "CURRENCY=USD", "XLFILL=b")</f>
        <v>#N/A Requesting Data...</v>
      </c>
      <c r="AS165" s="6" t="str">
        <f>_xll.BQL("NOW US Equity", "BS_OPER_LEA_RT_OF_USE_ASSETS/1M", "FPR=2021Y", "FPT=A", "FA_ACT_EST_DATA=E, EST_SOURCE=PJE", "ACT_EST_MAPPING=PRECISE", "FS=MRC", "CURRENCY=USD", "XLFILL=b")</f>
        <v>#N/A Requesting Data...</v>
      </c>
      <c r="AT165" s="6" t="str">
        <f>_xll.BQL("NOW US Equity", "BS_OPER_LEA_RT_OF_USE_ASSETS/1M", "FPR=2021Y", "FPT=A", "FA_ACT_EST_DATA=E, EST_SOURCE=MZS", "ACT_EST_MAPPING=PRECISE", "FS=MRC", "CURRENCY=USD", "XLFILL=b")</f>
        <v>#N/A Requesting Data...</v>
      </c>
      <c r="AU165" s="6" t="str">
        <f>_xll.BQL("NOW US Equity", "BS_OPER_LEA_RT_OF_USE_ASSETS/1M", "FPR=2021Y", "FPT=A", "FA_ACT_EST_DATA=E, EST_SOURCE=SUM", "ACT_EST_MAPPING=PRECISE", "FS=MRC", "CURRENCY=USD", "XLFILL=b")</f>
        <v>#N/A Requesting Data...</v>
      </c>
      <c r="AV165" s="6" t="str">
        <f>_xll.BQL("NOW US Equity", "BS_OPER_LEA_RT_OF_USE_ASSETS/1M", "FPR=2021Y", "FPT=A", "FA_ACT_EST_DATA=E, EST_SOURCE=CRC", "ACT_EST_MAPPING=PRECISE", "FS=MRC", "CURRENCY=USD", "XLFILL=b")</f>
        <v>#N/A Requesting Data...</v>
      </c>
      <c r="AW165" s="6" t="str">
        <f>_xll.BQL("NOW US Equity", "BS_OPER_LEA_RT_OF_USE_ASSETS/1M", "FPR=2021Y", "FPT=A", "FA_ACT_EST_DATA=E, EST_SOURCE=SCB", "ACT_EST_MAPPING=PRECISE", "FS=MRC", "CURRENCY=USD", "XLFILL=b")</f>
        <v>#N/A Requesting Data...</v>
      </c>
    </row>
    <row r="166" spans="1:49" x14ac:dyDescent="0.55000000000000004">
      <c r="A166" s="5" t="s">
        <v>285</v>
      </c>
      <c r="B166" s="2" t="s">
        <v>286</v>
      </c>
      <c r="C166" s="2" t="s">
        <v>287</v>
      </c>
      <c r="D166" s="2"/>
      <c r="E166" s="6" t="str">
        <f>_xll.BQL("NOW US Equity", "BS_OTHER_INTANGIBLE_ASSETS/1M", "FPR=2021Y", "FPT=A", "FA_ACT_EST_DATA=E", "ACT_EST_MAPPING=PRECISE", "FS=MRC", "CURRENCY=USD", "XLFILL=b")</f>
        <v>#N/A Requesting Data...</v>
      </c>
      <c r="F166" s="6" t="str">
        <f>_xll.BQL("NOW US Equity", "CONTRIBUTOR_STATS(BS_OTHER_INTANGIBLE_ASSETS, MIN)/1M", "FPR=2021Y", "FPT=A", "FA_ACT_EST_DATA=E", "ACT_EST_MAPPING=PRECISE", "FS=MRC", "CURRENCY=USD", "XLFILL=b")</f>
        <v>#N/A Requesting Data...</v>
      </c>
      <c r="G166" s="6" t="str">
        <f>_xll.BQL("NOW US Equity", "CONTRIBUTOR_STATS(BS_OTHER_INTANGIBLE_ASSETS, MAX)/1M", "FPR=2021Y", "FPT=A", "FA_ACT_EST_DATA=E", "ACT_EST_MAPPING=PRECISE", "FS=MRC", "CURRENCY=USD", "XLFILL=b")</f>
        <v>#N/A Requesting Data...</v>
      </c>
      <c r="H166" s="6" t="str">
        <f>_xll.BQL("NOW US Equity", "CONTRIBUTOR_STATS(BS_OTHER_INTANGIBLE_ASSETS, STD)/1M", "FPR=2021Y", "FPT=A", "FA_ACT_EST_DATA=E", "ACT_EST_MAPPING=PRECISE", "FS=MRC", "CURRENCY=USD", "XLFILL=b")</f>
        <v>#N/A Requesting Data...</v>
      </c>
      <c r="I166" s="6" t="str">
        <f>_xll.BQL("NOW US Equity", "CONTRIBUTOR_STATS(BS_OTHER_INTANGIBLE_ASSETS, MEDIAN)/1M", "FPR=2021Y", "FPT=A", "FA_ACT_EST_DATA=E", "ACT_EST_MAPPING=PRECISE", "FS=MRC", "CURRENCY=USD", "XLFILL=b")</f>
        <v>#N/A Requesting Data...</v>
      </c>
      <c r="J166" s="6" t="str">
        <f>_xll.BQL("NOW US Equity", "BS_OTHER_INTANGIBLE_ASSETS/1M", "FPR=2021Y", "FPT=A", "FA_ACT_EST_DATA=E, EST_SOURCE=CMPY", "ACT_EST_MAPPING=PRECISE", "FS=MRC", "CURRENCY=USD", "XLFILL=b")</f>
        <v>#N/A Requesting Data...</v>
      </c>
      <c r="K166" s="6" t="str">
        <f>_xll.BQL("NOW US Equity", "BS_OTHER_INTANGIBLE_ASSETS/1M", "FPR=2021Y", "FPT=A", "FA_ACT_EST_DATA=E, EST_SOURCE=JPM", "ACT_EST_MAPPING=PRECISE", "FS=MRC", "CURRENCY=USD", "XLFILL=b")</f>
        <v>#N/A Requesting Data...</v>
      </c>
      <c r="L166" s="6" t="str">
        <f>_xll.BQL("NOW US Equity", "BS_OTHER_INTANGIBLE_ASSETS/1M", "FPR=2021Y", "FPT=A", "FA_ACT_EST_DATA=E, EST_SOURCE=WBL", "ACT_EST_MAPPING=PRECISE", "FS=MRC", "CURRENCY=USD", "XLFILL=b")</f>
        <v>#N/A Requesting Data...</v>
      </c>
      <c r="M166" s="6" t="str">
        <f>_xll.BQL("NOW US Equity", "BS_OTHER_INTANGIBLE_ASSETS/1M", "FPR=2021Y", "FPT=A", "FA_ACT_EST_DATA=E, EST_SOURCE=KEY", "ACT_EST_MAPPING=PRECISE", "FS=MRC", "CURRENCY=USD", "XLFILL=b")</f>
        <v>#N/A Requesting Data...</v>
      </c>
      <c r="N166" s="6" t="str">
        <f>_xll.BQL("NOW US Equity", "BS_OTHER_INTANGIBLE_ASSETS/1M", "FPR=2021Y", "FPT=A", "FA_ACT_EST_DATA=E, EST_SOURCE=BMO", "ACT_EST_MAPPING=PRECISE", "FS=MRC", "CURRENCY=USD", "XLFILL=b")</f>
        <v>#N/A Requesting Data...</v>
      </c>
      <c r="O166" s="6" t="str">
        <f>_xll.BQL("NOW US Equity", "BS_OTHER_INTANGIBLE_ASSETS/1M", "FPR=2021Y", "FPT=A", "FA_ACT_EST_DATA=E, EST_SOURCE=OPY", "ACT_EST_MAPPING=PRECISE", "FS=MRC", "CURRENCY=USD", "XLFILL=b")</f>
        <v>#N/A Requesting Data...</v>
      </c>
      <c r="P166" s="6" t="str">
        <f>_xll.BQL("NOW US Equity", "BS_OTHER_INTANGIBLE_ASSETS/1M", "FPR=2021Y", "FPT=A", "FA_ACT_EST_DATA=E, EST_SOURCE=BCA", "ACT_EST_MAPPING=PRECISE", "FS=MRC", "CURRENCY=USD", "XLFILL=b")</f>
        <v>#N/A Requesting Data...</v>
      </c>
      <c r="Q166" s="6" t="str">
        <f>_xll.BQL("NOW US Equity", "BS_OTHER_INTANGIBLE_ASSETS/1M", "FPR=2021Y", "FPT=A", "FA_ACT_EST_DATA=E, EST_SOURCE=RHR", "ACT_EST_MAPPING=PRECISE", "FS=MRC", "CURRENCY=USD", "XLFILL=b")</f>
        <v>#N/A Requesting Data...</v>
      </c>
      <c r="R166" s="6" t="str">
        <f>_xll.BQL("NOW US Equity", "BS_OTHER_INTANGIBLE_ASSETS/1M", "FPR=2021Y", "FPT=A", "FA_ACT_EST_DATA=E, EST_SOURCE=SNR", "ACT_EST_MAPPING=PRECISE", "FS=MRC", "CURRENCY=USD", "XLFILL=b")</f>
        <v>#N/A Requesting Data...</v>
      </c>
      <c r="S166" s="6" t="str">
        <f>_xll.BQL("NOW US Equity", "BS_OTHER_INTANGIBLE_ASSETS/1M", "FPR=2021Y", "FPT=A", "FA_ACT_EST_DATA=E, EST_SOURCE=MSV", "ACT_EST_MAPPING=PRECISE", "FS=MRC", "CURRENCY=USD", "XLFILL=b")</f>
        <v>#N/A Requesting Data...</v>
      </c>
      <c r="T166" s="6" t="str">
        <f>_xll.BQL("NOW US Equity", "BS_OTHER_INTANGIBLE_ASSETS/1M", "FPR=2021Y", "FPT=A", "FA_ACT_EST_DATA=E, EST_SOURCE=CAN", "ACT_EST_MAPPING=PRECISE", "FS=MRC", "CURRENCY=USD", "XLFILL=b")</f>
        <v>#N/A Requesting Data...</v>
      </c>
      <c r="U166" s="6" t="str">
        <f>_xll.BQL("NOW US Equity", "BS_OTHER_INTANGIBLE_ASSETS/1M", "FPR=2021Y", "FPT=A", "FA_ACT_EST_DATA=E, EST_SOURCE=JMP", "ACT_EST_MAPPING=PRECISE", "FS=MRC", "CURRENCY=USD", "XLFILL=b")</f>
        <v>#N/A Requesting Data...</v>
      </c>
      <c r="V166" s="6" t="str">
        <f>_xll.BQL("NOW US Equity", "BS_OTHER_INTANGIBLE_ASSETS/1M", "FPR=2021Y", "FPT=A", "FA_ACT_EST_DATA=E, EST_SOURCE=NDH", "ACT_EST_MAPPING=PRECISE", "FS=MRC", "CURRENCY=USD", "XLFILL=b")</f>
        <v>#N/A Requesting Data...</v>
      </c>
      <c r="W166" s="6" t="str">
        <f>_xll.BQL("NOW US Equity", "BS_OTHER_INTANGIBLE_ASSETS/1M", "FPR=2021Y", "FPT=A", "FA_ACT_EST_DATA=E, EST_SOURCE=ZXS", "ACT_EST_MAPPING=PRECISE", "FS=MRC", "CURRENCY=USD", "XLFILL=b")</f>
        <v>#N/A Requesting Data...</v>
      </c>
      <c r="X166" s="6" t="str">
        <f>_xll.BQL("NOW US Equity", "BS_OTHER_INTANGIBLE_ASSETS/1M", "FPR=2021Y", "FPT=A", "FA_ACT_EST_DATA=E, EST_SOURCE=CWN", "ACT_EST_MAPPING=PRECISE", "FS=MRC", "CURRENCY=USD", "XLFILL=b")</f>
        <v>#N/A Requesting Data...</v>
      </c>
      <c r="Y166" s="6" t="str">
        <f>_xll.BQL("NOW US Equity", "BS_OTHER_INTANGIBLE_ASSETS/1M", "FPR=2021Y", "FPT=A", "FA_ACT_EST_DATA=E, EST_SOURCE=DBG", "ACT_EST_MAPPING=PRECISE", "FS=MRC", "CURRENCY=USD", "XLFILL=b")</f>
        <v>#N/A Requesting Data...</v>
      </c>
      <c r="Z166" s="6" t="str">
        <f>_xll.BQL("NOW US Equity", "BS_OTHER_INTANGIBLE_ASSETS/1M", "FPR=2021Y", "FPT=A", "FA_ACT_EST_DATA=E, EST_SOURCE=UBS", "ACT_EST_MAPPING=PRECISE", "FS=MRC", "CURRENCY=USD", "XLFILL=b")</f>
        <v>#N/A Requesting Data...</v>
      </c>
      <c r="AA166" s="6" t="str">
        <f>_xll.BQL("NOW US Equity", "BS_OTHER_INTANGIBLE_ASSETS/1M", "FPR=2021Y", "FPT=A", "FA_ACT_EST_DATA=E, EST_SOURCE=RBC", "ACT_EST_MAPPING=PRECISE", "FS=MRC", "CURRENCY=USD", "XLFILL=b")</f>
        <v>#N/A Requesting Data...</v>
      </c>
      <c r="AB166" s="6" t="str">
        <f>_xll.BQL("NOW US Equity", "BS_OTHER_INTANGIBLE_ASSETS/1M", "FPR=2021Y", "FPT=A", "FA_ACT_EST_DATA=E, EST_SOURCE=EVR", "ACT_EST_MAPPING=PRECISE", "FS=MRC", "CURRENCY=USD", "XLFILL=b")</f>
        <v>#N/A Requesting Data...</v>
      </c>
      <c r="AC166" s="6" t="str">
        <f>_xll.BQL("NOW US Equity", "BS_OTHER_INTANGIBLE_ASSETS/1M", "FPR=2021Y", "FPT=A", "FA_ACT_EST_DATA=E, EST_SOURCE=BNS", "ACT_EST_MAPPING=PRECISE", "FS=MRC", "CURRENCY=USD", "XLFILL=b")</f>
        <v>#N/A Requesting Data...</v>
      </c>
      <c r="AD166" s="6" t="str">
        <f>_xll.BQL("NOW US Equity", "BS_OTHER_INTANGIBLE_ASSETS/1M", "FPR=2021Y", "FPT=A", "FA_ACT_EST_DATA=E, EST_SOURCE=BAM", "ACT_EST_MAPPING=PRECISE", "FS=MRC", "CURRENCY=USD", "XLFILL=b")</f>
        <v>#N/A Requesting Data...</v>
      </c>
      <c r="AE166" s="6" t="str">
        <f>_xll.BQL("NOW US Equity", "BS_OTHER_INTANGIBLE_ASSETS/1M", "FPR=2021Y", "FPT=A", "FA_ACT_EST_DATA=E, EST_SOURCE=GSR", "ACT_EST_MAPPING=PRECISE", "FS=MRC", "CURRENCY=USD", "XLFILL=b")</f>
        <v>#N/A Requesting Data...</v>
      </c>
      <c r="AF166" s="6" t="str">
        <f>_xll.BQL("NOW US Equity", "BS_OTHER_INTANGIBLE_ASSETS/1M", "FPR=2021Y", "FPT=A", "FA_ACT_EST_DATA=E, EST_SOURCE=FBC", "ACT_EST_MAPPING=PRECISE", "FS=MRC", "CURRENCY=USD", "XLFILL=b")</f>
        <v>#N/A Requesting Data...</v>
      </c>
      <c r="AG166" s="6" t="str">
        <f>_xll.BQL("NOW US Equity", "BS_OTHER_INTANGIBLE_ASSETS/1M", "FPR=2021Y", "FPT=A", "FA_ACT_EST_DATA=E, EST_SOURCE=MAC", "ACT_EST_MAPPING=PRECISE", "FS=MRC", "CURRENCY=USD", "XLFILL=b")</f>
        <v>#N/A Requesting Data...</v>
      </c>
      <c r="AH166" s="6" t="str">
        <f>_xll.BQL("NOW US Equity", "BS_OTHER_INTANGIBLE_ASSETS/1M", "FPR=2021Y", "FPT=A", "FA_ACT_EST_DATA=E, EST_SOURCE=PSG", "ACT_EST_MAPPING=PRECISE", "FS=MRC", "CURRENCY=USD", "XLFILL=b")</f>
        <v>#N/A Requesting Data...</v>
      </c>
      <c r="AI166" s="6" t="str">
        <f>_xll.BQL("NOW US Equity", "BS_OTHER_INTANGIBLE_ASSETS/1M", "FPR=2021Y", "FPT=A", "FA_ACT_EST_DATA=E, EST_SOURCE=MSR", "ACT_EST_MAPPING=PRECISE", "FS=MRC", "CURRENCY=USD", "XLFILL=b")</f>
        <v>#N/A Requesting Data...</v>
      </c>
      <c r="AJ166" s="6" t="str">
        <f>_xll.BQL("NOW US Equity", "BS_OTHER_INTANGIBLE_ASSETS/1M", "FPR=2021Y", "FPT=A", "FA_ACT_EST_DATA=E, EST_SOURCE=JEF", "ACT_EST_MAPPING=PRECISE", "FS=MRC", "CURRENCY=USD", "XLFILL=b")</f>
        <v>#N/A Requesting Data...</v>
      </c>
      <c r="AK166" s="6" t="str">
        <f>_xll.BQL("NOW US Equity", "BS_OTHER_INTANGIBLE_ASSETS/1M", "FPR=2021Y", "FPT=A", "FA_ACT_EST_DATA=E, EST_SOURCE=TTC", "ACT_EST_MAPPING=PRECISE", "FS=MRC", "CURRENCY=USD", "XLFILL=b")</f>
        <v>#N/A Requesting Data...</v>
      </c>
      <c r="AL166" s="6" t="str">
        <f>_xll.BQL("NOW US Equity", "BS_OTHER_INTANGIBLE_ASSETS/1M", "FPR=2021Y", "FPT=A", "FA_ACT_EST_DATA=E, EST_SOURCE=RWB", "ACT_EST_MAPPING=PRECISE", "FS=MRC", "CURRENCY=USD", "XLFILL=b")</f>
        <v>#N/A Requesting Data...</v>
      </c>
      <c r="AM166" s="6" t="str">
        <f>_xll.BQL("NOW US Equity", "BS_OTHER_INTANGIBLE_ASSETS/1M", "FPR=2021Y", "FPT=A", "FA_ACT_EST_DATA=E, EST_SOURCE=DZB", "ACT_EST_MAPPING=PRECISE", "FS=MRC", "CURRENCY=USD", "XLFILL=b")</f>
        <v>#N/A Requesting Data...</v>
      </c>
      <c r="AN166" s="6" t="str">
        <f>_xll.BQL("NOW US Equity", "BS_OTHER_INTANGIBLE_ASSETS/1M", "FPR=2021Y", "FPT=A", "FA_ACT_EST_DATA=E, EST_SOURCE=DWI", "ACT_EST_MAPPING=PRECISE", "FS=MRC", "CURRENCY=USD", "XLFILL=b")</f>
        <v>#N/A Requesting Data...</v>
      </c>
      <c r="AO166" s="6" t="str">
        <f>_xll.BQL("NOW US Equity", "BS_OTHER_INTANGIBLE_ASSETS/1M", "FPR=2021Y", "FPT=A", "FA_ACT_EST_DATA=E, EST_SOURCE=ARG", "ACT_EST_MAPPING=PRECISE", "FS=MRC", "CURRENCY=USD", "XLFILL=b")</f>
        <v>#N/A Requesting Data...</v>
      </c>
      <c r="AP166" s="6" t="str">
        <f>_xll.BQL("NOW US Equity", "BS_OTHER_INTANGIBLE_ASSETS/1M", "FPR=2021Y", "FPT=A", "FA_ACT_EST_DATA=E, EST_SOURCE=CTI", "ACT_EST_MAPPING=PRECISE", "FS=MRC", "CURRENCY=USD", "XLFILL=b")</f>
        <v>#N/A Requesting Data...</v>
      </c>
      <c r="AQ166" s="6" t="str">
        <f>_xll.BQL("NOW US Equity", "BS_OTHER_INTANGIBLE_ASSETS/1M", "FPR=2021Y", "FPT=A", "FA_ACT_EST_DATA=E, EST_SOURCE=WFT", "ACT_EST_MAPPING=PRECISE", "FS=MRC", "CURRENCY=USD", "XLFILL=b")</f>
        <v>#N/A Requesting Data...</v>
      </c>
      <c r="AR166" s="6" t="str">
        <f>_xll.BQL("NOW US Equity", "BS_OTHER_INTANGIBLE_ASSETS/1M", "FPR=2021Y", "FPT=A", "FA_ACT_EST_DATA=E, EST_SOURCE=ARE", "ACT_EST_MAPPING=PRECISE", "FS=MRC", "CURRENCY=USD", "XLFILL=b")</f>
        <v>#N/A Requesting Data...</v>
      </c>
      <c r="AS166" s="6" t="str">
        <f>_xll.BQL("NOW US Equity", "BS_OTHER_INTANGIBLE_ASSETS/1M", "FPR=2021Y", "FPT=A", "FA_ACT_EST_DATA=E, EST_SOURCE=PJE", "ACT_EST_MAPPING=PRECISE", "FS=MRC", "CURRENCY=USD", "XLFILL=b")</f>
        <v>#N/A Requesting Data...</v>
      </c>
      <c r="AT166" s="6" t="str">
        <f>_xll.BQL("NOW US Equity", "BS_OTHER_INTANGIBLE_ASSETS/1M", "FPR=2021Y", "FPT=A", "FA_ACT_EST_DATA=E, EST_SOURCE=MZS", "ACT_EST_MAPPING=PRECISE", "FS=MRC", "CURRENCY=USD", "XLFILL=b")</f>
        <v>#N/A Requesting Data...</v>
      </c>
      <c r="AU166" s="6" t="str">
        <f>_xll.BQL("NOW US Equity", "BS_OTHER_INTANGIBLE_ASSETS/1M", "FPR=2021Y", "FPT=A", "FA_ACT_EST_DATA=E, EST_SOURCE=SUM", "ACT_EST_MAPPING=PRECISE", "FS=MRC", "CURRENCY=USD", "XLFILL=b")</f>
        <v>#N/A Requesting Data...</v>
      </c>
      <c r="AV166" s="6" t="str">
        <f>_xll.BQL("NOW US Equity", "BS_OTHER_INTANGIBLE_ASSETS/1M", "FPR=2021Y", "FPT=A", "FA_ACT_EST_DATA=E, EST_SOURCE=CRC", "ACT_EST_MAPPING=PRECISE", "FS=MRC", "CURRENCY=USD", "XLFILL=b")</f>
        <v>#N/A Requesting Data...</v>
      </c>
      <c r="AW166" s="6" t="str">
        <f>_xll.BQL("NOW US Equity", "BS_OTHER_INTANGIBLE_ASSETS/1M", "FPR=2021Y", "FPT=A", "FA_ACT_EST_DATA=E, EST_SOURCE=SCB", "ACT_EST_MAPPING=PRECISE", "FS=MRC", "CURRENCY=USD", "XLFILL=b")</f>
        <v>#N/A Requesting Data...</v>
      </c>
    </row>
    <row r="167" spans="1:49" x14ac:dyDescent="0.55000000000000004">
      <c r="A167" s="5" t="s">
        <v>288</v>
      </c>
      <c r="B167" s="2" t="s">
        <v>289</v>
      </c>
      <c r="C167" s="2" t="s">
        <v>290</v>
      </c>
      <c r="D167" s="2"/>
      <c r="E167" s="6" t="str">
        <f>_xll.BQL("NOW US Equity", "BS_GOODWILL/1M", "FPR=2021Y", "FPT=A", "FA_ACT_EST_DATA=E", "ACT_EST_MAPPING=PRECISE", "FS=MRC", "CURRENCY=USD", "XLFILL=b")</f>
        <v>#N/A Requesting Data...</v>
      </c>
      <c r="F167" s="6" t="str">
        <f>_xll.BQL("NOW US Equity", "CONTRIBUTOR_STATS(BS_GOODWILL, MIN)/1M", "FPR=2021Y", "FPT=A", "FA_ACT_EST_DATA=E", "ACT_EST_MAPPING=PRECISE", "FS=MRC", "CURRENCY=USD", "XLFILL=b")</f>
        <v>#N/A Requesting Data...</v>
      </c>
      <c r="G167" s="6" t="str">
        <f>_xll.BQL("NOW US Equity", "CONTRIBUTOR_STATS(BS_GOODWILL, MAX)/1M", "FPR=2021Y", "FPT=A", "FA_ACT_EST_DATA=E", "ACT_EST_MAPPING=PRECISE", "FS=MRC", "CURRENCY=USD", "XLFILL=b")</f>
        <v>#N/A Requesting Data...</v>
      </c>
      <c r="H167" s="6" t="str">
        <f>_xll.BQL("NOW US Equity", "CONTRIBUTOR_STATS(BS_GOODWILL, STD)/1M", "FPR=2021Y", "FPT=A", "FA_ACT_EST_DATA=E", "ACT_EST_MAPPING=PRECISE", "FS=MRC", "CURRENCY=USD", "XLFILL=b")</f>
        <v>#N/A Requesting Data...</v>
      </c>
      <c r="I167" s="6" t="str">
        <f>_xll.BQL("NOW US Equity", "CONTRIBUTOR_STATS(BS_GOODWILL, MEDIAN)/1M", "FPR=2021Y", "FPT=A", "FA_ACT_EST_DATA=E", "ACT_EST_MAPPING=PRECISE", "FS=MRC", "CURRENCY=USD", "XLFILL=b")</f>
        <v>#N/A Requesting Data...</v>
      </c>
      <c r="J167" s="6" t="str">
        <f>_xll.BQL("NOW US Equity", "BS_GOODWILL/1M", "FPR=2021Y", "FPT=A", "FA_ACT_EST_DATA=E, EST_SOURCE=CMPY", "ACT_EST_MAPPING=PRECISE", "FS=MRC", "CURRENCY=USD", "XLFILL=b")</f>
        <v>#N/A Requesting Data...</v>
      </c>
      <c r="K167" s="6" t="str">
        <f>_xll.BQL("NOW US Equity", "BS_GOODWILL/1M", "FPR=2021Y", "FPT=A", "FA_ACT_EST_DATA=E, EST_SOURCE=JPM", "ACT_EST_MAPPING=PRECISE", "FS=MRC", "CURRENCY=USD", "XLFILL=b")</f>
        <v>#N/A Requesting Data...</v>
      </c>
      <c r="L167" s="6" t="str">
        <f>_xll.BQL("NOW US Equity", "BS_GOODWILL/1M", "FPR=2021Y", "FPT=A", "FA_ACT_EST_DATA=E, EST_SOURCE=WBL", "ACT_EST_MAPPING=PRECISE", "FS=MRC", "CURRENCY=USD", "XLFILL=b")</f>
        <v>#N/A Requesting Data...</v>
      </c>
      <c r="M167" s="6" t="str">
        <f>_xll.BQL("NOW US Equity", "BS_GOODWILL/1M", "FPR=2021Y", "FPT=A", "FA_ACT_EST_DATA=E, EST_SOURCE=KEY", "ACT_EST_MAPPING=PRECISE", "FS=MRC", "CURRENCY=USD", "XLFILL=b")</f>
        <v>#N/A Requesting Data...</v>
      </c>
      <c r="N167" s="6" t="str">
        <f>_xll.BQL("NOW US Equity", "BS_GOODWILL/1M", "FPR=2021Y", "FPT=A", "FA_ACT_EST_DATA=E, EST_SOURCE=BMO", "ACT_EST_MAPPING=PRECISE", "FS=MRC", "CURRENCY=USD", "XLFILL=b")</f>
        <v>#N/A Requesting Data...</v>
      </c>
      <c r="O167" s="6" t="str">
        <f>_xll.BQL("NOW US Equity", "BS_GOODWILL/1M", "FPR=2021Y", "FPT=A", "FA_ACT_EST_DATA=E, EST_SOURCE=OPY", "ACT_EST_MAPPING=PRECISE", "FS=MRC", "CURRENCY=USD", "XLFILL=b")</f>
        <v>#N/A Requesting Data...</v>
      </c>
      <c r="P167" s="6" t="str">
        <f>_xll.BQL("NOW US Equity", "BS_GOODWILL/1M", "FPR=2021Y", "FPT=A", "FA_ACT_EST_DATA=E, EST_SOURCE=BCA", "ACT_EST_MAPPING=PRECISE", "FS=MRC", "CURRENCY=USD", "XLFILL=b")</f>
        <v>#N/A Requesting Data...</v>
      </c>
      <c r="Q167" s="6" t="str">
        <f>_xll.BQL("NOW US Equity", "BS_GOODWILL/1M", "FPR=2021Y", "FPT=A", "FA_ACT_EST_DATA=E, EST_SOURCE=RHR", "ACT_EST_MAPPING=PRECISE", "FS=MRC", "CURRENCY=USD", "XLFILL=b")</f>
        <v>#N/A Requesting Data...</v>
      </c>
      <c r="R167" s="6" t="str">
        <f>_xll.BQL("NOW US Equity", "BS_GOODWILL/1M", "FPR=2021Y", "FPT=A", "FA_ACT_EST_DATA=E, EST_SOURCE=SNR", "ACT_EST_MAPPING=PRECISE", "FS=MRC", "CURRENCY=USD", "XLFILL=b")</f>
        <v>#N/A Requesting Data...</v>
      </c>
      <c r="S167" s="6" t="str">
        <f>_xll.BQL("NOW US Equity", "BS_GOODWILL/1M", "FPR=2021Y", "FPT=A", "FA_ACT_EST_DATA=E, EST_SOURCE=MSV", "ACT_EST_MAPPING=PRECISE", "FS=MRC", "CURRENCY=USD", "XLFILL=b")</f>
        <v>#N/A Requesting Data...</v>
      </c>
      <c r="T167" s="6" t="str">
        <f>_xll.BQL("NOW US Equity", "BS_GOODWILL/1M", "FPR=2021Y", "FPT=A", "FA_ACT_EST_DATA=E, EST_SOURCE=CAN", "ACT_EST_MAPPING=PRECISE", "FS=MRC", "CURRENCY=USD", "XLFILL=b")</f>
        <v>#N/A Requesting Data...</v>
      </c>
      <c r="U167" s="6" t="str">
        <f>_xll.BQL("NOW US Equity", "BS_GOODWILL/1M", "FPR=2021Y", "FPT=A", "FA_ACT_EST_DATA=E, EST_SOURCE=JMP", "ACT_EST_MAPPING=PRECISE", "FS=MRC", "CURRENCY=USD", "XLFILL=b")</f>
        <v>#N/A Requesting Data...</v>
      </c>
      <c r="V167" s="6" t="str">
        <f>_xll.BQL("NOW US Equity", "BS_GOODWILL/1M", "FPR=2021Y", "FPT=A", "FA_ACT_EST_DATA=E, EST_SOURCE=NDH", "ACT_EST_MAPPING=PRECISE", "FS=MRC", "CURRENCY=USD", "XLFILL=b")</f>
        <v>#N/A Requesting Data...</v>
      </c>
      <c r="W167" s="6" t="str">
        <f>_xll.BQL("NOW US Equity", "BS_GOODWILL/1M", "FPR=2021Y", "FPT=A", "FA_ACT_EST_DATA=E, EST_SOURCE=ZXS", "ACT_EST_MAPPING=PRECISE", "FS=MRC", "CURRENCY=USD", "XLFILL=b")</f>
        <v>#N/A Requesting Data...</v>
      </c>
      <c r="X167" s="6" t="str">
        <f>_xll.BQL("NOW US Equity", "BS_GOODWILL/1M", "FPR=2021Y", "FPT=A", "FA_ACT_EST_DATA=E, EST_SOURCE=CWN", "ACT_EST_MAPPING=PRECISE", "FS=MRC", "CURRENCY=USD", "XLFILL=b")</f>
        <v>#N/A Requesting Data...</v>
      </c>
      <c r="Y167" s="6" t="str">
        <f>_xll.BQL("NOW US Equity", "BS_GOODWILL/1M", "FPR=2021Y", "FPT=A", "FA_ACT_EST_DATA=E, EST_SOURCE=DBG", "ACT_EST_MAPPING=PRECISE", "FS=MRC", "CURRENCY=USD", "XLFILL=b")</f>
        <v>#N/A Requesting Data...</v>
      </c>
      <c r="Z167" s="6" t="str">
        <f>_xll.BQL("NOW US Equity", "BS_GOODWILL/1M", "FPR=2021Y", "FPT=A", "FA_ACT_EST_DATA=E, EST_SOURCE=UBS", "ACT_EST_MAPPING=PRECISE", "FS=MRC", "CURRENCY=USD", "XLFILL=b")</f>
        <v>#N/A Requesting Data...</v>
      </c>
      <c r="AA167" s="6" t="str">
        <f>_xll.BQL("NOW US Equity", "BS_GOODWILL/1M", "FPR=2021Y", "FPT=A", "FA_ACT_EST_DATA=E, EST_SOURCE=RBC", "ACT_EST_MAPPING=PRECISE", "FS=MRC", "CURRENCY=USD", "XLFILL=b")</f>
        <v>#N/A Requesting Data...</v>
      </c>
      <c r="AB167" s="6" t="str">
        <f>_xll.BQL("NOW US Equity", "BS_GOODWILL/1M", "FPR=2021Y", "FPT=A", "FA_ACT_EST_DATA=E, EST_SOURCE=EVR", "ACT_EST_MAPPING=PRECISE", "FS=MRC", "CURRENCY=USD", "XLFILL=b")</f>
        <v>#N/A Requesting Data...</v>
      </c>
      <c r="AC167" s="6" t="str">
        <f>_xll.BQL("NOW US Equity", "BS_GOODWILL/1M", "FPR=2021Y", "FPT=A", "FA_ACT_EST_DATA=E, EST_SOURCE=BNS", "ACT_EST_MAPPING=PRECISE", "FS=MRC", "CURRENCY=USD", "XLFILL=b")</f>
        <v>#N/A Requesting Data...</v>
      </c>
      <c r="AD167" s="6" t="str">
        <f>_xll.BQL("NOW US Equity", "BS_GOODWILL/1M", "FPR=2021Y", "FPT=A", "FA_ACT_EST_DATA=E, EST_SOURCE=BAM", "ACT_EST_MAPPING=PRECISE", "FS=MRC", "CURRENCY=USD", "XLFILL=b")</f>
        <v>#N/A Requesting Data...</v>
      </c>
      <c r="AE167" s="6" t="str">
        <f>_xll.BQL("NOW US Equity", "BS_GOODWILL/1M", "FPR=2021Y", "FPT=A", "FA_ACT_EST_DATA=E, EST_SOURCE=GSR", "ACT_EST_MAPPING=PRECISE", "FS=MRC", "CURRENCY=USD", "XLFILL=b")</f>
        <v>#N/A Requesting Data...</v>
      </c>
      <c r="AF167" s="6" t="str">
        <f>_xll.BQL("NOW US Equity", "BS_GOODWILL/1M", "FPR=2021Y", "FPT=A", "FA_ACT_EST_DATA=E, EST_SOURCE=FBC", "ACT_EST_MAPPING=PRECISE", "FS=MRC", "CURRENCY=USD", "XLFILL=b")</f>
        <v>#N/A Requesting Data...</v>
      </c>
      <c r="AG167" s="6" t="str">
        <f>_xll.BQL("NOW US Equity", "BS_GOODWILL/1M", "FPR=2021Y", "FPT=A", "FA_ACT_EST_DATA=E, EST_SOURCE=MAC", "ACT_EST_MAPPING=PRECISE", "FS=MRC", "CURRENCY=USD", "XLFILL=b")</f>
        <v>#N/A Requesting Data...</v>
      </c>
      <c r="AH167" s="6" t="str">
        <f>_xll.BQL("NOW US Equity", "BS_GOODWILL/1M", "FPR=2021Y", "FPT=A", "FA_ACT_EST_DATA=E, EST_SOURCE=PSG", "ACT_EST_MAPPING=PRECISE", "FS=MRC", "CURRENCY=USD", "XLFILL=b")</f>
        <v>#N/A Requesting Data...</v>
      </c>
      <c r="AI167" s="6" t="str">
        <f>_xll.BQL("NOW US Equity", "BS_GOODWILL/1M", "FPR=2021Y", "FPT=A", "FA_ACT_EST_DATA=E, EST_SOURCE=MSR", "ACT_EST_MAPPING=PRECISE", "FS=MRC", "CURRENCY=USD", "XLFILL=b")</f>
        <v>#N/A Requesting Data...</v>
      </c>
      <c r="AJ167" s="6" t="str">
        <f>_xll.BQL("NOW US Equity", "BS_GOODWILL/1M", "FPR=2021Y", "FPT=A", "FA_ACT_EST_DATA=E, EST_SOURCE=JEF", "ACT_EST_MAPPING=PRECISE", "FS=MRC", "CURRENCY=USD", "XLFILL=b")</f>
        <v>#N/A Requesting Data...</v>
      </c>
      <c r="AK167" s="6" t="str">
        <f>_xll.BQL("NOW US Equity", "BS_GOODWILL/1M", "FPR=2021Y", "FPT=A", "FA_ACT_EST_DATA=E, EST_SOURCE=TTC", "ACT_EST_MAPPING=PRECISE", "FS=MRC", "CURRENCY=USD", "XLFILL=b")</f>
        <v>#N/A Requesting Data...</v>
      </c>
      <c r="AL167" s="6" t="str">
        <f>_xll.BQL("NOW US Equity", "BS_GOODWILL/1M", "FPR=2021Y", "FPT=A", "FA_ACT_EST_DATA=E, EST_SOURCE=RWB", "ACT_EST_MAPPING=PRECISE", "FS=MRC", "CURRENCY=USD", "XLFILL=b")</f>
        <v>#N/A Requesting Data...</v>
      </c>
      <c r="AM167" s="6" t="str">
        <f>_xll.BQL("NOW US Equity", "BS_GOODWILL/1M", "FPR=2021Y", "FPT=A", "FA_ACT_EST_DATA=E, EST_SOURCE=DZB", "ACT_EST_MAPPING=PRECISE", "FS=MRC", "CURRENCY=USD", "XLFILL=b")</f>
        <v>#N/A Requesting Data...</v>
      </c>
      <c r="AN167" s="6" t="str">
        <f>_xll.BQL("NOW US Equity", "BS_GOODWILL/1M", "FPR=2021Y", "FPT=A", "FA_ACT_EST_DATA=E, EST_SOURCE=DWI", "ACT_EST_MAPPING=PRECISE", "FS=MRC", "CURRENCY=USD", "XLFILL=b")</f>
        <v>#N/A Requesting Data...</v>
      </c>
      <c r="AO167" s="6" t="str">
        <f>_xll.BQL("NOW US Equity", "BS_GOODWILL/1M", "FPR=2021Y", "FPT=A", "FA_ACT_EST_DATA=E, EST_SOURCE=ARG", "ACT_EST_MAPPING=PRECISE", "FS=MRC", "CURRENCY=USD", "XLFILL=b")</f>
        <v>#N/A Requesting Data...</v>
      </c>
      <c r="AP167" s="6" t="str">
        <f>_xll.BQL("NOW US Equity", "BS_GOODWILL/1M", "FPR=2021Y", "FPT=A", "FA_ACT_EST_DATA=E, EST_SOURCE=CTI", "ACT_EST_MAPPING=PRECISE", "FS=MRC", "CURRENCY=USD", "XLFILL=b")</f>
        <v>#N/A Requesting Data...</v>
      </c>
      <c r="AQ167" s="6" t="str">
        <f>_xll.BQL("NOW US Equity", "BS_GOODWILL/1M", "FPR=2021Y", "FPT=A", "FA_ACT_EST_DATA=E, EST_SOURCE=WFT", "ACT_EST_MAPPING=PRECISE", "FS=MRC", "CURRENCY=USD", "XLFILL=b")</f>
        <v>#N/A Requesting Data...</v>
      </c>
      <c r="AR167" s="6" t="str">
        <f>_xll.BQL("NOW US Equity", "BS_GOODWILL/1M", "FPR=2021Y", "FPT=A", "FA_ACT_EST_DATA=E, EST_SOURCE=ARE", "ACT_EST_MAPPING=PRECISE", "FS=MRC", "CURRENCY=USD", "XLFILL=b")</f>
        <v>#N/A Requesting Data...</v>
      </c>
      <c r="AS167" s="6" t="str">
        <f>_xll.BQL("NOW US Equity", "BS_GOODWILL/1M", "FPR=2021Y", "FPT=A", "FA_ACT_EST_DATA=E, EST_SOURCE=PJE", "ACT_EST_MAPPING=PRECISE", "FS=MRC", "CURRENCY=USD", "XLFILL=b")</f>
        <v>#N/A Requesting Data...</v>
      </c>
      <c r="AT167" s="6" t="str">
        <f>_xll.BQL("NOW US Equity", "BS_GOODWILL/1M", "FPR=2021Y", "FPT=A", "FA_ACT_EST_DATA=E, EST_SOURCE=MZS", "ACT_EST_MAPPING=PRECISE", "FS=MRC", "CURRENCY=USD", "XLFILL=b")</f>
        <v>#N/A Requesting Data...</v>
      </c>
      <c r="AU167" s="6" t="str">
        <f>_xll.BQL("NOW US Equity", "BS_GOODWILL/1M", "FPR=2021Y", "FPT=A", "FA_ACT_EST_DATA=E, EST_SOURCE=SUM", "ACT_EST_MAPPING=PRECISE", "FS=MRC", "CURRENCY=USD", "XLFILL=b")</f>
        <v>#N/A Requesting Data...</v>
      </c>
      <c r="AV167" s="6" t="str">
        <f>_xll.BQL("NOW US Equity", "BS_GOODWILL/1M", "FPR=2021Y", "FPT=A", "FA_ACT_EST_DATA=E, EST_SOURCE=CRC", "ACT_EST_MAPPING=PRECISE", "FS=MRC", "CURRENCY=USD", "XLFILL=b")</f>
        <v>#N/A Requesting Data...</v>
      </c>
      <c r="AW167" s="6" t="str">
        <f>_xll.BQL("NOW US Equity", "BS_GOODWILL/1M", "FPR=2021Y", "FPT=A", "FA_ACT_EST_DATA=E, EST_SOURCE=SCB", "ACT_EST_MAPPING=PRECISE", "FS=MRC", "CURRENCY=USD", "XLFILL=b")</f>
        <v>#N/A Requesting Data...</v>
      </c>
    </row>
    <row r="168" spans="1:49" x14ac:dyDescent="0.55000000000000004">
      <c r="A168" s="5" t="s">
        <v>291</v>
      </c>
      <c r="B168" s="2" t="s">
        <v>292</v>
      </c>
      <c r="C168" s="2" t="s">
        <v>293</v>
      </c>
      <c r="D168" s="2"/>
      <c r="E168" s="6" t="str">
        <f>_xll.BQL("NOW US Equity", "CB_BS_DEFERRED_COST_LT/1M", "FPR=2021Y", "FPT=A", "FA_ACT_EST_DATA=E", "ACT_EST_MAPPING=PRECISE", "FS=MRC", "CURRENCY=USD", "XLFILL=b")</f>
        <v>#N/A Requesting Data...</v>
      </c>
      <c r="F168" s="6" t="str">
        <f>_xll.BQL("NOW US Equity", "CONTRIBUTOR_STATS(CB_BS_DEFERRED_COST_LT, MIN)/1M", "FPR=2021Y", "FPT=A", "FA_ACT_EST_DATA=E", "ACT_EST_MAPPING=PRECISE", "FS=MRC", "CURRENCY=USD", "XLFILL=b")</f>
        <v>#N/A Requesting Data...</v>
      </c>
      <c r="G168" s="6" t="str">
        <f>_xll.BQL("NOW US Equity", "CONTRIBUTOR_STATS(CB_BS_DEFERRED_COST_LT, MAX)/1M", "FPR=2021Y", "FPT=A", "FA_ACT_EST_DATA=E", "ACT_EST_MAPPING=PRECISE", "FS=MRC", "CURRENCY=USD", "XLFILL=b")</f>
        <v>#N/A Requesting Data...</v>
      </c>
      <c r="H168" s="6" t="str">
        <f>_xll.BQL("NOW US Equity", "CONTRIBUTOR_STATS(CB_BS_DEFERRED_COST_LT, STD)/1M", "FPR=2021Y", "FPT=A", "FA_ACT_EST_DATA=E", "ACT_EST_MAPPING=PRECISE", "FS=MRC", "CURRENCY=USD", "XLFILL=b")</f>
        <v>#N/A Requesting Data...</v>
      </c>
      <c r="I168" s="6" t="str">
        <f>_xll.BQL("NOW US Equity", "CONTRIBUTOR_STATS(CB_BS_DEFERRED_COST_LT, MEDIAN)/1M", "FPR=2021Y", "FPT=A", "FA_ACT_EST_DATA=E", "ACT_EST_MAPPING=PRECISE", "FS=MRC", "CURRENCY=USD", "XLFILL=b")</f>
        <v>#N/A Requesting Data...</v>
      </c>
      <c r="J168" s="6" t="str">
        <f>_xll.BQL("NOW US Equity", "CB_BS_DEFERRED_COST_LT/1M", "FPR=2021Y", "FPT=A", "FA_ACT_EST_DATA=E, EST_SOURCE=CMPY", "ACT_EST_MAPPING=PRECISE", "FS=MRC", "CURRENCY=USD", "XLFILL=b")</f>
        <v>#N/A Requesting Data...</v>
      </c>
      <c r="K168" s="6" t="str">
        <f>_xll.BQL("NOW US Equity", "CB_BS_DEFERRED_COST_LT/1M", "FPR=2021Y", "FPT=A", "FA_ACT_EST_DATA=E, EST_SOURCE=JPM", "ACT_EST_MAPPING=PRECISE", "FS=MRC", "CURRENCY=USD", "XLFILL=b")</f>
        <v>#N/A Requesting Data...</v>
      </c>
      <c r="L168" s="6" t="str">
        <f>_xll.BQL("NOW US Equity", "CB_BS_DEFERRED_COST_LT/1M", "FPR=2021Y", "FPT=A", "FA_ACT_EST_DATA=E, EST_SOURCE=WBL", "ACT_EST_MAPPING=PRECISE", "FS=MRC", "CURRENCY=USD", "XLFILL=b")</f>
        <v>#N/A Requesting Data...</v>
      </c>
      <c r="M168" s="6" t="str">
        <f>_xll.BQL("NOW US Equity", "CB_BS_DEFERRED_COST_LT/1M", "FPR=2021Y", "FPT=A", "FA_ACT_EST_DATA=E, EST_SOURCE=KEY", "ACT_EST_MAPPING=PRECISE", "FS=MRC", "CURRENCY=USD", "XLFILL=b")</f>
        <v>#N/A Requesting Data...</v>
      </c>
      <c r="N168" s="6" t="str">
        <f>_xll.BQL("NOW US Equity", "CB_BS_DEFERRED_COST_LT/1M", "FPR=2021Y", "FPT=A", "FA_ACT_EST_DATA=E, EST_SOURCE=BMO", "ACT_EST_MAPPING=PRECISE", "FS=MRC", "CURRENCY=USD", "XLFILL=b")</f>
        <v>#N/A Requesting Data...</v>
      </c>
      <c r="O168" s="6" t="str">
        <f>_xll.BQL("NOW US Equity", "CB_BS_DEFERRED_COST_LT/1M", "FPR=2021Y", "FPT=A", "FA_ACT_EST_DATA=E, EST_SOURCE=OPY", "ACT_EST_MAPPING=PRECISE", "FS=MRC", "CURRENCY=USD", "XLFILL=b")</f>
        <v>#N/A Requesting Data...</v>
      </c>
      <c r="P168" s="6" t="str">
        <f>_xll.BQL("NOW US Equity", "CB_BS_DEFERRED_COST_LT/1M", "FPR=2021Y", "FPT=A", "FA_ACT_EST_DATA=E, EST_SOURCE=BCA", "ACT_EST_MAPPING=PRECISE", "FS=MRC", "CURRENCY=USD", "XLFILL=b")</f>
        <v>#N/A Requesting Data...</v>
      </c>
      <c r="Q168" s="6" t="str">
        <f>_xll.BQL("NOW US Equity", "CB_BS_DEFERRED_COST_LT/1M", "FPR=2021Y", "FPT=A", "FA_ACT_EST_DATA=E, EST_SOURCE=RHR", "ACT_EST_MAPPING=PRECISE", "FS=MRC", "CURRENCY=USD", "XLFILL=b")</f>
        <v>#N/A Requesting Data...</v>
      </c>
      <c r="R168" s="6" t="str">
        <f>_xll.BQL("NOW US Equity", "CB_BS_DEFERRED_COST_LT/1M", "FPR=2021Y", "FPT=A", "FA_ACT_EST_DATA=E, EST_SOURCE=SNR", "ACT_EST_MAPPING=PRECISE", "FS=MRC", "CURRENCY=USD", "XLFILL=b")</f>
        <v>#N/A Requesting Data...</v>
      </c>
      <c r="S168" s="6" t="str">
        <f>_xll.BQL("NOW US Equity", "CB_BS_DEFERRED_COST_LT/1M", "FPR=2021Y", "FPT=A", "FA_ACT_EST_DATA=E, EST_SOURCE=MSV", "ACT_EST_MAPPING=PRECISE", "FS=MRC", "CURRENCY=USD", "XLFILL=b")</f>
        <v>#N/A Requesting Data...</v>
      </c>
      <c r="T168" s="6" t="str">
        <f>_xll.BQL("NOW US Equity", "CB_BS_DEFERRED_COST_LT/1M", "FPR=2021Y", "FPT=A", "FA_ACT_EST_DATA=E, EST_SOURCE=CAN", "ACT_EST_MAPPING=PRECISE", "FS=MRC", "CURRENCY=USD", "XLFILL=b")</f>
        <v>#N/A Requesting Data...</v>
      </c>
      <c r="U168" s="6" t="str">
        <f>_xll.BQL("NOW US Equity", "CB_BS_DEFERRED_COST_LT/1M", "FPR=2021Y", "FPT=A", "FA_ACT_EST_DATA=E, EST_SOURCE=JMP", "ACT_EST_MAPPING=PRECISE", "FS=MRC", "CURRENCY=USD", "XLFILL=b")</f>
        <v>#N/A Requesting Data...</v>
      </c>
      <c r="V168" s="6" t="str">
        <f>_xll.BQL("NOW US Equity", "CB_BS_DEFERRED_COST_LT/1M", "FPR=2021Y", "FPT=A", "FA_ACT_EST_DATA=E, EST_SOURCE=NDH", "ACT_EST_MAPPING=PRECISE", "FS=MRC", "CURRENCY=USD", "XLFILL=b")</f>
        <v>#N/A Requesting Data...</v>
      </c>
      <c r="W168" s="6" t="str">
        <f>_xll.BQL("NOW US Equity", "CB_BS_DEFERRED_COST_LT/1M", "FPR=2021Y", "FPT=A", "FA_ACT_EST_DATA=E, EST_SOURCE=ZXS", "ACT_EST_MAPPING=PRECISE", "FS=MRC", "CURRENCY=USD", "XLFILL=b")</f>
        <v>#N/A Requesting Data...</v>
      </c>
      <c r="X168" s="6" t="str">
        <f>_xll.BQL("NOW US Equity", "CB_BS_DEFERRED_COST_LT/1M", "FPR=2021Y", "FPT=A", "FA_ACT_EST_DATA=E, EST_SOURCE=CWN", "ACT_EST_MAPPING=PRECISE", "FS=MRC", "CURRENCY=USD", "XLFILL=b")</f>
        <v>#N/A Requesting Data...</v>
      </c>
      <c r="Y168" s="6" t="str">
        <f>_xll.BQL("NOW US Equity", "CB_BS_DEFERRED_COST_LT/1M", "FPR=2021Y", "FPT=A", "FA_ACT_EST_DATA=E, EST_SOURCE=DBG", "ACT_EST_MAPPING=PRECISE", "FS=MRC", "CURRENCY=USD", "XLFILL=b")</f>
        <v>#N/A Requesting Data...</v>
      </c>
      <c r="Z168" s="6" t="str">
        <f>_xll.BQL("NOW US Equity", "CB_BS_DEFERRED_COST_LT/1M", "FPR=2021Y", "FPT=A", "FA_ACT_EST_DATA=E, EST_SOURCE=UBS", "ACT_EST_MAPPING=PRECISE", "FS=MRC", "CURRENCY=USD", "XLFILL=b")</f>
        <v>#N/A Requesting Data...</v>
      </c>
      <c r="AA168" s="6" t="str">
        <f>_xll.BQL("NOW US Equity", "CB_BS_DEFERRED_COST_LT/1M", "FPR=2021Y", "FPT=A", "FA_ACT_EST_DATA=E, EST_SOURCE=RBC", "ACT_EST_MAPPING=PRECISE", "FS=MRC", "CURRENCY=USD", "XLFILL=b")</f>
        <v>#N/A Requesting Data...</v>
      </c>
      <c r="AB168" s="6" t="str">
        <f>_xll.BQL("NOW US Equity", "CB_BS_DEFERRED_COST_LT/1M", "FPR=2021Y", "FPT=A", "FA_ACT_EST_DATA=E, EST_SOURCE=EVR", "ACT_EST_MAPPING=PRECISE", "FS=MRC", "CURRENCY=USD", "XLFILL=b")</f>
        <v>#N/A Requesting Data...</v>
      </c>
      <c r="AC168" s="6" t="str">
        <f>_xll.BQL("NOW US Equity", "CB_BS_DEFERRED_COST_LT/1M", "FPR=2021Y", "FPT=A", "FA_ACT_EST_DATA=E, EST_SOURCE=BNS", "ACT_EST_MAPPING=PRECISE", "FS=MRC", "CURRENCY=USD", "XLFILL=b")</f>
        <v>#N/A Requesting Data...</v>
      </c>
      <c r="AD168" s="6" t="str">
        <f>_xll.BQL("NOW US Equity", "CB_BS_DEFERRED_COST_LT/1M", "FPR=2021Y", "FPT=A", "FA_ACT_EST_DATA=E, EST_SOURCE=BAM", "ACT_EST_MAPPING=PRECISE", "FS=MRC", "CURRENCY=USD", "XLFILL=b")</f>
        <v>#N/A Requesting Data...</v>
      </c>
      <c r="AE168" s="6" t="str">
        <f>_xll.BQL("NOW US Equity", "CB_BS_DEFERRED_COST_LT/1M", "FPR=2021Y", "FPT=A", "FA_ACT_EST_DATA=E, EST_SOURCE=GSR", "ACT_EST_MAPPING=PRECISE", "FS=MRC", "CURRENCY=USD", "XLFILL=b")</f>
        <v>#N/A Requesting Data...</v>
      </c>
      <c r="AF168" s="6" t="str">
        <f>_xll.BQL("NOW US Equity", "CB_BS_DEFERRED_COST_LT/1M", "FPR=2021Y", "FPT=A", "FA_ACT_EST_DATA=E, EST_SOURCE=FBC", "ACT_EST_MAPPING=PRECISE", "FS=MRC", "CURRENCY=USD", "XLFILL=b")</f>
        <v>#N/A Requesting Data...</v>
      </c>
      <c r="AG168" s="6" t="str">
        <f>_xll.BQL("NOW US Equity", "CB_BS_DEFERRED_COST_LT/1M", "FPR=2021Y", "FPT=A", "FA_ACT_EST_DATA=E, EST_SOURCE=MAC", "ACT_EST_MAPPING=PRECISE", "FS=MRC", "CURRENCY=USD", "XLFILL=b")</f>
        <v>#N/A Requesting Data...</v>
      </c>
      <c r="AH168" s="6" t="str">
        <f>_xll.BQL("NOW US Equity", "CB_BS_DEFERRED_COST_LT/1M", "FPR=2021Y", "FPT=A", "FA_ACT_EST_DATA=E, EST_SOURCE=PSG", "ACT_EST_MAPPING=PRECISE", "FS=MRC", "CURRENCY=USD", "XLFILL=b")</f>
        <v>#N/A Requesting Data...</v>
      </c>
      <c r="AI168" s="6" t="str">
        <f>_xll.BQL("NOW US Equity", "CB_BS_DEFERRED_COST_LT/1M", "FPR=2021Y", "FPT=A", "FA_ACT_EST_DATA=E, EST_SOURCE=MSR", "ACT_EST_MAPPING=PRECISE", "FS=MRC", "CURRENCY=USD", "XLFILL=b")</f>
        <v>#N/A Requesting Data...</v>
      </c>
      <c r="AJ168" s="6" t="str">
        <f>_xll.BQL("NOW US Equity", "CB_BS_DEFERRED_COST_LT/1M", "FPR=2021Y", "FPT=A", "FA_ACT_EST_DATA=E, EST_SOURCE=JEF", "ACT_EST_MAPPING=PRECISE", "FS=MRC", "CURRENCY=USD", "XLFILL=b")</f>
        <v>#N/A Requesting Data...</v>
      </c>
      <c r="AK168" s="6" t="str">
        <f>_xll.BQL("NOW US Equity", "CB_BS_DEFERRED_COST_LT/1M", "FPR=2021Y", "FPT=A", "FA_ACT_EST_DATA=E, EST_SOURCE=TTC", "ACT_EST_MAPPING=PRECISE", "FS=MRC", "CURRENCY=USD", "XLFILL=b")</f>
        <v>#N/A Requesting Data...</v>
      </c>
      <c r="AL168" s="6" t="str">
        <f>_xll.BQL("NOW US Equity", "CB_BS_DEFERRED_COST_LT/1M", "FPR=2021Y", "FPT=A", "FA_ACT_EST_DATA=E, EST_SOURCE=RWB", "ACT_EST_MAPPING=PRECISE", "FS=MRC", "CURRENCY=USD", "XLFILL=b")</f>
        <v>#N/A Requesting Data...</v>
      </c>
      <c r="AM168" s="6" t="str">
        <f>_xll.BQL("NOW US Equity", "CB_BS_DEFERRED_COST_LT/1M", "FPR=2021Y", "FPT=A", "FA_ACT_EST_DATA=E, EST_SOURCE=DZB", "ACT_EST_MAPPING=PRECISE", "FS=MRC", "CURRENCY=USD", "XLFILL=b")</f>
        <v>#N/A Requesting Data...</v>
      </c>
      <c r="AN168" s="6" t="str">
        <f>_xll.BQL("NOW US Equity", "CB_BS_DEFERRED_COST_LT/1M", "FPR=2021Y", "FPT=A", "FA_ACT_EST_DATA=E, EST_SOURCE=DWI", "ACT_EST_MAPPING=PRECISE", "FS=MRC", "CURRENCY=USD", "XLFILL=b")</f>
        <v>#N/A Requesting Data...</v>
      </c>
      <c r="AO168" s="6" t="str">
        <f>_xll.BQL("NOW US Equity", "CB_BS_DEFERRED_COST_LT/1M", "FPR=2021Y", "FPT=A", "FA_ACT_EST_DATA=E, EST_SOURCE=ARG", "ACT_EST_MAPPING=PRECISE", "FS=MRC", "CURRENCY=USD", "XLFILL=b")</f>
        <v>#N/A Requesting Data...</v>
      </c>
      <c r="AP168" s="6" t="str">
        <f>_xll.BQL("NOW US Equity", "CB_BS_DEFERRED_COST_LT/1M", "FPR=2021Y", "FPT=A", "FA_ACT_EST_DATA=E, EST_SOURCE=CTI", "ACT_EST_MAPPING=PRECISE", "FS=MRC", "CURRENCY=USD", "XLFILL=b")</f>
        <v>#N/A Requesting Data...</v>
      </c>
      <c r="AQ168" s="6" t="str">
        <f>_xll.BQL("NOW US Equity", "CB_BS_DEFERRED_COST_LT/1M", "FPR=2021Y", "FPT=A", "FA_ACT_EST_DATA=E, EST_SOURCE=WFT", "ACT_EST_MAPPING=PRECISE", "FS=MRC", "CURRENCY=USD", "XLFILL=b")</f>
        <v>#N/A Requesting Data...</v>
      </c>
      <c r="AR168" s="6" t="str">
        <f>_xll.BQL("NOW US Equity", "CB_BS_DEFERRED_COST_LT/1M", "FPR=2021Y", "FPT=A", "FA_ACT_EST_DATA=E, EST_SOURCE=ARE", "ACT_EST_MAPPING=PRECISE", "FS=MRC", "CURRENCY=USD", "XLFILL=b")</f>
        <v>#N/A Requesting Data...</v>
      </c>
      <c r="AS168" s="6" t="str">
        <f>_xll.BQL("NOW US Equity", "CB_BS_DEFERRED_COST_LT/1M", "FPR=2021Y", "FPT=A", "FA_ACT_EST_DATA=E, EST_SOURCE=PJE", "ACT_EST_MAPPING=PRECISE", "FS=MRC", "CURRENCY=USD", "XLFILL=b")</f>
        <v>#N/A Requesting Data...</v>
      </c>
      <c r="AT168" s="6" t="str">
        <f>_xll.BQL("NOW US Equity", "CB_BS_DEFERRED_COST_LT/1M", "FPR=2021Y", "FPT=A", "FA_ACT_EST_DATA=E, EST_SOURCE=MZS", "ACT_EST_MAPPING=PRECISE", "FS=MRC", "CURRENCY=USD", "XLFILL=b")</f>
        <v>#N/A Requesting Data...</v>
      </c>
      <c r="AU168" s="6" t="str">
        <f>_xll.BQL("NOW US Equity", "CB_BS_DEFERRED_COST_LT/1M", "FPR=2021Y", "FPT=A", "FA_ACT_EST_DATA=E, EST_SOURCE=SUM", "ACT_EST_MAPPING=PRECISE", "FS=MRC", "CURRENCY=USD", "XLFILL=b")</f>
        <v>#N/A Requesting Data...</v>
      </c>
      <c r="AV168" s="6" t="str">
        <f>_xll.BQL("NOW US Equity", "CB_BS_DEFERRED_COST_LT/1M", "FPR=2021Y", "FPT=A", "FA_ACT_EST_DATA=E, EST_SOURCE=CRC", "ACT_EST_MAPPING=PRECISE", "FS=MRC", "CURRENCY=USD", "XLFILL=b")</f>
        <v>#N/A Requesting Data...</v>
      </c>
      <c r="AW168" s="6" t="str">
        <f>_xll.BQL("NOW US Equity", "CB_BS_DEFERRED_COST_LT/1M", "FPR=2021Y", "FPT=A", "FA_ACT_EST_DATA=E, EST_SOURCE=SCB", "ACT_EST_MAPPING=PRECISE", "FS=MRC", "CURRENCY=USD", "XLFILL=b")</f>
        <v>#N/A Requesting Data...</v>
      </c>
    </row>
    <row r="169" spans="1:49" x14ac:dyDescent="0.55000000000000004">
      <c r="A169" s="5" t="s">
        <v>294</v>
      </c>
      <c r="B169" s="2" t="s">
        <v>295</v>
      </c>
      <c r="C169" s="2" t="s">
        <v>296</v>
      </c>
      <c r="D169" s="2"/>
      <c r="E169" s="6" t="str">
        <f>_xll.BQL("NOW US Equity", "CB_BS_OTHER_NONCURRENT_ASSETS/1M", "FPR=2021Y", "FPT=A", "FA_ACT_EST_DATA=E", "ACT_EST_MAPPING=PRECISE", "FS=MRC", "CURRENCY=USD", "XLFILL=b")</f>
        <v>#N/A Requesting Data...</v>
      </c>
      <c r="F169" s="6" t="str">
        <f>_xll.BQL("NOW US Equity", "CONTRIBUTOR_STATS(CB_BS_OTHER_NONCURRENT_ASSETS, MIN)/1M", "FPR=2021Y", "FPT=A", "FA_ACT_EST_DATA=E", "ACT_EST_MAPPING=PRECISE", "FS=MRC", "CURRENCY=USD", "XLFILL=b")</f>
        <v>#N/A Requesting Data...</v>
      </c>
      <c r="G169" s="6" t="str">
        <f>_xll.BQL("NOW US Equity", "CONTRIBUTOR_STATS(CB_BS_OTHER_NONCURRENT_ASSETS, MAX)/1M", "FPR=2021Y", "FPT=A", "FA_ACT_EST_DATA=E", "ACT_EST_MAPPING=PRECISE", "FS=MRC", "CURRENCY=USD", "XLFILL=b")</f>
        <v>#N/A Requesting Data...</v>
      </c>
      <c r="H169" s="6" t="str">
        <f>_xll.BQL("NOW US Equity", "CONTRIBUTOR_STATS(CB_BS_OTHER_NONCURRENT_ASSETS, STD)/1M", "FPR=2021Y", "FPT=A", "FA_ACT_EST_DATA=E", "ACT_EST_MAPPING=PRECISE", "FS=MRC", "CURRENCY=USD", "XLFILL=b")</f>
        <v>#N/A Requesting Data...</v>
      </c>
      <c r="I169" s="6" t="str">
        <f>_xll.BQL("NOW US Equity", "CONTRIBUTOR_STATS(CB_BS_OTHER_NONCURRENT_ASSETS, MEDIAN)/1M", "FPR=2021Y", "FPT=A", "FA_ACT_EST_DATA=E", "ACT_EST_MAPPING=PRECISE", "FS=MRC", "CURRENCY=USD", "XLFILL=b")</f>
        <v>#N/A Requesting Data...</v>
      </c>
      <c r="J169" s="6" t="str">
        <f>_xll.BQL("NOW US Equity", "CB_BS_OTHER_NONCURRENT_ASSETS/1M", "FPR=2021Y", "FPT=A", "FA_ACT_EST_DATA=E, EST_SOURCE=CMPY", "ACT_EST_MAPPING=PRECISE", "FS=MRC", "CURRENCY=USD", "XLFILL=b")</f>
        <v>#N/A Requesting Data...</v>
      </c>
      <c r="K169" s="6" t="str">
        <f>_xll.BQL("NOW US Equity", "CB_BS_OTHER_NONCURRENT_ASSETS/1M", "FPR=2021Y", "FPT=A", "FA_ACT_EST_DATA=E, EST_SOURCE=JPM", "ACT_EST_MAPPING=PRECISE", "FS=MRC", "CURRENCY=USD", "XLFILL=b")</f>
        <v>#N/A Requesting Data...</v>
      </c>
      <c r="L169" s="6" t="str">
        <f>_xll.BQL("NOW US Equity", "CB_BS_OTHER_NONCURRENT_ASSETS/1M", "FPR=2021Y", "FPT=A", "FA_ACT_EST_DATA=E, EST_SOURCE=WBL", "ACT_EST_MAPPING=PRECISE", "FS=MRC", "CURRENCY=USD", "XLFILL=b")</f>
        <v>#N/A Requesting Data...</v>
      </c>
      <c r="M169" s="6" t="str">
        <f>_xll.BQL("NOW US Equity", "CB_BS_OTHER_NONCURRENT_ASSETS/1M", "FPR=2021Y", "FPT=A", "FA_ACT_EST_DATA=E, EST_SOURCE=KEY", "ACT_EST_MAPPING=PRECISE", "FS=MRC", "CURRENCY=USD", "XLFILL=b")</f>
        <v>#N/A Requesting Data...</v>
      </c>
      <c r="N169" s="6" t="str">
        <f>_xll.BQL("NOW US Equity", "CB_BS_OTHER_NONCURRENT_ASSETS/1M", "FPR=2021Y", "FPT=A", "FA_ACT_EST_DATA=E, EST_SOURCE=BMO", "ACT_EST_MAPPING=PRECISE", "FS=MRC", "CURRENCY=USD", "XLFILL=b")</f>
        <v>#N/A Requesting Data...</v>
      </c>
      <c r="O169" s="6" t="str">
        <f>_xll.BQL("NOW US Equity", "CB_BS_OTHER_NONCURRENT_ASSETS/1M", "FPR=2021Y", "FPT=A", "FA_ACT_EST_DATA=E, EST_SOURCE=OPY", "ACT_EST_MAPPING=PRECISE", "FS=MRC", "CURRENCY=USD", "XLFILL=b")</f>
        <v>#N/A Requesting Data...</v>
      </c>
      <c r="P169" s="6" t="str">
        <f>_xll.BQL("NOW US Equity", "CB_BS_OTHER_NONCURRENT_ASSETS/1M", "FPR=2021Y", "FPT=A", "FA_ACT_EST_DATA=E, EST_SOURCE=BCA", "ACT_EST_MAPPING=PRECISE", "FS=MRC", "CURRENCY=USD", "XLFILL=b")</f>
        <v>#N/A Requesting Data...</v>
      </c>
      <c r="Q169" s="6" t="str">
        <f>_xll.BQL("NOW US Equity", "CB_BS_OTHER_NONCURRENT_ASSETS/1M", "FPR=2021Y", "FPT=A", "FA_ACT_EST_DATA=E, EST_SOURCE=RHR", "ACT_EST_MAPPING=PRECISE", "FS=MRC", "CURRENCY=USD", "XLFILL=b")</f>
        <v>#N/A Requesting Data...</v>
      </c>
      <c r="R169" s="6" t="str">
        <f>_xll.BQL("NOW US Equity", "CB_BS_OTHER_NONCURRENT_ASSETS/1M", "FPR=2021Y", "FPT=A", "FA_ACT_EST_DATA=E, EST_SOURCE=SNR", "ACT_EST_MAPPING=PRECISE", "FS=MRC", "CURRENCY=USD", "XLFILL=b")</f>
        <v>#N/A Requesting Data...</v>
      </c>
      <c r="S169" s="6" t="str">
        <f>_xll.BQL("NOW US Equity", "CB_BS_OTHER_NONCURRENT_ASSETS/1M", "FPR=2021Y", "FPT=A", "FA_ACT_EST_DATA=E, EST_SOURCE=MSV", "ACT_EST_MAPPING=PRECISE", "FS=MRC", "CURRENCY=USD", "XLFILL=b")</f>
        <v>#N/A Requesting Data...</v>
      </c>
      <c r="T169" s="6" t="str">
        <f>_xll.BQL("NOW US Equity", "CB_BS_OTHER_NONCURRENT_ASSETS/1M", "FPR=2021Y", "FPT=A", "FA_ACT_EST_DATA=E, EST_SOURCE=CAN", "ACT_EST_MAPPING=PRECISE", "FS=MRC", "CURRENCY=USD", "XLFILL=b")</f>
        <v>#N/A Requesting Data...</v>
      </c>
      <c r="U169" s="6" t="str">
        <f>_xll.BQL("NOW US Equity", "CB_BS_OTHER_NONCURRENT_ASSETS/1M", "FPR=2021Y", "FPT=A", "FA_ACT_EST_DATA=E, EST_SOURCE=JMP", "ACT_EST_MAPPING=PRECISE", "FS=MRC", "CURRENCY=USD", "XLFILL=b")</f>
        <v>#N/A Requesting Data...</v>
      </c>
      <c r="V169" s="6" t="str">
        <f>_xll.BQL("NOW US Equity", "CB_BS_OTHER_NONCURRENT_ASSETS/1M", "FPR=2021Y", "FPT=A", "FA_ACT_EST_DATA=E, EST_SOURCE=NDH", "ACT_EST_MAPPING=PRECISE", "FS=MRC", "CURRENCY=USD", "XLFILL=b")</f>
        <v>#N/A Requesting Data...</v>
      </c>
      <c r="W169" s="6" t="str">
        <f>_xll.BQL("NOW US Equity", "CB_BS_OTHER_NONCURRENT_ASSETS/1M", "FPR=2021Y", "FPT=A", "FA_ACT_EST_DATA=E, EST_SOURCE=ZXS", "ACT_EST_MAPPING=PRECISE", "FS=MRC", "CURRENCY=USD", "XLFILL=b")</f>
        <v>#N/A Requesting Data...</v>
      </c>
      <c r="X169" s="6" t="str">
        <f>_xll.BQL("NOW US Equity", "CB_BS_OTHER_NONCURRENT_ASSETS/1M", "FPR=2021Y", "FPT=A", "FA_ACT_EST_DATA=E, EST_SOURCE=CWN", "ACT_EST_MAPPING=PRECISE", "FS=MRC", "CURRENCY=USD", "XLFILL=b")</f>
        <v>#N/A Requesting Data...</v>
      </c>
      <c r="Y169" s="6" t="str">
        <f>_xll.BQL("NOW US Equity", "CB_BS_OTHER_NONCURRENT_ASSETS/1M", "FPR=2021Y", "FPT=A", "FA_ACT_EST_DATA=E, EST_SOURCE=DBG", "ACT_EST_MAPPING=PRECISE", "FS=MRC", "CURRENCY=USD", "XLFILL=b")</f>
        <v>#N/A Requesting Data...</v>
      </c>
      <c r="Z169" s="6" t="str">
        <f>_xll.BQL("NOW US Equity", "CB_BS_OTHER_NONCURRENT_ASSETS/1M", "FPR=2021Y", "FPT=A", "FA_ACT_EST_DATA=E, EST_SOURCE=UBS", "ACT_EST_MAPPING=PRECISE", "FS=MRC", "CURRENCY=USD", "XLFILL=b")</f>
        <v>#N/A Requesting Data...</v>
      </c>
      <c r="AA169" s="6" t="str">
        <f>_xll.BQL("NOW US Equity", "CB_BS_OTHER_NONCURRENT_ASSETS/1M", "FPR=2021Y", "FPT=A", "FA_ACT_EST_DATA=E, EST_SOURCE=RBC", "ACT_EST_MAPPING=PRECISE", "FS=MRC", "CURRENCY=USD", "XLFILL=b")</f>
        <v>#N/A Requesting Data...</v>
      </c>
      <c r="AB169" s="6" t="str">
        <f>_xll.BQL("NOW US Equity", "CB_BS_OTHER_NONCURRENT_ASSETS/1M", "FPR=2021Y", "FPT=A", "FA_ACT_EST_DATA=E, EST_SOURCE=EVR", "ACT_EST_MAPPING=PRECISE", "FS=MRC", "CURRENCY=USD", "XLFILL=b")</f>
        <v>#N/A Requesting Data...</v>
      </c>
      <c r="AC169" s="6" t="str">
        <f>_xll.BQL("NOW US Equity", "CB_BS_OTHER_NONCURRENT_ASSETS/1M", "FPR=2021Y", "FPT=A", "FA_ACT_EST_DATA=E, EST_SOURCE=BNS", "ACT_EST_MAPPING=PRECISE", "FS=MRC", "CURRENCY=USD", "XLFILL=b")</f>
        <v>#N/A Requesting Data...</v>
      </c>
      <c r="AD169" s="6" t="str">
        <f>_xll.BQL("NOW US Equity", "CB_BS_OTHER_NONCURRENT_ASSETS/1M", "FPR=2021Y", "FPT=A", "FA_ACT_EST_DATA=E, EST_SOURCE=BAM", "ACT_EST_MAPPING=PRECISE", "FS=MRC", "CURRENCY=USD", "XLFILL=b")</f>
        <v>#N/A Requesting Data...</v>
      </c>
      <c r="AE169" s="6" t="str">
        <f>_xll.BQL("NOW US Equity", "CB_BS_OTHER_NONCURRENT_ASSETS/1M", "FPR=2021Y", "FPT=A", "FA_ACT_EST_DATA=E, EST_SOURCE=GSR", "ACT_EST_MAPPING=PRECISE", "FS=MRC", "CURRENCY=USD", "XLFILL=b")</f>
        <v>#N/A Requesting Data...</v>
      </c>
      <c r="AF169" s="6" t="str">
        <f>_xll.BQL("NOW US Equity", "CB_BS_OTHER_NONCURRENT_ASSETS/1M", "FPR=2021Y", "FPT=A", "FA_ACT_EST_DATA=E, EST_SOURCE=FBC", "ACT_EST_MAPPING=PRECISE", "FS=MRC", "CURRENCY=USD", "XLFILL=b")</f>
        <v>#N/A Requesting Data...</v>
      </c>
      <c r="AG169" s="6" t="str">
        <f>_xll.BQL("NOW US Equity", "CB_BS_OTHER_NONCURRENT_ASSETS/1M", "FPR=2021Y", "FPT=A", "FA_ACT_EST_DATA=E, EST_SOURCE=MAC", "ACT_EST_MAPPING=PRECISE", "FS=MRC", "CURRENCY=USD", "XLFILL=b")</f>
        <v>#N/A Requesting Data...</v>
      </c>
      <c r="AH169" s="6" t="str">
        <f>_xll.BQL("NOW US Equity", "CB_BS_OTHER_NONCURRENT_ASSETS/1M", "FPR=2021Y", "FPT=A", "FA_ACT_EST_DATA=E, EST_SOURCE=PSG", "ACT_EST_MAPPING=PRECISE", "FS=MRC", "CURRENCY=USD", "XLFILL=b")</f>
        <v>#N/A Requesting Data...</v>
      </c>
      <c r="AI169" s="6" t="str">
        <f>_xll.BQL("NOW US Equity", "CB_BS_OTHER_NONCURRENT_ASSETS/1M", "FPR=2021Y", "FPT=A", "FA_ACT_EST_DATA=E, EST_SOURCE=MSR", "ACT_EST_MAPPING=PRECISE", "FS=MRC", "CURRENCY=USD", "XLFILL=b")</f>
        <v>#N/A Requesting Data...</v>
      </c>
      <c r="AJ169" s="6" t="str">
        <f>_xll.BQL("NOW US Equity", "CB_BS_OTHER_NONCURRENT_ASSETS/1M", "FPR=2021Y", "FPT=A", "FA_ACT_EST_DATA=E, EST_SOURCE=JEF", "ACT_EST_MAPPING=PRECISE", "FS=MRC", "CURRENCY=USD", "XLFILL=b")</f>
        <v>#N/A Requesting Data...</v>
      </c>
      <c r="AK169" s="6" t="str">
        <f>_xll.BQL("NOW US Equity", "CB_BS_OTHER_NONCURRENT_ASSETS/1M", "FPR=2021Y", "FPT=A", "FA_ACT_EST_DATA=E, EST_SOURCE=TTC", "ACT_EST_MAPPING=PRECISE", "FS=MRC", "CURRENCY=USD", "XLFILL=b")</f>
        <v>#N/A Requesting Data...</v>
      </c>
      <c r="AL169" s="6" t="str">
        <f>_xll.BQL("NOW US Equity", "CB_BS_OTHER_NONCURRENT_ASSETS/1M", "FPR=2021Y", "FPT=A", "FA_ACT_EST_DATA=E, EST_SOURCE=RWB", "ACT_EST_MAPPING=PRECISE", "FS=MRC", "CURRENCY=USD", "XLFILL=b")</f>
        <v>#N/A Requesting Data...</v>
      </c>
      <c r="AM169" s="6" t="str">
        <f>_xll.BQL("NOW US Equity", "CB_BS_OTHER_NONCURRENT_ASSETS/1M", "FPR=2021Y", "FPT=A", "FA_ACT_EST_DATA=E, EST_SOURCE=DZB", "ACT_EST_MAPPING=PRECISE", "FS=MRC", "CURRENCY=USD", "XLFILL=b")</f>
        <v>#N/A Requesting Data...</v>
      </c>
      <c r="AN169" s="6" t="str">
        <f>_xll.BQL("NOW US Equity", "CB_BS_OTHER_NONCURRENT_ASSETS/1M", "FPR=2021Y", "FPT=A", "FA_ACT_EST_DATA=E, EST_SOURCE=DWI", "ACT_EST_MAPPING=PRECISE", "FS=MRC", "CURRENCY=USD", "XLFILL=b")</f>
        <v>#N/A Requesting Data...</v>
      </c>
      <c r="AO169" s="6" t="str">
        <f>_xll.BQL("NOW US Equity", "CB_BS_OTHER_NONCURRENT_ASSETS/1M", "FPR=2021Y", "FPT=A", "FA_ACT_EST_DATA=E, EST_SOURCE=ARG", "ACT_EST_MAPPING=PRECISE", "FS=MRC", "CURRENCY=USD", "XLFILL=b")</f>
        <v>#N/A Requesting Data...</v>
      </c>
      <c r="AP169" s="6" t="str">
        <f>_xll.BQL("NOW US Equity", "CB_BS_OTHER_NONCURRENT_ASSETS/1M", "FPR=2021Y", "FPT=A", "FA_ACT_EST_DATA=E, EST_SOURCE=CTI", "ACT_EST_MAPPING=PRECISE", "FS=MRC", "CURRENCY=USD", "XLFILL=b")</f>
        <v>#N/A Requesting Data...</v>
      </c>
      <c r="AQ169" s="6" t="str">
        <f>_xll.BQL("NOW US Equity", "CB_BS_OTHER_NONCURRENT_ASSETS/1M", "FPR=2021Y", "FPT=A", "FA_ACT_EST_DATA=E, EST_SOURCE=WFT", "ACT_EST_MAPPING=PRECISE", "FS=MRC", "CURRENCY=USD", "XLFILL=b")</f>
        <v>#N/A Requesting Data...</v>
      </c>
      <c r="AR169" s="6" t="str">
        <f>_xll.BQL("NOW US Equity", "CB_BS_OTHER_NONCURRENT_ASSETS/1M", "FPR=2021Y", "FPT=A", "FA_ACT_EST_DATA=E, EST_SOURCE=ARE", "ACT_EST_MAPPING=PRECISE", "FS=MRC", "CURRENCY=USD", "XLFILL=b")</f>
        <v>#N/A Requesting Data...</v>
      </c>
      <c r="AS169" s="6" t="str">
        <f>_xll.BQL("NOW US Equity", "CB_BS_OTHER_NONCURRENT_ASSETS/1M", "FPR=2021Y", "FPT=A", "FA_ACT_EST_DATA=E, EST_SOURCE=PJE", "ACT_EST_MAPPING=PRECISE", "FS=MRC", "CURRENCY=USD", "XLFILL=b")</f>
        <v>#N/A Requesting Data...</v>
      </c>
      <c r="AT169" s="6" t="str">
        <f>_xll.BQL("NOW US Equity", "CB_BS_OTHER_NONCURRENT_ASSETS/1M", "FPR=2021Y", "FPT=A", "FA_ACT_EST_DATA=E, EST_SOURCE=MZS", "ACT_EST_MAPPING=PRECISE", "FS=MRC", "CURRENCY=USD", "XLFILL=b")</f>
        <v>#N/A Requesting Data...</v>
      </c>
      <c r="AU169" s="6" t="str">
        <f>_xll.BQL("NOW US Equity", "CB_BS_OTHER_NONCURRENT_ASSETS/1M", "FPR=2021Y", "FPT=A", "FA_ACT_EST_DATA=E, EST_SOURCE=SUM", "ACT_EST_MAPPING=PRECISE", "FS=MRC", "CURRENCY=USD", "XLFILL=b")</f>
        <v>#N/A Requesting Data...</v>
      </c>
      <c r="AV169" s="6" t="str">
        <f>_xll.BQL("NOW US Equity", "CB_BS_OTHER_NONCURRENT_ASSETS/1M", "FPR=2021Y", "FPT=A", "FA_ACT_EST_DATA=E, EST_SOURCE=CRC", "ACT_EST_MAPPING=PRECISE", "FS=MRC", "CURRENCY=USD", "XLFILL=b")</f>
        <v>#N/A Requesting Data...</v>
      </c>
      <c r="AW169" s="6" t="str">
        <f>_xll.BQL("NOW US Equity", "CB_BS_OTHER_NONCURRENT_ASSETS/1M", "FPR=2021Y", "FPT=A", "FA_ACT_EST_DATA=E, EST_SOURCE=SCB", "ACT_EST_MAPPING=PRECISE", "FS=MRC", "CURRENCY=USD", "XLFILL=b")</f>
        <v>#N/A Requesting Data...</v>
      </c>
    </row>
    <row r="170" spans="1:49" x14ac:dyDescent="0.55000000000000004">
      <c r="A170" s="5" t="s">
        <v>297</v>
      </c>
      <c r="B170" s="2" t="s">
        <v>298</v>
      </c>
      <c r="C170" s="2" t="s">
        <v>299</v>
      </c>
      <c r="D170" s="2"/>
      <c r="E170" s="6" t="str">
        <f>_xll.BQL("NOW US Equity", "BS_TOT_ASSET/1M", "FPR=2021Y", "FPT=A", "FA_ACT_EST_DATA=E", "ACT_EST_MAPPING=PRECISE", "FS=MRC", "CURRENCY=USD", "XLFILL=b")</f>
        <v>#N/A Requesting Data...</v>
      </c>
      <c r="F170" s="6" t="str">
        <f>_xll.BQL("NOW US Equity", "CONTRIBUTOR_STATS(BS_TOT_ASSET, MIN)/1M", "FPR=2021Y", "FPT=A", "FA_ACT_EST_DATA=E", "ACT_EST_MAPPING=PRECISE", "FS=MRC", "CURRENCY=USD", "XLFILL=b")</f>
        <v>#N/A Requesting Data...</v>
      </c>
      <c r="G170" s="6" t="str">
        <f>_xll.BQL("NOW US Equity", "CONTRIBUTOR_STATS(BS_TOT_ASSET, MAX)/1M", "FPR=2021Y", "FPT=A", "FA_ACT_EST_DATA=E", "ACT_EST_MAPPING=PRECISE", "FS=MRC", "CURRENCY=USD", "XLFILL=b")</f>
        <v>#N/A Requesting Data...</v>
      </c>
      <c r="H170" s="6" t="str">
        <f>_xll.BQL("NOW US Equity", "CONTRIBUTOR_STATS(BS_TOT_ASSET, STD)/1M", "FPR=2021Y", "FPT=A", "FA_ACT_EST_DATA=E", "ACT_EST_MAPPING=PRECISE", "FS=MRC", "CURRENCY=USD", "XLFILL=b")</f>
        <v>#N/A Requesting Data...</v>
      </c>
      <c r="I170" s="6" t="str">
        <f>_xll.BQL("NOW US Equity", "CONTRIBUTOR_STATS(BS_TOT_ASSET, MEDIAN)/1M", "FPR=2021Y", "FPT=A", "FA_ACT_EST_DATA=E", "ACT_EST_MAPPING=PRECISE", "FS=MRC", "CURRENCY=USD", "XLFILL=b")</f>
        <v>#N/A Requesting Data...</v>
      </c>
      <c r="J170" s="6" t="str">
        <f>_xll.BQL("NOW US Equity", "BS_TOT_ASSET/1M", "FPR=2021Y", "FPT=A", "FA_ACT_EST_DATA=E, EST_SOURCE=CMPY", "ACT_EST_MAPPING=PRECISE", "FS=MRC", "CURRENCY=USD", "XLFILL=b")</f>
        <v>#N/A Requesting Data...</v>
      </c>
      <c r="K170" s="6" t="str">
        <f>_xll.BQL("NOW US Equity", "BS_TOT_ASSET/1M", "FPR=2021Y", "FPT=A", "FA_ACT_EST_DATA=E, EST_SOURCE=JPM", "ACT_EST_MAPPING=PRECISE", "FS=MRC", "CURRENCY=USD", "XLFILL=b")</f>
        <v>#N/A Requesting Data...</v>
      </c>
      <c r="L170" s="6" t="str">
        <f>_xll.BQL("NOW US Equity", "BS_TOT_ASSET/1M", "FPR=2021Y", "FPT=A", "FA_ACT_EST_DATA=E, EST_SOURCE=WBL", "ACT_EST_MAPPING=PRECISE", "FS=MRC", "CURRENCY=USD", "XLFILL=b")</f>
        <v>#N/A Requesting Data...</v>
      </c>
      <c r="M170" s="6" t="str">
        <f>_xll.BQL("NOW US Equity", "BS_TOT_ASSET/1M", "FPR=2021Y", "FPT=A", "FA_ACT_EST_DATA=E, EST_SOURCE=KEY", "ACT_EST_MAPPING=PRECISE", "FS=MRC", "CURRENCY=USD", "XLFILL=b")</f>
        <v>#N/A Requesting Data...</v>
      </c>
      <c r="N170" s="6" t="str">
        <f>_xll.BQL("NOW US Equity", "BS_TOT_ASSET/1M", "FPR=2021Y", "FPT=A", "FA_ACT_EST_DATA=E, EST_SOURCE=BMO", "ACT_EST_MAPPING=PRECISE", "FS=MRC", "CURRENCY=USD", "XLFILL=b")</f>
        <v>#N/A Requesting Data...</v>
      </c>
      <c r="O170" s="6" t="str">
        <f>_xll.BQL("NOW US Equity", "BS_TOT_ASSET/1M", "FPR=2021Y", "FPT=A", "FA_ACT_EST_DATA=E, EST_SOURCE=OPY", "ACT_EST_MAPPING=PRECISE", "FS=MRC", "CURRENCY=USD", "XLFILL=b")</f>
        <v>#N/A Requesting Data...</v>
      </c>
      <c r="P170" s="6" t="str">
        <f>_xll.BQL("NOW US Equity", "BS_TOT_ASSET/1M", "FPR=2021Y", "FPT=A", "FA_ACT_EST_DATA=E, EST_SOURCE=BCA", "ACT_EST_MAPPING=PRECISE", "FS=MRC", "CURRENCY=USD", "XLFILL=b")</f>
        <v>#N/A Requesting Data...</v>
      </c>
      <c r="Q170" s="6" t="str">
        <f>_xll.BQL("NOW US Equity", "BS_TOT_ASSET/1M", "FPR=2021Y", "FPT=A", "FA_ACT_EST_DATA=E, EST_SOURCE=RHR", "ACT_EST_MAPPING=PRECISE", "FS=MRC", "CURRENCY=USD", "XLFILL=b")</f>
        <v>#N/A Requesting Data...</v>
      </c>
      <c r="R170" s="6" t="str">
        <f>_xll.BQL("NOW US Equity", "BS_TOT_ASSET/1M", "FPR=2021Y", "FPT=A", "FA_ACT_EST_DATA=E, EST_SOURCE=SNR", "ACT_EST_MAPPING=PRECISE", "FS=MRC", "CURRENCY=USD", "XLFILL=b")</f>
        <v>#N/A Requesting Data...</v>
      </c>
      <c r="S170" s="6" t="str">
        <f>_xll.BQL("NOW US Equity", "BS_TOT_ASSET/1M", "FPR=2021Y", "FPT=A", "FA_ACT_EST_DATA=E, EST_SOURCE=MSV", "ACT_EST_MAPPING=PRECISE", "FS=MRC", "CURRENCY=USD", "XLFILL=b")</f>
        <v>#N/A Requesting Data...</v>
      </c>
      <c r="T170" s="6" t="str">
        <f>_xll.BQL("NOW US Equity", "BS_TOT_ASSET/1M", "FPR=2021Y", "FPT=A", "FA_ACT_EST_DATA=E, EST_SOURCE=CAN", "ACT_EST_MAPPING=PRECISE", "FS=MRC", "CURRENCY=USD", "XLFILL=b")</f>
        <v>#N/A Requesting Data...</v>
      </c>
      <c r="U170" s="6" t="str">
        <f>_xll.BQL("NOW US Equity", "BS_TOT_ASSET/1M", "FPR=2021Y", "FPT=A", "FA_ACT_EST_DATA=E, EST_SOURCE=JMP", "ACT_EST_MAPPING=PRECISE", "FS=MRC", "CURRENCY=USD", "XLFILL=b")</f>
        <v>#N/A Requesting Data...</v>
      </c>
      <c r="V170" s="6" t="str">
        <f>_xll.BQL("NOW US Equity", "BS_TOT_ASSET/1M", "FPR=2021Y", "FPT=A", "FA_ACT_EST_DATA=E, EST_SOURCE=NDH", "ACT_EST_MAPPING=PRECISE", "FS=MRC", "CURRENCY=USD", "XLFILL=b")</f>
        <v>#N/A Requesting Data...</v>
      </c>
      <c r="W170" s="6" t="str">
        <f>_xll.BQL("NOW US Equity", "BS_TOT_ASSET/1M", "FPR=2021Y", "FPT=A", "FA_ACT_EST_DATA=E, EST_SOURCE=ZXS", "ACT_EST_MAPPING=PRECISE", "FS=MRC", "CURRENCY=USD", "XLFILL=b")</f>
        <v>#N/A Requesting Data...</v>
      </c>
      <c r="X170" s="6" t="str">
        <f>_xll.BQL("NOW US Equity", "BS_TOT_ASSET/1M", "FPR=2021Y", "FPT=A", "FA_ACT_EST_DATA=E, EST_SOURCE=CWN", "ACT_EST_MAPPING=PRECISE", "FS=MRC", "CURRENCY=USD", "XLFILL=b")</f>
        <v>#N/A Requesting Data...</v>
      </c>
      <c r="Y170" s="6" t="str">
        <f>_xll.BQL("NOW US Equity", "BS_TOT_ASSET/1M", "FPR=2021Y", "FPT=A", "FA_ACT_EST_DATA=E, EST_SOURCE=DBG", "ACT_EST_MAPPING=PRECISE", "FS=MRC", "CURRENCY=USD", "XLFILL=b")</f>
        <v>#N/A Requesting Data...</v>
      </c>
      <c r="Z170" s="6" t="str">
        <f>_xll.BQL("NOW US Equity", "BS_TOT_ASSET/1M", "FPR=2021Y", "FPT=A", "FA_ACT_EST_DATA=E, EST_SOURCE=UBS", "ACT_EST_MAPPING=PRECISE", "FS=MRC", "CURRENCY=USD", "XLFILL=b")</f>
        <v>#N/A Requesting Data...</v>
      </c>
      <c r="AA170" s="6" t="str">
        <f>_xll.BQL("NOW US Equity", "BS_TOT_ASSET/1M", "FPR=2021Y", "FPT=A", "FA_ACT_EST_DATA=E, EST_SOURCE=RBC", "ACT_EST_MAPPING=PRECISE", "FS=MRC", "CURRENCY=USD", "XLFILL=b")</f>
        <v>#N/A Requesting Data...</v>
      </c>
      <c r="AB170" s="6" t="str">
        <f>_xll.BQL("NOW US Equity", "BS_TOT_ASSET/1M", "FPR=2021Y", "FPT=A", "FA_ACT_EST_DATA=E, EST_SOURCE=EVR", "ACT_EST_MAPPING=PRECISE", "FS=MRC", "CURRENCY=USD", "XLFILL=b")</f>
        <v>#N/A Requesting Data...</v>
      </c>
      <c r="AC170" s="6" t="str">
        <f>_xll.BQL("NOW US Equity", "BS_TOT_ASSET/1M", "FPR=2021Y", "FPT=A", "FA_ACT_EST_DATA=E, EST_SOURCE=BNS", "ACT_EST_MAPPING=PRECISE", "FS=MRC", "CURRENCY=USD", "XLFILL=b")</f>
        <v>#N/A Requesting Data...</v>
      </c>
      <c r="AD170" s="6" t="str">
        <f>_xll.BQL("NOW US Equity", "BS_TOT_ASSET/1M", "FPR=2021Y", "FPT=A", "FA_ACT_EST_DATA=E, EST_SOURCE=BAM", "ACT_EST_MAPPING=PRECISE", "FS=MRC", "CURRENCY=USD", "XLFILL=b")</f>
        <v>#N/A Requesting Data...</v>
      </c>
      <c r="AE170" s="6" t="str">
        <f>_xll.BQL("NOW US Equity", "BS_TOT_ASSET/1M", "FPR=2021Y", "FPT=A", "FA_ACT_EST_DATA=E, EST_SOURCE=GSR", "ACT_EST_MAPPING=PRECISE", "FS=MRC", "CURRENCY=USD", "XLFILL=b")</f>
        <v>#N/A Requesting Data...</v>
      </c>
      <c r="AF170" s="6" t="str">
        <f>_xll.BQL("NOW US Equity", "BS_TOT_ASSET/1M", "FPR=2021Y", "FPT=A", "FA_ACT_EST_DATA=E, EST_SOURCE=FBC", "ACT_EST_MAPPING=PRECISE", "FS=MRC", "CURRENCY=USD", "XLFILL=b")</f>
        <v>#N/A Requesting Data...</v>
      </c>
      <c r="AG170" s="6" t="str">
        <f>_xll.BQL("NOW US Equity", "BS_TOT_ASSET/1M", "FPR=2021Y", "FPT=A", "FA_ACT_EST_DATA=E, EST_SOURCE=MAC", "ACT_EST_MAPPING=PRECISE", "FS=MRC", "CURRENCY=USD", "XLFILL=b")</f>
        <v>#N/A Requesting Data...</v>
      </c>
      <c r="AH170" s="6" t="str">
        <f>_xll.BQL("NOW US Equity", "BS_TOT_ASSET/1M", "FPR=2021Y", "FPT=A", "FA_ACT_EST_DATA=E, EST_SOURCE=PSG", "ACT_EST_MAPPING=PRECISE", "FS=MRC", "CURRENCY=USD", "XLFILL=b")</f>
        <v>#N/A Requesting Data...</v>
      </c>
      <c r="AI170" s="6" t="str">
        <f>_xll.BQL("NOW US Equity", "BS_TOT_ASSET/1M", "FPR=2021Y", "FPT=A", "FA_ACT_EST_DATA=E, EST_SOURCE=MSR", "ACT_EST_MAPPING=PRECISE", "FS=MRC", "CURRENCY=USD", "XLFILL=b")</f>
        <v>#N/A Requesting Data...</v>
      </c>
      <c r="AJ170" s="6" t="str">
        <f>_xll.BQL("NOW US Equity", "BS_TOT_ASSET/1M", "FPR=2021Y", "FPT=A", "FA_ACT_EST_DATA=E, EST_SOURCE=JEF", "ACT_EST_MAPPING=PRECISE", "FS=MRC", "CURRENCY=USD", "XLFILL=b")</f>
        <v>#N/A Requesting Data...</v>
      </c>
      <c r="AK170" s="6" t="str">
        <f>_xll.BQL("NOW US Equity", "BS_TOT_ASSET/1M", "FPR=2021Y", "FPT=A", "FA_ACT_EST_DATA=E, EST_SOURCE=TTC", "ACT_EST_MAPPING=PRECISE", "FS=MRC", "CURRENCY=USD", "XLFILL=b")</f>
        <v>#N/A Requesting Data...</v>
      </c>
      <c r="AL170" s="6" t="str">
        <f>_xll.BQL("NOW US Equity", "BS_TOT_ASSET/1M", "FPR=2021Y", "FPT=A", "FA_ACT_EST_DATA=E, EST_SOURCE=RWB", "ACT_EST_MAPPING=PRECISE", "FS=MRC", "CURRENCY=USD", "XLFILL=b")</f>
        <v>#N/A Requesting Data...</v>
      </c>
      <c r="AM170" s="6" t="str">
        <f>_xll.BQL("NOW US Equity", "BS_TOT_ASSET/1M", "FPR=2021Y", "FPT=A", "FA_ACT_EST_DATA=E, EST_SOURCE=DZB", "ACT_EST_MAPPING=PRECISE", "FS=MRC", "CURRENCY=USD", "XLFILL=b")</f>
        <v>#N/A Requesting Data...</v>
      </c>
      <c r="AN170" s="6" t="str">
        <f>_xll.BQL("NOW US Equity", "BS_TOT_ASSET/1M", "FPR=2021Y", "FPT=A", "FA_ACT_EST_DATA=E, EST_SOURCE=DWI", "ACT_EST_MAPPING=PRECISE", "FS=MRC", "CURRENCY=USD", "XLFILL=b")</f>
        <v>#N/A Requesting Data...</v>
      </c>
      <c r="AO170" s="6" t="str">
        <f>_xll.BQL("NOW US Equity", "BS_TOT_ASSET/1M", "FPR=2021Y", "FPT=A", "FA_ACT_EST_DATA=E, EST_SOURCE=ARG", "ACT_EST_MAPPING=PRECISE", "FS=MRC", "CURRENCY=USD", "XLFILL=b")</f>
        <v>#N/A Requesting Data...</v>
      </c>
      <c r="AP170" s="6" t="str">
        <f>_xll.BQL("NOW US Equity", "BS_TOT_ASSET/1M", "FPR=2021Y", "FPT=A", "FA_ACT_EST_DATA=E, EST_SOURCE=CTI", "ACT_EST_MAPPING=PRECISE", "FS=MRC", "CURRENCY=USD", "XLFILL=b")</f>
        <v>#N/A Requesting Data...</v>
      </c>
      <c r="AQ170" s="6" t="str">
        <f>_xll.BQL("NOW US Equity", "BS_TOT_ASSET/1M", "FPR=2021Y", "FPT=A", "FA_ACT_EST_DATA=E, EST_SOURCE=WFT", "ACT_EST_MAPPING=PRECISE", "FS=MRC", "CURRENCY=USD", "XLFILL=b")</f>
        <v>#N/A Requesting Data...</v>
      </c>
      <c r="AR170" s="6" t="str">
        <f>_xll.BQL("NOW US Equity", "BS_TOT_ASSET/1M", "FPR=2021Y", "FPT=A", "FA_ACT_EST_DATA=E, EST_SOURCE=ARE", "ACT_EST_MAPPING=PRECISE", "FS=MRC", "CURRENCY=USD", "XLFILL=b")</f>
        <v>#N/A Requesting Data...</v>
      </c>
      <c r="AS170" s="6" t="str">
        <f>_xll.BQL("NOW US Equity", "BS_TOT_ASSET/1M", "FPR=2021Y", "FPT=A", "FA_ACT_EST_DATA=E, EST_SOURCE=PJE", "ACT_EST_MAPPING=PRECISE", "FS=MRC", "CURRENCY=USD", "XLFILL=b")</f>
        <v>#N/A Requesting Data...</v>
      </c>
      <c r="AT170" s="6" t="str">
        <f>_xll.BQL("NOW US Equity", "BS_TOT_ASSET/1M", "FPR=2021Y", "FPT=A", "FA_ACT_EST_DATA=E, EST_SOURCE=MZS", "ACT_EST_MAPPING=PRECISE", "FS=MRC", "CURRENCY=USD", "XLFILL=b")</f>
        <v>#N/A Requesting Data...</v>
      </c>
      <c r="AU170" s="6" t="str">
        <f>_xll.BQL("NOW US Equity", "BS_TOT_ASSET/1M", "FPR=2021Y", "FPT=A", "FA_ACT_EST_DATA=E, EST_SOURCE=SUM", "ACT_EST_MAPPING=PRECISE", "FS=MRC", "CURRENCY=USD", "XLFILL=b")</f>
        <v>#N/A Requesting Data...</v>
      </c>
      <c r="AV170" s="6" t="str">
        <f>_xll.BQL("NOW US Equity", "BS_TOT_ASSET/1M", "FPR=2021Y", "FPT=A", "FA_ACT_EST_DATA=E, EST_SOURCE=CRC", "ACT_EST_MAPPING=PRECISE", "FS=MRC", "CURRENCY=USD", "XLFILL=b")</f>
        <v>#N/A Requesting Data...</v>
      </c>
      <c r="AW170" s="6" t="str">
        <f>_xll.BQL("NOW US Equity", "BS_TOT_ASSET/1M", "FPR=2021Y", "FPT=A", "FA_ACT_EST_DATA=E, EST_SOURCE=SCB", "ACT_EST_MAPPING=PRECISE", "FS=MRC", "CURRENCY=USD", "XLFILL=b")</f>
        <v>#N/A Requesting Data...</v>
      </c>
    </row>
    <row r="171" spans="1:49" x14ac:dyDescent="0.55000000000000004">
      <c r="A171" s="5" t="s">
        <v>23</v>
      </c>
      <c r="B171" s="2"/>
      <c r="C171" s="2"/>
      <c r="D171" s="2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</row>
    <row r="172" spans="1:49" x14ac:dyDescent="0.55000000000000004">
      <c r="A172" s="5" t="s">
        <v>300</v>
      </c>
      <c r="B172" s="2"/>
      <c r="C172" s="2" t="s">
        <v>301</v>
      </c>
      <c r="D172" s="2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</row>
    <row r="173" spans="1:49" x14ac:dyDescent="0.55000000000000004">
      <c r="A173" s="5" t="s">
        <v>302</v>
      </c>
      <c r="B173" s="2" t="s">
        <v>303</v>
      </c>
      <c r="C173" s="2" t="s">
        <v>304</v>
      </c>
      <c r="D173" s="2"/>
      <c r="E173" s="6">
        <f>_xll.BQL("NOW US Equity", "BS_CUR_LIAB/1M", "FPR=2021Y", "FPT=A", "FA_ACT_EST_DATA=E", "ACT_EST_MAPPING=PRECISE", "FS=MRC", "CURRENCY=USD", "XLFILL=b")</f>
        <v>4737.3695068069464</v>
      </c>
      <c r="F173" s="6" t="str">
        <f>_xll.BQL("NOW US Equity", "CONTRIBUTOR_STATS(BS_CUR_LIAB, MIN)/1M", "FPR=2021Y", "FPT=A", "FA_ACT_EST_DATA=E", "ACT_EST_MAPPING=PRECISE", "FS=MRC", "CURRENCY=USD", "XLFILL=b")</f>
        <v>#N/A Requesting Data...</v>
      </c>
      <c r="G173" s="6" t="str">
        <f>_xll.BQL("NOW US Equity", "CONTRIBUTOR_STATS(BS_CUR_LIAB, MAX)/1M", "FPR=2021Y", "FPT=A", "FA_ACT_EST_DATA=E", "ACT_EST_MAPPING=PRECISE", "FS=MRC", "CURRENCY=USD", "XLFILL=b")</f>
        <v>#N/A Requesting Data...</v>
      </c>
      <c r="H173" s="6" t="str">
        <f>_xll.BQL("NOW US Equity", "CONTRIBUTOR_STATS(BS_CUR_LIAB, STD)/1M", "FPR=2021Y", "FPT=A", "FA_ACT_EST_DATA=E", "ACT_EST_MAPPING=PRECISE", "FS=MRC", "CURRENCY=USD", "XLFILL=b")</f>
        <v>#N/A Requesting Data...</v>
      </c>
      <c r="I173" s="6">
        <f>_xll.BQL("NOW US Equity", "CONTRIBUTOR_STATS(BS_CUR_LIAB, MEDIAN)/1M", "FPR=2021Y", "FPT=A", "FA_ACT_EST_DATA=E", "ACT_EST_MAPPING=PRECISE", "FS=MRC", "CURRENCY=USD", "XLFILL=b")</f>
        <v>4730.4889625867499</v>
      </c>
      <c r="J173" s="6" t="str">
        <f>_xll.BQL("NOW US Equity", "BS_CUR_LIAB/1M", "FPR=2021Y", "FPT=A", "FA_ACT_EST_DATA=E, EST_SOURCE=CMPY", "ACT_EST_MAPPING=PRECISE", "FS=MRC", "CURRENCY=USD", "XLFILL=b")</f>
        <v>#N/A Requesting Data...</v>
      </c>
      <c r="K173" s="6" t="str">
        <f>_xll.BQL("NOW US Equity", "BS_CUR_LIAB/1M", "FPR=2021Y", "FPT=A", "FA_ACT_EST_DATA=E, EST_SOURCE=JPM", "ACT_EST_MAPPING=PRECISE", "FS=MRC", "CURRENCY=USD", "XLFILL=b")</f>
        <v>#N/A Requesting Data...</v>
      </c>
      <c r="L173" s="6" t="str">
        <f>_xll.BQL("NOW US Equity", "BS_CUR_LIAB/1M", "FPR=2021Y", "FPT=A", "FA_ACT_EST_DATA=E, EST_SOURCE=WBL", "ACT_EST_MAPPING=PRECISE", "FS=MRC", "CURRENCY=USD", "XLFILL=b")</f>
        <v>#N/A Requesting Data...</v>
      </c>
      <c r="M173" s="6" t="str">
        <f>_xll.BQL("NOW US Equity", "BS_CUR_LIAB/1M", "FPR=2021Y", "FPT=A", "FA_ACT_EST_DATA=E, EST_SOURCE=KEY", "ACT_EST_MAPPING=PRECISE", "FS=MRC", "CURRENCY=USD", "XLFILL=b")</f>
        <v>#N/A Requesting Data...</v>
      </c>
      <c r="N173" s="6" t="str">
        <f>_xll.BQL("NOW US Equity", "BS_CUR_LIAB/1M", "FPR=2021Y", "FPT=A", "FA_ACT_EST_DATA=E, EST_SOURCE=BMO", "ACT_EST_MAPPING=PRECISE", "FS=MRC", "CURRENCY=USD", "XLFILL=b")</f>
        <v>#N/A Requesting Data...</v>
      </c>
      <c r="O173" s="6" t="str">
        <f>_xll.BQL("NOW US Equity", "BS_CUR_LIAB/1M", "FPR=2021Y", "FPT=A", "FA_ACT_EST_DATA=E, EST_SOURCE=OPY", "ACT_EST_MAPPING=PRECISE", "FS=MRC", "CURRENCY=USD", "XLFILL=b")</f>
        <v>#N/A Requesting Data...</v>
      </c>
      <c r="P173" s="6" t="str">
        <f>_xll.BQL("NOW US Equity", "BS_CUR_LIAB/1M", "FPR=2021Y", "FPT=A", "FA_ACT_EST_DATA=E, EST_SOURCE=BCA", "ACT_EST_MAPPING=PRECISE", "FS=MRC", "CURRENCY=USD", "XLFILL=b")</f>
        <v>#N/A Requesting Data...</v>
      </c>
      <c r="Q173" s="6" t="str">
        <f>_xll.BQL("NOW US Equity", "BS_CUR_LIAB/1M", "FPR=2021Y", "FPT=A", "FA_ACT_EST_DATA=E, EST_SOURCE=RHR", "ACT_EST_MAPPING=PRECISE", "FS=MRC", "CURRENCY=USD", "XLFILL=b")</f>
        <v>#N/A Requesting Data...</v>
      </c>
      <c r="R173" s="6" t="str">
        <f>_xll.BQL("NOW US Equity", "BS_CUR_LIAB/1M", "FPR=2021Y", "FPT=A", "FA_ACT_EST_DATA=E, EST_SOURCE=SNR", "ACT_EST_MAPPING=PRECISE", "FS=MRC", "CURRENCY=USD", "XLFILL=b")</f>
        <v>#N/A Requesting Data...</v>
      </c>
      <c r="S173" s="6" t="str">
        <f>_xll.BQL("NOW US Equity", "BS_CUR_LIAB/1M", "FPR=2021Y", "FPT=A", "FA_ACT_EST_DATA=E, EST_SOURCE=MSV", "ACT_EST_MAPPING=PRECISE", "FS=MRC", "CURRENCY=USD", "XLFILL=b")</f>
        <v>#N/A Requesting Data...</v>
      </c>
      <c r="T173" s="6" t="str">
        <f>_xll.BQL("NOW US Equity", "BS_CUR_LIAB/1M", "FPR=2021Y", "FPT=A", "FA_ACT_EST_DATA=E, EST_SOURCE=CAN", "ACT_EST_MAPPING=PRECISE", "FS=MRC", "CURRENCY=USD", "XLFILL=b")</f>
        <v>#N/A Requesting Data...</v>
      </c>
      <c r="U173" s="6" t="str">
        <f>_xll.BQL("NOW US Equity", "BS_CUR_LIAB/1M", "FPR=2021Y", "FPT=A", "FA_ACT_EST_DATA=E, EST_SOURCE=JMP", "ACT_EST_MAPPING=PRECISE", "FS=MRC", "CURRENCY=USD", "XLFILL=b")</f>
        <v>#N/A Requesting Data...</v>
      </c>
      <c r="V173" s="6" t="str">
        <f>_xll.BQL("NOW US Equity", "BS_CUR_LIAB/1M", "FPR=2021Y", "FPT=A", "FA_ACT_EST_DATA=E, EST_SOURCE=NDH", "ACT_EST_MAPPING=PRECISE", "FS=MRC", "CURRENCY=USD", "XLFILL=b")</f>
        <v>#N/A Requesting Data...</v>
      </c>
      <c r="W173" s="6" t="str">
        <f>_xll.BQL("NOW US Equity", "BS_CUR_LIAB/1M", "FPR=2021Y", "FPT=A", "FA_ACT_EST_DATA=E, EST_SOURCE=ZXS", "ACT_EST_MAPPING=PRECISE", "FS=MRC", "CURRENCY=USD", "XLFILL=b")</f>
        <v>#N/A Requesting Data...</v>
      </c>
      <c r="X173" s="6" t="str">
        <f>_xll.BQL("NOW US Equity", "BS_CUR_LIAB/1M", "FPR=2021Y", "FPT=A", "FA_ACT_EST_DATA=E, EST_SOURCE=CWN", "ACT_EST_MAPPING=PRECISE", "FS=MRC", "CURRENCY=USD", "XLFILL=b")</f>
        <v>#N/A Requesting Data...</v>
      </c>
      <c r="Y173" s="6" t="str">
        <f>_xll.BQL("NOW US Equity", "BS_CUR_LIAB/1M", "FPR=2021Y", "FPT=A", "FA_ACT_EST_DATA=E, EST_SOURCE=DBG", "ACT_EST_MAPPING=PRECISE", "FS=MRC", "CURRENCY=USD", "XLFILL=b")</f>
        <v>#N/A Requesting Data...</v>
      </c>
      <c r="Z173" s="6" t="str">
        <f>_xll.BQL("NOW US Equity", "BS_CUR_LIAB/1M", "FPR=2021Y", "FPT=A", "FA_ACT_EST_DATA=E, EST_SOURCE=UBS", "ACT_EST_MAPPING=PRECISE", "FS=MRC", "CURRENCY=USD", "XLFILL=b")</f>
        <v>#N/A Requesting Data...</v>
      </c>
      <c r="AA173" s="6" t="str">
        <f>_xll.BQL("NOW US Equity", "BS_CUR_LIAB/1M", "FPR=2021Y", "FPT=A", "FA_ACT_EST_DATA=E, EST_SOURCE=RBC", "ACT_EST_MAPPING=PRECISE", "FS=MRC", "CURRENCY=USD", "XLFILL=b")</f>
        <v>#N/A Requesting Data...</v>
      </c>
      <c r="AB173" s="6" t="str">
        <f>_xll.BQL("NOW US Equity", "BS_CUR_LIAB/1M", "FPR=2021Y", "FPT=A", "FA_ACT_EST_DATA=E, EST_SOURCE=EVR", "ACT_EST_MAPPING=PRECISE", "FS=MRC", "CURRENCY=USD", "XLFILL=b")</f>
        <v>#N/A Requesting Data...</v>
      </c>
      <c r="AC173" s="6" t="str">
        <f>_xll.BQL("NOW US Equity", "BS_CUR_LIAB/1M", "FPR=2021Y", "FPT=A", "FA_ACT_EST_DATA=E, EST_SOURCE=BNS", "ACT_EST_MAPPING=PRECISE", "FS=MRC", "CURRENCY=USD", "XLFILL=b")</f>
        <v>#N/A Requesting Data...</v>
      </c>
      <c r="AD173" s="6" t="str">
        <f>_xll.BQL("NOW US Equity", "BS_CUR_LIAB/1M", "FPR=2021Y", "FPT=A", "FA_ACT_EST_DATA=E, EST_SOURCE=BAM", "ACT_EST_MAPPING=PRECISE", "FS=MRC", "CURRENCY=USD", "XLFILL=b")</f>
        <v>#N/A Requesting Data...</v>
      </c>
      <c r="AE173" s="6" t="str">
        <f>_xll.BQL("NOW US Equity", "BS_CUR_LIAB/1M", "FPR=2021Y", "FPT=A", "FA_ACT_EST_DATA=E, EST_SOURCE=GSR", "ACT_EST_MAPPING=PRECISE", "FS=MRC", "CURRENCY=USD", "XLFILL=b")</f>
        <v>#N/A Requesting Data...</v>
      </c>
      <c r="AF173" s="6" t="str">
        <f>_xll.BQL("NOW US Equity", "BS_CUR_LIAB/1M", "FPR=2021Y", "FPT=A", "FA_ACT_EST_DATA=E, EST_SOURCE=FBC", "ACT_EST_MAPPING=PRECISE", "FS=MRC", "CURRENCY=USD", "XLFILL=b")</f>
        <v>#N/A Requesting Data...</v>
      </c>
      <c r="AG173" s="6" t="str">
        <f>_xll.BQL("NOW US Equity", "BS_CUR_LIAB/1M", "FPR=2021Y", "FPT=A", "FA_ACT_EST_DATA=E, EST_SOURCE=MAC", "ACT_EST_MAPPING=PRECISE", "FS=MRC", "CURRENCY=USD", "XLFILL=b")</f>
        <v>#N/A Requesting Data...</v>
      </c>
      <c r="AH173" s="6" t="str">
        <f>_xll.BQL("NOW US Equity", "BS_CUR_LIAB/1M", "FPR=2021Y", "FPT=A", "FA_ACT_EST_DATA=E, EST_SOURCE=PSG", "ACT_EST_MAPPING=PRECISE", "FS=MRC", "CURRENCY=USD", "XLFILL=b")</f>
        <v>#N/A Requesting Data...</v>
      </c>
      <c r="AI173" s="6" t="str">
        <f>_xll.BQL("NOW US Equity", "BS_CUR_LIAB/1M", "FPR=2021Y", "FPT=A", "FA_ACT_EST_DATA=E, EST_SOURCE=MSR", "ACT_EST_MAPPING=PRECISE", "FS=MRC", "CURRENCY=USD", "XLFILL=b")</f>
        <v>#N/A Requesting Data...</v>
      </c>
      <c r="AJ173" s="6" t="str">
        <f>_xll.BQL("NOW US Equity", "BS_CUR_LIAB/1M", "FPR=2021Y", "FPT=A", "FA_ACT_EST_DATA=E, EST_SOURCE=JEF", "ACT_EST_MAPPING=PRECISE", "FS=MRC", "CURRENCY=USD", "XLFILL=b")</f>
        <v>#N/A Requesting Data...</v>
      </c>
      <c r="AK173" s="6" t="str">
        <f>_xll.BQL("NOW US Equity", "BS_CUR_LIAB/1M", "FPR=2021Y", "FPT=A", "FA_ACT_EST_DATA=E, EST_SOURCE=TTC", "ACT_EST_MAPPING=PRECISE", "FS=MRC", "CURRENCY=USD", "XLFILL=b")</f>
        <v>#N/A Requesting Data...</v>
      </c>
      <c r="AL173" s="6" t="str">
        <f>_xll.BQL("NOW US Equity", "BS_CUR_LIAB/1M", "FPR=2021Y", "FPT=A", "FA_ACT_EST_DATA=E, EST_SOURCE=RWB", "ACT_EST_MAPPING=PRECISE", "FS=MRC", "CURRENCY=USD", "XLFILL=b")</f>
        <v>#N/A Requesting Data...</v>
      </c>
      <c r="AM173" s="6" t="str">
        <f>_xll.BQL("NOW US Equity", "BS_CUR_LIAB/1M", "FPR=2021Y", "FPT=A", "FA_ACT_EST_DATA=E, EST_SOURCE=DZB", "ACT_EST_MAPPING=PRECISE", "FS=MRC", "CURRENCY=USD", "XLFILL=b")</f>
        <v>#N/A Requesting Data...</v>
      </c>
      <c r="AN173" s="6" t="str">
        <f>_xll.BQL("NOW US Equity", "BS_CUR_LIAB/1M", "FPR=2021Y", "FPT=A", "FA_ACT_EST_DATA=E, EST_SOURCE=DWI", "ACT_EST_MAPPING=PRECISE", "FS=MRC", "CURRENCY=USD", "XLFILL=b")</f>
        <v>#N/A Requesting Data...</v>
      </c>
      <c r="AO173" s="6" t="str">
        <f>_xll.BQL("NOW US Equity", "BS_CUR_LIAB/1M", "FPR=2021Y", "FPT=A", "FA_ACT_EST_DATA=E, EST_SOURCE=ARG", "ACT_EST_MAPPING=PRECISE", "FS=MRC", "CURRENCY=USD", "XLFILL=b")</f>
        <v>#N/A Requesting Data...</v>
      </c>
      <c r="AP173" s="6" t="str">
        <f>_xll.BQL("NOW US Equity", "BS_CUR_LIAB/1M", "FPR=2021Y", "FPT=A", "FA_ACT_EST_DATA=E, EST_SOURCE=CTI", "ACT_EST_MAPPING=PRECISE", "FS=MRC", "CURRENCY=USD", "XLFILL=b")</f>
        <v>#N/A Requesting Data...</v>
      </c>
      <c r="AQ173" s="6" t="str">
        <f>_xll.BQL("NOW US Equity", "BS_CUR_LIAB/1M", "FPR=2021Y", "FPT=A", "FA_ACT_EST_DATA=E, EST_SOURCE=WFT", "ACT_EST_MAPPING=PRECISE", "FS=MRC", "CURRENCY=USD", "XLFILL=b")</f>
        <v>#N/A Requesting Data...</v>
      </c>
      <c r="AR173" s="6" t="str">
        <f>_xll.BQL("NOW US Equity", "BS_CUR_LIAB/1M", "FPR=2021Y", "FPT=A", "FA_ACT_EST_DATA=E, EST_SOURCE=ARE", "ACT_EST_MAPPING=PRECISE", "FS=MRC", "CURRENCY=USD", "XLFILL=b")</f>
        <v>#N/A Requesting Data...</v>
      </c>
      <c r="AS173" s="6" t="str">
        <f>_xll.BQL("NOW US Equity", "BS_CUR_LIAB/1M", "FPR=2021Y", "FPT=A", "FA_ACT_EST_DATA=E, EST_SOURCE=PJE", "ACT_EST_MAPPING=PRECISE", "FS=MRC", "CURRENCY=USD", "XLFILL=b")</f>
        <v>#N/A Requesting Data...</v>
      </c>
      <c r="AT173" s="6" t="str">
        <f>_xll.BQL("NOW US Equity", "BS_CUR_LIAB/1M", "FPR=2021Y", "FPT=A", "FA_ACT_EST_DATA=E, EST_SOURCE=MZS", "ACT_EST_MAPPING=PRECISE", "FS=MRC", "CURRENCY=USD", "XLFILL=b")</f>
        <v>#N/A Requesting Data...</v>
      </c>
      <c r="AU173" s="6" t="str">
        <f>_xll.BQL("NOW US Equity", "BS_CUR_LIAB/1M", "FPR=2021Y", "FPT=A", "FA_ACT_EST_DATA=E, EST_SOURCE=SUM", "ACT_EST_MAPPING=PRECISE", "FS=MRC", "CURRENCY=USD", "XLFILL=b")</f>
        <v>#N/A Requesting Data...</v>
      </c>
      <c r="AV173" s="6" t="str">
        <f>_xll.BQL("NOW US Equity", "BS_CUR_LIAB/1M", "FPR=2021Y", "FPT=A", "FA_ACT_EST_DATA=E, EST_SOURCE=CRC", "ACT_EST_MAPPING=PRECISE", "FS=MRC", "CURRENCY=USD", "XLFILL=b")</f>
        <v>#N/A Requesting Data...</v>
      </c>
      <c r="AW173" s="6" t="str">
        <f>_xll.BQL("NOW US Equity", "BS_CUR_LIAB/1M", "FPR=2021Y", "FPT=A", "FA_ACT_EST_DATA=E, EST_SOURCE=SCB", "ACT_EST_MAPPING=PRECISE", "FS=MRC", "CURRENCY=USD", "XLFILL=b")</f>
        <v>#N/A Requesting Data...</v>
      </c>
    </row>
    <row r="174" spans="1:49" x14ac:dyDescent="0.55000000000000004">
      <c r="A174" s="5" t="s">
        <v>305</v>
      </c>
      <c r="B174" s="2" t="s">
        <v>306</v>
      </c>
      <c r="C174" s="2" t="s">
        <v>307</v>
      </c>
      <c r="D174" s="2"/>
      <c r="E174" s="6" t="str">
        <f>_xll.BQL("NOW US Equity", "BS_ACCT_PAYABLE/1M", "FPR=2021Y", "FPT=A", "FA_ACT_EST_DATA=E", "ACT_EST_MAPPING=PRECISE", "FS=MRC", "CURRENCY=USD", "XLFILL=b")</f>
        <v>#N/A Requesting Data...</v>
      </c>
      <c r="F174" s="6" t="str">
        <f>_xll.BQL("NOW US Equity", "CONTRIBUTOR_STATS(BS_ACCT_PAYABLE, MIN)/1M", "FPR=2021Y", "FPT=A", "FA_ACT_EST_DATA=E", "ACT_EST_MAPPING=PRECISE", "FS=MRC", "CURRENCY=USD", "XLFILL=b")</f>
        <v>#N/A Requesting Data...</v>
      </c>
      <c r="G174" s="6" t="str">
        <f>_xll.BQL("NOW US Equity", "CONTRIBUTOR_STATS(BS_ACCT_PAYABLE, MAX)/1M", "FPR=2021Y", "FPT=A", "FA_ACT_EST_DATA=E", "ACT_EST_MAPPING=PRECISE", "FS=MRC", "CURRENCY=USD", "XLFILL=b")</f>
        <v>#N/A Requesting Data...</v>
      </c>
      <c r="H174" s="6" t="str">
        <f>_xll.BQL("NOW US Equity", "CONTRIBUTOR_STATS(BS_ACCT_PAYABLE, STD)/1M", "FPR=2021Y", "FPT=A", "FA_ACT_EST_DATA=E", "ACT_EST_MAPPING=PRECISE", "FS=MRC", "CURRENCY=USD", "XLFILL=b")</f>
        <v>#N/A Requesting Data...</v>
      </c>
      <c r="I174" s="6" t="str">
        <f>_xll.BQL("NOW US Equity", "CONTRIBUTOR_STATS(BS_ACCT_PAYABLE, MEDIAN)/1M", "FPR=2021Y", "FPT=A", "FA_ACT_EST_DATA=E", "ACT_EST_MAPPING=PRECISE", "FS=MRC", "CURRENCY=USD", "XLFILL=b")</f>
        <v>#N/A Requesting Data...</v>
      </c>
      <c r="J174" s="6" t="str">
        <f>_xll.BQL("NOW US Equity", "BS_ACCT_PAYABLE/1M", "FPR=2021Y", "FPT=A", "FA_ACT_EST_DATA=E, EST_SOURCE=CMPY", "ACT_EST_MAPPING=PRECISE", "FS=MRC", "CURRENCY=USD", "XLFILL=b")</f>
        <v>#N/A Requesting Data...</v>
      </c>
      <c r="K174" s="6" t="str">
        <f>_xll.BQL("NOW US Equity", "BS_ACCT_PAYABLE/1M", "FPR=2021Y", "FPT=A", "FA_ACT_EST_DATA=E, EST_SOURCE=JPM", "ACT_EST_MAPPING=PRECISE", "FS=MRC", "CURRENCY=USD", "XLFILL=b")</f>
        <v>#N/A Requesting Data...</v>
      </c>
      <c r="L174" s="6" t="str">
        <f>_xll.BQL("NOW US Equity", "BS_ACCT_PAYABLE/1M", "FPR=2021Y", "FPT=A", "FA_ACT_EST_DATA=E, EST_SOURCE=WBL", "ACT_EST_MAPPING=PRECISE", "FS=MRC", "CURRENCY=USD", "XLFILL=b")</f>
        <v>#N/A Requesting Data...</v>
      </c>
      <c r="M174" s="6" t="str">
        <f>_xll.BQL("NOW US Equity", "BS_ACCT_PAYABLE/1M", "FPR=2021Y", "FPT=A", "FA_ACT_EST_DATA=E, EST_SOURCE=KEY", "ACT_EST_MAPPING=PRECISE", "FS=MRC", "CURRENCY=USD", "XLFILL=b")</f>
        <v>#N/A Requesting Data...</v>
      </c>
      <c r="N174" s="6" t="str">
        <f>_xll.BQL("NOW US Equity", "BS_ACCT_PAYABLE/1M", "FPR=2021Y", "FPT=A", "FA_ACT_EST_DATA=E, EST_SOURCE=BMO", "ACT_EST_MAPPING=PRECISE", "FS=MRC", "CURRENCY=USD", "XLFILL=b")</f>
        <v>#N/A Requesting Data...</v>
      </c>
      <c r="O174" s="6" t="str">
        <f>_xll.BQL("NOW US Equity", "BS_ACCT_PAYABLE/1M", "FPR=2021Y", "FPT=A", "FA_ACT_EST_DATA=E, EST_SOURCE=OPY", "ACT_EST_MAPPING=PRECISE", "FS=MRC", "CURRENCY=USD", "XLFILL=b")</f>
        <v>#N/A Requesting Data...</v>
      </c>
      <c r="P174" s="6" t="str">
        <f>_xll.BQL("NOW US Equity", "BS_ACCT_PAYABLE/1M", "FPR=2021Y", "FPT=A", "FA_ACT_EST_DATA=E, EST_SOURCE=BCA", "ACT_EST_MAPPING=PRECISE", "FS=MRC", "CURRENCY=USD", "XLFILL=b")</f>
        <v>#N/A Requesting Data...</v>
      </c>
      <c r="Q174" s="6" t="str">
        <f>_xll.BQL("NOW US Equity", "BS_ACCT_PAYABLE/1M", "FPR=2021Y", "FPT=A", "FA_ACT_EST_DATA=E, EST_SOURCE=RHR", "ACT_EST_MAPPING=PRECISE", "FS=MRC", "CURRENCY=USD", "XLFILL=b")</f>
        <v>#N/A Requesting Data...</v>
      </c>
      <c r="R174" s="6" t="str">
        <f>_xll.BQL("NOW US Equity", "BS_ACCT_PAYABLE/1M", "FPR=2021Y", "FPT=A", "FA_ACT_EST_DATA=E, EST_SOURCE=SNR", "ACT_EST_MAPPING=PRECISE", "FS=MRC", "CURRENCY=USD", "XLFILL=b")</f>
        <v>#N/A Requesting Data...</v>
      </c>
      <c r="S174" s="6" t="str">
        <f>_xll.BQL("NOW US Equity", "BS_ACCT_PAYABLE/1M", "FPR=2021Y", "FPT=A", "FA_ACT_EST_DATA=E, EST_SOURCE=MSV", "ACT_EST_MAPPING=PRECISE", "FS=MRC", "CURRENCY=USD", "XLFILL=b")</f>
        <v>#N/A Requesting Data...</v>
      </c>
      <c r="T174" s="6" t="str">
        <f>_xll.BQL("NOW US Equity", "BS_ACCT_PAYABLE/1M", "FPR=2021Y", "FPT=A", "FA_ACT_EST_DATA=E, EST_SOURCE=CAN", "ACT_EST_MAPPING=PRECISE", "FS=MRC", "CURRENCY=USD", "XLFILL=b")</f>
        <v>#N/A Requesting Data...</v>
      </c>
      <c r="U174" s="6" t="str">
        <f>_xll.BQL("NOW US Equity", "BS_ACCT_PAYABLE/1M", "FPR=2021Y", "FPT=A", "FA_ACT_EST_DATA=E, EST_SOURCE=JMP", "ACT_EST_MAPPING=PRECISE", "FS=MRC", "CURRENCY=USD", "XLFILL=b")</f>
        <v>#N/A Requesting Data...</v>
      </c>
      <c r="V174" s="6" t="str">
        <f>_xll.BQL("NOW US Equity", "BS_ACCT_PAYABLE/1M", "FPR=2021Y", "FPT=A", "FA_ACT_EST_DATA=E, EST_SOURCE=NDH", "ACT_EST_MAPPING=PRECISE", "FS=MRC", "CURRENCY=USD", "XLFILL=b")</f>
        <v>#N/A Requesting Data...</v>
      </c>
      <c r="W174" s="6" t="str">
        <f>_xll.BQL("NOW US Equity", "BS_ACCT_PAYABLE/1M", "FPR=2021Y", "FPT=A", "FA_ACT_EST_DATA=E, EST_SOURCE=ZXS", "ACT_EST_MAPPING=PRECISE", "FS=MRC", "CURRENCY=USD", "XLFILL=b")</f>
        <v>#N/A Requesting Data...</v>
      </c>
      <c r="X174" s="6" t="str">
        <f>_xll.BQL("NOW US Equity", "BS_ACCT_PAYABLE/1M", "FPR=2021Y", "FPT=A", "FA_ACT_EST_DATA=E, EST_SOURCE=CWN", "ACT_EST_MAPPING=PRECISE", "FS=MRC", "CURRENCY=USD", "XLFILL=b")</f>
        <v>#N/A Requesting Data...</v>
      </c>
      <c r="Y174" s="6" t="str">
        <f>_xll.BQL("NOW US Equity", "BS_ACCT_PAYABLE/1M", "FPR=2021Y", "FPT=A", "FA_ACT_EST_DATA=E, EST_SOURCE=DBG", "ACT_EST_MAPPING=PRECISE", "FS=MRC", "CURRENCY=USD", "XLFILL=b")</f>
        <v>#N/A Requesting Data...</v>
      </c>
      <c r="Z174" s="6" t="str">
        <f>_xll.BQL("NOW US Equity", "BS_ACCT_PAYABLE/1M", "FPR=2021Y", "FPT=A", "FA_ACT_EST_DATA=E, EST_SOURCE=UBS", "ACT_EST_MAPPING=PRECISE", "FS=MRC", "CURRENCY=USD", "XLFILL=b")</f>
        <v>#N/A Requesting Data...</v>
      </c>
      <c r="AA174" s="6" t="str">
        <f>_xll.BQL("NOW US Equity", "BS_ACCT_PAYABLE/1M", "FPR=2021Y", "FPT=A", "FA_ACT_EST_DATA=E, EST_SOURCE=RBC", "ACT_EST_MAPPING=PRECISE", "FS=MRC", "CURRENCY=USD", "XLFILL=b")</f>
        <v>#N/A Requesting Data...</v>
      </c>
      <c r="AB174" s="6" t="str">
        <f>_xll.BQL("NOW US Equity", "BS_ACCT_PAYABLE/1M", "FPR=2021Y", "FPT=A", "FA_ACT_EST_DATA=E, EST_SOURCE=EVR", "ACT_EST_MAPPING=PRECISE", "FS=MRC", "CURRENCY=USD", "XLFILL=b")</f>
        <v>#N/A Requesting Data...</v>
      </c>
      <c r="AC174" s="6" t="str">
        <f>_xll.BQL("NOW US Equity", "BS_ACCT_PAYABLE/1M", "FPR=2021Y", "FPT=A", "FA_ACT_EST_DATA=E, EST_SOURCE=BNS", "ACT_EST_MAPPING=PRECISE", "FS=MRC", "CURRENCY=USD", "XLFILL=b")</f>
        <v>#N/A Requesting Data...</v>
      </c>
      <c r="AD174" s="6" t="str">
        <f>_xll.BQL("NOW US Equity", "BS_ACCT_PAYABLE/1M", "FPR=2021Y", "FPT=A", "FA_ACT_EST_DATA=E, EST_SOURCE=BAM", "ACT_EST_MAPPING=PRECISE", "FS=MRC", "CURRENCY=USD", "XLFILL=b")</f>
        <v>#N/A Requesting Data...</v>
      </c>
      <c r="AE174" s="6" t="str">
        <f>_xll.BQL("NOW US Equity", "BS_ACCT_PAYABLE/1M", "FPR=2021Y", "FPT=A", "FA_ACT_EST_DATA=E, EST_SOURCE=GSR", "ACT_EST_MAPPING=PRECISE", "FS=MRC", "CURRENCY=USD", "XLFILL=b")</f>
        <v>#N/A Requesting Data...</v>
      </c>
      <c r="AF174" s="6" t="str">
        <f>_xll.BQL("NOW US Equity", "BS_ACCT_PAYABLE/1M", "FPR=2021Y", "FPT=A", "FA_ACT_EST_DATA=E, EST_SOURCE=FBC", "ACT_EST_MAPPING=PRECISE", "FS=MRC", "CURRENCY=USD", "XLFILL=b")</f>
        <v>#N/A Requesting Data...</v>
      </c>
      <c r="AG174" s="6" t="str">
        <f>_xll.BQL("NOW US Equity", "BS_ACCT_PAYABLE/1M", "FPR=2021Y", "FPT=A", "FA_ACT_EST_DATA=E, EST_SOURCE=MAC", "ACT_EST_MAPPING=PRECISE", "FS=MRC", "CURRENCY=USD", "XLFILL=b")</f>
        <v>#N/A Requesting Data...</v>
      </c>
      <c r="AH174" s="6" t="str">
        <f>_xll.BQL("NOW US Equity", "BS_ACCT_PAYABLE/1M", "FPR=2021Y", "FPT=A", "FA_ACT_EST_DATA=E, EST_SOURCE=PSG", "ACT_EST_MAPPING=PRECISE", "FS=MRC", "CURRENCY=USD", "XLFILL=b")</f>
        <v>#N/A Requesting Data...</v>
      </c>
      <c r="AI174" s="6" t="str">
        <f>_xll.BQL("NOW US Equity", "BS_ACCT_PAYABLE/1M", "FPR=2021Y", "FPT=A", "FA_ACT_EST_DATA=E, EST_SOURCE=MSR", "ACT_EST_MAPPING=PRECISE", "FS=MRC", "CURRENCY=USD", "XLFILL=b")</f>
        <v>#N/A Requesting Data...</v>
      </c>
      <c r="AJ174" s="6" t="str">
        <f>_xll.BQL("NOW US Equity", "BS_ACCT_PAYABLE/1M", "FPR=2021Y", "FPT=A", "FA_ACT_EST_DATA=E, EST_SOURCE=JEF", "ACT_EST_MAPPING=PRECISE", "FS=MRC", "CURRENCY=USD", "XLFILL=b")</f>
        <v>#N/A Requesting Data...</v>
      </c>
      <c r="AK174" s="6" t="str">
        <f>_xll.BQL("NOW US Equity", "BS_ACCT_PAYABLE/1M", "FPR=2021Y", "FPT=A", "FA_ACT_EST_DATA=E, EST_SOURCE=TTC", "ACT_EST_MAPPING=PRECISE", "FS=MRC", "CURRENCY=USD", "XLFILL=b")</f>
        <v>#N/A Requesting Data...</v>
      </c>
      <c r="AL174" s="6" t="str">
        <f>_xll.BQL("NOW US Equity", "BS_ACCT_PAYABLE/1M", "FPR=2021Y", "FPT=A", "FA_ACT_EST_DATA=E, EST_SOURCE=RWB", "ACT_EST_MAPPING=PRECISE", "FS=MRC", "CURRENCY=USD", "XLFILL=b")</f>
        <v>#N/A Requesting Data...</v>
      </c>
      <c r="AM174" s="6" t="str">
        <f>_xll.BQL("NOW US Equity", "BS_ACCT_PAYABLE/1M", "FPR=2021Y", "FPT=A", "FA_ACT_EST_DATA=E, EST_SOURCE=DZB", "ACT_EST_MAPPING=PRECISE", "FS=MRC", "CURRENCY=USD", "XLFILL=b")</f>
        <v>#N/A Requesting Data...</v>
      </c>
      <c r="AN174" s="6" t="str">
        <f>_xll.BQL("NOW US Equity", "BS_ACCT_PAYABLE/1M", "FPR=2021Y", "FPT=A", "FA_ACT_EST_DATA=E, EST_SOURCE=DWI", "ACT_EST_MAPPING=PRECISE", "FS=MRC", "CURRENCY=USD", "XLFILL=b")</f>
        <v>#N/A Requesting Data...</v>
      </c>
      <c r="AO174" s="6" t="str">
        <f>_xll.BQL("NOW US Equity", "BS_ACCT_PAYABLE/1M", "FPR=2021Y", "FPT=A", "FA_ACT_EST_DATA=E, EST_SOURCE=ARG", "ACT_EST_MAPPING=PRECISE", "FS=MRC", "CURRENCY=USD", "XLFILL=b")</f>
        <v>#N/A Requesting Data...</v>
      </c>
      <c r="AP174" s="6" t="str">
        <f>_xll.BQL("NOW US Equity", "BS_ACCT_PAYABLE/1M", "FPR=2021Y", "FPT=A", "FA_ACT_EST_DATA=E, EST_SOURCE=CTI", "ACT_EST_MAPPING=PRECISE", "FS=MRC", "CURRENCY=USD", "XLFILL=b")</f>
        <v>#N/A Requesting Data...</v>
      </c>
      <c r="AQ174" s="6" t="str">
        <f>_xll.BQL("NOW US Equity", "BS_ACCT_PAYABLE/1M", "FPR=2021Y", "FPT=A", "FA_ACT_EST_DATA=E, EST_SOURCE=WFT", "ACT_EST_MAPPING=PRECISE", "FS=MRC", "CURRENCY=USD", "XLFILL=b")</f>
        <v>#N/A Requesting Data...</v>
      </c>
      <c r="AR174" s="6" t="str">
        <f>_xll.BQL("NOW US Equity", "BS_ACCT_PAYABLE/1M", "FPR=2021Y", "FPT=A", "FA_ACT_EST_DATA=E, EST_SOURCE=ARE", "ACT_EST_MAPPING=PRECISE", "FS=MRC", "CURRENCY=USD", "XLFILL=b")</f>
        <v>#N/A Requesting Data...</v>
      </c>
      <c r="AS174" s="6" t="str">
        <f>_xll.BQL("NOW US Equity", "BS_ACCT_PAYABLE/1M", "FPR=2021Y", "FPT=A", "FA_ACT_EST_DATA=E, EST_SOURCE=PJE", "ACT_EST_MAPPING=PRECISE", "FS=MRC", "CURRENCY=USD", "XLFILL=b")</f>
        <v>#N/A Requesting Data...</v>
      </c>
      <c r="AT174" s="6" t="str">
        <f>_xll.BQL("NOW US Equity", "BS_ACCT_PAYABLE/1M", "FPR=2021Y", "FPT=A", "FA_ACT_EST_DATA=E, EST_SOURCE=MZS", "ACT_EST_MAPPING=PRECISE", "FS=MRC", "CURRENCY=USD", "XLFILL=b")</f>
        <v>#N/A Requesting Data...</v>
      </c>
      <c r="AU174" s="6" t="str">
        <f>_xll.BQL("NOW US Equity", "BS_ACCT_PAYABLE/1M", "FPR=2021Y", "FPT=A", "FA_ACT_EST_DATA=E, EST_SOURCE=SUM", "ACT_EST_MAPPING=PRECISE", "FS=MRC", "CURRENCY=USD", "XLFILL=b")</f>
        <v>#N/A Requesting Data...</v>
      </c>
      <c r="AV174" s="6" t="str">
        <f>_xll.BQL("NOW US Equity", "BS_ACCT_PAYABLE/1M", "FPR=2021Y", "FPT=A", "FA_ACT_EST_DATA=E, EST_SOURCE=CRC", "ACT_EST_MAPPING=PRECISE", "FS=MRC", "CURRENCY=USD", "XLFILL=b")</f>
        <v>#N/A Requesting Data...</v>
      </c>
      <c r="AW174" s="6" t="str">
        <f>_xll.BQL("NOW US Equity", "BS_ACCT_PAYABLE/1M", "FPR=2021Y", "FPT=A", "FA_ACT_EST_DATA=E, EST_SOURCE=SCB", "ACT_EST_MAPPING=PRECISE", "FS=MRC", "CURRENCY=USD", "XLFILL=b")</f>
        <v>#N/A Requesting Data...</v>
      </c>
    </row>
    <row r="175" spans="1:49" x14ac:dyDescent="0.55000000000000004">
      <c r="A175" s="5" t="s">
        <v>308</v>
      </c>
      <c r="B175" s="2" t="s">
        <v>309</v>
      </c>
      <c r="C175" s="2" t="s">
        <v>310</v>
      </c>
      <c r="D175" s="2"/>
      <c r="E175" s="6" t="str">
        <f>_xll.BQL("NOW US Equity", "BS_ACCRUD_EXPNSS_AND_OTHR/1M", "FPR=2021Y", "FPT=A", "FA_ACT_EST_DATA=E", "ACT_EST_MAPPING=PRECISE", "FS=MRC", "CURRENCY=USD", "XLFILL=b")</f>
        <v>#N/A Requesting Data...</v>
      </c>
      <c r="F175" s="6" t="str">
        <f>_xll.BQL("NOW US Equity", "CONTRIBUTOR_STATS(BS_ACCRUD_EXPNSS_AND_OTHR, MIN)/1M", "FPR=2021Y", "FPT=A", "FA_ACT_EST_DATA=E", "ACT_EST_MAPPING=PRECISE", "FS=MRC", "CURRENCY=USD", "XLFILL=b")</f>
        <v>#N/A Requesting Data...</v>
      </c>
      <c r="G175" s="6" t="str">
        <f>_xll.BQL("NOW US Equity", "CONTRIBUTOR_STATS(BS_ACCRUD_EXPNSS_AND_OTHR, MAX)/1M", "FPR=2021Y", "FPT=A", "FA_ACT_EST_DATA=E", "ACT_EST_MAPPING=PRECISE", "FS=MRC", "CURRENCY=USD", "XLFILL=b")</f>
        <v>#N/A Requesting Data...</v>
      </c>
      <c r="H175" s="6" t="str">
        <f>_xll.BQL("NOW US Equity", "CONTRIBUTOR_STATS(BS_ACCRUD_EXPNSS_AND_OTHR, STD)/1M", "FPR=2021Y", "FPT=A", "FA_ACT_EST_DATA=E", "ACT_EST_MAPPING=PRECISE", "FS=MRC", "CURRENCY=USD", "XLFILL=b")</f>
        <v>#N/A Requesting Data...</v>
      </c>
      <c r="I175" s="6" t="str">
        <f>_xll.BQL("NOW US Equity", "CONTRIBUTOR_STATS(BS_ACCRUD_EXPNSS_AND_OTHR, MEDIAN)/1M", "FPR=2021Y", "FPT=A", "FA_ACT_EST_DATA=E", "ACT_EST_MAPPING=PRECISE", "FS=MRC", "CURRENCY=USD", "XLFILL=b")</f>
        <v>#N/A Requesting Data...</v>
      </c>
      <c r="J175" s="6" t="str">
        <f>_xll.BQL("NOW US Equity", "BS_ACCRUD_EXPNSS_AND_OTHR/1M", "FPR=2021Y", "FPT=A", "FA_ACT_EST_DATA=E, EST_SOURCE=CMPY", "ACT_EST_MAPPING=PRECISE", "FS=MRC", "CURRENCY=USD", "XLFILL=b")</f>
        <v>#N/A Requesting Data...</v>
      </c>
      <c r="K175" s="6" t="str">
        <f>_xll.BQL("NOW US Equity", "BS_ACCRUD_EXPNSS_AND_OTHR/1M", "FPR=2021Y", "FPT=A", "FA_ACT_EST_DATA=E, EST_SOURCE=JPM", "ACT_EST_MAPPING=PRECISE", "FS=MRC", "CURRENCY=USD", "XLFILL=b")</f>
        <v>#N/A Requesting Data...</v>
      </c>
      <c r="L175" s="6" t="str">
        <f>_xll.BQL("NOW US Equity", "BS_ACCRUD_EXPNSS_AND_OTHR/1M", "FPR=2021Y", "FPT=A", "FA_ACT_EST_DATA=E, EST_SOURCE=WBL", "ACT_EST_MAPPING=PRECISE", "FS=MRC", "CURRENCY=USD", "XLFILL=b")</f>
        <v>#N/A Requesting Data...</v>
      </c>
      <c r="M175" s="6" t="str">
        <f>_xll.BQL("NOW US Equity", "BS_ACCRUD_EXPNSS_AND_OTHR/1M", "FPR=2021Y", "FPT=A", "FA_ACT_EST_DATA=E, EST_SOURCE=KEY", "ACT_EST_MAPPING=PRECISE", "FS=MRC", "CURRENCY=USD", "XLFILL=b")</f>
        <v>#N/A Requesting Data...</v>
      </c>
      <c r="N175" s="6" t="str">
        <f>_xll.BQL("NOW US Equity", "BS_ACCRUD_EXPNSS_AND_OTHR/1M", "FPR=2021Y", "FPT=A", "FA_ACT_EST_DATA=E, EST_SOURCE=BMO", "ACT_EST_MAPPING=PRECISE", "FS=MRC", "CURRENCY=USD", "XLFILL=b")</f>
        <v>#N/A Requesting Data...</v>
      </c>
      <c r="O175" s="6" t="str">
        <f>_xll.BQL("NOW US Equity", "BS_ACCRUD_EXPNSS_AND_OTHR/1M", "FPR=2021Y", "FPT=A", "FA_ACT_EST_DATA=E, EST_SOURCE=OPY", "ACT_EST_MAPPING=PRECISE", "FS=MRC", "CURRENCY=USD", "XLFILL=b")</f>
        <v>#N/A Requesting Data...</v>
      </c>
      <c r="P175" s="6" t="str">
        <f>_xll.BQL("NOW US Equity", "BS_ACCRUD_EXPNSS_AND_OTHR/1M", "FPR=2021Y", "FPT=A", "FA_ACT_EST_DATA=E, EST_SOURCE=BCA", "ACT_EST_MAPPING=PRECISE", "FS=MRC", "CURRENCY=USD", "XLFILL=b")</f>
        <v>#N/A Requesting Data...</v>
      </c>
      <c r="Q175" s="6" t="str">
        <f>_xll.BQL("NOW US Equity", "BS_ACCRUD_EXPNSS_AND_OTHR/1M", "FPR=2021Y", "FPT=A", "FA_ACT_EST_DATA=E, EST_SOURCE=RHR", "ACT_EST_MAPPING=PRECISE", "FS=MRC", "CURRENCY=USD", "XLFILL=b")</f>
        <v>#N/A Requesting Data...</v>
      </c>
      <c r="R175" s="6" t="str">
        <f>_xll.BQL("NOW US Equity", "BS_ACCRUD_EXPNSS_AND_OTHR/1M", "FPR=2021Y", "FPT=A", "FA_ACT_EST_DATA=E, EST_SOURCE=SNR", "ACT_EST_MAPPING=PRECISE", "FS=MRC", "CURRENCY=USD", "XLFILL=b")</f>
        <v>#N/A Requesting Data...</v>
      </c>
      <c r="S175" s="6" t="str">
        <f>_xll.BQL("NOW US Equity", "BS_ACCRUD_EXPNSS_AND_OTHR/1M", "FPR=2021Y", "FPT=A", "FA_ACT_EST_DATA=E, EST_SOURCE=MSV", "ACT_EST_MAPPING=PRECISE", "FS=MRC", "CURRENCY=USD", "XLFILL=b")</f>
        <v>#N/A Requesting Data...</v>
      </c>
      <c r="T175" s="6" t="str">
        <f>_xll.BQL("NOW US Equity", "BS_ACCRUD_EXPNSS_AND_OTHR/1M", "FPR=2021Y", "FPT=A", "FA_ACT_EST_DATA=E, EST_SOURCE=CAN", "ACT_EST_MAPPING=PRECISE", "FS=MRC", "CURRENCY=USD", "XLFILL=b")</f>
        <v>#N/A Requesting Data...</v>
      </c>
      <c r="U175" s="6" t="str">
        <f>_xll.BQL("NOW US Equity", "BS_ACCRUD_EXPNSS_AND_OTHR/1M", "FPR=2021Y", "FPT=A", "FA_ACT_EST_DATA=E, EST_SOURCE=JMP", "ACT_EST_MAPPING=PRECISE", "FS=MRC", "CURRENCY=USD", "XLFILL=b")</f>
        <v>#N/A Requesting Data...</v>
      </c>
      <c r="V175" s="6" t="str">
        <f>_xll.BQL("NOW US Equity", "BS_ACCRUD_EXPNSS_AND_OTHR/1M", "FPR=2021Y", "FPT=A", "FA_ACT_EST_DATA=E, EST_SOURCE=NDH", "ACT_EST_MAPPING=PRECISE", "FS=MRC", "CURRENCY=USD", "XLFILL=b")</f>
        <v>#N/A Requesting Data...</v>
      </c>
      <c r="W175" s="6" t="str">
        <f>_xll.BQL("NOW US Equity", "BS_ACCRUD_EXPNSS_AND_OTHR/1M", "FPR=2021Y", "FPT=A", "FA_ACT_EST_DATA=E, EST_SOURCE=ZXS", "ACT_EST_MAPPING=PRECISE", "FS=MRC", "CURRENCY=USD", "XLFILL=b")</f>
        <v>#N/A Requesting Data...</v>
      </c>
      <c r="X175" s="6" t="str">
        <f>_xll.BQL("NOW US Equity", "BS_ACCRUD_EXPNSS_AND_OTHR/1M", "FPR=2021Y", "FPT=A", "FA_ACT_EST_DATA=E, EST_SOURCE=CWN", "ACT_EST_MAPPING=PRECISE", "FS=MRC", "CURRENCY=USD", "XLFILL=b")</f>
        <v>#N/A Requesting Data...</v>
      </c>
      <c r="Y175" s="6" t="str">
        <f>_xll.BQL("NOW US Equity", "BS_ACCRUD_EXPNSS_AND_OTHR/1M", "FPR=2021Y", "FPT=A", "FA_ACT_EST_DATA=E, EST_SOURCE=DBG", "ACT_EST_MAPPING=PRECISE", "FS=MRC", "CURRENCY=USD", "XLFILL=b")</f>
        <v>#N/A Requesting Data...</v>
      </c>
      <c r="Z175" s="6" t="str">
        <f>_xll.BQL("NOW US Equity", "BS_ACCRUD_EXPNSS_AND_OTHR/1M", "FPR=2021Y", "FPT=A", "FA_ACT_EST_DATA=E, EST_SOURCE=UBS", "ACT_EST_MAPPING=PRECISE", "FS=MRC", "CURRENCY=USD", "XLFILL=b")</f>
        <v>#N/A Requesting Data...</v>
      </c>
      <c r="AA175" s="6" t="str">
        <f>_xll.BQL("NOW US Equity", "BS_ACCRUD_EXPNSS_AND_OTHR/1M", "FPR=2021Y", "FPT=A", "FA_ACT_EST_DATA=E, EST_SOURCE=RBC", "ACT_EST_MAPPING=PRECISE", "FS=MRC", "CURRENCY=USD", "XLFILL=b")</f>
        <v>#N/A Requesting Data...</v>
      </c>
      <c r="AB175" s="6" t="str">
        <f>_xll.BQL("NOW US Equity", "BS_ACCRUD_EXPNSS_AND_OTHR/1M", "FPR=2021Y", "FPT=A", "FA_ACT_EST_DATA=E, EST_SOURCE=EVR", "ACT_EST_MAPPING=PRECISE", "FS=MRC", "CURRENCY=USD", "XLFILL=b")</f>
        <v>#N/A Requesting Data...</v>
      </c>
      <c r="AC175" s="6" t="str">
        <f>_xll.BQL("NOW US Equity", "BS_ACCRUD_EXPNSS_AND_OTHR/1M", "FPR=2021Y", "FPT=A", "FA_ACT_EST_DATA=E, EST_SOURCE=BNS", "ACT_EST_MAPPING=PRECISE", "FS=MRC", "CURRENCY=USD", "XLFILL=b")</f>
        <v>#N/A Requesting Data...</v>
      </c>
      <c r="AD175" s="6" t="str">
        <f>_xll.BQL("NOW US Equity", "BS_ACCRUD_EXPNSS_AND_OTHR/1M", "FPR=2021Y", "FPT=A", "FA_ACT_EST_DATA=E, EST_SOURCE=BAM", "ACT_EST_MAPPING=PRECISE", "FS=MRC", "CURRENCY=USD", "XLFILL=b")</f>
        <v>#N/A Requesting Data...</v>
      </c>
      <c r="AE175" s="6" t="str">
        <f>_xll.BQL("NOW US Equity", "BS_ACCRUD_EXPNSS_AND_OTHR/1M", "FPR=2021Y", "FPT=A", "FA_ACT_EST_DATA=E, EST_SOURCE=GSR", "ACT_EST_MAPPING=PRECISE", "FS=MRC", "CURRENCY=USD", "XLFILL=b")</f>
        <v>#N/A Requesting Data...</v>
      </c>
      <c r="AF175" s="6" t="str">
        <f>_xll.BQL("NOW US Equity", "BS_ACCRUD_EXPNSS_AND_OTHR/1M", "FPR=2021Y", "FPT=A", "FA_ACT_EST_DATA=E, EST_SOURCE=FBC", "ACT_EST_MAPPING=PRECISE", "FS=MRC", "CURRENCY=USD", "XLFILL=b")</f>
        <v>#N/A Requesting Data...</v>
      </c>
      <c r="AG175" s="6" t="str">
        <f>_xll.BQL("NOW US Equity", "BS_ACCRUD_EXPNSS_AND_OTHR/1M", "FPR=2021Y", "FPT=A", "FA_ACT_EST_DATA=E, EST_SOURCE=MAC", "ACT_EST_MAPPING=PRECISE", "FS=MRC", "CURRENCY=USD", "XLFILL=b")</f>
        <v>#N/A Requesting Data...</v>
      </c>
      <c r="AH175" s="6" t="str">
        <f>_xll.BQL("NOW US Equity", "BS_ACCRUD_EXPNSS_AND_OTHR/1M", "FPR=2021Y", "FPT=A", "FA_ACT_EST_DATA=E, EST_SOURCE=PSG", "ACT_EST_MAPPING=PRECISE", "FS=MRC", "CURRENCY=USD", "XLFILL=b")</f>
        <v>#N/A Requesting Data...</v>
      </c>
      <c r="AI175" s="6" t="str">
        <f>_xll.BQL("NOW US Equity", "BS_ACCRUD_EXPNSS_AND_OTHR/1M", "FPR=2021Y", "FPT=A", "FA_ACT_EST_DATA=E, EST_SOURCE=MSR", "ACT_EST_MAPPING=PRECISE", "FS=MRC", "CURRENCY=USD", "XLFILL=b")</f>
        <v>#N/A Requesting Data...</v>
      </c>
      <c r="AJ175" s="6" t="str">
        <f>_xll.BQL("NOW US Equity", "BS_ACCRUD_EXPNSS_AND_OTHR/1M", "FPR=2021Y", "FPT=A", "FA_ACT_EST_DATA=E, EST_SOURCE=JEF", "ACT_EST_MAPPING=PRECISE", "FS=MRC", "CURRENCY=USD", "XLFILL=b")</f>
        <v>#N/A Requesting Data...</v>
      </c>
      <c r="AK175" s="6" t="str">
        <f>_xll.BQL("NOW US Equity", "BS_ACCRUD_EXPNSS_AND_OTHR/1M", "FPR=2021Y", "FPT=A", "FA_ACT_EST_DATA=E, EST_SOURCE=TTC", "ACT_EST_MAPPING=PRECISE", "FS=MRC", "CURRENCY=USD", "XLFILL=b")</f>
        <v>#N/A Requesting Data...</v>
      </c>
      <c r="AL175" s="6" t="str">
        <f>_xll.BQL("NOW US Equity", "BS_ACCRUD_EXPNSS_AND_OTHR/1M", "FPR=2021Y", "FPT=A", "FA_ACT_EST_DATA=E, EST_SOURCE=RWB", "ACT_EST_MAPPING=PRECISE", "FS=MRC", "CURRENCY=USD", "XLFILL=b")</f>
        <v>#N/A Requesting Data...</v>
      </c>
      <c r="AM175" s="6" t="str">
        <f>_xll.BQL("NOW US Equity", "BS_ACCRUD_EXPNSS_AND_OTHR/1M", "FPR=2021Y", "FPT=A", "FA_ACT_EST_DATA=E, EST_SOURCE=DZB", "ACT_EST_MAPPING=PRECISE", "FS=MRC", "CURRENCY=USD", "XLFILL=b")</f>
        <v>#N/A Requesting Data...</v>
      </c>
      <c r="AN175" s="6" t="str">
        <f>_xll.BQL("NOW US Equity", "BS_ACCRUD_EXPNSS_AND_OTHR/1M", "FPR=2021Y", "FPT=A", "FA_ACT_EST_DATA=E, EST_SOURCE=DWI", "ACT_EST_MAPPING=PRECISE", "FS=MRC", "CURRENCY=USD", "XLFILL=b")</f>
        <v>#N/A Requesting Data...</v>
      </c>
      <c r="AO175" s="6" t="str">
        <f>_xll.BQL("NOW US Equity", "BS_ACCRUD_EXPNSS_AND_OTHR/1M", "FPR=2021Y", "FPT=A", "FA_ACT_EST_DATA=E, EST_SOURCE=ARG", "ACT_EST_MAPPING=PRECISE", "FS=MRC", "CURRENCY=USD", "XLFILL=b")</f>
        <v>#N/A Requesting Data...</v>
      </c>
      <c r="AP175" s="6" t="str">
        <f>_xll.BQL("NOW US Equity", "BS_ACCRUD_EXPNSS_AND_OTHR/1M", "FPR=2021Y", "FPT=A", "FA_ACT_EST_DATA=E, EST_SOURCE=CTI", "ACT_EST_MAPPING=PRECISE", "FS=MRC", "CURRENCY=USD", "XLFILL=b")</f>
        <v>#N/A Requesting Data...</v>
      </c>
      <c r="AQ175" s="6" t="str">
        <f>_xll.BQL("NOW US Equity", "BS_ACCRUD_EXPNSS_AND_OTHR/1M", "FPR=2021Y", "FPT=A", "FA_ACT_EST_DATA=E, EST_SOURCE=WFT", "ACT_EST_MAPPING=PRECISE", "FS=MRC", "CURRENCY=USD", "XLFILL=b")</f>
        <v>#N/A Requesting Data...</v>
      </c>
      <c r="AR175" s="6" t="str">
        <f>_xll.BQL("NOW US Equity", "BS_ACCRUD_EXPNSS_AND_OTHR/1M", "FPR=2021Y", "FPT=A", "FA_ACT_EST_DATA=E, EST_SOURCE=ARE", "ACT_EST_MAPPING=PRECISE", "FS=MRC", "CURRENCY=USD", "XLFILL=b")</f>
        <v>#N/A Requesting Data...</v>
      </c>
      <c r="AS175" s="6" t="str">
        <f>_xll.BQL("NOW US Equity", "BS_ACCRUD_EXPNSS_AND_OTHR/1M", "FPR=2021Y", "FPT=A", "FA_ACT_EST_DATA=E, EST_SOURCE=PJE", "ACT_EST_MAPPING=PRECISE", "FS=MRC", "CURRENCY=USD", "XLFILL=b")</f>
        <v>#N/A Requesting Data...</v>
      </c>
      <c r="AT175" s="6" t="str">
        <f>_xll.BQL("NOW US Equity", "BS_ACCRUD_EXPNSS_AND_OTHR/1M", "FPR=2021Y", "FPT=A", "FA_ACT_EST_DATA=E, EST_SOURCE=MZS", "ACT_EST_MAPPING=PRECISE", "FS=MRC", "CURRENCY=USD", "XLFILL=b")</f>
        <v>#N/A Requesting Data...</v>
      </c>
      <c r="AU175" s="6" t="str">
        <f>_xll.BQL("NOW US Equity", "BS_ACCRUD_EXPNSS_AND_OTHR/1M", "FPR=2021Y", "FPT=A", "FA_ACT_EST_DATA=E, EST_SOURCE=SUM", "ACT_EST_MAPPING=PRECISE", "FS=MRC", "CURRENCY=USD", "XLFILL=b")</f>
        <v>#N/A Requesting Data...</v>
      </c>
      <c r="AV175" s="6" t="str">
        <f>_xll.BQL("NOW US Equity", "BS_ACCRUD_EXPNSS_AND_OTHR/1M", "FPR=2021Y", "FPT=A", "FA_ACT_EST_DATA=E, EST_SOURCE=CRC", "ACT_EST_MAPPING=PRECISE", "FS=MRC", "CURRENCY=USD", "XLFILL=b")</f>
        <v>#N/A Requesting Data...</v>
      </c>
      <c r="AW175" s="6" t="str">
        <f>_xll.BQL("NOW US Equity", "BS_ACCRUD_EXPNSS_AND_OTHR/1M", "FPR=2021Y", "FPT=A", "FA_ACT_EST_DATA=E, EST_SOURCE=SCB", "ACT_EST_MAPPING=PRECISE", "FS=MRC", "CURRENCY=USD", "XLFILL=b")</f>
        <v>#N/A Requesting Data...</v>
      </c>
    </row>
    <row r="176" spans="1:49" x14ac:dyDescent="0.55000000000000004">
      <c r="A176" s="5" t="s">
        <v>311</v>
      </c>
      <c r="B176" s="2" t="s">
        <v>312</v>
      </c>
      <c r="C176" s="2" t="s">
        <v>313</v>
      </c>
      <c r="D176" s="2"/>
      <c r="E176" s="6" t="str">
        <f>_xll.BQL("NOW US Equity", "ST_DEFERRED_REVENUE/1M", "FPR=2021Y", "FPT=A", "FA_ACT_EST_DATA=E", "ACT_EST_MAPPING=PRECISE", "FS=MRC", "CURRENCY=USD", "XLFILL=b")</f>
        <v>#N/A Requesting Data...</v>
      </c>
      <c r="F176" s="6" t="str">
        <f>_xll.BQL("NOW US Equity", "CONTRIBUTOR_STATS(ST_DEFERRED_REVENUE, MIN)/1M", "FPR=2021Y", "FPT=A", "FA_ACT_EST_DATA=E", "ACT_EST_MAPPING=PRECISE", "FS=MRC", "CURRENCY=USD", "XLFILL=b")</f>
        <v>#N/A Requesting Data...</v>
      </c>
      <c r="G176" s="6" t="str">
        <f>_xll.BQL("NOW US Equity", "CONTRIBUTOR_STATS(ST_DEFERRED_REVENUE, MAX)/1M", "FPR=2021Y", "FPT=A", "FA_ACT_EST_DATA=E", "ACT_EST_MAPPING=PRECISE", "FS=MRC", "CURRENCY=USD", "XLFILL=b")</f>
        <v>#N/A Requesting Data...</v>
      </c>
      <c r="H176" s="6" t="str">
        <f>_xll.BQL("NOW US Equity", "CONTRIBUTOR_STATS(ST_DEFERRED_REVENUE, STD)/1M", "FPR=2021Y", "FPT=A", "FA_ACT_EST_DATA=E", "ACT_EST_MAPPING=PRECISE", "FS=MRC", "CURRENCY=USD", "XLFILL=b")</f>
        <v>#N/A Requesting Data...</v>
      </c>
      <c r="I176" s="6" t="str">
        <f>_xll.BQL("NOW US Equity", "CONTRIBUTOR_STATS(ST_DEFERRED_REVENUE, MEDIAN)/1M", "FPR=2021Y", "FPT=A", "FA_ACT_EST_DATA=E", "ACT_EST_MAPPING=PRECISE", "FS=MRC", "CURRENCY=USD", "XLFILL=b")</f>
        <v>#N/A Requesting Data...</v>
      </c>
      <c r="J176" s="6" t="str">
        <f>_xll.BQL("NOW US Equity", "ST_DEFERRED_REVENUE/1M", "FPR=2021Y", "FPT=A", "FA_ACT_EST_DATA=E, EST_SOURCE=CMPY", "ACT_EST_MAPPING=PRECISE", "FS=MRC", "CURRENCY=USD", "XLFILL=b")</f>
        <v>#N/A Requesting Data...</v>
      </c>
      <c r="K176" s="6" t="str">
        <f>_xll.BQL("NOW US Equity", "ST_DEFERRED_REVENUE/1M", "FPR=2021Y", "FPT=A", "FA_ACT_EST_DATA=E, EST_SOURCE=JPM", "ACT_EST_MAPPING=PRECISE", "FS=MRC", "CURRENCY=USD", "XLFILL=b")</f>
        <v>#N/A Requesting Data...</v>
      </c>
      <c r="L176" s="6" t="str">
        <f>_xll.BQL("NOW US Equity", "ST_DEFERRED_REVENUE/1M", "FPR=2021Y", "FPT=A", "FA_ACT_EST_DATA=E, EST_SOURCE=WBL", "ACT_EST_MAPPING=PRECISE", "FS=MRC", "CURRENCY=USD", "XLFILL=b")</f>
        <v>#N/A Requesting Data...</v>
      </c>
      <c r="M176" s="6" t="str">
        <f>_xll.BQL("NOW US Equity", "ST_DEFERRED_REVENUE/1M", "FPR=2021Y", "FPT=A", "FA_ACT_EST_DATA=E, EST_SOURCE=KEY", "ACT_EST_MAPPING=PRECISE", "FS=MRC", "CURRENCY=USD", "XLFILL=b")</f>
        <v>#N/A Requesting Data...</v>
      </c>
      <c r="N176" s="6" t="str">
        <f>_xll.BQL("NOW US Equity", "ST_DEFERRED_REVENUE/1M", "FPR=2021Y", "FPT=A", "FA_ACT_EST_DATA=E, EST_SOURCE=BMO", "ACT_EST_MAPPING=PRECISE", "FS=MRC", "CURRENCY=USD", "XLFILL=b")</f>
        <v>#N/A Requesting Data...</v>
      </c>
      <c r="O176" s="6" t="str">
        <f>_xll.BQL("NOW US Equity", "ST_DEFERRED_REVENUE/1M", "FPR=2021Y", "FPT=A", "FA_ACT_EST_DATA=E, EST_SOURCE=OPY", "ACT_EST_MAPPING=PRECISE", "FS=MRC", "CURRENCY=USD", "XLFILL=b")</f>
        <v>#N/A Requesting Data...</v>
      </c>
      <c r="P176" s="6" t="str">
        <f>_xll.BQL("NOW US Equity", "ST_DEFERRED_REVENUE/1M", "FPR=2021Y", "FPT=A", "FA_ACT_EST_DATA=E, EST_SOURCE=BCA", "ACT_EST_MAPPING=PRECISE", "FS=MRC", "CURRENCY=USD", "XLFILL=b")</f>
        <v>#N/A Requesting Data...</v>
      </c>
      <c r="Q176" s="6" t="str">
        <f>_xll.BQL("NOW US Equity", "ST_DEFERRED_REVENUE/1M", "FPR=2021Y", "FPT=A", "FA_ACT_EST_DATA=E, EST_SOURCE=RHR", "ACT_EST_MAPPING=PRECISE", "FS=MRC", "CURRENCY=USD", "XLFILL=b")</f>
        <v>#N/A Requesting Data...</v>
      </c>
      <c r="R176" s="6" t="str">
        <f>_xll.BQL("NOW US Equity", "ST_DEFERRED_REVENUE/1M", "FPR=2021Y", "FPT=A", "FA_ACT_EST_DATA=E, EST_SOURCE=SNR", "ACT_EST_MAPPING=PRECISE", "FS=MRC", "CURRENCY=USD", "XLFILL=b")</f>
        <v>#N/A Requesting Data...</v>
      </c>
      <c r="S176" s="6" t="str">
        <f>_xll.BQL("NOW US Equity", "ST_DEFERRED_REVENUE/1M", "FPR=2021Y", "FPT=A", "FA_ACT_EST_DATA=E, EST_SOURCE=MSV", "ACT_EST_MAPPING=PRECISE", "FS=MRC", "CURRENCY=USD", "XLFILL=b")</f>
        <v>#N/A Requesting Data...</v>
      </c>
      <c r="T176" s="6" t="str">
        <f>_xll.BQL("NOW US Equity", "ST_DEFERRED_REVENUE/1M", "FPR=2021Y", "FPT=A", "FA_ACT_EST_DATA=E, EST_SOURCE=CAN", "ACT_EST_MAPPING=PRECISE", "FS=MRC", "CURRENCY=USD", "XLFILL=b")</f>
        <v>#N/A Requesting Data...</v>
      </c>
      <c r="U176" s="6" t="str">
        <f>_xll.BQL("NOW US Equity", "ST_DEFERRED_REVENUE/1M", "FPR=2021Y", "FPT=A", "FA_ACT_EST_DATA=E, EST_SOURCE=JMP", "ACT_EST_MAPPING=PRECISE", "FS=MRC", "CURRENCY=USD", "XLFILL=b")</f>
        <v>#N/A Requesting Data...</v>
      </c>
      <c r="V176" s="6" t="str">
        <f>_xll.BQL("NOW US Equity", "ST_DEFERRED_REVENUE/1M", "FPR=2021Y", "FPT=A", "FA_ACT_EST_DATA=E, EST_SOURCE=NDH", "ACT_EST_MAPPING=PRECISE", "FS=MRC", "CURRENCY=USD", "XLFILL=b")</f>
        <v>#N/A Requesting Data...</v>
      </c>
      <c r="W176" s="6" t="str">
        <f>_xll.BQL("NOW US Equity", "ST_DEFERRED_REVENUE/1M", "FPR=2021Y", "FPT=A", "FA_ACT_EST_DATA=E, EST_SOURCE=ZXS", "ACT_EST_MAPPING=PRECISE", "FS=MRC", "CURRENCY=USD", "XLFILL=b")</f>
        <v>#N/A Requesting Data...</v>
      </c>
      <c r="X176" s="6" t="str">
        <f>_xll.BQL("NOW US Equity", "ST_DEFERRED_REVENUE/1M", "FPR=2021Y", "FPT=A", "FA_ACT_EST_DATA=E, EST_SOURCE=CWN", "ACT_EST_MAPPING=PRECISE", "FS=MRC", "CURRENCY=USD", "XLFILL=b")</f>
        <v>#N/A Requesting Data...</v>
      </c>
      <c r="Y176" s="6" t="str">
        <f>_xll.BQL("NOW US Equity", "ST_DEFERRED_REVENUE/1M", "FPR=2021Y", "FPT=A", "FA_ACT_EST_DATA=E, EST_SOURCE=DBG", "ACT_EST_MAPPING=PRECISE", "FS=MRC", "CURRENCY=USD", "XLFILL=b")</f>
        <v>#N/A Requesting Data...</v>
      </c>
      <c r="Z176" s="6" t="str">
        <f>_xll.BQL("NOW US Equity", "ST_DEFERRED_REVENUE/1M", "FPR=2021Y", "FPT=A", "FA_ACT_EST_DATA=E, EST_SOURCE=UBS", "ACT_EST_MAPPING=PRECISE", "FS=MRC", "CURRENCY=USD", "XLFILL=b")</f>
        <v>#N/A Requesting Data...</v>
      </c>
      <c r="AA176" s="6" t="str">
        <f>_xll.BQL("NOW US Equity", "ST_DEFERRED_REVENUE/1M", "FPR=2021Y", "FPT=A", "FA_ACT_EST_DATA=E, EST_SOURCE=RBC", "ACT_EST_MAPPING=PRECISE", "FS=MRC", "CURRENCY=USD", "XLFILL=b")</f>
        <v>#N/A Requesting Data...</v>
      </c>
      <c r="AB176" s="6" t="str">
        <f>_xll.BQL("NOW US Equity", "ST_DEFERRED_REVENUE/1M", "FPR=2021Y", "FPT=A", "FA_ACT_EST_DATA=E, EST_SOURCE=EVR", "ACT_EST_MAPPING=PRECISE", "FS=MRC", "CURRENCY=USD", "XLFILL=b")</f>
        <v>#N/A Requesting Data...</v>
      </c>
      <c r="AC176" s="6" t="str">
        <f>_xll.BQL("NOW US Equity", "ST_DEFERRED_REVENUE/1M", "FPR=2021Y", "FPT=A", "FA_ACT_EST_DATA=E, EST_SOURCE=BNS", "ACT_EST_MAPPING=PRECISE", "FS=MRC", "CURRENCY=USD", "XLFILL=b")</f>
        <v>#N/A Requesting Data...</v>
      </c>
      <c r="AD176" s="6" t="str">
        <f>_xll.BQL("NOW US Equity", "ST_DEFERRED_REVENUE/1M", "FPR=2021Y", "FPT=A", "FA_ACT_EST_DATA=E, EST_SOURCE=BAM", "ACT_EST_MAPPING=PRECISE", "FS=MRC", "CURRENCY=USD", "XLFILL=b")</f>
        <v>#N/A Requesting Data...</v>
      </c>
      <c r="AE176" s="6" t="str">
        <f>_xll.BQL("NOW US Equity", "ST_DEFERRED_REVENUE/1M", "FPR=2021Y", "FPT=A", "FA_ACT_EST_DATA=E, EST_SOURCE=GSR", "ACT_EST_MAPPING=PRECISE", "FS=MRC", "CURRENCY=USD", "XLFILL=b")</f>
        <v>#N/A Requesting Data...</v>
      </c>
      <c r="AF176" s="6" t="str">
        <f>_xll.BQL("NOW US Equity", "ST_DEFERRED_REVENUE/1M", "FPR=2021Y", "FPT=A", "FA_ACT_EST_DATA=E, EST_SOURCE=FBC", "ACT_EST_MAPPING=PRECISE", "FS=MRC", "CURRENCY=USD", "XLFILL=b")</f>
        <v>#N/A Requesting Data...</v>
      </c>
      <c r="AG176" s="6" t="str">
        <f>_xll.BQL("NOW US Equity", "ST_DEFERRED_REVENUE/1M", "FPR=2021Y", "FPT=A", "FA_ACT_EST_DATA=E, EST_SOURCE=MAC", "ACT_EST_MAPPING=PRECISE", "FS=MRC", "CURRENCY=USD", "XLFILL=b")</f>
        <v>#N/A Requesting Data...</v>
      </c>
      <c r="AH176" s="6" t="str">
        <f>_xll.BQL("NOW US Equity", "ST_DEFERRED_REVENUE/1M", "FPR=2021Y", "FPT=A", "FA_ACT_EST_DATA=E, EST_SOURCE=PSG", "ACT_EST_MAPPING=PRECISE", "FS=MRC", "CURRENCY=USD", "XLFILL=b")</f>
        <v>#N/A Requesting Data...</v>
      </c>
      <c r="AI176" s="6" t="str">
        <f>_xll.BQL("NOW US Equity", "ST_DEFERRED_REVENUE/1M", "FPR=2021Y", "FPT=A", "FA_ACT_EST_DATA=E, EST_SOURCE=MSR", "ACT_EST_MAPPING=PRECISE", "FS=MRC", "CURRENCY=USD", "XLFILL=b")</f>
        <v>#N/A Requesting Data...</v>
      </c>
      <c r="AJ176" s="6" t="str">
        <f>_xll.BQL("NOW US Equity", "ST_DEFERRED_REVENUE/1M", "FPR=2021Y", "FPT=A", "FA_ACT_EST_DATA=E, EST_SOURCE=JEF", "ACT_EST_MAPPING=PRECISE", "FS=MRC", "CURRENCY=USD", "XLFILL=b")</f>
        <v>#N/A Requesting Data...</v>
      </c>
      <c r="AK176" s="6" t="str">
        <f>_xll.BQL("NOW US Equity", "ST_DEFERRED_REVENUE/1M", "FPR=2021Y", "FPT=A", "FA_ACT_EST_DATA=E, EST_SOURCE=TTC", "ACT_EST_MAPPING=PRECISE", "FS=MRC", "CURRENCY=USD", "XLFILL=b")</f>
        <v>#N/A Requesting Data...</v>
      </c>
      <c r="AL176" s="6" t="str">
        <f>_xll.BQL("NOW US Equity", "ST_DEFERRED_REVENUE/1M", "FPR=2021Y", "FPT=A", "FA_ACT_EST_DATA=E, EST_SOURCE=RWB", "ACT_EST_MAPPING=PRECISE", "FS=MRC", "CURRENCY=USD", "XLFILL=b")</f>
        <v>#N/A Requesting Data...</v>
      </c>
      <c r="AM176" s="6" t="str">
        <f>_xll.BQL("NOW US Equity", "ST_DEFERRED_REVENUE/1M", "FPR=2021Y", "FPT=A", "FA_ACT_EST_DATA=E, EST_SOURCE=DZB", "ACT_EST_MAPPING=PRECISE", "FS=MRC", "CURRENCY=USD", "XLFILL=b")</f>
        <v>#N/A Requesting Data...</v>
      </c>
      <c r="AN176" s="6" t="str">
        <f>_xll.BQL("NOW US Equity", "ST_DEFERRED_REVENUE/1M", "FPR=2021Y", "FPT=A", "FA_ACT_EST_DATA=E, EST_SOURCE=DWI", "ACT_EST_MAPPING=PRECISE", "FS=MRC", "CURRENCY=USD", "XLFILL=b")</f>
        <v>#N/A Requesting Data...</v>
      </c>
      <c r="AO176" s="6" t="str">
        <f>_xll.BQL("NOW US Equity", "ST_DEFERRED_REVENUE/1M", "FPR=2021Y", "FPT=A", "FA_ACT_EST_DATA=E, EST_SOURCE=ARG", "ACT_EST_MAPPING=PRECISE", "FS=MRC", "CURRENCY=USD", "XLFILL=b")</f>
        <v>#N/A Requesting Data...</v>
      </c>
      <c r="AP176" s="6" t="str">
        <f>_xll.BQL("NOW US Equity", "ST_DEFERRED_REVENUE/1M", "FPR=2021Y", "FPT=A", "FA_ACT_EST_DATA=E, EST_SOURCE=CTI", "ACT_EST_MAPPING=PRECISE", "FS=MRC", "CURRENCY=USD", "XLFILL=b")</f>
        <v>#N/A Requesting Data...</v>
      </c>
      <c r="AQ176" s="6" t="str">
        <f>_xll.BQL("NOW US Equity", "ST_DEFERRED_REVENUE/1M", "FPR=2021Y", "FPT=A", "FA_ACT_EST_DATA=E, EST_SOURCE=WFT", "ACT_EST_MAPPING=PRECISE", "FS=MRC", "CURRENCY=USD", "XLFILL=b")</f>
        <v>#N/A Requesting Data...</v>
      </c>
      <c r="AR176" s="6" t="str">
        <f>_xll.BQL("NOW US Equity", "ST_DEFERRED_REVENUE/1M", "FPR=2021Y", "FPT=A", "FA_ACT_EST_DATA=E, EST_SOURCE=ARE", "ACT_EST_MAPPING=PRECISE", "FS=MRC", "CURRENCY=USD", "XLFILL=b")</f>
        <v>#N/A Requesting Data...</v>
      </c>
      <c r="AS176" s="6" t="str">
        <f>_xll.BQL("NOW US Equity", "ST_DEFERRED_REVENUE/1M", "FPR=2021Y", "FPT=A", "FA_ACT_EST_DATA=E, EST_SOURCE=PJE", "ACT_EST_MAPPING=PRECISE", "FS=MRC", "CURRENCY=USD", "XLFILL=b")</f>
        <v>#N/A Requesting Data...</v>
      </c>
      <c r="AT176" s="6" t="str">
        <f>_xll.BQL("NOW US Equity", "ST_DEFERRED_REVENUE/1M", "FPR=2021Y", "FPT=A", "FA_ACT_EST_DATA=E, EST_SOURCE=MZS", "ACT_EST_MAPPING=PRECISE", "FS=MRC", "CURRENCY=USD", "XLFILL=b")</f>
        <v>#N/A Requesting Data...</v>
      </c>
      <c r="AU176" s="6" t="str">
        <f>_xll.BQL("NOW US Equity", "ST_DEFERRED_REVENUE/1M", "FPR=2021Y", "FPT=A", "FA_ACT_EST_DATA=E, EST_SOURCE=SUM", "ACT_EST_MAPPING=PRECISE", "FS=MRC", "CURRENCY=USD", "XLFILL=b")</f>
        <v>#N/A Requesting Data...</v>
      </c>
      <c r="AV176" s="6" t="str">
        <f>_xll.BQL("NOW US Equity", "ST_DEFERRED_REVENUE/1M", "FPR=2021Y", "FPT=A", "FA_ACT_EST_DATA=E, EST_SOURCE=CRC", "ACT_EST_MAPPING=PRECISE", "FS=MRC", "CURRENCY=USD", "XLFILL=b")</f>
        <v>#N/A Requesting Data...</v>
      </c>
      <c r="AW176" s="6" t="str">
        <f>_xll.BQL("NOW US Equity", "ST_DEFERRED_REVENUE/1M", "FPR=2021Y", "FPT=A", "FA_ACT_EST_DATA=E, EST_SOURCE=SCB", "ACT_EST_MAPPING=PRECISE", "FS=MRC", "CURRENCY=USD", "XLFILL=b")</f>
        <v>#N/A Requesting Data...</v>
      </c>
    </row>
    <row r="177" spans="1:49" x14ac:dyDescent="0.55000000000000004">
      <c r="A177" s="5" t="s">
        <v>314</v>
      </c>
      <c r="B177" s="2" t="s">
        <v>315</v>
      </c>
      <c r="C177" s="2" t="s">
        <v>316</v>
      </c>
      <c r="D177" s="2"/>
      <c r="E177" s="6" t="str">
        <f>_xll.BQL("NOW US Equity", "BS_ST_CPTL_LEA_AND_OP_LEA_LIABS/1M", "FPR=2021Y", "FPT=A", "FA_ACT_EST_DATA=E", "ACT_EST_MAPPING=PRECISE", "FS=MRC", "CURRENCY=USD", "XLFILL=b")</f>
        <v>#N/A Requesting Data...</v>
      </c>
      <c r="F177" s="6" t="str">
        <f>_xll.BQL("NOW US Equity", "CONTRIBUTOR_STATS(BS_ST_CPTL_LEA_AND_OP_LEA_LIABS, MIN)/1M", "FPR=2021Y", "FPT=A", "FA_ACT_EST_DATA=E", "ACT_EST_MAPPING=PRECISE", "FS=MRC", "CURRENCY=USD", "XLFILL=b")</f>
        <v>#N/A Requesting Data...</v>
      </c>
      <c r="G177" s="6" t="str">
        <f>_xll.BQL("NOW US Equity", "CONTRIBUTOR_STATS(BS_ST_CPTL_LEA_AND_OP_LEA_LIABS, MAX)/1M", "FPR=2021Y", "FPT=A", "FA_ACT_EST_DATA=E", "ACT_EST_MAPPING=PRECISE", "FS=MRC", "CURRENCY=USD", "XLFILL=b")</f>
        <v>#N/A Requesting Data...</v>
      </c>
      <c r="H177" s="6" t="str">
        <f>_xll.BQL("NOW US Equity", "CONTRIBUTOR_STATS(BS_ST_CPTL_LEA_AND_OP_LEA_LIABS, STD)/1M", "FPR=2021Y", "FPT=A", "FA_ACT_EST_DATA=E", "ACT_EST_MAPPING=PRECISE", "FS=MRC", "CURRENCY=USD", "XLFILL=b")</f>
        <v>#N/A Requesting Data...</v>
      </c>
      <c r="I177" s="6" t="str">
        <f>_xll.BQL("NOW US Equity", "CONTRIBUTOR_STATS(BS_ST_CPTL_LEA_AND_OP_LEA_LIABS, MEDIAN)/1M", "FPR=2021Y", "FPT=A", "FA_ACT_EST_DATA=E", "ACT_EST_MAPPING=PRECISE", "FS=MRC", "CURRENCY=USD", "XLFILL=b")</f>
        <v>#N/A Requesting Data...</v>
      </c>
      <c r="J177" s="6" t="str">
        <f>_xll.BQL("NOW US Equity", "BS_ST_CPTL_LEA_AND_OP_LEA_LIABS/1M", "FPR=2021Y", "FPT=A", "FA_ACT_EST_DATA=E, EST_SOURCE=CMPY", "ACT_EST_MAPPING=PRECISE", "FS=MRC", "CURRENCY=USD", "XLFILL=b")</f>
        <v>#N/A Requesting Data...</v>
      </c>
      <c r="K177" s="6" t="str">
        <f>_xll.BQL("NOW US Equity", "BS_ST_CPTL_LEA_AND_OP_LEA_LIABS/1M", "FPR=2021Y", "FPT=A", "FA_ACT_EST_DATA=E, EST_SOURCE=JPM", "ACT_EST_MAPPING=PRECISE", "FS=MRC", "CURRENCY=USD", "XLFILL=b")</f>
        <v>#N/A Requesting Data...</v>
      </c>
      <c r="L177" s="6" t="str">
        <f>_xll.BQL("NOW US Equity", "BS_ST_CPTL_LEA_AND_OP_LEA_LIABS/1M", "FPR=2021Y", "FPT=A", "FA_ACT_EST_DATA=E, EST_SOURCE=WBL", "ACT_EST_MAPPING=PRECISE", "FS=MRC", "CURRENCY=USD", "XLFILL=b")</f>
        <v>#N/A Requesting Data...</v>
      </c>
      <c r="M177" s="6" t="str">
        <f>_xll.BQL("NOW US Equity", "BS_ST_CPTL_LEA_AND_OP_LEA_LIABS/1M", "FPR=2021Y", "FPT=A", "FA_ACT_EST_DATA=E, EST_SOURCE=KEY", "ACT_EST_MAPPING=PRECISE", "FS=MRC", "CURRENCY=USD", "XLFILL=b")</f>
        <v>#N/A Requesting Data...</v>
      </c>
      <c r="N177" s="6" t="str">
        <f>_xll.BQL("NOW US Equity", "BS_ST_CPTL_LEA_AND_OP_LEA_LIABS/1M", "FPR=2021Y", "FPT=A", "FA_ACT_EST_DATA=E, EST_SOURCE=BMO", "ACT_EST_MAPPING=PRECISE", "FS=MRC", "CURRENCY=USD", "XLFILL=b")</f>
        <v>#N/A Requesting Data...</v>
      </c>
      <c r="O177" s="6" t="str">
        <f>_xll.BQL("NOW US Equity", "BS_ST_CPTL_LEA_AND_OP_LEA_LIABS/1M", "FPR=2021Y", "FPT=A", "FA_ACT_EST_DATA=E, EST_SOURCE=OPY", "ACT_EST_MAPPING=PRECISE", "FS=MRC", "CURRENCY=USD", "XLFILL=b")</f>
        <v>#N/A Requesting Data...</v>
      </c>
      <c r="P177" s="6" t="str">
        <f>_xll.BQL("NOW US Equity", "BS_ST_CPTL_LEA_AND_OP_LEA_LIABS/1M", "FPR=2021Y", "FPT=A", "FA_ACT_EST_DATA=E, EST_SOURCE=BCA", "ACT_EST_MAPPING=PRECISE", "FS=MRC", "CURRENCY=USD", "XLFILL=b")</f>
        <v>#N/A Requesting Data...</v>
      </c>
      <c r="Q177" s="6" t="str">
        <f>_xll.BQL("NOW US Equity", "BS_ST_CPTL_LEA_AND_OP_LEA_LIABS/1M", "FPR=2021Y", "FPT=A", "FA_ACT_EST_DATA=E, EST_SOURCE=RHR", "ACT_EST_MAPPING=PRECISE", "FS=MRC", "CURRENCY=USD", "XLFILL=b")</f>
        <v>#N/A Requesting Data...</v>
      </c>
      <c r="R177" s="6" t="str">
        <f>_xll.BQL("NOW US Equity", "BS_ST_CPTL_LEA_AND_OP_LEA_LIABS/1M", "FPR=2021Y", "FPT=A", "FA_ACT_EST_DATA=E, EST_SOURCE=SNR", "ACT_EST_MAPPING=PRECISE", "FS=MRC", "CURRENCY=USD", "XLFILL=b")</f>
        <v>#N/A Requesting Data...</v>
      </c>
      <c r="S177" s="6" t="str">
        <f>_xll.BQL("NOW US Equity", "BS_ST_CPTL_LEA_AND_OP_LEA_LIABS/1M", "FPR=2021Y", "FPT=A", "FA_ACT_EST_DATA=E, EST_SOURCE=MSV", "ACT_EST_MAPPING=PRECISE", "FS=MRC", "CURRENCY=USD", "XLFILL=b")</f>
        <v>#N/A Requesting Data...</v>
      </c>
      <c r="T177" s="6" t="str">
        <f>_xll.BQL("NOW US Equity", "BS_ST_CPTL_LEA_AND_OP_LEA_LIABS/1M", "FPR=2021Y", "FPT=A", "FA_ACT_EST_DATA=E, EST_SOURCE=CAN", "ACT_EST_MAPPING=PRECISE", "FS=MRC", "CURRENCY=USD", "XLFILL=b")</f>
        <v>#N/A Requesting Data...</v>
      </c>
      <c r="U177" s="6" t="str">
        <f>_xll.BQL("NOW US Equity", "BS_ST_CPTL_LEA_AND_OP_LEA_LIABS/1M", "FPR=2021Y", "FPT=A", "FA_ACT_EST_DATA=E, EST_SOURCE=JMP", "ACT_EST_MAPPING=PRECISE", "FS=MRC", "CURRENCY=USD", "XLFILL=b")</f>
        <v>#N/A Requesting Data...</v>
      </c>
      <c r="V177" s="6" t="str">
        <f>_xll.BQL("NOW US Equity", "BS_ST_CPTL_LEA_AND_OP_LEA_LIABS/1M", "FPR=2021Y", "FPT=A", "FA_ACT_EST_DATA=E, EST_SOURCE=NDH", "ACT_EST_MAPPING=PRECISE", "FS=MRC", "CURRENCY=USD", "XLFILL=b")</f>
        <v>#N/A Requesting Data...</v>
      </c>
      <c r="W177" s="6" t="str">
        <f>_xll.BQL("NOW US Equity", "BS_ST_CPTL_LEA_AND_OP_LEA_LIABS/1M", "FPR=2021Y", "FPT=A", "FA_ACT_EST_DATA=E, EST_SOURCE=ZXS", "ACT_EST_MAPPING=PRECISE", "FS=MRC", "CURRENCY=USD", "XLFILL=b")</f>
        <v>#N/A Requesting Data...</v>
      </c>
      <c r="X177" s="6" t="str">
        <f>_xll.BQL("NOW US Equity", "BS_ST_CPTL_LEA_AND_OP_LEA_LIABS/1M", "FPR=2021Y", "FPT=A", "FA_ACT_EST_DATA=E, EST_SOURCE=CWN", "ACT_EST_MAPPING=PRECISE", "FS=MRC", "CURRENCY=USD", "XLFILL=b")</f>
        <v>#N/A Requesting Data...</v>
      </c>
      <c r="Y177" s="6" t="str">
        <f>_xll.BQL("NOW US Equity", "BS_ST_CPTL_LEA_AND_OP_LEA_LIABS/1M", "FPR=2021Y", "FPT=A", "FA_ACT_EST_DATA=E, EST_SOURCE=DBG", "ACT_EST_MAPPING=PRECISE", "FS=MRC", "CURRENCY=USD", "XLFILL=b")</f>
        <v>#N/A Requesting Data...</v>
      </c>
      <c r="Z177" s="6" t="str">
        <f>_xll.BQL("NOW US Equity", "BS_ST_CPTL_LEA_AND_OP_LEA_LIABS/1M", "FPR=2021Y", "FPT=A", "FA_ACT_EST_DATA=E, EST_SOURCE=UBS", "ACT_EST_MAPPING=PRECISE", "FS=MRC", "CURRENCY=USD", "XLFILL=b")</f>
        <v>#N/A Requesting Data...</v>
      </c>
      <c r="AA177" s="6" t="str">
        <f>_xll.BQL("NOW US Equity", "BS_ST_CPTL_LEA_AND_OP_LEA_LIABS/1M", "FPR=2021Y", "FPT=A", "FA_ACT_EST_DATA=E, EST_SOURCE=RBC", "ACT_EST_MAPPING=PRECISE", "FS=MRC", "CURRENCY=USD", "XLFILL=b")</f>
        <v>#N/A Requesting Data...</v>
      </c>
      <c r="AB177" s="6" t="str">
        <f>_xll.BQL("NOW US Equity", "BS_ST_CPTL_LEA_AND_OP_LEA_LIABS/1M", "FPR=2021Y", "FPT=A", "FA_ACT_EST_DATA=E, EST_SOURCE=EVR", "ACT_EST_MAPPING=PRECISE", "FS=MRC", "CURRENCY=USD", "XLFILL=b")</f>
        <v>#N/A Requesting Data...</v>
      </c>
      <c r="AC177" s="6" t="str">
        <f>_xll.BQL("NOW US Equity", "BS_ST_CPTL_LEA_AND_OP_LEA_LIABS/1M", "FPR=2021Y", "FPT=A", "FA_ACT_EST_DATA=E, EST_SOURCE=BNS", "ACT_EST_MAPPING=PRECISE", "FS=MRC", "CURRENCY=USD", "XLFILL=b")</f>
        <v>#N/A Requesting Data...</v>
      </c>
      <c r="AD177" s="6" t="str">
        <f>_xll.BQL("NOW US Equity", "BS_ST_CPTL_LEA_AND_OP_LEA_LIABS/1M", "FPR=2021Y", "FPT=A", "FA_ACT_EST_DATA=E, EST_SOURCE=BAM", "ACT_EST_MAPPING=PRECISE", "FS=MRC", "CURRENCY=USD", "XLFILL=b")</f>
        <v>#N/A Requesting Data...</v>
      </c>
      <c r="AE177" s="6" t="str">
        <f>_xll.BQL("NOW US Equity", "BS_ST_CPTL_LEA_AND_OP_LEA_LIABS/1M", "FPR=2021Y", "FPT=A", "FA_ACT_EST_DATA=E, EST_SOURCE=GSR", "ACT_EST_MAPPING=PRECISE", "FS=MRC", "CURRENCY=USD", "XLFILL=b")</f>
        <v>#N/A Requesting Data...</v>
      </c>
      <c r="AF177" s="6" t="str">
        <f>_xll.BQL("NOW US Equity", "BS_ST_CPTL_LEA_AND_OP_LEA_LIABS/1M", "FPR=2021Y", "FPT=A", "FA_ACT_EST_DATA=E, EST_SOURCE=FBC", "ACT_EST_MAPPING=PRECISE", "FS=MRC", "CURRENCY=USD", "XLFILL=b")</f>
        <v>#N/A Requesting Data...</v>
      </c>
      <c r="AG177" s="6" t="str">
        <f>_xll.BQL("NOW US Equity", "BS_ST_CPTL_LEA_AND_OP_LEA_LIABS/1M", "FPR=2021Y", "FPT=A", "FA_ACT_EST_DATA=E, EST_SOURCE=MAC", "ACT_EST_MAPPING=PRECISE", "FS=MRC", "CURRENCY=USD", "XLFILL=b")</f>
        <v>#N/A Requesting Data...</v>
      </c>
      <c r="AH177" s="6" t="str">
        <f>_xll.BQL("NOW US Equity", "BS_ST_CPTL_LEA_AND_OP_LEA_LIABS/1M", "FPR=2021Y", "FPT=A", "FA_ACT_EST_DATA=E, EST_SOURCE=PSG", "ACT_EST_MAPPING=PRECISE", "FS=MRC", "CURRENCY=USD", "XLFILL=b")</f>
        <v>#N/A Requesting Data...</v>
      </c>
      <c r="AI177" s="6" t="str">
        <f>_xll.BQL("NOW US Equity", "BS_ST_CPTL_LEA_AND_OP_LEA_LIABS/1M", "FPR=2021Y", "FPT=A", "FA_ACT_EST_DATA=E, EST_SOURCE=MSR", "ACT_EST_MAPPING=PRECISE", "FS=MRC", "CURRENCY=USD", "XLFILL=b")</f>
        <v>#N/A Requesting Data...</v>
      </c>
      <c r="AJ177" s="6" t="str">
        <f>_xll.BQL("NOW US Equity", "BS_ST_CPTL_LEA_AND_OP_LEA_LIABS/1M", "FPR=2021Y", "FPT=A", "FA_ACT_EST_DATA=E, EST_SOURCE=JEF", "ACT_EST_MAPPING=PRECISE", "FS=MRC", "CURRENCY=USD", "XLFILL=b")</f>
        <v>#N/A Requesting Data...</v>
      </c>
      <c r="AK177" s="6" t="str">
        <f>_xll.BQL("NOW US Equity", "BS_ST_CPTL_LEA_AND_OP_LEA_LIABS/1M", "FPR=2021Y", "FPT=A", "FA_ACT_EST_DATA=E, EST_SOURCE=TTC", "ACT_EST_MAPPING=PRECISE", "FS=MRC", "CURRENCY=USD", "XLFILL=b")</f>
        <v>#N/A Requesting Data...</v>
      </c>
      <c r="AL177" s="6" t="str">
        <f>_xll.BQL("NOW US Equity", "BS_ST_CPTL_LEA_AND_OP_LEA_LIABS/1M", "FPR=2021Y", "FPT=A", "FA_ACT_EST_DATA=E, EST_SOURCE=RWB", "ACT_EST_MAPPING=PRECISE", "FS=MRC", "CURRENCY=USD", "XLFILL=b")</f>
        <v>#N/A Requesting Data...</v>
      </c>
      <c r="AM177" s="6" t="str">
        <f>_xll.BQL("NOW US Equity", "BS_ST_CPTL_LEA_AND_OP_LEA_LIABS/1M", "FPR=2021Y", "FPT=A", "FA_ACT_EST_DATA=E, EST_SOURCE=DZB", "ACT_EST_MAPPING=PRECISE", "FS=MRC", "CURRENCY=USD", "XLFILL=b")</f>
        <v>#N/A Requesting Data...</v>
      </c>
      <c r="AN177" s="6" t="str">
        <f>_xll.BQL("NOW US Equity", "BS_ST_CPTL_LEA_AND_OP_LEA_LIABS/1M", "FPR=2021Y", "FPT=A", "FA_ACT_EST_DATA=E, EST_SOURCE=DWI", "ACT_EST_MAPPING=PRECISE", "FS=MRC", "CURRENCY=USD", "XLFILL=b")</f>
        <v>#N/A Requesting Data...</v>
      </c>
      <c r="AO177" s="6" t="str">
        <f>_xll.BQL("NOW US Equity", "BS_ST_CPTL_LEA_AND_OP_LEA_LIABS/1M", "FPR=2021Y", "FPT=A", "FA_ACT_EST_DATA=E, EST_SOURCE=ARG", "ACT_EST_MAPPING=PRECISE", "FS=MRC", "CURRENCY=USD", "XLFILL=b")</f>
        <v>#N/A Requesting Data...</v>
      </c>
      <c r="AP177" s="6" t="str">
        <f>_xll.BQL("NOW US Equity", "BS_ST_CPTL_LEA_AND_OP_LEA_LIABS/1M", "FPR=2021Y", "FPT=A", "FA_ACT_EST_DATA=E, EST_SOURCE=CTI", "ACT_EST_MAPPING=PRECISE", "FS=MRC", "CURRENCY=USD", "XLFILL=b")</f>
        <v>#N/A Requesting Data...</v>
      </c>
      <c r="AQ177" s="6" t="str">
        <f>_xll.BQL("NOW US Equity", "BS_ST_CPTL_LEA_AND_OP_LEA_LIABS/1M", "FPR=2021Y", "FPT=A", "FA_ACT_EST_DATA=E, EST_SOURCE=WFT", "ACT_EST_MAPPING=PRECISE", "FS=MRC", "CURRENCY=USD", "XLFILL=b")</f>
        <v>#N/A Requesting Data...</v>
      </c>
      <c r="AR177" s="6" t="str">
        <f>_xll.BQL("NOW US Equity", "BS_ST_CPTL_LEA_AND_OP_LEA_LIABS/1M", "FPR=2021Y", "FPT=A", "FA_ACT_EST_DATA=E, EST_SOURCE=ARE", "ACT_EST_MAPPING=PRECISE", "FS=MRC", "CURRENCY=USD", "XLFILL=b")</f>
        <v>#N/A Requesting Data...</v>
      </c>
      <c r="AS177" s="6" t="str">
        <f>_xll.BQL("NOW US Equity", "BS_ST_CPTL_LEA_AND_OP_LEA_LIABS/1M", "FPR=2021Y", "FPT=A", "FA_ACT_EST_DATA=E, EST_SOURCE=PJE", "ACT_EST_MAPPING=PRECISE", "FS=MRC", "CURRENCY=USD", "XLFILL=b")</f>
        <v>#N/A Requesting Data...</v>
      </c>
      <c r="AT177" s="6" t="str">
        <f>_xll.BQL("NOW US Equity", "BS_ST_CPTL_LEA_AND_OP_LEA_LIABS/1M", "FPR=2021Y", "FPT=A", "FA_ACT_EST_DATA=E, EST_SOURCE=MZS", "ACT_EST_MAPPING=PRECISE", "FS=MRC", "CURRENCY=USD", "XLFILL=b")</f>
        <v>#N/A Requesting Data...</v>
      </c>
      <c r="AU177" s="6" t="str">
        <f>_xll.BQL("NOW US Equity", "BS_ST_CPTL_LEA_AND_OP_LEA_LIABS/1M", "FPR=2021Y", "FPT=A", "FA_ACT_EST_DATA=E, EST_SOURCE=SUM", "ACT_EST_MAPPING=PRECISE", "FS=MRC", "CURRENCY=USD", "XLFILL=b")</f>
        <v>#N/A Requesting Data...</v>
      </c>
      <c r="AV177" s="6" t="str">
        <f>_xll.BQL("NOW US Equity", "BS_ST_CPTL_LEA_AND_OP_LEA_LIABS/1M", "FPR=2021Y", "FPT=A", "FA_ACT_EST_DATA=E, EST_SOURCE=CRC", "ACT_EST_MAPPING=PRECISE", "FS=MRC", "CURRENCY=USD", "XLFILL=b")</f>
        <v>#N/A Requesting Data...</v>
      </c>
      <c r="AW177" s="6" t="str">
        <f>_xll.BQL("NOW US Equity", "BS_ST_CPTL_LEA_AND_OP_LEA_LIABS/1M", "FPR=2021Y", "FPT=A", "FA_ACT_EST_DATA=E, EST_SOURCE=SCB", "ACT_EST_MAPPING=PRECISE", "FS=MRC", "CURRENCY=USD", "XLFILL=b")</f>
        <v>#N/A Requesting Data...</v>
      </c>
    </row>
    <row r="178" spans="1:49" x14ac:dyDescent="0.55000000000000004">
      <c r="A178" s="5" t="s">
        <v>317</v>
      </c>
      <c r="B178" s="2" t="s">
        <v>318</v>
      </c>
      <c r="C178" s="2" t="s">
        <v>319</v>
      </c>
      <c r="D178" s="2"/>
      <c r="E178" s="6">
        <f>_xll.BQL("NOW US Equity", "BS_ADJ_TOTAL_LT_LIABILITIES/1M", "FPR=2021Y", "FPT=A", "FA_ACT_EST_DATA=E", "ACT_EST_MAPPING=PRECISE", "FS=MRC", "CURRENCY=USD", "XLFILL=b")</f>
        <v>2213.3691680263428</v>
      </c>
      <c r="F178" s="6">
        <f>_xll.BQL("NOW US Equity", "CONTRIBUTOR_STATS(BS_ADJ_TOTAL_LT_LIABILITIES, MIN)/1M", "FPR=2021Y", "FPT=A", "FA_ACT_EST_DATA=E", "ACT_EST_MAPPING=PRECISE", "FS=MRC", "CURRENCY=USD", "XLFILL=b")</f>
        <v>2154</v>
      </c>
      <c r="G178" s="6">
        <f>_xll.BQL("NOW US Equity", "CONTRIBUTOR_STATS(BS_ADJ_TOTAL_LT_LIABILITIES, MAX)/1M", "FPR=2021Y", "FPT=A", "FA_ACT_EST_DATA=E", "ACT_EST_MAPPING=PRECISE", "FS=MRC", "CURRENCY=USD", "XLFILL=b")</f>
        <v>2289.1053805758074</v>
      </c>
      <c r="H178" s="6">
        <f>_xll.BQL("NOW US Equity", "CONTRIBUTOR_STATS(BS_ADJ_TOTAL_LT_LIABILITIES, STD)/1M", "FPR=2021Y", "FPT=A", "FA_ACT_EST_DATA=E", "ACT_EST_MAPPING=PRECISE", "FS=MRC", "CURRENCY=USD", "XLFILL=b")</f>
        <v>69.000675437813399</v>
      </c>
      <c r="I178" s="6" t="str">
        <f>_xll.BQL("NOW US Equity", "CONTRIBUTOR_STATS(BS_ADJ_TOTAL_LT_LIABILITIES, MEDIAN)/1M", "FPR=2021Y", "FPT=A", "FA_ACT_EST_DATA=E", "ACT_EST_MAPPING=PRECISE", "FS=MRC", "CURRENCY=USD", "XLFILL=b")</f>
        <v>#N/A Requesting Data...</v>
      </c>
      <c r="J178" s="6" t="str">
        <f>_xll.BQL("NOW US Equity", "BS_ADJ_TOTAL_LT_LIABILITIES/1M", "FPR=2021Y", "FPT=A", "FA_ACT_EST_DATA=E, EST_SOURCE=CMPY", "ACT_EST_MAPPING=PRECISE", "FS=MRC", "CURRENCY=USD", "XLFILL=b")</f>
        <v>#N/A Requesting Data...</v>
      </c>
      <c r="K178" s="6" t="str">
        <f>_xll.BQL("NOW US Equity", "BS_ADJ_TOTAL_LT_LIABILITIES/1M", "FPR=2021Y", "FPT=A", "FA_ACT_EST_DATA=E, EST_SOURCE=JPM", "ACT_EST_MAPPING=PRECISE", "FS=MRC", "CURRENCY=USD", "XLFILL=b")</f>
        <v>#N/A Requesting Data...</v>
      </c>
      <c r="L178" s="6" t="str">
        <f>_xll.BQL("NOW US Equity", "BS_ADJ_TOTAL_LT_LIABILITIES/1M", "FPR=2021Y", "FPT=A", "FA_ACT_EST_DATA=E, EST_SOURCE=WBL", "ACT_EST_MAPPING=PRECISE", "FS=MRC", "CURRENCY=USD", "XLFILL=b")</f>
        <v>#N/A Requesting Data...</v>
      </c>
      <c r="M178" s="6" t="str">
        <f>_xll.BQL("NOW US Equity", "BS_ADJ_TOTAL_LT_LIABILITIES/1M", "FPR=2021Y", "FPT=A", "FA_ACT_EST_DATA=E, EST_SOURCE=KEY", "ACT_EST_MAPPING=PRECISE", "FS=MRC", "CURRENCY=USD", "XLFILL=b")</f>
        <v>#N/A Requesting Data...</v>
      </c>
      <c r="N178" s="6" t="str">
        <f>_xll.BQL("NOW US Equity", "BS_ADJ_TOTAL_LT_LIABILITIES/1M", "FPR=2021Y", "FPT=A", "FA_ACT_EST_DATA=E, EST_SOURCE=BMO", "ACT_EST_MAPPING=PRECISE", "FS=MRC", "CURRENCY=USD", "XLFILL=b")</f>
        <v>#N/A Requesting Data...</v>
      </c>
      <c r="O178" s="6" t="str">
        <f>_xll.BQL("NOW US Equity", "BS_ADJ_TOTAL_LT_LIABILITIES/1M", "FPR=2021Y", "FPT=A", "FA_ACT_EST_DATA=E, EST_SOURCE=OPY", "ACT_EST_MAPPING=PRECISE", "FS=MRC", "CURRENCY=USD", "XLFILL=b")</f>
        <v>#N/A Requesting Data...</v>
      </c>
      <c r="P178" s="6" t="str">
        <f>_xll.BQL("NOW US Equity", "BS_ADJ_TOTAL_LT_LIABILITIES/1M", "FPR=2021Y", "FPT=A", "FA_ACT_EST_DATA=E, EST_SOURCE=BCA", "ACT_EST_MAPPING=PRECISE", "FS=MRC", "CURRENCY=USD", "XLFILL=b")</f>
        <v>#N/A Requesting Data...</v>
      </c>
      <c r="Q178" s="6" t="str">
        <f>_xll.BQL("NOW US Equity", "BS_ADJ_TOTAL_LT_LIABILITIES/1M", "FPR=2021Y", "FPT=A", "FA_ACT_EST_DATA=E, EST_SOURCE=RHR", "ACT_EST_MAPPING=PRECISE", "FS=MRC", "CURRENCY=USD", "XLFILL=b")</f>
        <v>#N/A Requesting Data...</v>
      </c>
      <c r="R178" s="6" t="str">
        <f>_xll.BQL("NOW US Equity", "BS_ADJ_TOTAL_LT_LIABILITIES/1M", "FPR=2021Y", "FPT=A", "FA_ACT_EST_DATA=E, EST_SOURCE=SNR", "ACT_EST_MAPPING=PRECISE", "FS=MRC", "CURRENCY=USD", "XLFILL=b")</f>
        <v>#N/A Requesting Data...</v>
      </c>
      <c r="S178" s="6" t="str">
        <f>_xll.BQL("NOW US Equity", "BS_ADJ_TOTAL_LT_LIABILITIES/1M", "FPR=2021Y", "FPT=A", "FA_ACT_EST_DATA=E, EST_SOURCE=MSV", "ACT_EST_MAPPING=PRECISE", "FS=MRC", "CURRENCY=USD", "XLFILL=b")</f>
        <v>#N/A Requesting Data...</v>
      </c>
      <c r="T178" s="6" t="str">
        <f>_xll.BQL("NOW US Equity", "BS_ADJ_TOTAL_LT_LIABILITIES/1M", "FPR=2021Y", "FPT=A", "FA_ACT_EST_DATA=E, EST_SOURCE=CAN", "ACT_EST_MAPPING=PRECISE", "FS=MRC", "CURRENCY=USD", "XLFILL=b")</f>
        <v>#N/A Requesting Data...</v>
      </c>
      <c r="U178" s="6" t="str">
        <f>_xll.BQL("NOW US Equity", "BS_ADJ_TOTAL_LT_LIABILITIES/1M", "FPR=2021Y", "FPT=A", "FA_ACT_EST_DATA=E, EST_SOURCE=JMP", "ACT_EST_MAPPING=PRECISE", "FS=MRC", "CURRENCY=USD", "XLFILL=b")</f>
        <v>#N/A Requesting Data...</v>
      </c>
      <c r="V178" s="6" t="str">
        <f>_xll.BQL("NOW US Equity", "BS_ADJ_TOTAL_LT_LIABILITIES/1M", "FPR=2021Y", "FPT=A", "FA_ACT_EST_DATA=E, EST_SOURCE=NDH", "ACT_EST_MAPPING=PRECISE", "FS=MRC", "CURRENCY=USD", "XLFILL=b")</f>
        <v>#N/A Requesting Data...</v>
      </c>
      <c r="W178" s="6" t="str">
        <f>_xll.BQL("NOW US Equity", "BS_ADJ_TOTAL_LT_LIABILITIES/1M", "FPR=2021Y", "FPT=A", "FA_ACT_EST_DATA=E, EST_SOURCE=ZXS", "ACT_EST_MAPPING=PRECISE", "FS=MRC", "CURRENCY=USD", "XLFILL=b")</f>
        <v>#N/A Requesting Data...</v>
      </c>
      <c r="X178" s="6" t="str">
        <f>_xll.BQL("NOW US Equity", "BS_ADJ_TOTAL_LT_LIABILITIES/1M", "FPR=2021Y", "FPT=A", "FA_ACT_EST_DATA=E, EST_SOURCE=CWN", "ACT_EST_MAPPING=PRECISE", "FS=MRC", "CURRENCY=USD", "XLFILL=b")</f>
        <v>#N/A Requesting Data...</v>
      </c>
      <c r="Y178" s="6" t="str">
        <f>_xll.BQL("NOW US Equity", "BS_ADJ_TOTAL_LT_LIABILITIES/1M", "FPR=2021Y", "FPT=A", "FA_ACT_EST_DATA=E, EST_SOURCE=DBG", "ACT_EST_MAPPING=PRECISE", "FS=MRC", "CURRENCY=USD", "XLFILL=b")</f>
        <v>#N/A Requesting Data...</v>
      </c>
      <c r="Z178" s="6" t="str">
        <f>_xll.BQL("NOW US Equity", "BS_ADJ_TOTAL_LT_LIABILITIES/1M", "FPR=2021Y", "FPT=A", "FA_ACT_EST_DATA=E, EST_SOURCE=UBS", "ACT_EST_MAPPING=PRECISE", "FS=MRC", "CURRENCY=USD", "XLFILL=b")</f>
        <v>#N/A Requesting Data...</v>
      </c>
      <c r="AA178" s="6" t="str">
        <f>_xll.BQL("NOW US Equity", "BS_ADJ_TOTAL_LT_LIABILITIES/1M", "FPR=2021Y", "FPT=A", "FA_ACT_EST_DATA=E, EST_SOURCE=RBC", "ACT_EST_MAPPING=PRECISE", "FS=MRC", "CURRENCY=USD", "XLFILL=b")</f>
        <v>#N/A Requesting Data...</v>
      </c>
      <c r="AB178" s="6" t="str">
        <f>_xll.BQL("NOW US Equity", "BS_ADJ_TOTAL_LT_LIABILITIES/1M", "FPR=2021Y", "FPT=A", "FA_ACT_EST_DATA=E, EST_SOURCE=EVR", "ACT_EST_MAPPING=PRECISE", "FS=MRC", "CURRENCY=USD", "XLFILL=b")</f>
        <v>#N/A Requesting Data...</v>
      </c>
      <c r="AC178" s="6" t="str">
        <f>_xll.BQL("NOW US Equity", "BS_ADJ_TOTAL_LT_LIABILITIES/1M", "FPR=2021Y", "FPT=A", "FA_ACT_EST_DATA=E, EST_SOURCE=BNS", "ACT_EST_MAPPING=PRECISE", "FS=MRC", "CURRENCY=USD", "XLFILL=b")</f>
        <v>#N/A Requesting Data...</v>
      </c>
      <c r="AD178" s="6" t="str">
        <f>_xll.BQL("NOW US Equity", "BS_ADJ_TOTAL_LT_LIABILITIES/1M", "FPR=2021Y", "FPT=A", "FA_ACT_EST_DATA=E, EST_SOURCE=BAM", "ACT_EST_MAPPING=PRECISE", "FS=MRC", "CURRENCY=USD", "XLFILL=b")</f>
        <v>#N/A Requesting Data...</v>
      </c>
      <c r="AE178" s="6" t="str">
        <f>_xll.BQL("NOW US Equity", "BS_ADJ_TOTAL_LT_LIABILITIES/1M", "FPR=2021Y", "FPT=A", "FA_ACT_EST_DATA=E, EST_SOURCE=GSR", "ACT_EST_MAPPING=PRECISE", "FS=MRC", "CURRENCY=USD", "XLFILL=b")</f>
        <v>#N/A Requesting Data...</v>
      </c>
      <c r="AF178" s="6" t="str">
        <f>_xll.BQL("NOW US Equity", "BS_ADJ_TOTAL_LT_LIABILITIES/1M", "FPR=2021Y", "FPT=A", "FA_ACT_EST_DATA=E, EST_SOURCE=FBC", "ACT_EST_MAPPING=PRECISE", "FS=MRC", "CURRENCY=USD", "XLFILL=b")</f>
        <v>#N/A Requesting Data...</v>
      </c>
      <c r="AG178" s="6" t="str">
        <f>_xll.BQL("NOW US Equity", "BS_ADJ_TOTAL_LT_LIABILITIES/1M", "FPR=2021Y", "FPT=A", "FA_ACT_EST_DATA=E, EST_SOURCE=MAC", "ACT_EST_MAPPING=PRECISE", "FS=MRC", "CURRENCY=USD", "XLFILL=b")</f>
        <v>#N/A Requesting Data...</v>
      </c>
      <c r="AH178" s="6" t="str">
        <f>_xll.BQL("NOW US Equity", "BS_ADJ_TOTAL_LT_LIABILITIES/1M", "FPR=2021Y", "FPT=A", "FA_ACT_EST_DATA=E, EST_SOURCE=PSG", "ACT_EST_MAPPING=PRECISE", "FS=MRC", "CURRENCY=USD", "XLFILL=b")</f>
        <v>#N/A Requesting Data...</v>
      </c>
      <c r="AI178" s="6" t="str">
        <f>_xll.BQL("NOW US Equity", "BS_ADJ_TOTAL_LT_LIABILITIES/1M", "FPR=2021Y", "FPT=A", "FA_ACT_EST_DATA=E, EST_SOURCE=MSR", "ACT_EST_MAPPING=PRECISE", "FS=MRC", "CURRENCY=USD", "XLFILL=b")</f>
        <v>#N/A Requesting Data...</v>
      </c>
      <c r="AJ178" s="6" t="str">
        <f>_xll.BQL("NOW US Equity", "BS_ADJ_TOTAL_LT_LIABILITIES/1M", "FPR=2021Y", "FPT=A", "FA_ACT_EST_DATA=E, EST_SOURCE=JEF", "ACT_EST_MAPPING=PRECISE", "FS=MRC", "CURRENCY=USD", "XLFILL=b")</f>
        <v>#N/A Requesting Data...</v>
      </c>
      <c r="AK178" s="6" t="str">
        <f>_xll.BQL("NOW US Equity", "BS_ADJ_TOTAL_LT_LIABILITIES/1M", "FPR=2021Y", "FPT=A", "FA_ACT_EST_DATA=E, EST_SOURCE=TTC", "ACT_EST_MAPPING=PRECISE", "FS=MRC", "CURRENCY=USD", "XLFILL=b")</f>
        <v>#N/A Requesting Data...</v>
      </c>
      <c r="AL178" s="6" t="str">
        <f>_xll.BQL("NOW US Equity", "BS_ADJ_TOTAL_LT_LIABILITIES/1M", "FPR=2021Y", "FPT=A", "FA_ACT_EST_DATA=E, EST_SOURCE=RWB", "ACT_EST_MAPPING=PRECISE", "FS=MRC", "CURRENCY=USD", "XLFILL=b")</f>
        <v>#N/A Requesting Data...</v>
      </c>
      <c r="AM178" s="6" t="str">
        <f>_xll.BQL("NOW US Equity", "BS_ADJ_TOTAL_LT_LIABILITIES/1M", "FPR=2021Y", "FPT=A", "FA_ACT_EST_DATA=E, EST_SOURCE=DZB", "ACT_EST_MAPPING=PRECISE", "FS=MRC", "CURRENCY=USD", "XLFILL=b")</f>
        <v>#N/A Requesting Data...</v>
      </c>
      <c r="AN178" s="6" t="str">
        <f>_xll.BQL("NOW US Equity", "BS_ADJ_TOTAL_LT_LIABILITIES/1M", "FPR=2021Y", "FPT=A", "FA_ACT_EST_DATA=E, EST_SOURCE=DWI", "ACT_EST_MAPPING=PRECISE", "FS=MRC", "CURRENCY=USD", "XLFILL=b")</f>
        <v>#N/A Requesting Data...</v>
      </c>
      <c r="AO178" s="6" t="str">
        <f>_xll.BQL("NOW US Equity", "BS_ADJ_TOTAL_LT_LIABILITIES/1M", "FPR=2021Y", "FPT=A", "FA_ACT_EST_DATA=E, EST_SOURCE=ARG", "ACT_EST_MAPPING=PRECISE", "FS=MRC", "CURRENCY=USD", "XLFILL=b")</f>
        <v>#N/A Requesting Data...</v>
      </c>
      <c r="AP178" s="6" t="str">
        <f>_xll.BQL("NOW US Equity", "BS_ADJ_TOTAL_LT_LIABILITIES/1M", "FPR=2021Y", "FPT=A", "FA_ACT_EST_DATA=E, EST_SOURCE=CTI", "ACT_EST_MAPPING=PRECISE", "FS=MRC", "CURRENCY=USD", "XLFILL=b")</f>
        <v>#N/A Requesting Data...</v>
      </c>
      <c r="AQ178" s="6" t="str">
        <f>_xll.BQL("NOW US Equity", "BS_ADJ_TOTAL_LT_LIABILITIES/1M", "FPR=2021Y", "FPT=A", "FA_ACT_EST_DATA=E, EST_SOURCE=WFT", "ACT_EST_MAPPING=PRECISE", "FS=MRC", "CURRENCY=USD", "XLFILL=b")</f>
        <v>#N/A Requesting Data...</v>
      </c>
      <c r="AR178" s="6" t="str">
        <f>_xll.BQL("NOW US Equity", "BS_ADJ_TOTAL_LT_LIABILITIES/1M", "FPR=2021Y", "FPT=A", "FA_ACT_EST_DATA=E, EST_SOURCE=ARE", "ACT_EST_MAPPING=PRECISE", "FS=MRC", "CURRENCY=USD", "XLFILL=b")</f>
        <v>#N/A Requesting Data...</v>
      </c>
      <c r="AS178" s="6" t="str">
        <f>_xll.BQL("NOW US Equity", "BS_ADJ_TOTAL_LT_LIABILITIES/1M", "FPR=2021Y", "FPT=A", "FA_ACT_EST_DATA=E, EST_SOURCE=PJE", "ACT_EST_MAPPING=PRECISE", "FS=MRC", "CURRENCY=USD", "XLFILL=b")</f>
        <v>#N/A Requesting Data...</v>
      </c>
      <c r="AT178" s="6" t="str">
        <f>_xll.BQL("NOW US Equity", "BS_ADJ_TOTAL_LT_LIABILITIES/1M", "FPR=2021Y", "FPT=A", "FA_ACT_EST_DATA=E, EST_SOURCE=MZS", "ACT_EST_MAPPING=PRECISE", "FS=MRC", "CURRENCY=USD", "XLFILL=b")</f>
        <v>#N/A Requesting Data...</v>
      </c>
      <c r="AU178" s="6" t="str">
        <f>_xll.BQL("NOW US Equity", "BS_ADJ_TOTAL_LT_LIABILITIES/1M", "FPR=2021Y", "FPT=A", "FA_ACT_EST_DATA=E, EST_SOURCE=SUM", "ACT_EST_MAPPING=PRECISE", "FS=MRC", "CURRENCY=USD", "XLFILL=b")</f>
        <v>#N/A Requesting Data...</v>
      </c>
      <c r="AV178" s="6" t="str">
        <f>_xll.BQL("NOW US Equity", "BS_ADJ_TOTAL_LT_LIABILITIES/1M", "FPR=2021Y", "FPT=A", "FA_ACT_EST_DATA=E, EST_SOURCE=CRC", "ACT_EST_MAPPING=PRECISE", "FS=MRC", "CURRENCY=USD", "XLFILL=b")</f>
        <v>#N/A Requesting Data...</v>
      </c>
      <c r="AW178" s="6" t="str">
        <f>_xll.BQL("NOW US Equity", "BS_ADJ_TOTAL_LT_LIABILITIES/1M", "FPR=2021Y", "FPT=A", "FA_ACT_EST_DATA=E, EST_SOURCE=SCB", "ACT_EST_MAPPING=PRECISE", "FS=MRC", "CURRENCY=USD", "XLFILL=b")</f>
        <v>#N/A Requesting Data...</v>
      </c>
    </row>
    <row r="179" spans="1:49" x14ac:dyDescent="0.55000000000000004">
      <c r="A179" s="5" t="s">
        <v>320</v>
      </c>
      <c r="B179" s="2" t="s">
        <v>321</v>
      </c>
      <c r="C179" s="2" t="s">
        <v>322</v>
      </c>
      <c r="D179" s="2"/>
      <c r="E179" s="6">
        <f>_xll.BQL("NOW US Equity", "LT_DEFERRED_REVENUE/1M", "FPR=2021Y", "FPT=A", "FA_ACT_EST_DATA=E", "ACT_EST_MAPPING=PRECISE", "FS=MRC", "CURRENCY=USD", "XLFILL=b")</f>
        <v>63.734870787310527</v>
      </c>
      <c r="F179" s="6" t="str">
        <f>_xll.BQL("NOW US Equity", "CONTRIBUTOR_STATS(LT_DEFERRED_REVENUE, MIN)/1M", "FPR=2021Y", "FPT=A", "FA_ACT_EST_DATA=E", "ACT_EST_MAPPING=PRECISE", "FS=MRC", "CURRENCY=USD", "XLFILL=b")</f>
        <v>#N/A Requesting Data...</v>
      </c>
      <c r="G179" s="6" t="str">
        <f>_xll.BQL("NOW US Equity", "CONTRIBUTOR_STATS(LT_DEFERRED_REVENUE, MAX)/1M", "FPR=2021Y", "FPT=A", "FA_ACT_EST_DATA=E", "ACT_EST_MAPPING=PRECISE", "FS=MRC", "CURRENCY=USD", "XLFILL=b")</f>
        <v>#N/A Requesting Data...</v>
      </c>
      <c r="H179" s="6" t="str">
        <f>_xll.BQL("NOW US Equity", "CONTRIBUTOR_STATS(LT_DEFERRED_REVENUE, STD)/1M", "FPR=2021Y", "FPT=A", "FA_ACT_EST_DATA=E", "ACT_EST_MAPPING=PRECISE", "FS=MRC", "CURRENCY=USD", "XLFILL=b")</f>
        <v>#N/A Requesting Data...</v>
      </c>
      <c r="I179" s="6" t="str">
        <f>_xll.BQL("NOW US Equity", "CONTRIBUTOR_STATS(LT_DEFERRED_REVENUE, MEDIAN)/1M", "FPR=2021Y", "FPT=A", "FA_ACT_EST_DATA=E", "ACT_EST_MAPPING=PRECISE", "FS=MRC", "CURRENCY=USD", "XLFILL=b")</f>
        <v>#N/A Requesting Data...</v>
      </c>
      <c r="J179" s="6" t="str">
        <f>_xll.BQL("NOW US Equity", "LT_DEFERRED_REVENUE/1M", "FPR=2021Y", "FPT=A", "FA_ACT_EST_DATA=E, EST_SOURCE=CMPY", "ACT_EST_MAPPING=PRECISE", "FS=MRC", "CURRENCY=USD", "XLFILL=b")</f>
        <v>#N/A Requesting Data...</v>
      </c>
      <c r="K179" s="6" t="str">
        <f>_xll.BQL("NOW US Equity", "LT_DEFERRED_REVENUE/1M", "FPR=2021Y", "FPT=A", "FA_ACT_EST_DATA=E, EST_SOURCE=JPM", "ACT_EST_MAPPING=PRECISE", "FS=MRC", "CURRENCY=USD", "XLFILL=b")</f>
        <v>#N/A Requesting Data...</v>
      </c>
      <c r="L179" s="6" t="str">
        <f>_xll.BQL("NOW US Equity", "LT_DEFERRED_REVENUE/1M", "FPR=2021Y", "FPT=A", "FA_ACT_EST_DATA=E, EST_SOURCE=WBL", "ACT_EST_MAPPING=PRECISE", "FS=MRC", "CURRENCY=USD", "XLFILL=b")</f>
        <v>#N/A Requesting Data...</v>
      </c>
      <c r="M179" s="6" t="str">
        <f>_xll.BQL("NOW US Equity", "LT_DEFERRED_REVENUE/1M", "FPR=2021Y", "FPT=A", "FA_ACT_EST_DATA=E, EST_SOURCE=KEY", "ACT_EST_MAPPING=PRECISE", "FS=MRC", "CURRENCY=USD", "XLFILL=b")</f>
        <v>#N/A Requesting Data...</v>
      </c>
      <c r="N179" s="6" t="str">
        <f>_xll.BQL("NOW US Equity", "LT_DEFERRED_REVENUE/1M", "FPR=2021Y", "FPT=A", "FA_ACT_EST_DATA=E, EST_SOURCE=BMO", "ACT_EST_MAPPING=PRECISE", "FS=MRC", "CURRENCY=USD", "XLFILL=b")</f>
        <v>#N/A Requesting Data...</v>
      </c>
      <c r="O179" s="6" t="str">
        <f>_xll.BQL("NOW US Equity", "LT_DEFERRED_REVENUE/1M", "FPR=2021Y", "FPT=A", "FA_ACT_EST_DATA=E, EST_SOURCE=OPY", "ACT_EST_MAPPING=PRECISE", "FS=MRC", "CURRENCY=USD", "XLFILL=b")</f>
        <v>#N/A Requesting Data...</v>
      </c>
      <c r="P179" s="6" t="str">
        <f>_xll.BQL("NOW US Equity", "LT_DEFERRED_REVENUE/1M", "FPR=2021Y", "FPT=A", "FA_ACT_EST_DATA=E, EST_SOURCE=BCA", "ACT_EST_MAPPING=PRECISE", "FS=MRC", "CURRENCY=USD", "XLFILL=b")</f>
        <v>#N/A Requesting Data...</v>
      </c>
      <c r="Q179" s="6" t="str">
        <f>_xll.BQL("NOW US Equity", "LT_DEFERRED_REVENUE/1M", "FPR=2021Y", "FPT=A", "FA_ACT_EST_DATA=E, EST_SOURCE=RHR", "ACT_EST_MAPPING=PRECISE", "FS=MRC", "CURRENCY=USD", "XLFILL=b")</f>
        <v>#N/A Requesting Data...</v>
      </c>
      <c r="R179" s="6" t="str">
        <f>_xll.BQL("NOW US Equity", "LT_DEFERRED_REVENUE/1M", "FPR=2021Y", "FPT=A", "FA_ACT_EST_DATA=E, EST_SOURCE=SNR", "ACT_EST_MAPPING=PRECISE", "FS=MRC", "CURRENCY=USD", "XLFILL=b")</f>
        <v>#N/A Requesting Data...</v>
      </c>
      <c r="S179" s="6" t="str">
        <f>_xll.BQL("NOW US Equity", "LT_DEFERRED_REVENUE/1M", "FPR=2021Y", "FPT=A", "FA_ACT_EST_DATA=E, EST_SOURCE=MSV", "ACT_EST_MAPPING=PRECISE", "FS=MRC", "CURRENCY=USD", "XLFILL=b")</f>
        <v>#N/A Requesting Data...</v>
      </c>
      <c r="T179" s="6" t="str">
        <f>_xll.BQL("NOW US Equity", "LT_DEFERRED_REVENUE/1M", "FPR=2021Y", "FPT=A", "FA_ACT_EST_DATA=E, EST_SOURCE=CAN", "ACT_EST_MAPPING=PRECISE", "FS=MRC", "CURRENCY=USD", "XLFILL=b")</f>
        <v>#N/A Requesting Data...</v>
      </c>
      <c r="U179" s="6" t="str">
        <f>_xll.BQL("NOW US Equity", "LT_DEFERRED_REVENUE/1M", "FPR=2021Y", "FPT=A", "FA_ACT_EST_DATA=E, EST_SOURCE=JMP", "ACT_EST_MAPPING=PRECISE", "FS=MRC", "CURRENCY=USD", "XLFILL=b")</f>
        <v>#N/A Requesting Data...</v>
      </c>
      <c r="V179" s="6" t="str">
        <f>_xll.BQL("NOW US Equity", "LT_DEFERRED_REVENUE/1M", "FPR=2021Y", "FPT=A", "FA_ACT_EST_DATA=E, EST_SOURCE=NDH", "ACT_EST_MAPPING=PRECISE", "FS=MRC", "CURRENCY=USD", "XLFILL=b")</f>
        <v>#N/A Requesting Data...</v>
      </c>
      <c r="W179" s="6" t="str">
        <f>_xll.BQL("NOW US Equity", "LT_DEFERRED_REVENUE/1M", "FPR=2021Y", "FPT=A", "FA_ACT_EST_DATA=E, EST_SOURCE=ZXS", "ACT_EST_MAPPING=PRECISE", "FS=MRC", "CURRENCY=USD", "XLFILL=b")</f>
        <v>#N/A Requesting Data...</v>
      </c>
      <c r="X179" s="6" t="str">
        <f>_xll.BQL("NOW US Equity", "LT_DEFERRED_REVENUE/1M", "FPR=2021Y", "FPT=A", "FA_ACT_EST_DATA=E, EST_SOURCE=CWN", "ACT_EST_MAPPING=PRECISE", "FS=MRC", "CURRENCY=USD", "XLFILL=b")</f>
        <v>#N/A Requesting Data...</v>
      </c>
      <c r="Y179" s="6" t="str">
        <f>_xll.BQL("NOW US Equity", "LT_DEFERRED_REVENUE/1M", "FPR=2021Y", "FPT=A", "FA_ACT_EST_DATA=E, EST_SOURCE=DBG", "ACT_EST_MAPPING=PRECISE", "FS=MRC", "CURRENCY=USD", "XLFILL=b")</f>
        <v>#N/A Requesting Data...</v>
      </c>
      <c r="Z179" s="6" t="str">
        <f>_xll.BQL("NOW US Equity", "LT_DEFERRED_REVENUE/1M", "FPR=2021Y", "FPT=A", "FA_ACT_EST_DATA=E, EST_SOURCE=UBS", "ACT_EST_MAPPING=PRECISE", "FS=MRC", "CURRENCY=USD", "XLFILL=b")</f>
        <v>#N/A Requesting Data...</v>
      </c>
      <c r="AA179" s="6" t="str">
        <f>_xll.BQL("NOW US Equity", "LT_DEFERRED_REVENUE/1M", "FPR=2021Y", "FPT=A", "FA_ACT_EST_DATA=E, EST_SOURCE=RBC", "ACT_EST_MAPPING=PRECISE", "FS=MRC", "CURRENCY=USD", "XLFILL=b")</f>
        <v>#N/A Requesting Data...</v>
      </c>
      <c r="AB179" s="6" t="str">
        <f>_xll.BQL("NOW US Equity", "LT_DEFERRED_REVENUE/1M", "FPR=2021Y", "FPT=A", "FA_ACT_EST_DATA=E, EST_SOURCE=EVR", "ACT_EST_MAPPING=PRECISE", "FS=MRC", "CURRENCY=USD", "XLFILL=b")</f>
        <v>#N/A Requesting Data...</v>
      </c>
      <c r="AC179" s="6" t="str">
        <f>_xll.BQL("NOW US Equity", "LT_DEFERRED_REVENUE/1M", "FPR=2021Y", "FPT=A", "FA_ACT_EST_DATA=E, EST_SOURCE=BNS", "ACT_EST_MAPPING=PRECISE", "FS=MRC", "CURRENCY=USD", "XLFILL=b")</f>
        <v>#N/A Requesting Data...</v>
      </c>
      <c r="AD179" s="6" t="str">
        <f>_xll.BQL("NOW US Equity", "LT_DEFERRED_REVENUE/1M", "FPR=2021Y", "FPT=A", "FA_ACT_EST_DATA=E, EST_SOURCE=BAM", "ACT_EST_MAPPING=PRECISE", "FS=MRC", "CURRENCY=USD", "XLFILL=b")</f>
        <v>#N/A Requesting Data...</v>
      </c>
      <c r="AE179" s="6" t="str">
        <f>_xll.BQL("NOW US Equity", "LT_DEFERRED_REVENUE/1M", "FPR=2021Y", "FPT=A", "FA_ACT_EST_DATA=E, EST_SOURCE=GSR", "ACT_EST_MAPPING=PRECISE", "FS=MRC", "CURRENCY=USD", "XLFILL=b")</f>
        <v>#N/A Requesting Data...</v>
      </c>
      <c r="AF179" s="6" t="str">
        <f>_xll.BQL("NOW US Equity", "LT_DEFERRED_REVENUE/1M", "FPR=2021Y", "FPT=A", "FA_ACT_EST_DATA=E, EST_SOURCE=FBC", "ACT_EST_MAPPING=PRECISE", "FS=MRC", "CURRENCY=USD", "XLFILL=b")</f>
        <v>#N/A Requesting Data...</v>
      </c>
      <c r="AG179" s="6" t="str">
        <f>_xll.BQL("NOW US Equity", "LT_DEFERRED_REVENUE/1M", "FPR=2021Y", "FPT=A", "FA_ACT_EST_DATA=E, EST_SOURCE=MAC", "ACT_EST_MAPPING=PRECISE", "FS=MRC", "CURRENCY=USD", "XLFILL=b")</f>
        <v>#N/A Requesting Data...</v>
      </c>
      <c r="AH179" s="6" t="str">
        <f>_xll.BQL("NOW US Equity", "LT_DEFERRED_REVENUE/1M", "FPR=2021Y", "FPT=A", "FA_ACT_EST_DATA=E, EST_SOURCE=PSG", "ACT_EST_MAPPING=PRECISE", "FS=MRC", "CURRENCY=USD", "XLFILL=b")</f>
        <v>#N/A Requesting Data...</v>
      </c>
      <c r="AI179" s="6" t="str">
        <f>_xll.BQL("NOW US Equity", "LT_DEFERRED_REVENUE/1M", "FPR=2021Y", "FPT=A", "FA_ACT_EST_DATA=E, EST_SOURCE=MSR", "ACT_EST_MAPPING=PRECISE", "FS=MRC", "CURRENCY=USD", "XLFILL=b")</f>
        <v>#N/A Requesting Data...</v>
      </c>
      <c r="AJ179" s="6" t="str">
        <f>_xll.BQL("NOW US Equity", "LT_DEFERRED_REVENUE/1M", "FPR=2021Y", "FPT=A", "FA_ACT_EST_DATA=E, EST_SOURCE=JEF", "ACT_EST_MAPPING=PRECISE", "FS=MRC", "CURRENCY=USD", "XLFILL=b")</f>
        <v>#N/A Requesting Data...</v>
      </c>
      <c r="AK179" s="6" t="str">
        <f>_xll.BQL("NOW US Equity", "LT_DEFERRED_REVENUE/1M", "FPR=2021Y", "FPT=A", "FA_ACT_EST_DATA=E, EST_SOURCE=TTC", "ACT_EST_MAPPING=PRECISE", "FS=MRC", "CURRENCY=USD", "XLFILL=b")</f>
        <v>#N/A Requesting Data...</v>
      </c>
      <c r="AL179" s="6" t="str">
        <f>_xll.BQL("NOW US Equity", "LT_DEFERRED_REVENUE/1M", "FPR=2021Y", "FPT=A", "FA_ACT_EST_DATA=E, EST_SOURCE=RWB", "ACT_EST_MAPPING=PRECISE", "FS=MRC", "CURRENCY=USD", "XLFILL=b")</f>
        <v>#N/A Requesting Data...</v>
      </c>
      <c r="AM179" s="6" t="str">
        <f>_xll.BQL("NOW US Equity", "LT_DEFERRED_REVENUE/1M", "FPR=2021Y", "FPT=A", "FA_ACT_EST_DATA=E, EST_SOURCE=DZB", "ACT_EST_MAPPING=PRECISE", "FS=MRC", "CURRENCY=USD", "XLFILL=b")</f>
        <v>#N/A Requesting Data...</v>
      </c>
      <c r="AN179" s="6" t="str">
        <f>_xll.BQL("NOW US Equity", "LT_DEFERRED_REVENUE/1M", "FPR=2021Y", "FPT=A", "FA_ACT_EST_DATA=E, EST_SOURCE=DWI", "ACT_EST_MAPPING=PRECISE", "FS=MRC", "CURRENCY=USD", "XLFILL=b")</f>
        <v>#N/A Requesting Data...</v>
      </c>
      <c r="AO179" s="6" t="str">
        <f>_xll.BQL("NOW US Equity", "LT_DEFERRED_REVENUE/1M", "FPR=2021Y", "FPT=A", "FA_ACT_EST_DATA=E, EST_SOURCE=ARG", "ACT_EST_MAPPING=PRECISE", "FS=MRC", "CURRENCY=USD", "XLFILL=b")</f>
        <v>#N/A Requesting Data...</v>
      </c>
      <c r="AP179" s="6" t="str">
        <f>_xll.BQL("NOW US Equity", "LT_DEFERRED_REVENUE/1M", "FPR=2021Y", "FPT=A", "FA_ACT_EST_DATA=E, EST_SOURCE=CTI", "ACT_EST_MAPPING=PRECISE", "FS=MRC", "CURRENCY=USD", "XLFILL=b")</f>
        <v>#N/A Requesting Data...</v>
      </c>
      <c r="AQ179" s="6" t="str">
        <f>_xll.BQL("NOW US Equity", "LT_DEFERRED_REVENUE/1M", "FPR=2021Y", "FPT=A", "FA_ACT_EST_DATA=E, EST_SOURCE=WFT", "ACT_EST_MAPPING=PRECISE", "FS=MRC", "CURRENCY=USD", "XLFILL=b")</f>
        <v>#N/A Requesting Data...</v>
      </c>
      <c r="AR179" s="6" t="str">
        <f>_xll.BQL("NOW US Equity", "LT_DEFERRED_REVENUE/1M", "FPR=2021Y", "FPT=A", "FA_ACT_EST_DATA=E, EST_SOURCE=ARE", "ACT_EST_MAPPING=PRECISE", "FS=MRC", "CURRENCY=USD", "XLFILL=b")</f>
        <v>#N/A Requesting Data...</v>
      </c>
      <c r="AS179" s="6" t="str">
        <f>_xll.BQL("NOW US Equity", "LT_DEFERRED_REVENUE/1M", "FPR=2021Y", "FPT=A", "FA_ACT_EST_DATA=E, EST_SOURCE=PJE", "ACT_EST_MAPPING=PRECISE", "FS=MRC", "CURRENCY=USD", "XLFILL=b")</f>
        <v>#N/A Requesting Data...</v>
      </c>
      <c r="AT179" s="6" t="str">
        <f>_xll.BQL("NOW US Equity", "LT_DEFERRED_REVENUE/1M", "FPR=2021Y", "FPT=A", "FA_ACT_EST_DATA=E, EST_SOURCE=MZS", "ACT_EST_MAPPING=PRECISE", "FS=MRC", "CURRENCY=USD", "XLFILL=b")</f>
        <v>#N/A Requesting Data...</v>
      </c>
      <c r="AU179" s="6" t="str">
        <f>_xll.BQL("NOW US Equity", "LT_DEFERRED_REVENUE/1M", "FPR=2021Y", "FPT=A", "FA_ACT_EST_DATA=E, EST_SOURCE=SUM", "ACT_EST_MAPPING=PRECISE", "FS=MRC", "CURRENCY=USD", "XLFILL=b")</f>
        <v>#N/A Requesting Data...</v>
      </c>
      <c r="AV179" s="6" t="str">
        <f>_xll.BQL("NOW US Equity", "LT_DEFERRED_REVENUE/1M", "FPR=2021Y", "FPT=A", "FA_ACT_EST_DATA=E, EST_SOURCE=CRC", "ACT_EST_MAPPING=PRECISE", "FS=MRC", "CURRENCY=USD", "XLFILL=b")</f>
        <v>#N/A Requesting Data...</v>
      </c>
      <c r="AW179" s="6" t="str">
        <f>_xll.BQL("NOW US Equity", "LT_DEFERRED_REVENUE/1M", "FPR=2021Y", "FPT=A", "FA_ACT_EST_DATA=E, EST_SOURCE=SCB", "ACT_EST_MAPPING=PRECISE", "FS=MRC", "CURRENCY=USD", "XLFILL=b")</f>
        <v>#N/A Requesting Data...</v>
      </c>
    </row>
    <row r="180" spans="1:49" x14ac:dyDescent="0.55000000000000004">
      <c r="A180" s="5" t="s">
        <v>323</v>
      </c>
      <c r="B180" s="2" t="s">
        <v>324</v>
      </c>
      <c r="C180" s="2" t="s">
        <v>325</v>
      </c>
      <c r="D180" s="2"/>
      <c r="E180" s="6" t="str">
        <f>_xll.BQL("NOW US Equity", "BS_LT_OPERATING_LEASE_LIABS/1M", "FPR=2021Y", "FPT=A", "FA_ACT_EST_DATA=E", "ACT_EST_MAPPING=PRECISE", "FS=MRC", "CURRENCY=USD", "XLFILL=b")</f>
        <v>#N/A Requesting Data...</v>
      </c>
      <c r="F180" s="6">
        <f>_xll.BQL("NOW US Equity", "CONTRIBUTOR_STATS(BS_LT_OPERATING_LEASE_LIABS, MIN)/1M", "FPR=2021Y", "FPT=A", "FA_ACT_EST_DATA=E", "ACT_EST_MAPPING=PRECISE", "FS=MRC", "CURRENCY=USD", "XLFILL=b")</f>
        <v>449.20518243999999</v>
      </c>
      <c r="G180" s="6">
        <f>_xll.BQL("NOW US Equity", "CONTRIBUTOR_STATS(BS_LT_OPERATING_LEASE_LIABS, MAX)/1M", "FPR=2021Y", "FPT=A", "FA_ACT_EST_DATA=E", "ACT_EST_MAPPING=PRECISE", "FS=MRC", "CURRENCY=USD", "XLFILL=b")</f>
        <v>568</v>
      </c>
      <c r="H180" s="6">
        <f>_xll.BQL("NOW US Equity", "CONTRIBUTOR_STATS(BS_LT_OPERATING_LEASE_LIABS, STD)/1M", "FPR=2021Y", "FPT=A", "FA_ACT_EST_DATA=E", "ACT_EST_MAPPING=PRECISE", "FS=MRC", "CURRENCY=USD", "XLFILL=b")</f>
        <v>40.352882548494414</v>
      </c>
      <c r="I180" s="6" t="str">
        <f>_xll.BQL("NOW US Equity", "CONTRIBUTOR_STATS(BS_LT_OPERATING_LEASE_LIABS, MEDIAN)/1M", "FPR=2021Y", "FPT=A", "FA_ACT_EST_DATA=E", "ACT_EST_MAPPING=PRECISE", "FS=MRC", "CURRENCY=USD", "XLFILL=b")</f>
        <v>#N/A Requesting Data...</v>
      </c>
      <c r="J180" s="6" t="str">
        <f>_xll.BQL("NOW US Equity", "BS_LT_OPERATING_LEASE_LIABS/1M", "FPR=2021Y", "FPT=A", "FA_ACT_EST_DATA=E, EST_SOURCE=CMPY", "ACT_EST_MAPPING=PRECISE", "FS=MRC", "CURRENCY=USD", "XLFILL=b")</f>
        <v>#N/A Requesting Data...</v>
      </c>
      <c r="K180" s="6" t="str">
        <f>_xll.BQL("NOW US Equity", "BS_LT_OPERATING_LEASE_LIABS/1M", "FPR=2021Y", "FPT=A", "FA_ACT_EST_DATA=E, EST_SOURCE=JPM", "ACT_EST_MAPPING=PRECISE", "FS=MRC", "CURRENCY=USD", "XLFILL=b")</f>
        <v>#N/A Requesting Data...</v>
      </c>
      <c r="L180" s="6" t="str">
        <f>_xll.BQL("NOW US Equity", "BS_LT_OPERATING_LEASE_LIABS/1M", "FPR=2021Y", "FPT=A", "FA_ACT_EST_DATA=E, EST_SOURCE=WBL", "ACT_EST_MAPPING=PRECISE", "FS=MRC", "CURRENCY=USD", "XLFILL=b")</f>
        <v>#N/A Requesting Data...</v>
      </c>
      <c r="M180" s="6" t="str">
        <f>_xll.BQL("NOW US Equity", "BS_LT_OPERATING_LEASE_LIABS/1M", "FPR=2021Y", "FPT=A", "FA_ACT_EST_DATA=E, EST_SOURCE=KEY", "ACT_EST_MAPPING=PRECISE", "FS=MRC", "CURRENCY=USD", "XLFILL=b")</f>
        <v>#N/A Requesting Data...</v>
      </c>
      <c r="N180" s="6" t="str">
        <f>_xll.BQL("NOW US Equity", "BS_LT_OPERATING_LEASE_LIABS/1M", "FPR=2021Y", "FPT=A", "FA_ACT_EST_DATA=E, EST_SOURCE=BMO", "ACT_EST_MAPPING=PRECISE", "FS=MRC", "CURRENCY=USD", "XLFILL=b")</f>
        <v>#N/A Requesting Data...</v>
      </c>
      <c r="O180" s="6" t="str">
        <f>_xll.BQL("NOW US Equity", "BS_LT_OPERATING_LEASE_LIABS/1M", "FPR=2021Y", "FPT=A", "FA_ACT_EST_DATA=E, EST_SOURCE=OPY", "ACT_EST_MAPPING=PRECISE", "FS=MRC", "CURRENCY=USD", "XLFILL=b")</f>
        <v>#N/A Requesting Data...</v>
      </c>
      <c r="P180" s="6" t="str">
        <f>_xll.BQL("NOW US Equity", "BS_LT_OPERATING_LEASE_LIABS/1M", "FPR=2021Y", "FPT=A", "FA_ACT_EST_DATA=E, EST_SOURCE=BCA", "ACT_EST_MAPPING=PRECISE", "FS=MRC", "CURRENCY=USD", "XLFILL=b")</f>
        <v>#N/A Requesting Data...</v>
      </c>
      <c r="Q180" s="6" t="str">
        <f>_xll.BQL("NOW US Equity", "BS_LT_OPERATING_LEASE_LIABS/1M", "FPR=2021Y", "FPT=A", "FA_ACT_EST_DATA=E, EST_SOURCE=RHR", "ACT_EST_MAPPING=PRECISE", "FS=MRC", "CURRENCY=USD", "XLFILL=b")</f>
        <v>#N/A Requesting Data...</v>
      </c>
      <c r="R180" s="6" t="str">
        <f>_xll.BQL("NOW US Equity", "BS_LT_OPERATING_LEASE_LIABS/1M", "FPR=2021Y", "FPT=A", "FA_ACT_EST_DATA=E, EST_SOURCE=SNR", "ACT_EST_MAPPING=PRECISE", "FS=MRC", "CURRENCY=USD", "XLFILL=b")</f>
        <v>#N/A Requesting Data...</v>
      </c>
      <c r="S180" s="6" t="str">
        <f>_xll.BQL("NOW US Equity", "BS_LT_OPERATING_LEASE_LIABS/1M", "FPR=2021Y", "FPT=A", "FA_ACT_EST_DATA=E, EST_SOURCE=MSV", "ACT_EST_MAPPING=PRECISE", "FS=MRC", "CURRENCY=USD", "XLFILL=b")</f>
        <v>#N/A Requesting Data...</v>
      </c>
      <c r="T180" s="6" t="str">
        <f>_xll.BQL("NOW US Equity", "BS_LT_OPERATING_LEASE_LIABS/1M", "FPR=2021Y", "FPT=A", "FA_ACT_EST_DATA=E, EST_SOURCE=CAN", "ACT_EST_MAPPING=PRECISE", "FS=MRC", "CURRENCY=USD", "XLFILL=b")</f>
        <v>#N/A Requesting Data...</v>
      </c>
      <c r="U180" s="6" t="str">
        <f>_xll.BQL("NOW US Equity", "BS_LT_OPERATING_LEASE_LIABS/1M", "FPR=2021Y", "FPT=A", "FA_ACT_EST_DATA=E, EST_SOURCE=JMP", "ACT_EST_MAPPING=PRECISE", "FS=MRC", "CURRENCY=USD", "XLFILL=b")</f>
        <v>#N/A Requesting Data...</v>
      </c>
      <c r="V180" s="6" t="str">
        <f>_xll.BQL("NOW US Equity", "BS_LT_OPERATING_LEASE_LIABS/1M", "FPR=2021Y", "FPT=A", "FA_ACT_EST_DATA=E, EST_SOURCE=NDH", "ACT_EST_MAPPING=PRECISE", "FS=MRC", "CURRENCY=USD", "XLFILL=b")</f>
        <v>#N/A Requesting Data...</v>
      </c>
      <c r="W180" s="6" t="str">
        <f>_xll.BQL("NOW US Equity", "BS_LT_OPERATING_LEASE_LIABS/1M", "FPR=2021Y", "FPT=A", "FA_ACT_EST_DATA=E, EST_SOURCE=ZXS", "ACT_EST_MAPPING=PRECISE", "FS=MRC", "CURRENCY=USD", "XLFILL=b")</f>
        <v>#N/A Requesting Data...</v>
      </c>
      <c r="X180" s="6" t="str">
        <f>_xll.BQL("NOW US Equity", "BS_LT_OPERATING_LEASE_LIABS/1M", "FPR=2021Y", "FPT=A", "FA_ACT_EST_DATA=E, EST_SOURCE=CWN", "ACT_EST_MAPPING=PRECISE", "FS=MRC", "CURRENCY=USD", "XLFILL=b")</f>
        <v>#N/A Requesting Data...</v>
      </c>
      <c r="Y180" s="6" t="str">
        <f>_xll.BQL("NOW US Equity", "BS_LT_OPERATING_LEASE_LIABS/1M", "FPR=2021Y", "FPT=A", "FA_ACT_EST_DATA=E, EST_SOURCE=DBG", "ACT_EST_MAPPING=PRECISE", "FS=MRC", "CURRENCY=USD", "XLFILL=b")</f>
        <v>#N/A Requesting Data...</v>
      </c>
      <c r="Z180" s="6" t="str">
        <f>_xll.BQL("NOW US Equity", "BS_LT_OPERATING_LEASE_LIABS/1M", "FPR=2021Y", "FPT=A", "FA_ACT_EST_DATA=E, EST_SOURCE=UBS", "ACT_EST_MAPPING=PRECISE", "FS=MRC", "CURRENCY=USD", "XLFILL=b")</f>
        <v>#N/A Requesting Data...</v>
      </c>
      <c r="AA180" s="6" t="str">
        <f>_xll.BQL("NOW US Equity", "BS_LT_OPERATING_LEASE_LIABS/1M", "FPR=2021Y", "FPT=A", "FA_ACT_EST_DATA=E, EST_SOURCE=RBC", "ACT_EST_MAPPING=PRECISE", "FS=MRC", "CURRENCY=USD", "XLFILL=b")</f>
        <v>#N/A Requesting Data...</v>
      </c>
      <c r="AB180" s="6" t="str">
        <f>_xll.BQL("NOW US Equity", "BS_LT_OPERATING_LEASE_LIABS/1M", "FPR=2021Y", "FPT=A", "FA_ACT_EST_DATA=E, EST_SOURCE=EVR", "ACT_EST_MAPPING=PRECISE", "FS=MRC", "CURRENCY=USD", "XLFILL=b")</f>
        <v>#N/A Requesting Data...</v>
      </c>
      <c r="AC180" s="6" t="str">
        <f>_xll.BQL("NOW US Equity", "BS_LT_OPERATING_LEASE_LIABS/1M", "FPR=2021Y", "FPT=A", "FA_ACT_EST_DATA=E, EST_SOURCE=BNS", "ACT_EST_MAPPING=PRECISE", "FS=MRC", "CURRENCY=USD", "XLFILL=b")</f>
        <v>#N/A Requesting Data...</v>
      </c>
      <c r="AD180" s="6" t="str">
        <f>_xll.BQL("NOW US Equity", "BS_LT_OPERATING_LEASE_LIABS/1M", "FPR=2021Y", "FPT=A", "FA_ACT_EST_DATA=E, EST_SOURCE=BAM", "ACT_EST_MAPPING=PRECISE", "FS=MRC", "CURRENCY=USD", "XLFILL=b")</f>
        <v>#N/A Requesting Data...</v>
      </c>
      <c r="AE180" s="6" t="str">
        <f>_xll.BQL("NOW US Equity", "BS_LT_OPERATING_LEASE_LIABS/1M", "FPR=2021Y", "FPT=A", "FA_ACT_EST_DATA=E, EST_SOURCE=GSR", "ACT_EST_MAPPING=PRECISE", "FS=MRC", "CURRENCY=USD", "XLFILL=b")</f>
        <v>#N/A Requesting Data...</v>
      </c>
      <c r="AF180" s="6" t="str">
        <f>_xll.BQL("NOW US Equity", "BS_LT_OPERATING_LEASE_LIABS/1M", "FPR=2021Y", "FPT=A", "FA_ACT_EST_DATA=E, EST_SOURCE=FBC", "ACT_EST_MAPPING=PRECISE", "FS=MRC", "CURRENCY=USD", "XLFILL=b")</f>
        <v>#N/A Requesting Data...</v>
      </c>
      <c r="AG180" s="6" t="str">
        <f>_xll.BQL("NOW US Equity", "BS_LT_OPERATING_LEASE_LIABS/1M", "FPR=2021Y", "FPT=A", "FA_ACT_EST_DATA=E, EST_SOURCE=MAC", "ACT_EST_MAPPING=PRECISE", "FS=MRC", "CURRENCY=USD", "XLFILL=b")</f>
        <v>#N/A Requesting Data...</v>
      </c>
      <c r="AH180" s="6" t="str">
        <f>_xll.BQL("NOW US Equity", "BS_LT_OPERATING_LEASE_LIABS/1M", "FPR=2021Y", "FPT=A", "FA_ACT_EST_DATA=E, EST_SOURCE=PSG", "ACT_EST_MAPPING=PRECISE", "FS=MRC", "CURRENCY=USD", "XLFILL=b")</f>
        <v>#N/A Requesting Data...</v>
      </c>
      <c r="AI180" s="6" t="str">
        <f>_xll.BQL("NOW US Equity", "BS_LT_OPERATING_LEASE_LIABS/1M", "FPR=2021Y", "FPT=A", "FA_ACT_EST_DATA=E, EST_SOURCE=MSR", "ACT_EST_MAPPING=PRECISE", "FS=MRC", "CURRENCY=USD", "XLFILL=b")</f>
        <v>#N/A Requesting Data...</v>
      </c>
      <c r="AJ180" s="6" t="str">
        <f>_xll.BQL("NOW US Equity", "BS_LT_OPERATING_LEASE_LIABS/1M", "FPR=2021Y", "FPT=A", "FA_ACT_EST_DATA=E, EST_SOURCE=JEF", "ACT_EST_MAPPING=PRECISE", "FS=MRC", "CURRENCY=USD", "XLFILL=b")</f>
        <v>#N/A Requesting Data...</v>
      </c>
      <c r="AK180" s="6" t="str">
        <f>_xll.BQL("NOW US Equity", "BS_LT_OPERATING_LEASE_LIABS/1M", "FPR=2021Y", "FPT=A", "FA_ACT_EST_DATA=E, EST_SOURCE=TTC", "ACT_EST_MAPPING=PRECISE", "FS=MRC", "CURRENCY=USD", "XLFILL=b")</f>
        <v>#N/A Requesting Data...</v>
      </c>
      <c r="AL180" s="6" t="str">
        <f>_xll.BQL("NOW US Equity", "BS_LT_OPERATING_LEASE_LIABS/1M", "FPR=2021Y", "FPT=A", "FA_ACT_EST_DATA=E, EST_SOURCE=RWB", "ACT_EST_MAPPING=PRECISE", "FS=MRC", "CURRENCY=USD", "XLFILL=b")</f>
        <v>#N/A Requesting Data...</v>
      </c>
      <c r="AM180" s="6" t="str">
        <f>_xll.BQL("NOW US Equity", "BS_LT_OPERATING_LEASE_LIABS/1M", "FPR=2021Y", "FPT=A", "FA_ACT_EST_DATA=E, EST_SOURCE=DZB", "ACT_EST_MAPPING=PRECISE", "FS=MRC", "CURRENCY=USD", "XLFILL=b")</f>
        <v>#N/A Requesting Data...</v>
      </c>
      <c r="AN180" s="6" t="str">
        <f>_xll.BQL("NOW US Equity", "BS_LT_OPERATING_LEASE_LIABS/1M", "FPR=2021Y", "FPT=A", "FA_ACT_EST_DATA=E, EST_SOURCE=DWI", "ACT_EST_MAPPING=PRECISE", "FS=MRC", "CURRENCY=USD", "XLFILL=b")</f>
        <v>#N/A Requesting Data...</v>
      </c>
      <c r="AO180" s="6" t="str">
        <f>_xll.BQL("NOW US Equity", "BS_LT_OPERATING_LEASE_LIABS/1M", "FPR=2021Y", "FPT=A", "FA_ACT_EST_DATA=E, EST_SOURCE=ARG", "ACT_EST_MAPPING=PRECISE", "FS=MRC", "CURRENCY=USD", "XLFILL=b")</f>
        <v>#N/A Requesting Data...</v>
      </c>
      <c r="AP180" s="6" t="str">
        <f>_xll.BQL("NOW US Equity", "BS_LT_OPERATING_LEASE_LIABS/1M", "FPR=2021Y", "FPT=A", "FA_ACT_EST_DATA=E, EST_SOURCE=CTI", "ACT_EST_MAPPING=PRECISE", "FS=MRC", "CURRENCY=USD", "XLFILL=b")</f>
        <v>#N/A Requesting Data...</v>
      </c>
      <c r="AQ180" s="6" t="str">
        <f>_xll.BQL("NOW US Equity", "BS_LT_OPERATING_LEASE_LIABS/1M", "FPR=2021Y", "FPT=A", "FA_ACT_EST_DATA=E, EST_SOURCE=WFT", "ACT_EST_MAPPING=PRECISE", "FS=MRC", "CURRENCY=USD", "XLFILL=b")</f>
        <v>#N/A Requesting Data...</v>
      </c>
      <c r="AR180" s="6" t="str">
        <f>_xll.BQL("NOW US Equity", "BS_LT_OPERATING_LEASE_LIABS/1M", "FPR=2021Y", "FPT=A", "FA_ACT_EST_DATA=E, EST_SOURCE=ARE", "ACT_EST_MAPPING=PRECISE", "FS=MRC", "CURRENCY=USD", "XLFILL=b")</f>
        <v>#N/A Requesting Data...</v>
      </c>
      <c r="AS180" s="6" t="str">
        <f>_xll.BQL("NOW US Equity", "BS_LT_OPERATING_LEASE_LIABS/1M", "FPR=2021Y", "FPT=A", "FA_ACT_EST_DATA=E, EST_SOURCE=PJE", "ACT_EST_MAPPING=PRECISE", "FS=MRC", "CURRENCY=USD", "XLFILL=b")</f>
        <v>#N/A Requesting Data...</v>
      </c>
      <c r="AT180" s="6" t="str">
        <f>_xll.BQL("NOW US Equity", "BS_LT_OPERATING_LEASE_LIABS/1M", "FPR=2021Y", "FPT=A", "FA_ACT_EST_DATA=E, EST_SOURCE=MZS", "ACT_EST_MAPPING=PRECISE", "FS=MRC", "CURRENCY=USD", "XLFILL=b")</f>
        <v>#N/A Requesting Data...</v>
      </c>
      <c r="AU180" s="6" t="str">
        <f>_xll.BQL("NOW US Equity", "BS_LT_OPERATING_LEASE_LIABS/1M", "FPR=2021Y", "FPT=A", "FA_ACT_EST_DATA=E, EST_SOURCE=SUM", "ACT_EST_MAPPING=PRECISE", "FS=MRC", "CURRENCY=USD", "XLFILL=b")</f>
        <v>#N/A Requesting Data...</v>
      </c>
      <c r="AV180" s="6" t="str">
        <f>_xll.BQL("NOW US Equity", "BS_LT_OPERATING_LEASE_LIABS/1M", "FPR=2021Y", "FPT=A", "FA_ACT_EST_DATA=E, EST_SOURCE=CRC", "ACT_EST_MAPPING=PRECISE", "FS=MRC", "CURRENCY=USD", "XLFILL=b")</f>
        <v>#N/A Requesting Data...</v>
      </c>
      <c r="AW180" s="6" t="str">
        <f>_xll.BQL("NOW US Equity", "BS_LT_OPERATING_LEASE_LIABS/1M", "FPR=2021Y", "FPT=A", "FA_ACT_EST_DATA=E, EST_SOURCE=SCB", "ACT_EST_MAPPING=PRECISE", "FS=MRC", "CURRENCY=USD", "XLFILL=b")</f>
        <v>#N/A Requesting Data...</v>
      </c>
    </row>
    <row r="181" spans="1:49" x14ac:dyDescent="0.55000000000000004">
      <c r="A181" s="5" t="s">
        <v>326</v>
      </c>
      <c r="B181" s="2" t="s">
        <v>327</v>
      </c>
      <c r="C181" s="2" t="s">
        <v>328</v>
      </c>
      <c r="D181" s="2"/>
      <c r="E181" s="6" t="str">
        <f>_xll.BQL("NOW US Equity", "BS_LONG_TERM_BORROWINGS/1M", "FPR=2021Y", "FPT=A", "FA_ACT_EST_DATA=E", "ACT_EST_MAPPING=PRECISE", "FS=MRC", "CURRENCY=USD", "XLFILL=b")</f>
        <v>#N/A Requesting Data...</v>
      </c>
      <c r="F181" s="6" t="str">
        <f>_xll.BQL("NOW US Equity", "CONTRIBUTOR_STATS(BS_LONG_TERM_BORROWINGS, MIN)/1M", "FPR=2021Y", "FPT=A", "FA_ACT_EST_DATA=E", "ACT_EST_MAPPING=PRECISE", "FS=MRC", "CURRENCY=USD", "XLFILL=b")</f>
        <v>#N/A Requesting Data...</v>
      </c>
      <c r="G181" s="6" t="str">
        <f>_xll.BQL("NOW US Equity", "CONTRIBUTOR_STATS(BS_LONG_TERM_BORROWINGS, MAX)/1M", "FPR=2021Y", "FPT=A", "FA_ACT_EST_DATA=E", "ACT_EST_MAPPING=PRECISE", "FS=MRC", "CURRENCY=USD", "XLFILL=b")</f>
        <v>#N/A Requesting Data...</v>
      </c>
      <c r="H181" s="6" t="str">
        <f>_xll.BQL("NOW US Equity", "CONTRIBUTOR_STATS(BS_LONG_TERM_BORROWINGS, STD)/1M", "FPR=2021Y", "FPT=A", "FA_ACT_EST_DATA=E", "ACT_EST_MAPPING=PRECISE", "FS=MRC", "CURRENCY=USD", "XLFILL=b")</f>
        <v>#N/A Requesting Data...</v>
      </c>
      <c r="I181" s="6" t="str">
        <f>_xll.BQL("NOW US Equity", "CONTRIBUTOR_STATS(BS_LONG_TERM_BORROWINGS, MEDIAN)/1M", "FPR=2021Y", "FPT=A", "FA_ACT_EST_DATA=E", "ACT_EST_MAPPING=PRECISE", "FS=MRC", "CURRENCY=USD", "XLFILL=b")</f>
        <v>#N/A Requesting Data...</v>
      </c>
      <c r="J181" s="6" t="str">
        <f>_xll.BQL("NOW US Equity", "BS_LONG_TERM_BORROWINGS/1M", "FPR=2021Y", "FPT=A", "FA_ACT_EST_DATA=E, EST_SOURCE=CMPY", "ACT_EST_MAPPING=PRECISE", "FS=MRC", "CURRENCY=USD", "XLFILL=b")</f>
        <v>#N/A Requesting Data...</v>
      </c>
      <c r="K181" s="6" t="str">
        <f>_xll.BQL("NOW US Equity", "BS_LONG_TERM_BORROWINGS/1M", "FPR=2021Y", "FPT=A", "FA_ACT_EST_DATA=E, EST_SOURCE=JPM", "ACT_EST_MAPPING=PRECISE", "FS=MRC", "CURRENCY=USD", "XLFILL=b")</f>
        <v>#N/A Requesting Data...</v>
      </c>
      <c r="L181" s="6" t="str">
        <f>_xll.BQL("NOW US Equity", "BS_LONG_TERM_BORROWINGS/1M", "FPR=2021Y", "FPT=A", "FA_ACT_EST_DATA=E, EST_SOURCE=WBL", "ACT_EST_MAPPING=PRECISE", "FS=MRC", "CURRENCY=USD", "XLFILL=b")</f>
        <v>#N/A Requesting Data...</v>
      </c>
      <c r="M181" s="6" t="str">
        <f>_xll.BQL("NOW US Equity", "BS_LONG_TERM_BORROWINGS/1M", "FPR=2021Y", "FPT=A", "FA_ACT_EST_DATA=E, EST_SOURCE=KEY", "ACT_EST_MAPPING=PRECISE", "FS=MRC", "CURRENCY=USD", "XLFILL=b")</f>
        <v>#N/A Requesting Data...</v>
      </c>
      <c r="N181" s="6" t="str">
        <f>_xll.BQL("NOW US Equity", "BS_LONG_TERM_BORROWINGS/1M", "FPR=2021Y", "FPT=A", "FA_ACT_EST_DATA=E, EST_SOURCE=BMO", "ACT_EST_MAPPING=PRECISE", "FS=MRC", "CURRENCY=USD", "XLFILL=b")</f>
        <v>#N/A Requesting Data...</v>
      </c>
      <c r="O181" s="6" t="str">
        <f>_xll.BQL("NOW US Equity", "BS_LONG_TERM_BORROWINGS/1M", "FPR=2021Y", "FPT=A", "FA_ACT_EST_DATA=E, EST_SOURCE=OPY", "ACT_EST_MAPPING=PRECISE", "FS=MRC", "CURRENCY=USD", "XLFILL=b")</f>
        <v>#N/A Requesting Data...</v>
      </c>
      <c r="P181" s="6" t="str">
        <f>_xll.BQL("NOW US Equity", "BS_LONG_TERM_BORROWINGS/1M", "FPR=2021Y", "FPT=A", "FA_ACT_EST_DATA=E, EST_SOURCE=BCA", "ACT_EST_MAPPING=PRECISE", "FS=MRC", "CURRENCY=USD", "XLFILL=b")</f>
        <v>#N/A Requesting Data...</v>
      </c>
      <c r="Q181" s="6" t="str">
        <f>_xll.BQL("NOW US Equity", "BS_LONG_TERM_BORROWINGS/1M", "FPR=2021Y", "FPT=A", "FA_ACT_EST_DATA=E, EST_SOURCE=RHR", "ACT_EST_MAPPING=PRECISE", "FS=MRC", "CURRENCY=USD", "XLFILL=b")</f>
        <v>#N/A Requesting Data...</v>
      </c>
      <c r="R181" s="6" t="str">
        <f>_xll.BQL("NOW US Equity", "BS_LONG_TERM_BORROWINGS/1M", "FPR=2021Y", "FPT=A", "FA_ACT_EST_DATA=E, EST_SOURCE=SNR", "ACT_EST_MAPPING=PRECISE", "FS=MRC", "CURRENCY=USD", "XLFILL=b")</f>
        <v>#N/A Requesting Data...</v>
      </c>
      <c r="S181" s="6" t="str">
        <f>_xll.BQL("NOW US Equity", "BS_LONG_TERM_BORROWINGS/1M", "FPR=2021Y", "FPT=A", "FA_ACT_EST_DATA=E, EST_SOURCE=MSV", "ACT_EST_MAPPING=PRECISE", "FS=MRC", "CURRENCY=USD", "XLFILL=b")</f>
        <v>#N/A Requesting Data...</v>
      </c>
      <c r="T181" s="6" t="str">
        <f>_xll.BQL("NOW US Equity", "BS_LONG_TERM_BORROWINGS/1M", "FPR=2021Y", "FPT=A", "FA_ACT_EST_DATA=E, EST_SOURCE=CAN", "ACT_EST_MAPPING=PRECISE", "FS=MRC", "CURRENCY=USD", "XLFILL=b")</f>
        <v>#N/A Requesting Data...</v>
      </c>
      <c r="U181" s="6" t="str">
        <f>_xll.BQL("NOW US Equity", "BS_LONG_TERM_BORROWINGS/1M", "FPR=2021Y", "FPT=A", "FA_ACT_EST_DATA=E, EST_SOURCE=JMP", "ACT_EST_MAPPING=PRECISE", "FS=MRC", "CURRENCY=USD", "XLFILL=b")</f>
        <v>#N/A Requesting Data...</v>
      </c>
      <c r="V181" s="6" t="str">
        <f>_xll.BQL("NOW US Equity", "BS_LONG_TERM_BORROWINGS/1M", "FPR=2021Y", "FPT=A", "FA_ACT_EST_DATA=E, EST_SOURCE=NDH", "ACT_EST_MAPPING=PRECISE", "FS=MRC", "CURRENCY=USD", "XLFILL=b")</f>
        <v>#N/A Requesting Data...</v>
      </c>
      <c r="W181" s="6" t="str">
        <f>_xll.BQL("NOW US Equity", "BS_LONG_TERM_BORROWINGS/1M", "FPR=2021Y", "FPT=A", "FA_ACT_EST_DATA=E, EST_SOURCE=ZXS", "ACT_EST_MAPPING=PRECISE", "FS=MRC", "CURRENCY=USD", "XLFILL=b")</f>
        <v>#N/A Requesting Data...</v>
      </c>
      <c r="X181" s="6" t="str">
        <f>_xll.BQL("NOW US Equity", "BS_LONG_TERM_BORROWINGS/1M", "FPR=2021Y", "FPT=A", "FA_ACT_EST_DATA=E, EST_SOURCE=CWN", "ACT_EST_MAPPING=PRECISE", "FS=MRC", "CURRENCY=USD", "XLFILL=b")</f>
        <v>#N/A Requesting Data...</v>
      </c>
      <c r="Y181" s="6" t="str">
        <f>_xll.BQL("NOW US Equity", "BS_LONG_TERM_BORROWINGS/1M", "FPR=2021Y", "FPT=A", "FA_ACT_EST_DATA=E, EST_SOURCE=DBG", "ACT_EST_MAPPING=PRECISE", "FS=MRC", "CURRENCY=USD", "XLFILL=b")</f>
        <v>#N/A Requesting Data...</v>
      </c>
      <c r="Z181" s="6" t="str">
        <f>_xll.BQL("NOW US Equity", "BS_LONG_TERM_BORROWINGS/1M", "FPR=2021Y", "FPT=A", "FA_ACT_EST_DATA=E, EST_SOURCE=UBS", "ACT_EST_MAPPING=PRECISE", "FS=MRC", "CURRENCY=USD", "XLFILL=b")</f>
        <v>#N/A Requesting Data...</v>
      </c>
      <c r="AA181" s="6" t="str">
        <f>_xll.BQL("NOW US Equity", "BS_LONG_TERM_BORROWINGS/1M", "FPR=2021Y", "FPT=A", "FA_ACT_EST_DATA=E, EST_SOURCE=RBC", "ACT_EST_MAPPING=PRECISE", "FS=MRC", "CURRENCY=USD", "XLFILL=b")</f>
        <v>#N/A Requesting Data...</v>
      </c>
      <c r="AB181" s="6" t="str">
        <f>_xll.BQL("NOW US Equity", "BS_LONG_TERM_BORROWINGS/1M", "FPR=2021Y", "FPT=A", "FA_ACT_EST_DATA=E, EST_SOURCE=EVR", "ACT_EST_MAPPING=PRECISE", "FS=MRC", "CURRENCY=USD", "XLFILL=b")</f>
        <v>#N/A Requesting Data...</v>
      </c>
      <c r="AC181" s="6" t="str">
        <f>_xll.BQL("NOW US Equity", "BS_LONG_TERM_BORROWINGS/1M", "FPR=2021Y", "FPT=A", "FA_ACT_EST_DATA=E, EST_SOURCE=BNS", "ACT_EST_MAPPING=PRECISE", "FS=MRC", "CURRENCY=USD", "XLFILL=b")</f>
        <v>#N/A Requesting Data...</v>
      </c>
      <c r="AD181" s="6" t="str">
        <f>_xll.BQL("NOW US Equity", "BS_LONG_TERM_BORROWINGS/1M", "FPR=2021Y", "FPT=A", "FA_ACT_EST_DATA=E, EST_SOURCE=BAM", "ACT_EST_MAPPING=PRECISE", "FS=MRC", "CURRENCY=USD", "XLFILL=b")</f>
        <v>#N/A Requesting Data...</v>
      </c>
      <c r="AE181" s="6" t="str">
        <f>_xll.BQL("NOW US Equity", "BS_LONG_TERM_BORROWINGS/1M", "FPR=2021Y", "FPT=A", "FA_ACT_EST_DATA=E, EST_SOURCE=GSR", "ACT_EST_MAPPING=PRECISE", "FS=MRC", "CURRENCY=USD", "XLFILL=b")</f>
        <v>#N/A Requesting Data...</v>
      </c>
      <c r="AF181" s="6" t="str">
        <f>_xll.BQL("NOW US Equity", "BS_LONG_TERM_BORROWINGS/1M", "FPR=2021Y", "FPT=A", "FA_ACT_EST_DATA=E, EST_SOURCE=FBC", "ACT_EST_MAPPING=PRECISE", "FS=MRC", "CURRENCY=USD", "XLFILL=b")</f>
        <v>#N/A Requesting Data...</v>
      </c>
      <c r="AG181" s="6" t="str">
        <f>_xll.BQL("NOW US Equity", "BS_LONG_TERM_BORROWINGS/1M", "FPR=2021Y", "FPT=A", "FA_ACT_EST_DATA=E, EST_SOURCE=MAC", "ACT_EST_MAPPING=PRECISE", "FS=MRC", "CURRENCY=USD", "XLFILL=b")</f>
        <v>#N/A Requesting Data...</v>
      </c>
      <c r="AH181" s="6" t="str">
        <f>_xll.BQL("NOW US Equity", "BS_LONG_TERM_BORROWINGS/1M", "FPR=2021Y", "FPT=A", "FA_ACT_EST_DATA=E, EST_SOURCE=PSG", "ACT_EST_MAPPING=PRECISE", "FS=MRC", "CURRENCY=USD", "XLFILL=b")</f>
        <v>#N/A Requesting Data...</v>
      </c>
      <c r="AI181" s="6" t="str">
        <f>_xll.BQL("NOW US Equity", "BS_LONG_TERM_BORROWINGS/1M", "FPR=2021Y", "FPT=A", "FA_ACT_EST_DATA=E, EST_SOURCE=MSR", "ACT_EST_MAPPING=PRECISE", "FS=MRC", "CURRENCY=USD", "XLFILL=b")</f>
        <v>#N/A Requesting Data...</v>
      </c>
      <c r="AJ181" s="6" t="str">
        <f>_xll.BQL("NOW US Equity", "BS_LONG_TERM_BORROWINGS/1M", "FPR=2021Y", "FPT=A", "FA_ACT_EST_DATA=E, EST_SOURCE=JEF", "ACT_EST_MAPPING=PRECISE", "FS=MRC", "CURRENCY=USD", "XLFILL=b")</f>
        <v>#N/A Requesting Data...</v>
      </c>
      <c r="AK181" s="6" t="str">
        <f>_xll.BQL("NOW US Equity", "BS_LONG_TERM_BORROWINGS/1M", "FPR=2021Y", "FPT=A", "FA_ACT_EST_DATA=E, EST_SOURCE=TTC", "ACT_EST_MAPPING=PRECISE", "FS=MRC", "CURRENCY=USD", "XLFILL=b")</f>
        <v>#N/A Requesting Data...</v>
      </c>
      <c r="AL181" s="6" t="str">
        <f>_xll.BQL("NOW US Equity", "BS_LONG_TERM_BORROWINGS/1M", "FPR=2021Y", "FPT=A", "FA_ACT_EST_DATA=E, EST_SOURCE=RWB", "ACT_EST_MAPPING=PRECISE", "FS=MRC", "CURRENCY=USD", "XLFILL=b")</f>
        <v>#N/A Requesting Data...</v>
      </c>
      <c r="AM181" s="6" t="str">
        <f>_xll.BQL("NOW US Equity", "BS_LONG_TERM_BORROWINGS/1M", "FPR=2021Y", "FPT=A", "FA_ACT_EST_DATA=E, EST_SOURCE=DZB", "ACT_EST_MAPPING=PRECISE", "FS=MRC", "CURRENCY=USD", "XLFILL=b")</f>
        <v>#N/A Requesting Data...</v>
      </c>
      <c r="AN181" s="6" t="str">
        <f>_xll.BQL("NOW US Equity", "BS_LONG_TERM_BORROWINGS/1M", "FPR=2021Y", "FPT=A", "FA_ACT_EST_DATA=E, EST_SOURCE=DWI", "ACT_EST_MAPPING=PRECISE", "FS=MRC", "CURRENCY=USD", "XLFILL=b")</f>
        <v>#N/A Requesting Data...</v>
      </c>
      <c r="AO181" s="6" t="str">
        <f>_xll.BQL("NOW US Equity", "BS_LONG_TERM_BORROWINGS/1M", "FPR=2021Y", "FPT=A", "FA_ACT_EST_DATA=E, EST_SOURCE=ARG", "ACT_EST_MAPPING=PRECISE", "FS=MRC", "CURRENCY=USD", "XLFILL=b")</f>
        <v>#N/A Requesting Data...</v>
      </c>
      <c r="AP181" s="6" t="str">
        <f>_xll.BQL("NOW US Equity", "BS_LONG_TERM_BORROWINGS/1M", "FPR=2021Y", "FPT=A", "FA_ACT_EST_DATA=E, EST_SOURCE=CTI", "ACT_EST_MAPPING=PRECISE", "FS=MRC", "CURRENCY=USD", "XLFILL=b")</f>
        <v>#N/A Requesting Data...</v>
      </c>
      <c r="AQ181" s="6" t="str">
        <f>_xll.BQL("NOW US Equity", "BS_LONG_TERM_BORROWINGS/1M", "FPR=2021Y", "FPT=A", "FA_ACT_EST_DATA=E, EST_SOURCE=WFT", "ACT_EST_MAPPING=PRECISE", "FS=MRC", "CURRENCY=USD", "XLFILL=b")</f>
        <v>#N/A Requesting Data...</v>
      </c>
      <c r="AR181" s="6" t="str">
        <f>_xll.BQL("NOW US Equity", "BS_LONG_TERM_BORROWINGS/1M", "FPR=2021Y", "FPT=A", "FA_ACT_EST_DATA=E, EST_SOURCE=ARE", "ACT_EST_MAPPING=PRECISE", "FS=MRC", "CURRENCY=USD", "XLFILL=b")</f>
        <v>#N/A Requesting Data...</v>
      </c>
      <c r="AS181" s="6" t="str">
        <f>_xll.BQL("NOW US Equity", "BS_LONG_TERM_BORROWINGS/1M", "FPR=2021Y", "FPT=A", "FA_ACT_EST_DATA=E, EST_SOURCE=PJE", "ACT_EST_MAPPING=PRECISE", "FS=MRC", "CURRENCY=USD", "XLFILL=b")</f>
        <v>#N/A Requesting Data...</v>
      </c>
      <c r="AT181" s="6" t="str">
        <f>_xll.BQL("NOW US Equity", "BS_LONG_TERM_BORROWINGS/1M", "FPR=2021Y", "FPT=A", "FA_ACT_EST_DATA=E, EST_SOURCE=MZS", "ACT_EST_MAPPING=PRECISE", "FS=MRC", "CURRENCY=USD", "XLFILL=b")</f>
        <v>#N/A Requesting Data...</v>
      </c>
      <c r="AU181" s="6" t="str">
        <f>_xll.BQL("NOW US Equity", "BS_LONG_TERM_BORROWINGS/1M", "FPR=2021Y", "FPT=A", "FA_ACT_EST_DATA=E, EST_SOURCE=SUM", "ACT_EST_MAPPING=PRECISE", "FS=MRC", "CURRENCY=USD", "XLFILL=b")</f>
        <v>#N/A Requesting Data...</v>
      </c>
      <c r="AV181" s="6" t="str">
        <f>_xll.BQL("NOW US Equity", "BS_LONG_TERM_BORROWINGS/1M", "FPR=2021Y", "FPT=A", "FA_ACT_EST_DATA=E, EST_SOURCE=CRC", "ACT_EST_MAPPING=PRECISE", "FS=MRC", "CURRENCY=USD", "XLFILL=b")</f>
        <v>#N/A Requesting Data...</v>
      </c>
      <c r="AW181" s="6" t="str">
        <f>_xll.BQL("NOW US Equity", "BS_LONG_TERM_BORROWINGS/1M", "FPR=2021Y", "FPT=A", "FA_ACT_EST_DATA=E, EST_SOURCE=SCB", "ACT_EST_MAPPING=PRECISE", "FS=MRC", "CURRENCY=USD", "XLFILL=b")</f>
        <v>#N/A Requesting Data...</v>
      </c>
    </row>
    <row r="182" spans="1:49" x14ac:dyDescent="0.55000000000000004">
      <c r="A182" s="5" t="s">
        <v>329</v>
      </c>
      <c r="B182" s="2" t="s">
        <v>330</v>
      </c>
      <c r="C182" s="2" t="s">
        <v>331</v>
      </c>
      <c r="D182" s="2"/>
      <c r="E182" s="6" t="str">
        <f>_xll.BQL("NOW US Equity", "BS_OTHER_NONCURRENT_LIABILITIES/1M", "FPR=2021Y", "FPT=A", "FA_ACT_EST_DATA=E", "ACT_EST_MAPPING=PRECISE", "FS=MRC", "CURRENCY=USD", "XLFILL=b")</f>
        <v>#N/A Requesting Data...</v>
      </c>
      <c r="F182" s="6" t="str">
        <f>_xll.BQL("NOW US Equity", "CONTRIBUTOR_STATS(BS_OTHER_NONCURRENT_LIABILITIES, MIN)/1M", "FPR=2021Y", "FPT=A", "FA_ACT_EST_DATA=E", "ACT_EST_MAPPING=PRECISE", "FS=MRC", "CURRENCY=USD", "XLFILL=b")</f>
        <v>#N/A Requesting Data...</v>
      </c>
      <c r="G182" s="6" t="str">
        <f>_xll.BQL("NOW US Equity", "CONTRIBUTOR_STATS(BS_OTHER_NONCURRENT_LIABILITIES, MAX)/1M", "FPR=2021Y", "FPT=A", "FA_ACT_EST_DATA=E", "ACT_EST_MAPPING=PRECISE", "FS=MRC", "CURRENCY=USD", "XLFILL=b")</f>
        <v>#N/A Requesting Data...</v>
      </c>
      <c r="H182" s="6" t="str">
        <f>_xll.BQL("NOW US Equity", "CONTRIBUTOR_STATS(BS_OTHER_NONCURRENT_LIABILITIES, STD)/1M", "FPR=2021Y", "FPT=A", "FA_ACT_EST_DATA=E", "ACT_EST_MAPPING=PRECISE", "FS=MRC", "CURRENCY=USD", "XLFILL=b")</f>
        <v>#N/A Requesting Data...</v>
      </c>
      <c r="I182" s="6" t="str">
        <f>_xll.BQL("NOW US Equity", "CONTRIBUTOR_STATS(BS_OTHER_NONCURRENT_LIABILITIES, MEDIAN)/1M", "FPR=2021Y", "FPT=A", "FA_ACT_EST_DATA=E", "ACT_EST_MAPPING=PRECISE", "FS=MRC", "CURRENCY=USD", "XLFILL=b")</f>
        <v>#N/A Requesting Data...</v>
      </c>
      <c r="J182" s="6" t="str">
        <f>_xll.BQL("NOW US Equity", "BS_OTHER_NONCURRENT_LIABILITIES/1M", "FPR=2021Y", "FPT=A", "FA_ACT_EST_DATA=E, EST_SOURCE=CMPY", "ACT_EST_MAPPING=PRECISE", "FS=MRC", "CURRENCY=USD", "XLFILL=b")</f>
        <v>#N/A Requesting Data...</v>
      </c>
      <c r="K182" s="6" t="str">
        <f>_xll.BQL("NOW US Equity", "BS_OTHER_NONCURRENT_LIABILITIES/1M", "FPR=2021Y", "FPT=A", "FA_ACT_EST_DATA=E, EST_SOURCE=JPM", "ACT_EST_MAPPING=PRECISE", "FS=MRC", "CURRENCY=USD", "XLFILL=b")</f>
        <v>#N/A Requesting Data...</v>
      </c>
      <c r="L182" s="6" t="str">
        <f>_xll.BQL("NOW US Equity", "BS_OTHER_NONCURRENT_LIABILITIES/1M", "FPR=2021Y", "FPT=A", "FA_ACT_EST_DATA=E, EST_SOURCE=WBL", "ACT_EST_MAPPING=PRECISE", "FS=MRC", "CURRENCY=USD", "XLFILL=b")</f>
        <v>#N/A Requesting Data...</v>
      </c>
      <c r="M182" s="6" t="str">
        <f>_xll.BQL("NOW US Equity", "BS_OTHER_NONCURRENT_LIABILITIES/1M", "FPR=2021Y", "FPT=A", "FA_ACT_EST_DATA=E, EST_SOURCE=KEY", "ACT_EST_MAPPING=PRECISE", "FS=MRC", "CURRENCY=USD", "XLFILL=b")</f>
        <v>#N/A Requesting Data...</v>
      </c>
      <c r="N182" s="6" t="str">
        <f>_xll.BQL("NOW US Equity", "BS_OTHER_NONCURRENT_LIABILITIES/1M", "FPR=2021Y", "FPT=A", "FA_ACT_EST_DATA=E, EST_SOURCE=BMO", "ACT_EST_MAPPING=PRECISE", "FS=MRC", "CURRENCY=USD", "XLFILL=b")</f>
        <v>#N/A Requesting Data...</v>
      </c>
      <c r="O182" s="6" t="str">
        <f>_xll.BQL("NOW US Equity", "BS_OTHER_NONCURRENT_LIABILITIES/1M", "FPR=2021Y", "FPT=A", "FA_ACT_EST_DATA=E, EST_SOURCE=OPY", "ACT_EST_MAPPING=PRECISE", "FS=MRC", "CURRENCY=USD", "XLFILL=b")</f>
        <v>#N/A Requesting Data...</v>
      </c>
      <c r="P182" s="6" t="str">
        <f>_xll.BQL("NOW US Equity", "BS_OTHER_NONCURRENT_LIABILITIES/1M", "FPR=2021Y", "FPT=A", "FA_ACT_EST_DATA=E, EST_SOURCE=BCA", "ACT_EST_MAPPING=PRECISE", "FS=MRC", "CURRENCY=USD", "XLFILL=b")</f>
        <v>#N/A Requesting Data...</v>
      </c>
      <c r="Q182" s="6" t="str">
        <f>_xll.BQL("NOW US Equity", "BS_OTHER_NONCURRENT_LIABILITIES/1M", "FPR=2021Y", "FPT=A", "FA_ACT_EST_DATA=E, EST_SOURCE=RHR", "ACT_EST_MAPPING=PRECISE", "FS=MRC", "CURRENCY=USD", "XLFILL=b")</f>
        <v>#N/A Requesting Data...</v>
      </c>
      <c r="R182" s="6" t="str">
        <f>_xll.BQL("NOW US Equity", "BS_OTHER_NONCURRENT_LIABILITIES/1M", "FPR=2021Y", "FPT=A", "FA_ACT_EST_DATA=E, EST_SOURCE=SNR", "ACT_EST_MAPPING=PRECISE", "FS=MRC", "CURRENCY=USD", "XLFILL=b")</f>
        <v>#N/A Requesting Data...</v>
      </c>
      <c r="S182" s="6" t="str">
        <f>_xll.BQL("NOW US Equity", "BS_OTHER_NONCURRENT_LIABILITIES/1M", "FPR=2021Y", "FPT=A", "FA_ACT_EST_DATA=E, EST_SOURCE=MSV", "ACT_EST_MAPPING=PRECISE", "FS=MRC", "CURRENCY=USD", "XLFILL=b")</f>
        <v>#N/A Requesting Data...</v>
      </c>
      <c r="T182" s="6" t="str">
        <f>_xll.BQL("NOW US Equity", "BS_OTHER_NONCURRENT_LIABILITIES/1M", "FPR=2021Y", "FPT=A", "FA_ACT_EST_DATA=E, EST_SOURCE=CAN", "ACT_EST_MAPPING=PRECISE", "FS=MRC", "CURRENCY=USD", "XLFILL=b")</f>
        <v>#N/A Requesting Data...</v>
      </c>
      <c r="U182" s="6" t="str">
        <f>_xll.BQL("NOW US Equity", "BS_OTHER_NONCURRENT_LIABILITIES/1M", "FPR=2021Y", "FPT=A", "FA_ACT_EST_DATA=E, EST_SOURCE=JMP", "ACT_EST_MAPPING=PRECISE", "FS=MRC", "CURRENCY=USD", "XLFILL=b")</f>
        <v>#N/A Requesting Data...</v>
      </c>
      <c r="V182" s="6" t="str">
        <f>_xll.BQL("NOW US Equity", "BS_OTHER_NONCURRENT_LIABILITIES/1M", "FPR=2021Y", "FPT=A", "FA_ACT_EST_DATA=E, EST_SOURCE=NDH", "ACT_EST_MAPPING=PRECISE", "FS=MRC", "CURRENCY=USD", "XLFILL=b")</f>
        <v>#N/A Requesting Data...</v>
      </c>
      <c r="W182" s="6" t="str">
        <f>_xll.BQL("NOW US Equity", "BS_OTHER_NONCURRENT_LIABILITIES/1M", "FPR=2021Y", "FPT=A", "FA_ACT_EST_DATA=E, EST_SOURCE=ZXS", "ACT_EST_MAPPING=PRECISE", "FS=MRC", "CURRENCY=USD", "XLFILL=b")</f>
        <v>#N/A Requesting Data...</v>
      </c>
      <c r="X182" s="6" t="str">
        <f>_xll.BQL("NOW US Equity", "BS_OTHER_NONCURRENT_LIABILITIES/1M", "FPR=2021Y", "FPT=A", "FA_ACT_EST_DATA=E, EST_SOURCE=CWN", "ACT_EST_MAPPING=PRECISE", "FS=MRC", "CURRENCY=USD", "XLFILL=b")</f>
        <v>#N/A Requesting Data...</v>
      </c>
      <c r="Y182" s="6" t="str">
        <f>_xll.BQL("NOW US Equity", "BS_OTHER_NONCURRENT_LIABILITIES/1M", "FPR=2021Y", "FPT=A", "FA_ACT_EST_DATA=E, EST_SOURCE=DBG", "ACT_EST_MAPPING=PRECISE", "FS=MRC", "CURRENCY=USD", "XLFILL=b")</f>
        <v>#N/A Requesting Data...</v>
      </c>
      <c r="Z182" s="6" t="str">
        <f>_xll.BQL("NOW US Equity", "BS_OTHER_NONCURRENT_LIABILITIES/1M", "FPR=2021Y", "FPT=A", "FA_ACT_EST_DATA=E, EST_SOURCE=UBS", "ACT_EST_MAPPING=PRECISE", "FS=MRC", "CURRENCY=USD", "XLFILL=b")</f>
        <v>#N/A Requesting Data...</v>
      </c>
      <c r="AA182" s="6" t="str">
        <f>_xll.BQL("NOW US Equity", "BS_OTHER_NONCURRENT_LIABILITIES/1M", "FPR=2021Y", "FPT=A", "FA_ACT_EST_DATA=E, EST_SOURCE=RBC", "ACT_EST_MAPPING=PRECISE", "FS=MRC", "CURRENCY=USD", "XLFILL=b")</f>
        <v>#N/A Requesting Data...</v>
      </c>
      <c r="AB182" s="6" t="str">
        <f>_xll.BQL("NOW US Equity", "BS_OTHER_NONCURRENT_LIABILITIES/1M", "FPR=2021Y", "FPT=A", "FA_ACT_EST_DATA=E, EST_SOURCE=EVR", "ACT_EST_MAPPING=PRECISE", "FS=MRC", "CURRENCY=USD", "XLFILL=b")</f>
        <v>#N/A Requesting Data...</v>
      </c>
      <c r="AC182" s="6" t="str">
        <f>_xll.BQL("NOW US Equity", "BS_OTHER_NONCURRENT_LIABILITIES/1M", "FPR=2021Y", "FPT=A", "FA_ACT_EST_DATA=E, EST_SOURCE=BNS", "ACT_EST_MAPPING=PRECISE", "FS=MRC", "CURRENCY=USD", "XLFILL=b")</f>
        <v>#N/A Requesting Data...</v>
      </c>
      <c r="AD182" s="6" t="str">
        <f>_xll.BQL("NOW US Equity", "BS_OTHER_NONCURRENT_LIABILITIES/1M", "FPR=2021Y", "FPT=A", "FA_ACT_EST_DATA=E, EST_SOURCE=BAM", "ACT_EST_MAPPING=PRECISE", "FS=MRC", "CURRENCY=USD", "XLFILL=b")</f>
        <v>#N/A Requesting Data...</v>
      </c>
      <c r="AE182" s="6" t="str">
        <f>_xll.BQL("NOW US Equity", "BS_OTHER_NONCURRENT_LIABILITIES/1M", "FPR=2021Y", "FPT=A", "FA_ACT_EST_DATA=E, EST_SOURCE=GSR", "ACT_EST_MAPPING=PRECISE", "FS=MRC", "CURRENCY=USD", "XLFILL=b")</f>
        <v>#N/A Requesting Data...</v>
      </c>
      <c r="AF182" s="6" t="str">
        <f>_xll.BQL("NOW US Equity", "BS_OTHER_NONCURRENT_LIABILITIES/1M", "FPR=2021Y", "FPT=A", "FA_ACT_EST_DATA=E, EST_SOURCE=FBC", "ACT_EST_MAPPING=PRECISE", "FS=MRC", "CURRENCY=USD", "XLFILL=b")</f>
        <v>#N/A Requesting Data...</v>
      </c>
      <c r="AG182" s="6" t="str">
        <f>_xll.BQL("NOW US Equity", "BS_OTHER_NONCURRENT_LIABILITIES/1M", "FPR=2021Y", "FPT=A", "FA_ACT_EST_DATA=E, EST_SOURCE=MAC", "ACT_EST_MAPPING=PRECISE", "FS=MRC", "CURRENCY=USD", "XLFILL=b")</f>
        <v>#N/A Requesting Data...</v>
      </c>
      <c r="AH182" s="6" t="str">
        <f>_xll.BQL("NOW US Equity", "BS_OTHER_NONCURRENT_LIABILITIES/1M", "FPR=2021Y", "FPT=A", "FA_ACT_EST_DATA=E, EST_SOURCE=PSG", "ACT_EST_MAPPING=PRECISE", "FS=MRC", "CURRENCY=USD", "XLFILL=b")</f>
        <v>#N/A Requesting Data...</v>
      </c>
      <c r="AI182" s="6" t="str">
        <f>_xll.BQL("NOW US Equity", "BS_OTHER_NONCURRENT_LIABILITIES/1M", "FPR=2021Y", "FPT=A", "FA_ACT_EST_DATA=E, EST_SOURCE=MSR", "ACT_EST_MAPPING=PRECISE", "FS=MRC", "CURRENCY=USD", "XLFILL=b")</f>
        <v>#N/A Requesting Data...</v>
      </c>
      <c r="AJ182" s="6" t="str">
        <f>_xll.BQL("NOW US Equity", "BS_OTHER_NONCURRENT_LIABILITIES/1M", "FPR=2021Y", "FPT=A", "FA_ACT_EST_DATA=E, EST_SOURCE=JEF", "ACT_EST_MAPPING=PRECISE", "FS=MRC", "CURRENCY=USD", "XLFILL=b")</f>
        <v>#N/A Requesting Data...</v>
      </c>
      <c r="AK182" s="6" t="str">
        <f>_xll.BQL("NOW US Equity", "BS_OTHER_NONCURRENT_LIABILITIES/1M", "FPR=2021Y", "FPT=A", "FA_ACT_EST_DATA=E, EST_SOURCE=TTC", "ACT_EST_MAPPING=PRECISE", "FS=MRC", "CURRENCY=USD", "XLFILL=b")</f>
        <v>#N/A Requesting Data...</v>
      </c>
      <c r="AL182" s="6" t="str">
        <f>_xll.BQL("NOW US Equity", "BS_OTHER_NONCURRENT_LIABILITIES/1M", "FPR=2021Y", "FPT=A", "FA_ACT_EST_DATA=E, EST_SOURCE=RWB", "ACT_EST_MAPPING=PRECISE", "FS=MRC", "CURRENCY=USD", "XLFILL=b")</f>
        <v>#N/A Requesting Data...</v>
      </c>
      <c r="AM182" s="6" t="str">
        <f>_xll.BQL("NOW US Equity", "BS_OTHER_NONCURRENT_LIABILITIES/1M", "FPR=2021Y", "FPT=A", "FA_ACT_EST_DATA=E, EST_SOURCE=DZB", "ACT_EST_MAPPING=PRECISE", "FS=MRC", "CURRENCY=USD", "XLFILL=b")</f>
        <v>#N/A Requesting Data...</v>
      </c>
      <c r="AN182" s="6" t="str">
        <f>_xll.BQL("NOW US Equity", "BS_OTHER_NONCURRENT_LIABILITIES/1M", "FPR=2021Y", "FPT=A", "FA_ACT_EST_DATA=E, EST_SOURCE=DWI", "ACT_EST_MAPPING=PRECISE", "FS=MRC", "CURRENCY=USD", "XLFILL=b")</f>
        <v>#N/A Requesting Data...</v>
      </c>
      <c r="AO182" s="6" t="str">
        <f>_xll.BQL("NOW US Equity", "BS_OTHER_NONCURRENT_LIABILITIES/1M", "FPR=2021Y", "FPT=A", "FA_ACT_EST_DATA=E, EST_SOURCE=ARG", "ACT_EST_MAPPING=PRECISE", "FS=MRC", "CURRENCY=USD", "XLFILL=b")</f>
        <v>#N/A Requesting Data...</v>
      </c>
      <c r="AP182" s="6" t="str">
        <f>_xll.BQL("NOW US Equity", "BS_OTHER_NONCURRENT_LIABILITIES/1M", "FPR=2021Y", "FPT=A", "FA_ACT_EST_DATA=E, EST_SOURCE=CTI", "ACT_EST_MAPPING=PRECISE", "FS=MRC", "CURRENCY=USD", "XLFILL=b")</f>
        <v>#N/A Requesting Data...</v>
      </c>
      <c r="AQ182" s="6" t="str">
        <f>_xll.BQL("NOW US Equity", "BS_OTHER_NONCURRENT_LIABILITIES/1M", "FPR=2021Y", "FPT=A", "FA_ACT_EST_DATA=E, EST_SOURCE=WFT", "ACT_EST_MAPPING=PRECISE", "FS=MRC", "CURRENCY=USD", "XLFILL=b")</f>
        <v>#N/A Requesting Data...</v>
      </c>
      <c r="AR182" s="6" t="str">
        <f>_xll.BQL("NOW US Equity", "BS_OTHER_NONCURRENT_LIABILITIES/1M", "FPR=2021Y", "FPT=A", "FA_ACT_EST_DATA=E, EST_SOURCE=ARE", "ACT_EST_MAPPING=PRECISE", "FS=MRC", "CURRENCY=USD", "XLFILL=b")</f>
        <v>#N/A Requesting Data...</v>
      </c>
      <c r="AS182" s="6" t="str">
        <f>_xll.BQL("NOW US Equity", "BS_OTHER_NONCURRENT_LIABILITIES/1M", "FPR=2021Y", "FPT=A", "FA_ACT_EST_DATA=E, EST_SOURCE=PJE", "ACT_EST_MAPPING=PRECISE", "FS=MRC", "CURRENCY=USD", "XLFILL=b")</f>
        <v>#N/A Requesting Data...</v>
      </c>
      <c r="AT182" s="6" t="str">
        <f>_xll.BQL("NOW US Equity", "BS_OTHER_NONCURRENT_LIABILITIES/1M", "FPR=2021Y", "FPT=A", "FA_ACT_EST_DATA=E, EST_SOURCE=MZS", "ACT_EST_MAPPING=PRECISE", "FS=MRC", "CURRENCY=USD", "XLFILL=b")</f>
        <v>#N/A Requesting Data...</v>
      </c>
      <c r="AU182" s="6" t="str">
        <f>_xll.BQL("NOW US Equity", "BS_OTHER_NONCURRENT_LIABILITIES/1M", "FPR=2021Y", "FPT=A", "FA_ACT_EST_DATA=E, EST_SOURCE=SUM", "ACT_EST_MAPPING=PRECISE", "FS=MRC", "CURRENCY=USD", "XLFILL=b")</f>
        <v>#N/A Requesting Data...</v>
      </c>
      <c r="AV182" s="6" t="str">
        <f>_xll.BQL("NOW US Equity", "BS_OTHER_NONCURRENT_LIABILITIES/1M", "FPR=2021Y", "FPT=A", "FA_ACT_EST_DATA=E, EST_SOURCE=CRC", "ACT_EST_MAPPING=PRECISE", "FS=MRC", "CURRENCY=USD", "XLFILL=b")</f>
        <v>#N/A Requesting Data...</v>
      </c>
      <c r="AW182" s="6" t="str">
        <f>_xll.BQL("NOW US Equity", "BS_OTHER_NONCURRENT_LIABILITIES/1M", "FPR=2021Y", "FPT=A", "FA_ACT_EST_DATA=E, EST_SOURCE=SCB", "ACT_EST_MAPPING=PRECISE", "FS=MRC", "CURRENCY=USD", "XLFILL=b")</f>
        <v>#N/A Requesting Data...</v>
      </c>
    </row>
    <row r="183" spans="1:49" x14ac:dyDescent="0.55000000000000004">
      <c r="A183" s="5" t="s">
        <v>332</v>
      </c>
      <c r="B183" s="2" t="s">
        <v>333</v>
      </c>
      <c r="C183" s="2" t="s">
        <v>334</v>
      </c>
      <c r="D183" s="2"/>
      <c r="E183" s="6" t="str">
        <f>_xll.BQL("NOW US Equity", "BS_TOTAL_LIABILITIES/1M", "FPR=2021Y", "FPT=A", "FA_ACT_EST_DATA=E", "ACT_EST_MAPPING=PRECISE", "FS=MRC", "CURRENCY=USD", "XLFILL=b")</f>
        <v>#N/A Requesting Data...</v>
      </c>
      <c r="F183" s="6" t="str">
        <f>_xll.BQL("NOW US Equity", "CONTRIBUTOR_STATS(BS_TOTAL_LIABILITIES, MIN)/1M", "FPR=2021Y", "FPT=A", "FA_ACT_EST_DATA=E", "ACT_EST_MAPPING=PRECISE", "FS=MRC", "CURRENCY=USD", "XLFILL=b")</f>
        <v>#N/A Requesting Data...</v>
      </c>
      <c r="G183" s="6" t="str">
        <f>_xll.BQL("NOW US Equity", "CONTRIBUTOR_STATS(BS_TOTAL_LIABILITIES, MAX)/1M", "FPR=2021Y", "FPT=A", "FA_ACT_EST_DATA=E", "ACT_EST_MAPPING=PRECISE", "FS=MRC", "CURRENCY=USD", "XLFILL=b")</f>
        <v>#N/A Requesting Data...</v>
      </c>
      <c r="H183" s="6" t="str">
        <f>_xll.BQL("NOW US Equity", "CONTRIBUTOR_STATS(BS_TOTAL_LIABILITIES, STD)/1M", "FPR=2021Y", "FPT=A", "FA_ACT_EST_DATA=E", "ACT_EST_MAPPING=PRECISE", "FS=MRC", "CURRENCY=USD", "XLFILL=b")</f>
        <v>#N/A Requesting Data...</v>
      </c>
      <c r="I183" s="6" t="str">
        <f>_xll.BQL("NOW US Equity", "CONTRIBUTOR_STATS(BS_TOTAL_LIABILITIES, MEDIAN)/1M", "FPR=2021Y", "FPT=A", "FA_ACT_EST_DATA=E", "ACT_EST_MAPPING=PRECISE", "FS=MRC", "CURRENCY=USD", "XLFILL=b")</f>
        <v>#N/A Requesting Data...</v>
      </c>
      <c r="J183" s="6" t="str">
        <f>_xll.BQL("NOW US Equity", "BS_TOTAL_LIABILITIES/1M", "FPR=2021Y", "FPT=A", "FA_ACT_EST_DATA=E, EST_SOURCE=CMPY", "ACT_EST_MAPPING=PRECISE", "FS=MRC", "CURRENCY=USD", "XLFILL=b")</f>
        <v>#N/A Requesting Data...</v>
      </c>
      <c r="K183" s="6" t="str">
        <f>_xll.BQL("NOW US Equity", "BS_TOTAL_LIABILITIES/1M", "FPR=2021Y", "FPT=A", "FA_ACT_EST_DATA=E, EST_SOURCE=JPM", "ACT_EST_MAPPING=PRECISE", "FS=MRC", "CURRENCY=USD", "XLFILL=b")</f>
        <v>#N/A Requesting Data...</v>
      </c>
      <c r="L183" s="6" t="str">
        <f>_xll.BQL("NOW US Equity", "BS_TOTAL_LIABILITIES/1M", "FPR=2021Y", "FPT=A", "FA_ACT_EST_DATA=E, EST_SOURCE=WBL", "ACT_EST_MAPPING=PRECISE", "FS=MRC", "CURRENCY=USD", "XLFILL=b")</f>
        <v>#N/A Requesting Data...</v>
      </c>
      <c r="M183" s="6" t="str">
        <f>_xll.BQL("NOW US Equity", "BS_TOTAL_LIABILITIES/1M", "FPR=2021Y", "FPT=A", "FA_ACT_EST_DATA=E, EST_SOURCE=KEY", "ACT_EST_MAPPING=PRECISE", "FS=MRC", "CURRENCY=USD", "XLFILL=b")</f>
        <v>#N/A Requesting Data...</v>
      </c>
      <c r="N183" s="6" t="str">
        <f>_xll.BQL("NOW US Equity", "BS_TOTAL_LIABILITIES/1M", "FPR=2021Y", "FPT=A", "FA_ACT_EST_DATA=E, EST_SOURCE=BMO", "ACT_EST_MAPPING=PRECISE", "FS=MRC", "CURRENCY=USD", "XLFILL=b")</f>
        <v>#N/A Requesting Data...</v>
      </c>
      <c r="O183" s="6" t="str">
        <f>_xll.BQL("NOW US Equity", "BS_TOTAL_LIABILITIES/1M", "FPR=2021Y", "FPT=A", "FA_ACT_EST_DATA=E, EST_SOURCE=OPY", "ACT_EST_MAPPING=PRECISE", "FS=MRC", "CURRENCY=USD", "XLFILL=b")</f>
        <v>#N/A Requesting Data...</v>
      </c>
      <c r="P183" s="6" t="str">
        <f>_xll.BQL("NOW US Equity", "BS_TOTAL_LIABILITIES/1M", "FPR=2021Y", "FPT=A", "FA_ACT_EST_DATA=E, EST_SOURCE=BCA", "ACT_EST_MAPPING=PRECISE", "FS=MRC", "CURRENCY=USD", "XLFILL=b")</f>
        <v>#N/A Requesting Data...</v>
      </c>
      <c r="Q183" s="6" t="str">
        <f>_xll.BQL("NOW US Equity", "BS_TOTAL_LIABILITIES/1M", "FPR=2021Y", "FPT=A", "FA_ACT_EST_DATA=E, EST_SOURCE=RHR", "ACT_EST_MAPPING=PRECISE", "FS=MRC", "CURRENCY=USD", "XLFILL=b")</f>
        <v>#N/A Requesting Data...</v>
      </c>
      <c r="R183" s="6" t="str">
        <f>_xll.BQL("NOW US Equity", "BS_TOTAL_LIABILITIES/1M", "FPR=2021Y", "FPT=A", "FA_ACT_EST_DATA=E, EST_SOURCE=SNR", "ACT_EST_MAPPING=PRECISE", "FS=MRC", "CURRENCY=USD", "XLFILL=b")</f>
        <v>#N/A Requesting Data...</v>
      </c>
      <c r="S183" s="6" t="str">
        <f>_xll.BQL("NOW US Equity", "BS_TOTAL_LIABILITIES/1M", "FPR=2021Y", "FPT=A", "FA_ACT_EST_DATA=E, EST_SOURCE=MSV", "ACT_EST_MAPPING=PRECISE", "FS=MRC", "CURRENCY=USD", "XLFILL=b")</f>
        <v>#N/A Requesting Data...</v>
      </c>
      <c r="T183" s="6" t="str">
        <f>_xll.BQL("NOW US Equity", "BS_TOTAL_LIABILITIES/1M", "FPR=2021Y", "FPT=A", "FA_ACT_EST_DATA=E, EST_SOURCE=CAN", "ACT_EST_MAPPING=PRECISE", "FS=MRC", "CURRENCY=USD", "XLFILL=b")</f>
        <v>#N/A Requesting Data...</v>
      </c>
      <c r="U183" s="6" t="str">
        <f>_xll.BQL("NOW US Equity", "BS_TOTAL_LIABILITIES/1M", "FPR=2021Y", "FPT=A", "FA_ACT_EST_DATA=E, EST_SOURCE=JMP", "ACT_EST_MAPPING=PRECISE", "FS=MRC", "CURRENCY=USD", "XLFILL=b")</f>
        <v>#N/A Requesting Data...</v>
      </c>
      <c r="V183" s="6" t="str">
        <f>_xll.BQL("NOW US Equity", "BS_TOTAL_LIABILITIES/1M", "FPR=2021Y", "FPT=A", "FA_ACT_EST_DATA=E, EST_SOURCE=NDH", "ACT_EST_MAPPING=PRECISE", "FS=MRC", "CURRENCY=USD", "XLFILL=b")</f>
        <v>#N/A Requesting Data...</v>
      </c>
      <c r="W183" s="6" t="str">
        <f>_xll.BQL("NOW US Equity", "BS_TOTAL_LIABILITIES/1M", "FPR=2021Y", "FPT=A", "FA_ACT_EST_DATA=E, EST_SOURCE=ZXS", "ACT_EST_MAPPING=PRECISE", "FS=MRC", "CURRENCY=USD", "XLFILL=b")</f>
        <v>#N/A Requesting Data...</v>
      </c>
      <c r="X183" s="6" t="str">
        <f>_xll.BQL("NOW US Equity", "BS_TOTAL_LIABILITIES/1M", "FPR=2021Y", "FPT=A", "FA_ACT_EST_DATA=E, EST_SOURCE=CWN", "ACT_EST_MAPPING=PRECISE", "FS=MRC", "CURRENCY=USD", "XLFILL=b")</f>
        <v>#N/A Requesting Data...</v>
      </c>
      <c r="Y183" s="6" t="str">
        <f>_xll.BQL("NOW US Equity", "BS_TOTAL_LIABILITIES/1M", "FPR=2021Y", "FPT=A", "FA_ACT_EST_DATA=E, EST_SOURCE=DBG", "ACT_EST_MAPPING=PRECISE", "FS=MRC", "CURRENCY=USD", "XLFILL=b")</f>
        <v>#N/A Requesting Data...</v>
      </c>
      <c r="Z183" s="6" t="str">
        <f>_xll.BQL("NOW US Equity", "BS_TOTAL_LIABILITIES/1M", "FPR=2021Y", "FPT=A", "FA_ACT_EST_DATA=E, EST_SOURCE=UBS", "ACT_EST_MAPPING=PRECISE", "FS=MRC", "CURRENCY=USD", "XLFILL=b")</f>
        <v>#N/A Requesting Data...</v>
      </c>
      <c r="AA183" s="6" t="str">
        <f>_xll.BQL("NOW US Equity", "BS_TOTAL_LIABILITIES/1M", "FPR=2021Y", "FPT=A", "FA_ACT_EST_DATA=E, EST_SOURCE=RBC", "ACT_EST_MAPPING=PRECISE", "FS=MRC", "CURRENCY=USD", "XLFILL=b")</f>
        <v>#N/A Requesting Data...</v>
      </c>
      <c r="AB183" s="6" t="str">
        <f>_xll.BQL("NOW US Equity", "BS_TOTAL_LIABILITIES/1M", "FPR=2021Y", "FPT=A", "FA_ACT_EST_DATA=E, EST_SOURCE=EVR", "ACT_EST_MAPPING=PRECISE", "FS=MRC", "CURRENCY=USD", "XLFILL=b")</f>
        <v>#N/A Requesting Data...</v>
      </c>
      <c r="AC183" s="6" t="str">
        <f>_xll.BQL("NOW US Equity", "BS_TOTAL_LIABILITIES/1M", "FPR=2021Y", "FPT=A", "FA_ACT_EST_DATA=E, EST_SOURCE=BNS", "ACT_EST_MAPPING=PRECISE", "FS=MRC", "CURRENCY=USD", "XLFILL=b")</f>
        <v>#N/A Requesting Data...</v>
      </c>
      <c r="AD183" s="6" t="str">
        <f>_xll.BQL("NOW US Equity", "BS_TOTAL_LIABILITIES/1M", "FPR=2021Y", "FPT=A", "FA_ACT_EST_DATA=E, EST_SOURCE=BAM", "ACT_EST_MAPPING=PRECISE", "FS=MRC", "CURRENCY=USD", "XLFILL=b")</f>
        <v>#N/A Requesting Data...</v>
      </c>
      <c r="AE183" s="6" t="str">
        <f>_xll.BQL("NOW US Equity", "BS_TOTAL_LIABILITIES/1M", "FPR=2021Y", "FPT=A", "FA_ACT_EST_DATA=E, EST_SOURCE=GSR", "ACT_EST_MAPPING=PRECISE", "FS=MRC", "CURRENCY=USD", "XLFILL=b")</f>
        <v>#N/A Requesting Data...</v>
      </c>
      <c r="AF183" s="6" t="str">
        <f>_xll.BQL("NOW US Equity", "BS_TOTAL_LIABILITIES/1M", "FPR=2021Y", "FPT=A", "FA_ACT_EST_DATA=E, EST_SOURCE=FBC", "ACT_EST_MAPPING=PRECISE", "FS=MRC", "CURRENCY=USD", "XLFILL=b")</f>
        <v>#N/A Requesting Data...</v>
      </c>
      <c r="AG183" s="6" t="str">
        <f>_xll.BQL("NOW US Equity", "BS_TOTAL_LIABILITIES/1M", "FPR=2021Y", "FPT=A", "FA_ACT_EST_DATA=E, EST_SOURCE=MAC", "ACT_EST_MAPPING=PRECISE", "FS=MRC", "CURRENCY=USD", "XLFILL=b")</f>
        <v>#N/A Requesting Data...</v>
      </c>
      <c r="AH183" s="6" t="str">
        <f>_xll.BQL("NOW US Equity", "BS_TOTAL_LIABILITIES/1M", "FPR=2021Y", "FPT=A", "FA_ACT_EST_DATA=E, EST_SOURCE=PSG", "ACT_EST_MAPPING=PRECISE", "FS=MRC", "CURRENCY=USD", "XLFILL=b")</f>
        <v>#N/A Requesting Data...</v>
      </c>
      <c r="AI183" s="6" t="str">
        <f>_xll.BQL("NOW US Equity", "BS_TOTAL_LIABILITIES/1M", "FPR=2021Y", "FPT=A", "FA_ACT_EST_DATA=E, EST_SOURCE=MSR", "ACT_EST_MAPPING=PRECISE", "FS=MRC", "CURRENCY=USD", "XLFILL=b")</f>
        <v>#N/A Requesting Data...</v>
      </c>
      <c r="AJ183" s="6" t="str">
        <f>_xll.BQL("NOW US Equity", "BS_TOTAL_LIABILITIES/1M", "FPR=2021Y", "FPT=A", "FA_ACT_EST_DATA=E, EST_SOURCE=JEF", "ACT_EST_MAPPING=PRECISE", "FS=MRC", "CURRENCY=USD", "XLFILL=b")</f>
        <v>#N/A Requesting Data...</v>
      </c>
      <c r="AK183" s="6" t="str">
        <f>_xll.BQL("NOW US Equity", "BS_TOTAL_LIABILITIES/1M", "FPR=2021Y", "FPT=A", "FA_ACT_EST_DATA=E, EST_SOURCE=TTC", "ACT_EST_MAPPING=PRECISE", "FS=MRC", "CURRENCY=USD", "XLFILL=b")</f>
        <v>#N/A Requesting Data...</v>
      </c>
      <c r="AL183" s="6" t="str">
        <f>_xll.BQL("NOW US Equity", "BS_TOTAL_LIABILITIES/1M", "FPR=2021Y", "FPT=A", "FA_ACT_EST_DATA=E, EST_SOURCE=RWB", "ACT_EST_MAPPING=PRECISE", "FS=MRC", "CURRENCY=USD", "XLFILL=b")</f>
        <v>#N/A Requesting Data...</v>
      </c>
      <c r="AM183" s="6" t="str">
        <f>_xll.BQL("NOW US Equity", "BS_TOTAL_LIABILITIES/1M", "FPR=2021Y", "FPT=A", "FA_ACT_EST_DATA=E, EST_SOURCE=DZB", "ACT_EST_MAPPING=PRECISE", "FS=MRC", "CURRENCY=USD", "XLFILL=b")</f>
        <v>#N/A Requesting Data...</v>
      </c>
      <c r="AN183" s="6" t="str">
        <f>_xll.BQL("NOW US Equity", "BS_TOTAL_LIABILITIES/1M", "FPR=2021Y", "FPT=A", "FA_ACT_EST_DATA=E, EST_SOURCE=DWI", "ACT_EST_MAPPING=PRECISE", "FS=MRC", "CURRENCY=USD", "XLFILL=b")</f>
        <v>#N/A Requesting Data...</v>
      </c>
      <c r="AO183" s="6" t="str">
        <f>_xll.BQL("NOW US Equity", "BS_TOTAL_LIABILITIES/1M", "FPR=2021Y", "FPT=A", "FA_ACT_EST_DATA=E, EST_SOURCE=ARG", "ACT_EST_MAPPING=PRECISE", "FS=MRC", "CURRENCY=USD", "XLFILL=b")</f>
        <v>#N/A Requesting Data...</v>
      </c>
      <c r="AP183" s="6" t="str">
        <f>_xll.BQL("NOW US Equity", "BS_TOTAL_LIABILITIES/1M", "FPR=2021Y", "FPT=A", "FA_ACT_EST_DATA=E, EST_SOURCE=CTI", "ACT_EST_MAPPING=PRECISE", "FS=MRC", "CURRENCY=USD", "XLFILL=b")</f>
        <v>#N/A Requesting Data...</v>
      </c>
      <c r="AQ183" s="6" t="str">
        <f>_xll.BQL("NOW US Equity", "BS_TOTAL_LIABILITIES/1M", "FPR=2021Y", "FPT=A", "FA_ACT_EST_DATA=E, EST_SOURCE=WFT", "ACT_EST_MAPPING=PRECISE", "FS=MRC", "CURRENCY=USD", "XLFILL=b")</f>
        <v>#N/A Requesting Data...</v>
      </c>
      <c r="AR183" s="6" t="str">
        <f>_xll.BQL("NOW US Equity", "BS_TOTAL_LIABILITIES/1M", "FPR=2021Y", "FPT=A", "FA_ACT_EST_DATA=E, EST_SOURCE=ARE", "ACT_EST_MAPPING=PRECISE", "FS=MRC", "CURRENCY=USD", "XLFILL=b")</f>
        <v>#N/A Requesting Data...</v>
      </c>
      <c r="AS183" s="6" t="str">
        <f>_xll.BQL("NOW US Equity", "BS_TOTAL_LIABILITIES/1M", "FPR=2021Y", "FPT=A", "FA_ACT_EST_DATA=E, EST_SOURCE=PJE", "ACT_EST_MAPPING=PRECISE", "FS=MRC", "CURRENCY=USD", "XLFILL=b")</f>
        <v>#N/A Requesting Data...</v>
      </c>
      <c r="AT183" s="6" t="str">
        <f>_xll.BQL("NOW US Equity", "BS_TOTAL_LIABILITIES/1M", "FPR=2021Y", "FPT=A", "FA_ACT_EST_DATA=E, EST_SOURCE=MZS", "ACT_EST_MAPPING=PRECISE", "FS=MRC", "CURRENCY=USD", "XLFILL=b")</f>
        <v>#N/A Requesting Data...</v>
      </c>
      <c r="AU183" s="6" t="str">
        <f>_xll.BQL("NOW US Equity", "BS_TOTAL_LIABILITIES/1M", "FPR=2021Y", "FPT=A", "FA_ACT_EST_DATA=E, EST_SOURCE=SUM", "ACT_EST_MAPPING=PRECISE", "FS=MRC", "CURRENCY=USD", "XLFILL=b")</f>
        <v>#N/A Requesting Data...</v>
      </c>
      <c r="AV183" s="6" t="str">
        <f>_xll.BQL("NOW US Equity", "BS_TOTAL_LIABILITIES/1M", "FPR=2021Y", "FPT=A", "FA_ACT_EST_DATA=E, EST_SOURCE=CRC", "ACT_EST_MAPPING=PRECISE", "FS=MRC", "CURRENCY=USD", "XLFILL=b")</f>
        <v>#N/A Requesting Data...</v>
      </c>
      <c r="AW183" s="6" t="str">
        <f>_xll.BQL("NOW US Equity", "BS_TOTAL_LIABILITIES/1M", "FPR=2021Y", "FPT=A", "FA_ACT_EST_DATA=E, EST_SOURCE=SCB", "ACT_EST_MAPPING=PRECISE", "FS=MRC", "CURRENCY=USD", "XLFILL=b")</f>
        <v>#N/A Requesting Data...</v>
      </c>
    </row>
    <row r="184" spans="1:49" x14ac:dyDescent="0.55000000000000004">
      <c r="A184" s="5" t="s">
        <v>335</v>
      </c>
      <c r="B184" s="2" t="s">
        <v>336</v>
      </c>
      <c r="C184" s="2" t="s">
        <v>337</v>
      </c>
      <c r="D184" s="2"/>
      <c r="E184" s="6" t="str">
        <f>_xll.BQL("NOW US Equity", "BS_EQTY_BEFORE_MINORITY_INT/1M", "FPR=2021Y", "FPT=A", "FA_ACT_EST_DATA=E", "ACT_EST_MAPPING=PRECISE", "FS=MRC", "CURRENCY=USD", "XLFILL=b")</f>
        <v>#N/A Requesting Data...</v>
      </c>
      <c r="F184" s="6" t="str">
        <f>_xll.BQL("NOW US Equity", "CONTRIBUTOR_STATS(BS_EQTY_BEFORE_MINORITY_INT, MIN)/1M", "FPR=2021Y", "FPT=A", "FA_ACT_EST_DATA=E", "ACT_EST_MAPPING=PRECISE", "FS=MRC", "CURRENCY=USD", "XLFILL=b")</f>
        <v>#N/A Requesting Data...</v>
      </c>
      <c r="G184" s="6" t="str">
        <f>_xll.BQL("NOW US Equity", "CONTRIBUTOR_STATS(BS_EQTY_BEFORE_MINORITY_INT, MAX)/1M", "FPR=2021Y", "FPT=A", "FA_ACT_EST_DATA=E", "ACT_EST_MAPPING=PRECISE", "FS=MRC", "CURRENCY=USD", "XLFILL=b")</f>
        <v>#N/A Requesting Data...</v>
      </c>
      <c r="H184" s="6" t="str">
        <f>_xll.BQL("NOW US Equity", "CONTRIBUTOR_STATS(BS_EQTY_BEFORE_MINORITY_INT, STD)/1M", "FPR=2021Y", "FPT=A", "FA_ACT_EST_DATA=E", "ACT_EST_MAPPING=PRECISE", "FS=MRC", "CURRENCY=USD", "XLFILL=b")</f>
        <v>#N/A Requesting Data...</v>
      </c>
      <c r="I184" s="6" t="str">
        <f>_xll.BQL("NOW US Equity", "CONTRIBUTOR_STATS(BS_EQTY_BEFORE_MINORITY_INT, MEDIAN)/1M", "FPR=2021Y", "FPT=A", "FA_ACT_EST_DATA=E", "ACT_EST_MAPPING=PRECISE", "FS=MRC", "CURRENCY=USD", "XLFILL=b")</f>
        <v>#N/A Requesting Data...</v>
      </c>
      <c r="J184" s="6" t="str">
        <f>_xll.BQL("NOW US Equity", "BS_EQTY_BEFORE_MINORITY_INT/1M", "FPR=2021Y", "FPT=A", "FA_ACT_EST_DATA=E, EST_SOURCE=CMPY", "ACT_EST_MAPPING=PRECISE", "FS=MRC", "CURRENCY=USD", "XLFILL=b")</f>
        <v>#N/A Requesting Data...</v>
      </c>
      <c r="K184" s="6" t="str">
        <f>_xll.BQL("NOW US Equity", "BS_EQTY_BEFORE_MINORITY_INT/1M", "FPR=2021Y", "FPT=A", "FA_ACT_EST_DATA=E, EST_SOURCE=JPM", "ACT_EST_MAPPING=PRECISE", "FS=MRC", "CURRENCY=USD", "XLFILL=b")</f>
        <v>#N/A Requesting Data...</v>
      </c>
      <c r="L184" s="6" t="str">
        <f>_xll.BQL("NOW US Equity", "BS_EQTY_BEFORE_MINORITY_INT/1M", "FPR=2021Y", "FPT=A", "FA_ACT_EST_DATA=E, EST_SOURCE=WBL", "ACT_EST_MAPPING=PRECISE", "FS=MRC", "CURRENCY=USD", "XLFILL=b")</f>
        <v>#N/A Requesting Data...</v>
      </c>
      <c r="M184" s="6" t="str">
        <f>_xll.BQL("NOW US Equity", "BS_EQTY_BEFORE_MINORITY_INT/1M", "FPR=2021Y", "FPT=A", "FA_ACT_EST_DATA=E, EST_SOURCE=KEY", "ACT_EST_MAPPING=PRECISE", "FS=MRC", "CURRENCY=USD", "XLFILL=b")</f>
        <v>#N/A Requesting Data...</v>
      </c>
      <c r="N184" s="6" t="str">
        <f>_xll.BQL("NOW US Equity", "BS_EQTY_BEFORE_MINORITY_INT/1M", "FPR=2021Y", "FPT=A", "FA_ACT_EST_DATA=E, EST_SOURCE=BMO", "ACT_EST_MAPPING=PRECISE", "FS=MRC", "CURRENCY=USD", "XLFILL=b")</f>
        <v>#N/A Requesting Data...</v>
      </c>
      <c r="O184" s="6" t="str">
        <f>_xll.BQL("NOW US Equity", "BS_EQTY_BEFORE_MINORITY_INT/1M", "FPR=2021Y", "FPT=A", "FA_ACT_EST_DATA=E, EST_SOURCE=OPY", "ACT_EST_MAPPING=PRECISE", "FS=MRC", "CURRENCY=USD", "XLFILL=b")</f>
        <v>#N/A Requesting Data...</v>
      </c>
      <c r="P184" s="6" t="str">
        <f>_xll.BQL("NOW US Equity", "BS_EQTY_BEFORE_MINORITY_INT/1M", "FPR=2021Y", "FPT=A", "FA_ACT_EST_DATA=E, EST_SOURCE=BCA", "ACT_EST_MAPPING=PRECISE", "FS=MRC", "CURRENCY=USD", "XLFILL=b")</f>
        <v>#N/A Requesting Data...</v>
      </c>
      <c r="Q184" s="6" t="str">
        <f>_xll.BQL("NOW US Equity", "BS_EQTY_BEFORE_MINORITY_INT/1M", "FPR=2021Y", "FPT=A", "FA_ACT_EST_DATA=E, EST_SOURCE=RHR", "ACT_EST_MAPPING=PRECISE", "FS=MRC", "CURRENCY=USD", "XLFILL=b")</f>
        <v>#N/A Requesting Data...</v>
      </c>
      <c r="R184" s="6" t="str">
        <f>_xll.BQL("NOW US Equity", "BS_EQTY_BEFORE_MINORITY_INT/1M", "FPR=2021Y", "FPT=A", "FA_ACT_EST_DATA=E, EST_SOURCE=SNR", "ACT_EST_MAPPING=PRECISE", "FS=MRC", "CURRENCY=USD", "XLFILL=b")</f>
        <v>#N/A Requesting Data...</v>
      </c>
      <c r="S184" s="6" t="str">
        <f>_xll.BQL("NOW US Equity", "BS_EQTY_BEFORE_MINORITY_INT/1M", "FPR=2021Y", "FPT=A", "FA_ACT_EST_DATA=E, EST_SOURCE=MSV", "ACT_EST_MAPPING=PRECISE", "FS=MRC", "CURRENCY=USD", "XLFILL=b")</f>
        <v>#N/A Requesting Data...</v>
      </c>
      <c r="T184" s="6" t="str">
        <f>_xll.BQL("NOW US Equity", "BS_EQTY_BEFORE_MINORITY_INT/1M", "FPR=2021Y", "FPT=A", "FA_ACT_EST_DATA=E, EST_SOURCE=CAN", "ACT_EST_MAPPING=PRECISE", "FS=MRC", "CURRENCY=USD", "XLFILL=b")</f>
        <v>#N/A Requesting Data...</v>
      </c>
      <c r="U184" s="6" t="str">
        <f>_xll.BQL("NOW US Equity", "BS_EQTY_BEFORE_MINORITY_INT/1M", "FPR=2021Y", "FPT=A", "FA_ACT_EST_DATA=E, EST_SOURCE=JMP", "ACT_EST_MAPPING=PRECISE", "FS=MRC", "CURRENCY=USD", "XLFILL=b")</f>
        <v>#N/A Requesting Data...</v>
      </c>
      <c r="V184" s="6" t="str">
        <f>_xll.BQL("NOW US Equity", "BS_EQTY_BEFORE_MINORITY_INT/1M", "FPR=2021Y", "FPT=A", "FA_ACT_EST_DATA=E, EST_SOURCE=NDH", "ACT_EST_MAPPING=PRECISE", "FS=MRC", "CURRENCY=USD", "XLFILL=b")</f>
        <v>#N/A Requesting Data...</v>
      </c>
      <c r="W184" s="6" t="str">
        <f>_xll.BQL("NOW US Equity", "BS_EQTY_BEFORE_MINORITY_INT/1M", "FPR=2021Y", "FPT=A", "FA_ACT_EST_DATA=E, EST_SOURCE=ZXS", "ACT_EST_MAPPING=PRECISE", "FS=MRC", "CURRENCY=USD", "XLFILL=b")</f>
        <v>#N/A Requesting Data...</v>
      </c>
      <c r="X184" s="6" t="str">
        <f>_xll.BQL("NOW US Equity", "BS_EQTY_BEFORE_MINORITY_INT/1M", "FPR=2021Y", "FPT=A", "FA_ACT_EST_DATA=E, EST_SOURCE=CWN", "ACT_EST_MAPPING=PRECISE", "FS=MRC", "CURRENCY=USD", "XLFILL=b")</f>
        <v>#N/A Requesting Data...</v>
      </c>
      <c r="Y184" s="6" t="str">
        <f>_xll.BQL("NOW US Equity", "BS_EQTY_BEFORE_MINORITY_INT/1M", "FPR=2021Y", "FPT=A", "FA_ACT_EST_DATA=E, EST_SOURCE=DBG", "ACT_EST_MAPPING=PRECISE", "FS=MRC", "CURRENCY=USD", "XLFILL=b")</f>
        <v>#N/A Requesting Data...</v>
      </c>
      <c r="Z184" s="6" t="str">
        <f>_xll.BQL("NOW US Equity", "BS_EQTY_BEFORE_MINORITY_INT/1M", "FPR=2021Y", "FPT=A", "FA_ACT_EST_DATA=E, EST_SOURCE=UBS", "ACT_EST_MAPPING=PRECISE", "FS=MRC", "CURRENCY=USD", "XLFILL=b")</f>
        <v>#N/A Requesting Data...</v>
      </c>
      <c r="AA184" s="6" t="str">
        <f>_xll.BQL("NOW US Equity", "BS_EQTY_BEFORE_MINORITY_INT/1M", "FPR=2021Y", "FPT=A", "FA_ACT_EST_DATA=E, EST_SOURCE=RBC", "ACT_EST_MAPPING=PRECISE", "FS=MRC", "CURRENCY=USD", "XLFILL=b")</f>
        <v>#N/A Requesting Data...</v>
      </c>
      <c r="AB184" s="6" t="str">
        <f>_xll.BQL("NOW US Equity", "BS_EQTY_BEFORE_MINORITY_INT/1M", "FPR=2021Y", "FPT=A", "FA_ACT_EST_DATA=E, EST_SOURCE=EVR", "ACT_EST_MAPPING=PRECISE", "FS=MRC", "CURRENCY=USD", "XLFILL=b")</f>
        <v>#N/A Requesting Data...</v>
      </c>
      <c r="AC184" s="6" t="str">
        <f>_xll.BQL("NOW US Equity", "BS_EQTY_BEFORE_MINORITY_INT/1M", "FPR=2021Y", "FPT=A", "FA_ACT_EST_DATA=E, EST_SOURCE=BNS", "ACT_EST_MAPPING=PRECISE", "FS=MRC", "CURRENCY=USD", "XLFILL=b")</f>
        <v>#N/A Requesting Data...</v>
      </c>
      <c r="AD184" s="6" t="str">
        <f>_xll.BQL("NOW US Equity", "BS_EQTY_BEFORE_MINORITY_INT/1M", "FPR=2021Y", "FPT=A", "FA_ACT_EST_DATA=E, EST_SOURCE=BAM", "ACT_EST_MAPPING=PRECISE", "FS=MRC", "CURRENCY=USD", "XLFILL=b")</f>
        <v>#N/A Requesting Data...</v>
      </c>
      <c r="AE184" s="6" t="str">
        <f>_xll.BQL("NOW US Equity", "BS_EQTY_BEFORE_MINORITY_INT/1M", "FPR=2021Y", "FPT=A", "FA_ACT_EST_DATA=E, EST_SOURCE=GSR", "ACT_EST_MAPPING=PRECISE", "FS=MRC", "CURRENCY=USD", "XLFILL=b")</f>
        <v>#N/A Requesting Data...</v>
      </c>
      <c r="AF184" s="6" t="str">
        <f>_xll.BQL("NOW US Equity", "BS_EQTY_BEFORE_MINORITY_INT/1M", "FPR=2021Y", "FPT=A", "FA_ACT_EST_DATA=E, EST_SOURCE=FBC", "ACT_EST_MAPPING=PRECISE", "FS=MRC", "CURRENCY=USD", "XLFILL=b")</f>
        <v>#N/A Requesting Data...</v>
      </c>
      <c r="AG184" s="6" t="str">
        <f>_xll.BQL("NOW US Equity", "BS_EQTY_BEFORE_MINORITY_INT/1M", "FPR=2021Y", "FPT=A", "FA_ACT_EST_DATA=E, EST_SOURCE=MAC", "ACT_EST_MAPPING=PRECISE", "FS=MRC", "CURRENCY=USD", "XLFILL=b")</f>
        <v>#N/A Requesting Data...</v>
      </c>
      <c r="AH184" s="6" t="str">
        <f>_xll.BQL("NOW US Equity", "BS_EQTY_BEFORE_MINORITY_INT/1M", "FPR=2021Y", "FPT=A", "FA_ACT_EST_DATA=E, EST_SOURCE=PSG", "ACT_EST_MAPPING=PRECISE", "FS=MRC", "CURRENCY=USD", "XLFILL=b")</f>
        <v>#N/A Requesting Data...</v>
      </c>
      <c r="AI184" s="6" t="str">
        <f>_xll.BQL("NOW US Equity", "BS_EQTY_BEFORE_MINORITY_INT/1M", "FPR=2021Y", "FPT=A", "FA_ACT_EST_DATA=E, EST_SOURCE=MSR", "ACT_EST_MAPPING=PRECISE", "FS=MRC", "CURRENCY=USD", "XLFILL=b")</f>
        <v>#N/A Requesting Data...</v>
      </c>
      <c r="AJ184" s="6" t="str">
        <f>_xll.BQL("NOW US Equity", "BS_EQTY_BEFORE_MINORITY_INT/1M", "FPR=2021Y", "FPT=A", "FA_ACT_EST_DATA=E, EST_SOURCE=JEF", "ACT_EST_MAPPING=PRECISE", "FS=MRC", "CURRENCY=USD", "XLFILL=b")</f>
        <v>#N/A Requesting Data...</v>
      </c>
      <c r="AK184" s="6" t="str">
        <f>_xll.BQL("NOW US Equity", "BS_EQTY_BEFORE_MINORITY_INT/1M", "FPR=2021Y", "FPT=A", "FA_ACT_EST_DATA=E, EST_SOURCE=TTC", "ACT_EST_MAPPING=PRECISE", "FS=MRC", "CURRENCY=USD", "XLFILL=b")</f>
        <v>#N/A Requesting Data...</v>
      </c>
      <c r="AL184" s="6" t="str">
        <f>_xll.BQL("NOW US Equity", "BS_EQTY_BEFORE_MINORITY_INT/1M", "FPR=2021Y", "FPT=A", "FA_ACT_EST_DATA=E, EST_SOURCE=RWB", "ACT_EST_MAPPING=PRECISE", "FS=MRC", "CURRENCY=USD", "XLFILL=b")</f>
        <v>#N/A Requesting Data...</v>
      </c>
      <c r="AM184" s="6" t="str">
        <f>_xll.BQL("NOW US Equity", "BS_EQTY_BEFORE_MINORITY_INT/1M", "FPR=2021Y", "FPT=A", "FA_ACT_EST_DATA=E, EST_SOURCE=DZB", "ACT_EST_MAPPING=PRECISE", "FS=MRC", "CURRENCY=USD", "XLFILL=b")</f>
        <v>#N/A Requesting Data...</v>
      </c>
      <c r="AN184" s="6" t="str">
        <f>_xll.BQL("NOW US Equity", "BS_EQTY_BEFORE_MINORITY_INT/1M", "FPR=2021Y", "FPT=A", "FA_ACT_EST_DATA=E, EST_SOURCE=DWI", "ACT_EST_MAPPING=PRECISE", "FS=MRC", "CURRENCY=USD", "XLFILL=b")</f>
        <v>#N/A Requesting Data...</v>
      </c>
      <c r="AO184" s="6" t="str">
        <f>_xll.BQL("NOW US Equity", "BS_EQTY_BEFORE_MINORITY_INT/1M", "FPR=2021Y", "FPT=A", "FA_ACT_EST_DATA=E, EST_SOURCE=ARG", "ACT_EST_MAPPING=PRECISE", "FS=MRC", "CURRENCY=USD", "XLFILL=b")</f>
        <v>#N/A Requesting Data...</v>
      </c>
      <c r="AP184" s="6" t="str">
        <f>_xll.BQL("NOW US Equity", "BS_EQTY_BEFORE_MINORITY_INT/1M", "FPR=2021Y", "FPT=A", "FA_ACT_EST_DATA=E, EST_SOURCE=CTI", "ACT_EST_MAPPING=PRECISE", "FS=MRC", "CURRENCY=USD", "XLFILL=b")</f>
        <v>#N/A Requesting Data...</v>
      </c>
      <c r="AQ184" s="6" t="str">
        <f>_xll.BQL("NOW US Equity", "BS_EQTY_BEFORE_MINORITY_INT/1M", "FPR=2021Y", "FPT=A", "FA_ACT_EST_DATA=E, EST_SOURCE=WFT", "ACT_EST_MAPPING=PRECISE", "FS=MRC", "CURRENCY=USD", "XLFILL=b")</f>
        <v>#N/A Requesting Data...</v>
      </c>
      <c r="AR184" s="6" t="str">
        <f>_xll.BQL("NOW US Equity", "BS_EQTY_BEFORE_MINORITY_INT/1M", "FPR=2021Y", "FPT=A", "FA_ACT_EST_DATA=E, EST_SOURCE=ARE", "ACT_EST_MAPPING=PRECISE", "FS=MRC", "CURRENCY=USD", "XLFILL=b")</f>
        <v>#N/A Requesting Data...</v>
      </c>
      <c r="AS184" s="6" t="str">
        <f>_xll.BQL("NOW US Equity", "BS_EQTY_BEFORE_MINORITY_INT/1M", "FPR=2021Y", "FPT=A", "FA_ACT_EST_DATA=E, EST_SOURCE=PJE", "ACT_EST_MAPPING=PRECISE", "FS=MRC", "CURRENCY=USD", "XLFILL=b")</f>
        <v>#N/A Requesting Data...</v>
      </c>
      <c r="AT184" s="6" t="str">
        <f>_xll.BQL("NOW US Equity", "BS_EQTY_BEFORE_MINORITY_INT/1M", "FPR=2021Y", "FPT=A", "FA_ACT_EST_DATA=E, EST_SOURCE=MZS", "ACT_EST_MAPPING=PRECISE", "FS=MRC", "CURRENCY=USD", "XLFILL=b")</f>
        <v>#N/A Requesting Data...</v>
      </c>
      <c r="AU184" s="6" t="str">
        <f>_xll.BQL("NOW US Equity", "BS_EQTY_BEFORE_MINORITY_INT/1M", "FPR=2021Y", "FPT=A", "FA_ACT_EST_DATA=E, EST_SOURCE=SUM", "ACT_EST_MAPPING=PRECISE", "FS=MRC", "CURRENCY=USD", "XLFILL=b")</f>
        <v>#N/A Requesting Data...</v>
      </c>
      <c r="AV184" s="6" t="str">
        <f>_xll.BQL("NOW US Equity", "BS_EQTY_BEFORE_MINORITY_INT/1M", "FPR=2021Y", "FPT=A", "FA_ACT_EST_DATA=E, EST_SOURCE=CRC", "ACT_EST_MAPPING=PRECISE", "FS=MRC", "CURRENCY=USD", "XLFILL=b")</f>
        <v>#N/A Requesting Data...</v>
      </c>
      <c r="AW184" s="6" t="str">
        <f>_xll.BQL("NOW US Equity", "BS_EQTY_BEFORE_MINORITY_INT/1M", "FPR=2021Y", "FPT=A", "FA_ACT_EST_DATA=E, EST_SOURCE=SCB", "ACT_EST_MAPPING=PRECISE", "FS=MRC", "CURRENCY=USD", "XLFILL=b")</f>
        <v>#N/A Requesting Data...</v>
      </c>
    </row>
    <row r="185" spans="1:49" x14ac:dyDescent="0.55000000000000004">
      <c r="A185" s="5" t="s">
        <v>338</v>
      </c>
      <c r="B185" s="2" t="s">
        <v>298</v>
      </c>
      <c r="C185" s="2" t="s">
        <v>339</v>
      </c>
      <c r="D185" s="2"/>
      <c r="E185" s="6" t="str">
        <f>_xll.BQL("NOW US Equity", "BS_TOT_ASSET/1M", "FPR=2021Y", "FPT=A", "FA_ACT_EST_DATA=E", "ACT_EST_MAPPING=PRECISE", "FS=MRC", "CURRENCY=USD", "XLFILL=b")</f>
        <v>#N/A Requesting Data...</v>
      </c>
      <c r="F185" s="6" t="str">
        <f>_xll.BQL("NOW US Equity", "CONTRIBUTOR_STATS(BS_TOT_ASSET, MIN)/1M", "FPR=2021Y", "FPT=A", "FA_ACT_EST_DATA=E", "ACT_EST_MAPPING=PRECISE", "FS=MRC", "CURRENCY=USD", "XLFILL=b")</f>
        <v>#N/A Requesting Data...</v>
      </c>
      <c r="G185" s="6" t="str">
        <f>_xll.BQL("NOW US Equity", "CONTRIBUTOR_STATS(BS_TOT_ASSET, MAX)/1M", "FPR=2021Y", "FPT=A", "FA_ACT_EST_DATA=E", "ACT_EST_MAPPING=PRECISE", "FS=MRC", "CURRENCY=USD", "XLFILL=b")</f>
        <v>#N/A Requesting Data...</v>
      </c>
      <c r="H185" s="6" t="str">
        <f>_xll.BQL("NOW US Equity", "CONTRIBUTOR_STATS(BS_TOT_ASSET, STD)/1M", "FPR=2021Y", "FPT=A", "FA_ACT_EST_DATA=E", "ACT_EST_MAPPING=PRECISE", "FS=MRC", "CURRENCY=USD", "XLFILL=b")</f>
        <v>#N/A Requesting Data...</v>
      </c>
      <c r="I185" s="6" t="str">
        <f>_xll.BQL("NOW US Equity", "CONTRIBUTOR_STATS(BS_TOT_ASSET, MEDIAN)/1M", "FPR=2021Y", "FPT=A", "FA_ACT_EST_DATA=E", "ACT_EST_MAPPING=PRECISE", "FS=MRC", "CURRENCY=USD", "XLFILL=b")</f>
        <v>#N/A Requesting Data...</v>
      </c>
      <c r="J185" s="6" t="str">
        <f>_xll.BQL("NOW US Equity", "BS_TOT_ASSET/1M", "FPR=2021Y", "FPT=A", "FA_ACT_EST_DATA=E, EST_SOURCE=CMPY", "ACT_EST_MAPPING=PRECISE", "FS=MRC", "CURRENCY=USD", "XLFILL=b")</f>
        <v>#N/A Requesting Data...</v>
      </c>
      <c r="K185" s="6" t="str">
        <f>_xll.BQL("NOW US Equity", "BS_TOT_ASSET/1M", "FPR=2021Y", "FPT=A", "FA_ACT_EST_DATA=E, EST_SOURCE=JPM", "ACT_EST_MAPPING=PRECISE", "FS=MRC", "CURRENCY=USD", "XLFILL=b")</f>
        <v>#N/A Requesting Data...</v>
      </c>
      <c r="L185" s="6" t="str">
        <f>_xll.BQL("NOW US Equity", "BS_TOT_ASSET/1M", "FPR=2021Y", "FPT=A", "FA_ACT_EST_DATA=E, EST_SOURCE=WBL", "ACT_EST_MAPPING=PRECISE", "FS=MRC", "CURRENCY=USD", "XLFILL=b")</f>
        <v>#N/A Requesting Data...</v>
      </c>
      <c r="M185" s="6" t="str">
        <f>_xll.BQL("NOW US Equity", "BS_TOT_ASSET/1M", "FPR=2021Y", "FPT=A", "FA_ACT_EST_DATA=E, EST_SOURCE=KEY", "ACT_EST_MAPPING=PRECISE", "FS=MRC", "CURRENCY=USD", "XLFILL=b")</f>
        <v>#N/A Requesting Data...</v>
      </c>
      <c r="N185" s="6" t="str">
        <f>_xll.BQL("NOW US Equity", "BS_TOT_ASSET/1M", "FPR=2021Y", "FPT=A", "FA_ACT_EST_DATA=E, EST_SOURCE=BMO", "ACT_EST_MAPPING=PRECISE", "FS=MRC", "CURRENCY=USD", "XLFILL=b")</f>
        <v>#N/A Requesting Data...</v>
      </c>
      <c r="O185" s="6" t="str">
        <f>_xll.BQL("NOW US Equity", "BS_TOT_ASSET/1M", "FPR=2021Y", "FPT=A", "FA_ACT_EST_DATA=E, EST_SOURCE=OPY", "ACT_EST_MAPPING=PRECISE", "FS=MRC", "CURRENCY=USD", "XLFILL=b")</f>
        <v>#N/A Requesting Data...</v>
      </c>
      <c r="P185" s="6" t="str">
        <f>_xll.BQL("NOW US Equity", "BS_TOT_ASSET/1M", "FPR=2021Y", "FPT=A", "FA_ACT_EST_DATA=E, EST_SOURCE=BCA", "ACT_EST_MAPPING=PRECISE", "FS=MRC", "CURRENCY=USD", "XLFILL=b")</f>
        <v>#N/A Requesting Data...</v>
      </c>
      <c r="Q185" s="6" t="str">
        <f>_xll.BQL("NOW US Equity", "BS_TOT_ASSET/1M", "FPR=2021Y", "FPT=A", "FA_ACT_EST_DATA=E, EST_SOURCE=RHR", "ACT_EST_MAPPING=PRECISE", "FS=MRC", "CURRENCY=USD", "XLFILL=b")</f>
        <v>#N/A Requesting Data...</v>
      </c>
      <c r="R185" s="6" t="str">
        <f>_xll.BQL("NOW US Equity", "BS_TOT_ASSET/1M", "FPR=2021Y", "FPT=A", "FA_ACT_EST_DATA=E, EST_SOURCE=SNR", "ACT_EST_MAPPING=PRECISE", "FS=MRC", "CURRENCY=USD", "XLFILL=b")</f>
        <v>#N/A Requesting Data...</v>
      </c>
      <c r="S185" s="6" t="str">
        <f>_xll.BQL("NOW US Equity", "BS_TOT_ASSET/1M", "FPR=2021Y", "FPT=A", "FA_ACT_EST_DATA=E, EST_SOURCE=MSV", "ACT_EST_MAPPING=PRECISE", "FS=MRC", "CURRENCY=USD", "XLFILL=b")</f>
        <v>#N/A Requesting Data...</v>
      </c>
      <c r="T185" s="6" t="str">
        <f>_xll.BQL("NOW US Equity", "BS_TOT_ASSET/1M", "FPR=2021Y", "FPT=A", "FA_ACT_EST_DATA=E, EST_SOURCE=CAN", "ACT_EST_MAPPING=PRECISE", "FS=MRC", "CURRENCY=USD", "XLFILL=b")</f>
        <v>#N/A Requesting Data...</v>
      </c>
      <c r="U185" s="6" t="str">
        <f>_xll.BQL("NOW US Equity", "BS_TOT_ASSET/1M", "FPR=2021Y", "FPT=A", "FA_ACT_EST_DATA=E, EST_SOURCE=JMP", "ACT_EST_MAPPING=PRECISE", "FS=MRC", "CURRENCY=USD", "XLFILL=b")</f>
        <v>#N/A Requesting Data...</v>
      </c>
      <c r="V185" s="6" t="str">
        <f>_xll.BQL("NOW US Equity", "BS_TOT_ASSET/1M", "FPR=2021Y", "FPT=A", "FA_ACT_EST_DATA=E, EST_SOURCE=NDH", "ACT_EST_MAPPING=PRECISE", "FS=MRC", "CURRENCY=USD", "XLFILL=b")</f>
        <v>#N/A Requesting Data...</v>
      </c>
      <c r="W185" s="6" t="str">
        <f>_xll.BQL("NOW US Equity", "BS_TOT_ASSET/1M", "FPR=2021Y", "FPT=A", "FA_ACT_EST_DATA=E, EST_SOURCE=ZXS", "ACT_EST_MAPPING=PRECISE", "FS=MRC", "CURRENCY=USD", "XLFILL=b")</f>
        <v>#N/A Requesting Data...</v>
      </c>
      <c r="X185" s="6" t="str">
        <f>_xll.BQL("NOW US Equity", "BS_TOT_ASSET/1M", "FPR=2021Y", "FPT=A", "FA_ACT_EST_DATA=E, EST_SOURCE=CWN", "ACT_EST_MAPPING=PRECISE", "FS=MRC", "CURRENCY=USD", "XLFILL=b")</f>
        <v>#N/A Requesting Data...</v>
      </c>
      <c r="Y185" s="6" t="str">
        <f>_xll.BQL("NOW US Equity", "BS_TOT_ASSET/1M", "FPR=2021Y", "FPT=A", "FA_ACT_EST_DATA=E, EST_SOURCE=DBG", "ACT_EST_MAPPING=PRECISE", "FS=MRC", "CURRENCY=USD", "XLFILL=b")</f>
        <v>#N/A Requesting Data...</v>
      </c>
      <c r="Z185" s="6" t="str">
        <f>_xll.BQL("NOW US Equity", "BS_TOT_ASSET/1M", "FPR=2021Y", "FPT=A", "FA_ACT_EST_DATA=E, EST_SOURCE=UBS", "ACT_EST_MAPPING=PRECISE", "FS=MRC", "CURRENCY=USD", "XLFILL=b")</f>
        <v>#N/A Requesting Data...</v>
      </c>
      <c r="AA185" s="6" t="str">
        <f>_xll.BQL("NOW US Equity", "BS_TOT_ASSET/1M", "FPR=2021Y", "FPT=A", "FA_ACT_EST_DATA=E, EST_SOURCE=RBC", "ACT_EST_MAPPING=PRECISE", "FS=MRC", "CURRENCY=USD", "XLFILL=b")</f>
        <v>#N/A Requesting Data...</v>
      </c>
      <c r="AB185" s="6" t="str">
        <f>_xll.BQL("NOW US Equity", "BS_TOT_ASSET/1M", "FPR=2021Y", "FPT=A", "FA_ACT_EST_DATA=E, EST_SOURCE=EVR", "ACT_EST_MAPPING=PRECISE", "FS=MRC", "CURRENCY=USD", "XLFILL=b")</f>
        <v>#N/A Requesting Data...</v>
      </c>
      <c r="AC185" s="6" t="str">
        <f>_xll.BQL("NOW US Equity", "BS_TOT_ASSET/1M", "FPR=2021Y", "FPT=A", "FA_ACT_EST_DATA=E, EST_SOURCE=BNS", "ACT_EST_MAPPING=PRECISE", "FS=MRC", "CURRENCY=USD", "XLFILL=b")</f>
        <v>#N/A Requesting Data...</v>
      </c>
      <c r="AD185" s="6" t="str">
        <f>_xll.BQL("NOW US Equity", "BS_TOT_ASSET/1M", "FPR=2021Y", "FPT=A", "FA_ACT_EST_DATA=E, EST_SOURCE=BAM", "ACT_EST_MAPPING=PRECISE", "FS=MRC", "CURRENCY=USD", "XLFILL=b")</f>
        <v>#N/A Requesting Data...</v>
      </c>
      <c r="AE185" s="6" t="str">
        <f>_xll.BQL("NOW US Equity", "BS_TOT_ASSET/1M", "FPR=2021Y", "FPT=A", "FA_ACT_EST_DATA=E, EST_SOURCE=GSR", "ACT_EST_MAPPING=PRECISE", "FS=MRC", "CURRENCY=USD", "XLFILL=b")</f>
        <v>#N/A Requesting Data...</v>
      </c>
      <c r="AF185" s="6" t="str">
        <f>_xll.BQL("NOW US Equity", "BS_TOT_ASSET/1M", "FPR=2021Y", "FPT=A", "FA_ACT_EST_DATA=E, EST_SOURCE=FBC", "ACT_EST_MAPPING=PRECISE", "FS=MRC", "CURRENCY=USD", "XLFILL=b")</f>
        <v>#N/A Requesting Data...</v>
      </c>
      <c r="AG185" s="6" t="str">
        <f>_xll.BQL("NOW US Equity", "BS_TOT_ASSET/1M", "FPR=2021Y", "FPT=A", "FA_ACT_EST_DATA=E, EST_SOURCE=MAC", "ACT_EST_MAPPING=PRECISE", "FS=MRC", "CURRENCY=USD", "XLFILL=b")</f>
        <v>#N/A Requesting Data...</v>
      </c>
      <c r="AH185" s="6" t="str">
        <f>_xll.BQL("NOW US Equity", "BS_TOT_ASSET/1M", "FPR=2021Y", "FPT=A", "FA_ACT_EST_DATA=E, EST_SOURCE=PSG", "ACT_EST_MAPPING=PRECISE", "FS=MRC", "CURRENCY=USD", "XLFILL=b")</f>
        <v>#N/A Requesting Data...</v>
      </c>
      <c r="AI185" s="6" t="str">
        <f>_xll.BQL("NOW US Equity", "BS_TOT_ASSET/1M", "FPR=2021Y", "FPT=A", "FA_ACT_EST_DATA=E, EST_SOURCE=MSR", "ACT_EST_MAPPING=PRECISE", "FS=MRC", "CURRENCY=USD", "XLFILL=b")</f>
        <v>#N/A Requesting Data...</v>
      </c>
      <c r="AJ185" s="6" t="str">
        <f>_xll.BQL("NOW US Equity", "BS_TOT_ASSET/1M", "FPR=2021Y", "FPT=A", "FA_ACT_EST_DATA=E, EST_SOURCE=JEF", "ACT_EST_MAPPING=PRECISE", "FS=MRC", "CURRENCY=USD", "XLFILL=b")</f>
        <v>#N/A Requesting Data...</v>
      </c>
      <c r="AK185" s="6" t="str">
        <f>_xll.BQL("NOW US Equity", "BS_TOT_ASSET/1M", "FPR=2021Y", "FPT=A", "FA_ACT_EST_DATA=E, EST_SOURCE=TTC", "ACT_EST_MAPPING=PRECISE", "FS=MRC", "CURRENCY=USD", "XLFILL=b")</f>
        <v>#N/A Requesting Data...</v>
      </c>
      <c r="AL185" s="6" t="str">
        <f>_xll.BQL("NOW US Equity", "BS_TOT_ASSET/1M", "FPR=2021Y", "FPT=A", "FA_ACT_EST_DATA=E, EST_SOURCE=RWB", "ACT_EST_MAPPING=PRECISE", "FS=MRC", "CURRENCY=USD", "XLFILL=b")</f>
        <v>#N/A Requesting Data...</v>
      </c>
      <c r="AM185" s="6" t="str">
        <f>_xll.BQL("NOW US Equity", "BS_TOT_ASSET/1M", "FPR=2021Y", "FPT=A", "FA_ACT_EST_DATA=E, EST_SOURCE=DZB", "ACT_EST_MAPPING=PRECISE", "FS=MRC", "CURRENCY=USD", "XLFILL=b")</f>
        <v>#N/A Requesting Data...</v>
      </c>
      <c r="AN185" s="6" t="str">
        <f>_xll.BQL("NOW US Equity", "BS_TOT_ASSET/1M", "FPR=2021Y", "FPT=A", "FA_ACT_EST_DATA=E, EST_SOURCE=DWI", "ACT_EST_MAPPING=PRECISE", "FS=MRC", "CURRENCY=USD", "XLFILL=b")</f>
        <v>#N/A Requesting Data...</v>
      </c>
      <c r="AO185" s="6" t="str">
        <f>_xll.BQL("NOW US Equity", "BS_TOT_ASSET/1M", "FPR=2021Y", "FPT=A", "FA_ACT_EST_DATA=E, EST_SOURCE=ARG", "ACT_EST_MAPPING=PRECISE", "FS=MRC", "CURRENCY=USD", "XLFILL=b")</f>
        <v>#N/A Requesting Data...</v>
      </c>
      <c r="AP185" s="6" t="str">
        <f>_xll.BQL("NOW US Equity", "BS_TOT_ASSET/1M", "FPR=2021Y", "FPT=A", "FA_ACT_EST_DATA=E, EST_SOURCE=CTI", "ACT_EST_MAPPING=PRECISE", "FS=MRC", "CURRENCY=USD", "XLFILL=b")</f>
        <v>#N/A Requesting Data...</v>
      </c>
      <c r="AQ185" s="6" t="str">
        <f>_xll.BQL("NOW US Equity", "BS_TOT_ASSET/1M", "FPR=2021Y", "FPT=A", "FA_ACT_EST_DATA=E, EST_SOURCE=WFT", "ACT_EST_MAPPING=PRECISE", "FS=MRC", "CURRENCY=USD", "XLFILL=b")</f>
        <v>#N/A Requesting Data...</v>
      </c>
      <c r="AR185" s="6" t="str">
        <f>_xll.BQL("NOW US Equity", "BS_TOT_ASSET/1M", "FPR=2021Y", "FPT=A", "FA_ACT_EST_DATA=E, EST_SOURCE=ARE", "ACT_EST_MAPPING=PRECISE", "FS=MRC", "CURRENCY=USD", "XLFILL=b")</f>
        <v>#N/A Requesting Data...</v>
      </c>
      <c r="AS185" s="6" t="str">
        <f>_xll.BQL("NOW US Equity", "BS_TOT_ASSET/1M", "FPR=2021Y", "FPT=A", "FA_ACT_EST_DATA=E, EST_SOURCE=PJE", "ACT_EST_MAPPING=PRECISE", "FS=MRC", "CURRENCY=USD", "XLFILL=b")</f>
        <v>#N/A Requesting Data...</v>
      </c>
      <c r="AT185" s="6" t="str">
        <f>_xll.BQL("NOW US Equity", "BS_TOT_ASSET/1M", "FPR=2021Y", "FPT=A", "FA_ACT_EST_DATA=E, EST_SOURCE=MZS", "ACT_EST_MAPPING=PRECISE", "FS=MRC", "CURRENCY=USD", "XLFILL=b")</f>
        <v>#N/A Requesting Data...</v>
      </c>
      <c r="AU185" s="6" t="str">
        <f>_xll.BQL("NOW US Equity", "BS_TOT_ASSET/1M", "FPR=2021Y", "FPT=A", "FA_ACT_EST_DATA=E, EST_SOURCE=SUM", "ACT_EST_MAPPING=PRECISE", "FS=MRC", "CURRENCY=USD", "XLFILL=b")</f>
        <v>#N/A Requesting Data...</v>
      </c>
      <c r="AV185" s="6" t="str">
        <f>_xll.BQL("NOW US Equity", "BS_TOT_ASSET/1M", "FPR=2021Y", "FPT=A", "FA_ACT_EST_DATA=E, EST_SOURCE=CRC", "ACT_EST_MAPPING=PRECISE", "FS=MRC", "CURRENCY=USD", "XLFILL=b")</f>
        <v>#N/A Requesting Data...</v>
      </c>
      <c r="AW185" s="6" t="str">
        <f>_xll.BQL("NOW US Equity", "BS_TOT_ASSET/1M", "FPR=2021Y", "FPT=A", "FA_ACT_EST_DATA=E, EST_SOURCE=SCB", "ACT_EST_MAPPING=PRECISE", "FS=MRC", "CURRENCY=USD", "XLFILL=b")</f>
        <v>#N/A Requesting Data...</v>
      </c>
    </row>
    <row r="186" spans="1:49" x14ac:dyDescent="0.55000000000000004">
      <c r="A186" s="5" t="s">
        <v>23</v>
      </c>
      <c r="B186" s="2"/>
      <c r="C186" s="2"/>
      <c r="D186" s="2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</row>
    <row r="187" spans="1:49" x14ac:dyDescent="0.55000000000000004">
      <c r="A187" s="5" t="s">
        <v>340</v>
      </c>
      <c r="B187" s="2"/>
      <c r="C187" s="2" t="s">
        <v>341</v>
      </c>
      <c r="D187" s="2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</row>
    <row r="188" spans="1:49" x14ac:dyDescent="0.55000000000000004">
      <c r="A188" s="5" t="s">
        <v>342</v>
      </c>
      <c r="B188" s="2"/>
      <c r="C188" s="2"/>
      <c r="D188" s="2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</row>
    <row r="189" spans="1:49" x14ac:dyDescent="0.55000000000000004">
      <c r="A189" s="5" t="s">
        <v>343</v>
      </c>
      <c r="B189" s="2" t="s">
        <v>344</v>
      </c>
      <c r="C189" s="2" t="s">
        <v>345</v>
      </c>
      <c r="D189" s="2"/>
      <c r="E189" s="6" t="str">
        <f>_xll.BQL("NOW US Equity", "CUR_RATIO", "FPR=2021Y", "FPT=A", "FA_ACT_EST_DATA=E", "ACT_EST_MAPPING=PRECISE", "FS=MRC", "CURRENCY=USD", "XLFILL=b")</f>
        <v>#N/A Requesting Data...</v>
      </c>
      <c r="F189" s="6" t="str">
        <f>_xll.BQL("NOW US Equity", "CONTRIBUTOR_STATS(CUR_RATIO, MIN)", "FPR=2021Y", "FPT=A", "FA_ACT_EST_DATA=E", "ACT_EST_MAPPING=PRECISE", "FS=MRC", "CURRENCY=USD", "XLFILL=b")</f>
        <v>#N/A Requesting Data...</v>
      </c>
      <c r="G189" s="6" t="str">
        <f>_xll.BQL("NOW US Equity", "CONTRIBUTOR_STATS(CUR_RATIO, MAX)", "FPR=2021Y", "FPT=A", "FA_ACT_EST_DATA=E", "ACT_EST_MAPPING=PRECISE", "FS=MRC", "CURRENCY=USD", "XLFILL=b")</f>
        <v>#N/A Requesting Data...</v>
      </c>
      <c r="H189" s="6">
        <f>_xll.BQL("NOW US Equity", "CONTRIBUTOR_STATS(CUR_RATIO, STD)", "FPR=2021Y", "FPT=A", "FA_ACT_EST_DATA=E", "ACT_EST_MAPPING=PRECISE", "FS=MRC", "CURRENCY=USD", "XLFILL=b")</f>
        <v>2.4803683029671321E-2</v>
      </c>
      <c r="I189" s="6" t="str">
        <f>_xll.BQL("NOW US Equity", "CONTRIBUTOR_STATS(CUR_RATIO, MEDIAN)", "FPR=2021Y", "FPT=A", "FA_ACT_EST_DATA=E", "ACT_EST_MAPPING=PRECISE", "FS=MRC", "CURRENCY=USD", "XLFILL=b")</f>
        <v>#N/A Requesting Data...</v>
      </c>
      <c r="J189" s="6" t="str">
        <f>_xll.BQL("NOW US Equity", "CUR_RATIO", "FPR=2021Y", "FPT=A", "FA_ACT_EST_DATA=E, EST_SOURCE=CMPY", "ACT_EST_MAPPING=PRECISE", "FS=MRC", "CURRENCY=USD", "XLFILL=b")</f>
        <v>#N/A Requesting Data...</v>
      </c>
      <c r="K189" s="6" t="str">
        <f>_xll.BQL("NOW US Equity", "CUR_RATIO", "FPR=2021Y", "FPT=A", "FA_ACT_EST_DATA=E, EST_SOURCE=JPM", "ACT_EST_MAPPING=PRECISE", "FS=MRC", "CURRENCY=USD", "XLFILL=b")</f>
        <v>#N/A Requesting Data...</v>
      </c>
      <c r="L189" s="6" t="str">
        <f>_xll.BQL("NOW US Equity", "CUR_RATIO", "FPR=2021Y", "FPT=A", "FA_ACT_EST_DATA=E, EST_SOURCE=WBL", "ACT_EST_MAPPING=PRECISE", "FS=MRC", "CURRENCY=USD", "XLFILL=b")</f>
        <v>#N/A Requesting Data...</v>
      </c>
      <c r="M189" s="6" t="str">
        <f>_xll.BQL("NOW US Equity", "CUR_RATIO", "FPR=2021Y", "FPT=A", "FA_ACT_EST_DATA=E, EST_SOURCE=KEY", "ACT_EST_MAPPING=PRECISE", "FS=MRC", "CURRENCY=USD", "XLFILL=b")</f>
        <v>#N/A Requesting Data...</v>
      </c>
      <c r="N189" s="6" t="str">
        <f>_xll.BQL("NOW US Equity", "CUR_RATIO", "FPR=2021Y", "FPT=A", "FA_ACT_EST_DATA=E, EST_SOURCE=BMO", "ACT_EST_MAPPING=PRECISE", "FS=MRC", "CURRENCY=USD", "XLFILL=b")</f>
        <v>#N/A Requesting Data...</v>
      </c>
      <c r="O189" s="6" t="str">
        <f>_xll.BQL("NOW US Equity", "CUR_RATIO", "FPR=2021Y", "FPT=A", "FA_ACT_EST_DATA=E, EST_SOURCE=OPY", "ACT_EST_MAPPING=PRECISE", "FS=MRC", "CURRENCY=USD", "XLFILL=b")</f>
        <v>#N/A Requesting Data...</v>
      </c>
      <c r="P189" s="6" t="str">
        <f>_xll.BQL("NOW US Equity", "CUR_RATIO", "FPR=2021Y", "FPT=A", "FA_ACT_EST_DATA=E, EST_SOURCE=BCA", "ACT_EST_MAPPING=PRECISE", "FS=MRC", "CURRENCY=USD", "XLFILL=b")</f>
        <v>#N/A Requesting Data...</v>
      </c>
      <c r="Q189" s="6" t="str">
        <f>_xll.BQL("NOW US Equity", "CUR_RATIO", "FPR=2021Y", "FPT=A", "FA_ACT_EST_DATA=E, EST_SOURCE=RHR", "ACT_EST_MAPPING=PRECISE", "FS=MRC", "CURRENCY=USD", "XLFILL=b")</f>
        <v>#N/A Requesting Data...</v>
      </c>
      <c r="R189" s="6" t="str">
        <f>_xll.BQL("NOW US Equity", "CUR_RATIO", "FPR=2021Y", "FPT=A", "FA_ACT_EST_DATA=E, EST_SOURCE=SNR", "ACT_EST_MAPPING=PRECISE", "FS=MRC", "CURRENCY=USD", "XLFILL=b")</f>
        <v>#N/A Requesting Data...</v>
      </c>
      <c r="S189" s="6" t="str">
        <f>_xll.BQL("NOW US Equity", "CUR_RATIO", "FPR=2021Y", "FPT=A", "FA_ACT_EST_DATA=E, EST_SOURCE=MSV", "ACT_EST_MAPPING=PRECISE", "FS=MRC", "CURRENCY=USD", "XLFILL=b")</f>
        <v>#N/A Requesting Data...</v>
      </c>
      <c r="T189" s="6" t="str">
        <f>_xll.BQL("NOW US Equity", "CUR_RATIO", "FPR=2021Y", "FPT=A", "FA_ACT_EST_DATA=E, EST_SOURCE=CAN", "ACT_EST_MAPPING=PRECISE", "FS=MRC", "CURRENCY=USD", "XLFILL=b")</f>
        <v>#N/A Requesting Data...</v>
      </c>
      <c r="U189" s="6" t="str">
        <f>_xll.BQL("NOW US Equity", "CUR_RATIO", "FPR=2021Y", "FPT=A", "FA_ACT_EST_DATA=E, EST_SOURCE=JMP", "ACT_EST_MAPPING=PRECISE", "FS=MRC", "CURRENCY=USD", "XLFILL=b")</f>
        <v>#N/A Requesting Data...</v>
      </c>
      <c r="V189" s="6" t="str">
        <f>_xll.BQL("NOW US Equity", "CUR_RATIO", "FPR=2021Y", "FPT=A", "FA_ACT_EST_DATA=E, EST_SOURCE=NDH", "ACT_EST_MAPPING=PRECISE", "FS=MRC", "CURRENCY=USD", "XLFILL=b")</f>
        <v>#N/A Requesting Data...</v>
      </c>
      <c r="W189" s="6" t="str">
        <f>_xll.BQL("NOW US Equity", "CUR_RATIO", "FPR=2021Y", "FPT=A", "FA_ACT_EST_DATA=E, EST_SOURCE=ZXS", "ACT_EST_MAPPING=PRECISE", "FS=MRC", "CURRENCY=USD", "XLFILL=b")</f>
        <v>#N/A Requesting Data...</v>
      </c>
      <c r="X189" s="6" t="str">
        <f>_xll.BQL("NOW US Equity", "CUR_RATIO", "FPR=2021Y", "FPT=A", "FA_ACT_EST_DATA=E, EST_SOURCE=CWN", "ACT_EST_MAPPING=PRECISE", "FS=MRC", "CURRENCY=USD", "XLFILL=b")</f>
        <v>#N/A Requesting Data...</v>
      </c>
      <c r="Y189" s="6" t="str">
        <f>_xll.BQL("NOW US Equity", "CUR_RATIO", "FPR=2021Y", "FPT=A", "FA_ACT_EST_DATA=E, EST_SOURCE=DBG", "ACT_EST_MAPPING=PRECISE", "FS=MRC", "CURRENCY=USD", "XLFILL=b")</f>
        <v>#N/A Requesting Data...</v>
      </c>
      <c r="Z189" s="6" t="str">
        <f>_xll.BQL("NOW US Equity", "CUR_RATIO", "FPR=2021Y", "FPT=A", "FA_ACT_EST_DATA=E, EST_SOURCE=UBS", "ACT_EST_MAPPING=PRECISE", "FS=MRC", "CURRENCY=USD", "XLFILL=b")</f>
        <v>#N/A Requesting Data...</v>
      </c>
      <c r="AA189" s="6" t="str">
        <f>_xll.BQL("NOW US Equity", "CUR_RATIO", "FPR=2021Y", "FPT=A", "FA_ACT_EST_DATA=E, EST_SOURCE=RBC", "ACT_EST_MAPPING=PRECISE", "FS=MRC", "CURRENCY=USD", "XLFILL=b")</f>
        <v>#N/A Requesting Data...</v>
      </c>
      <c r="AB189" s="6" t="str">
        <f>_xll.BQL("NOW US Equity", "CUR_RATIO", "FPR=2021Y", "FPT=A", "FA_ACT_EST_DATA=E, EST_SOURCE=EVR", "ACT_EST_MAPPING=PRECISE", "FS=MRC", "CURRENCY=USD", "XLFILL=b")</f>
        <v>#N/A Requesting Data...</v>
      </c>
      <c r="AC189" s="6" t="str">
        <f>_xll.BQL("NOW US Equity", "CUR_RATIO", "FPR=2021Y", "FPT=A", "FA_ACT_EST_DATA=E, EST_SOURCE=BNS", "ACT_EST_MAPPING=PRECISE", "FS=MRC", "CURRENCY=USD", "XLFILL=b")</f>
        <v>#N/A Requesting Data...</v>
      </c>
      <c r="AD189" s="6" t="str">
        <f>_xll.BQL("NOW US Equity", "CUR_RATIO", "FPR=2021Y", "FPT=A", "FA_ACT_EST_DATA=E, EST_SOURCE=BAM", "ACT_EST_MAPPING=PRECISE", "FS=MRC", "CURRENCY=USD", "XLFILL=b")</f>
        <v>#N/A Requesting Data...</v>
      </c>
      <c r="AE189" s="6" t="str">
        <f>_xll.BQL("NOW US Equity", "CUR_RATIO", "FPR=2021Y", "FPT=A", "FA_ACT_EST_DATA=E, EST_SOURCE=GSR", "ACT_EST_MAPPING=PRECISE", "FS=MRC", "CURRENCY=USD", "XLFILL=b")</f>
        <v>#N/A Requesting Data...</v>
      </c>
      <c r="AF189" s="6" t="str">
        <f>_xll.BQL("NOW US Equity", "CUR_RATIO", "FPR=2021Y", "FPT=A", "FA_ACT_EST_DATA=E, EST_SOURCE=FBC", "ACT_EST_MAPPING=PRECISE", "FS=MRC", "CURRENCY=USD", "XLFILL=b")</f>
        <v>#N/A Requesting Data...</v>
      </c>
      <c r="AG189" s="6" t="str">
        <f>_xll.BQL("NOW US Equity", "CUR_RATIO", "FPR=2021Y", "FPT=A", "FA_ACT_EST_DATA=E, EST_SOURCE=MAC", "ACT_EST_MAPPING=PRECISE", "FS=MRC", "CURRENCY=USD", "XLFILL=b")</f>
        <v>#N/A Requesting Data...</v>
      </c>
      <c r="AH189" s="6" t="str">
        <f>_xll.BQL("NOW US Equity", "CUR_RATIO", "FPR=2021Y", "FPT=A", "FA_ACT_EST_DATA=E, EST_SOURCE=PSG", "ACT_EST_MAPPING=PRECISE", "FS=MRC", "CURRENCY=USD", "XLFILL=b")</f>
        <v>#N/A Requesting Data...</v>
      </c>
      <c r="AI189" s="6" t="str">
        <f>_xll.BQL("NOW US Equity", "CUR_RATIO", "FPR=2021Y", "FPT=A", "FA_ACT_EST_DATA=E, EST_SOURCE=MSR", "ACT_EST_MAPPING=PRECISE", "FS=MRC", "CURRENCY=USD", "XLFILL=b")</f>
        <v>#N/A Requesting Data...</v>
      </c>
      <c r="AJ189" s="6" t="str">
        <f>_xll.BQL("NOW US Equity", "CUR_RATIO", "FPR=2021Y", "FPT=A", "FA_ACT_EST_DATA=E, EST_SOURCE=JEF", "ACT_EST_MAPPING=PRECISE", "FS=MRC", "CURRENCY=USD", "XLFILL=b")</f>
        <v>#N/A Requesting Data...</v>
      </c>
      <c r="AK189" s="6" t="str">
        <f>_xll.BQL("NOW US Equity", "CUR_RATIO", "FPR=2021Y", "FPT=A", "FA_ACT_EST_DATA=E, EST_SOURCE=TTC", "ACT_EST_MAPPING=PRECISE", "FS=MRC", "CURRENCY=USD", "XLFILL=b")</f>
        <v>#N/A Requesting Data...</v>
      </c>
      <c r="AL189" s="6" t="str">
        <f>_xll.BQL("NOW US Equity", "CUR_RATIO", "FPR=2021Y", "FPT=A", "FA_ACT_EST_DATA=E, EST_SOURCE=RWB", "ACT_EST_MAPPING=PRECISE", "FS=MRC", "CURRENCY=USD", "XLFILL=b")</f>
        <v>#N/A Requesting Data...</v>
      </c>
      <c r="AM189" s="6" t="str">
        <f>_xll.BQL("NOW US Equity", "CUR_RATIO", "FPR=2021Y", "FPT=A", "FA_ACT_EST_DATA=E, EST_SOURCE=DZB", "ACT_EST_MAPPING=PRECISE", "FS=MRC", "CURRENCY=USD", "XLFILL=b")</f>
        <v>#N/A Requesting Data...</v>
      </c>
      <c r="AN189" s="6" t="str">
        <f>_xll.BQL("NOW US Equity", "CUR_RATIO", "FPR=2021Y", "FPT=A", "FA_ACT_EST_DATA=E, EST_SOURCE=DWI", "ACT_EST_MAPPING=PRECISE", "FS=MRC", "CURRENCY=USD", "XLFILL=b")</f>
        <v>#N/A Requesting Data...</v>
      </c>
      <c r="AO189" s="6" t="str">
        <f>_xll.BQL("NOW US Equity", "CUR_RATIO", "FPR=2021Y", "FPT=A", "FA_ACT_EST_DATA=E, EST_SOURCE=ARG", "ACT_EST_MAPPING=PRECISE", "FS=MRC", "CURRENCY=USD", "XLFILL=b")</f>
        <v>#N/A Requesting Data...</v>
      </c>
      <c r="AP189" s="6" t="str">
        <f>_xll.BQL("NOW US Equity", "CUR_RATIO", "FPR=2021Y", "FPT=A", "FA_ACT_EST_DATA=E, EST_SOURCE=CTI", "ACT_EST_MAPPING=PRECISE", "FS=MRC", "CURRENCY=USD", "XLFILL=b")</f>
        <v>#N/A Requesting Data...</v>
      </c>
      <c r="AQ189" s="6" t="str">
        <f>_xll.BQL("NOW US Equity", "CUR_RATIO", "FPR=2021Y", "FPT=A", "FA_ACT_EST_DATA=E, EST_SOURCE=WFT", "ACT_EST_MAPPING=PRECISE", "FS=MRC", "CURRENCY=USD", "XLFILL=b")</f>
        <v>#N/A Requesting Data...</v>
      </c>
      <c r="AR189" s="6" t="str">
        <f>_xll.BQL("NOW US Equity", "CUR_RATIO", "FPR=2021Y", "FPT=A", "FA_ACT_EST_DATA=E, EST_SOURCE=ARE", "ACT_EST_MAPPING=PRECISE", "FS=MRC", "CURRENCY=USD", "XLFILL=b")</f>
        <v>#N/A Requesting Data...</v>
      </c>
      <c r="AS189" s="6" t="str">
        <f>_xll.BQL("NOW US Equity", "CUR_RATIO", "FPR=2021Y", "FPT=A", "FA_ACT_EST_DATA=E, EST_SOURCE=PJE", "ACT_EST_MAPPING=PRECISE", "FS=MRC", "CURRENCY=USD", "XLFILL=b")</f>
        <v>#N/A Requesting Data...</v>
      </c>
      <c r="AT189" s="6" t="str">
        <f>_xll.BQL("NOW US Equity", "CUR_RATIO", "FPR=2021Y", "FPT=A", "FA_ACT_EST_DATA=E, EST_SOURCE=MZS", "ACT_EST_MAPPING=PRECISE", "FS=MRC", "CURRENCY=USD", "XLFILL=b")</f>
        <v>#N/A Requesting Data...</v>
      </c>
      <c r="AU189" s="6" t="str">
        <f>_xll.BQL("NOW US Equity", "CUR_RATIO", "FPR=2021Y", "FPT=A", "FA_ACT_EST_DATA=E, EST_SOURCE=SUM", "ACT_EST_MAPPING=PRECISE", "FS=MRC", "CURRENCY=USD", "XLFILL=b")</f>
        <v>#N/A Requesting Data...</v>
      </c>
      <c r="AV189" s="6" t="str">
        <f>_xll.BQL("NOW US Equity", "CUR_RATIO", "FPR=2021Y", "FPT=A", "FA_ACT_EST_DATA=E, EST_SOURCE=CRC", "ACT_EST_MAPPING=PRECISE", "FS=MRC", "CURRENCY=USD", "XLFILL=b")</f>
        <v>#N/A Requesting Data...</v>
      </c>
      <c r="AW189" s="6" t="str">
        <f>_xll.BQL("NOW US Equity", "CUR_RATIO", "FPR=2021Y", "FPT=A", "FA_ACT_EST_DATA=E, EST_SOURCE=SCB", "ACT_EST_MAPPING=PRECISE", "FS=MRC", "CURRENCY=USD", "XLFILL=b")</f>
        <v>#N/A Requesting Data...</v>
      </c>
    </row>
    <row r="190" spans="1:49" x14ac:dyDescent="0.55000000000000004">
      <c r="A190" s="5" t="s">
        <v>346</v>
      </c>
      <c r="B190" s="2" t="s">
        <v>347</v>
      </c>
      <c r="C190" s="2" t="s">
        <v>348</v>
      </c>
      <c r="D190" s="2"/>
      <c r="E190" s="6" t="str">
        <f>_xll.BQL("NOW US Equity", "DEFERRED_REV/1M", "FPR=2021Y", "FPT=A", "FA_ACT_EST_DATA=E", "ACT_EST_MAPPING=PRECISE", "FS=MRC", "CURRENCY=USD", "XLFILL=b")</f>
        <v>#N/A Requesting Data...</v>
      </c>
      <c r="F190" s="6" t="str">
        <f>_xll.BQL("NOW US Equity", "CONTRIBUTOR_STATS(DEFERRED_REV, MIN)/1M", "FPR=2021Y", "FPT=A", "FA_ACT_EST_DATA=E", "ACT_EST_MAPPING=PRECISE", "FS=MRC", "CURRENCY=USD", "XLFILL=b")</f>
        <v>#N/A Requesting Data...</v>
      </c>
      <c r="G190" s="6" t="str">
        <f>_xll.BQL("NOW US Equity", "CONTRIBUTOR_STATS(DEFERRED_REV, MAX)/1M", "FPR=2021Y", "FPT=A", "FA_ACT_EST_DATA=E", "ACT_EST_MAPPING=PRECISE", "FS=MRC", "CURRENCY=USD", "XLFILL=b")</f>
        <v>#N/A Requesting Data...</v>
      </c>
      <c r="H190" s="6" t="str">
        <f>_xll.BQL("NOW US Equity", "CONTRIBUTOR_STATS(DEFERRED_REV, STD)/1M", "FPR=2021Y", "FPT=A", "FA_ACT_EST_DATA=E", "ACT_EST_MAPPING=PRECISE", "FS=MRC", "CURRENCY=USD", "XLFILL=b")</f>
        <v>#N/A Requesting Data...</v>
      </c>
      <c r="I190" s="6" t="str">
        <f>_xll.BQL("NOW US Equity", "CONTRIBUTOR_STATS(DEFERRED_REV, MEDIAN)/1M", "FPR=2021Y", "FPT=A", "FA_ACT_EST_DATA=E", "ACT_EST_MAPPING=PRECISE", "FS=MRC", "CURRENCY=USD", "XLFILL=b")</f>
        <v>#N/A Requesting Data...</v>
      </c>
      <c r="J190" s="6" t="str">
        <f>_xll.BQL("NOW US Equity", "DEFERRED_REV/1M", "FPR=2021Y", "FPT=A", "FA_ACT_EST_DATA=E, EST_SOURCE=CMPY", "ACT_EST_MAPPING=PRECISE", "FS=MRC", "CURRENCY=USD", "XLFILL=b")</f>
        <v>#N/A Requesting Data...</v>
      </c>
      <c r="K190" s="6" t="str">
        <f>_xll.BQL("NOW US Equity", "DEFERRED_REV/1M", "FPR=2021Y", "FPT=A", "FA_ACT_EST_DATA=E, EST_SOURCE=JPM", "ACT_EST_MAPPING=PRECISE", "FS=MRC", "CURRENCY=USD", "XLFILL=b")</f>
        <v>#N/A Requesting Data...</v>
      </c>
      <c r="L190" s="6" t="str">
        <f>_xll.BQL("NOW US Equity", "DEFERRED_REV/1M", "FPR=2021Y", "FPT=A", "FA_ACT_EST_DATA=E, EST_SOURCE=WBL", "ACT_EST_MAPPING=PRECISE", "FS=MRC", "CURRENCY=USD", "XLFILL=b")</f>
        <v>#N/A Requesting Data...</v>
      </c>
      <c r="M190" s="6" t="str">
        <f>_xll.BQL("NOW US Equity", "DEFERRED_REV/1M", "FPR=2021Y", "FPT=A", "FA_ACT_EST_DATA=E, EST_SOURCE=KEY", "ACT_EST_MAPPING=PRECISE", "FS=MRC", "CURRENCY=USD", "XLFILL=b")</f>
        <v>#N/A Requesting Data...</v>
      </c>
      <c r="N190" s="6" t="str">
        <f>_xll.BQL("NOW US Equity", "DEFERRED_REV/1M", "FPR=2021Y", "FPT=A", "FA_ACT_EST_DATA=E, EST_SOURCE=BMO", "ACT_EST_MAPPING=PRECISE", "FS=MRC", "CURRENCY=USD", "XLFILL=b")</f>
        <v>#N/A Requesting Data...</v>
      </c>
      <c r="O190" s="6" t="str">
        <f>_xll.BQL("NOW US Equity", "DEFERRED_REV/1M", "FPR=2021Y", "FPT=A", "FA_ACT_EST_DATA=E, EST_SOURCE=OPY", "ACT_EST_MAPPING=PRECISE", "FS=MRC", "CURRENCY=USD", "XLFILL=b")</f>
        <v>#N/A Requesting Data...</v>
      </c>
      <c r="P190" s="6" t="str">
        <f>_xll.BQL("NOW US Equity", "DEFERRED_REV/1M", "FPR=2021Y", "FPT=A", "FA_ACT_EST_DATA=E, EST_SOURCE=BCA", "ACT_EST_MAPPING=PRECISE", "FS=MRC", "CURRENCY=USD", "XLFILL=b")</f>
        <v>#N/A Requesting Data...</v>
      </c>
      <c r="Q190" s="6" t="str">
        <f>_xll.BQL("NOW US Equity", "DEFERRED_REV/1M", "FPR=2021Y", "FPT=A", "FA_ACT_EST_DATA=E, EST_SOURCE=RHR", "ACT_EST_MAPPING=PRECISE", "FS=MRC", "CURRENCY=USD", "XLFILL=b")</f>
        <v>#N/A Requesting Data...</v>
      </c>
      <c r="R190" s="6" t="str">
        <f>_xll.BQL("NOW US Equity", "DEFERRED_REV/1M", "FPR=2021Y", "FPT=A", "FA_ACT_EST_DATA=E, EST_SOURCE=SNR", "ACT_EST_MAPPING=PRECISE", "FS=MRC", "CURRENCY=USD", "XLFILL=b")</f>
        <v>#N/A Requesting Data...</v>
      </c>
      <c r="S190" s="6" t="str">
        <f>_xll.BQL("NOW US Equity", "DEFERRED_REV/1M", "FPR=2021Y", "FPT=A", "FA_ACT_EST_DATA=E, EST_SOURCE=MSV", "ACT_EST_MAPPING=PRECISE", "FS=MRC", "CURRENCY=USD", "XLFILL=b")</f>
        <v>#N/A Requesting Data...</v>
      </c>
      <c r="T190" s="6" t="str">
        <f>_xll.BQL("NOW US Equity", "DEFERRED_REV/1M", "FPR=2021Y", "FPT=A", "FA_ACT_EST_DATA=E, EST_SOURCE=CAN", "ACT_EST_MAPPING=PRECISE", "FS=MRC", "CURRENCY=USD", "XLFILL=b")</f>
        <v>#N/A Requesting Data...</v>
      </c>
      <c r="U190" s="6" t="str">
        <f>_xll.BQL("NOW US Equity", "DEFERRED_REV/1M", "FPR=2021Y", "FPT=A", "FA_ACT_EST_DATA=E, EST_SOURCE=JMP", "ACT_EST_MAPPING=PRECISE", "FS=MRC", "CURRENCY=USD", "XLFILL=b")</f>
        <v>#N/A Requesting Data...</v>
      </c>
      <c r="V190" s="6" t="str">
        <f>_xll.BQL("NOW US Equity", "DEFERRED_REV/1M", "FPR=2021Y", "FPT=A", "FA_ACT_EST_DATA=E, EST_SOURCE=NDH", "ACT_EST_MAPPING=PRECISE", "FS=MRC", "CURRENCY=USD", "XLFILL=b")</f>
        <v>#N/A Requesting Data...</v>
      </c>
      <c r="W190" s="6" t="str">
        <f>_xll.BQL("NOW US Equity", "DEFERRED_REV/1M", "FPR=2021Y", "FPT=A", "FA_ACT_EST_DATA=E, EST_SOURCE=ZXS", "ACT_EST_MAPPING=PRECISE", "FS=MRC", "CURRENCY=USD", "XLFILL=b")</f>
        <v>#N/A Requesting Data...</v>
      </c>
      <c r="X190" s="6" t="str">
        <f>_xll.BQL("NOW US Equity", "DEFERRED_REV/1M", "FPR=2021Y", "FPT=A", "FA_ACT_EST_DATA=E, EST_SOURCE=CWN", "ACT_EST_MAPPING=PRECISE", "FS=MRC", "CURRENCY=USD", "XLFILL=b")</f>
        <v>#N/A Requesting Data...</v>
      </c>
      <c r="Y190" s="6" t="str">
        <f>_xll.BQL("NOW US Equity", "DEFERRED_REV/1M", "FPR=2021Y", "FPT=A", "FA_ACT_EST_DATA=E, EST_SOURCE=DBG", "ACT_EST_MAPPING=PRECISE", "FS=MRC", "CURRENCY=USD", "XLFILL=b")</f>
        <v>#N/A Requesting Data...</v>
      </c>
      <c r="Z190" s="6" t="str">
        <f>_xll.BQL("NOW US Equity", "DEFERRED_REV/1M", "FPR=2021Y", "FPT=A", "FA_ACT_EST_DATA=E, EST_SOURCE=UBS", "ACT_EST_MAPPING=PRECISE", "FS=MRC", "CURRENCY=USD", "XLFILL=b")</f>
        <v>#N/A Requesting Data...</v>
      </c>
      <c r="AA190" s="6" t="str">
        <f>_xll.BQL("NOW US Equity", "DEFERRED_REV/1M", "FPR=2021Y", "FPT=A", "FA_ACT_EST_DATA=E, EST_SOURCE=RBC", "ACT_EST_MAPPING=PRECISE", "FS=MRC", "CURRENCY=USD", "XLFILL=b")</f>
        <v>#N/A Requesting Data...</v>
      </c>
      <c r="AB190" s="6" t="str">
        <f>_xll.BQL("NOW US Equity", "DEFERRED_REV/1M", "FPR=2021Y", "FPT=A", "FA_ACT_EST_DATA=E, EST_SOURCE=EVR", "ACT_EST_MAPPING=PRECISE", "FS=MRC", "CURRENCY=USD", "XLFILL=b")</f>
        <v>#N/A Requesting Data...</v>
      </c>
      <c r="AC190" s="6" t="str">
        <f>_xll.BQL("NOW US Equity", "DEFERRED_REV/1M", "FPR=2021Y", "FPT=A", "FA_ACT_EST_DATA=E, EST_SOURCE=BNS", "ACT_EST_MAPPING=PRECISE", "FS=MRC", "CURRENCY=USD", "XLFILL=b")</f>
        <v>#N/A Requesting Data...</v>
      </c>
      <c r="AD190" s="6" t="str">
        <f>_xll.BQL("NOW US Equity", "DEFERRED_REV/1M", "FPR=2021Y", "FPT=A", "FA_ACT_EST_DATA=E, EST_SOURCE=BAM", "ACT_EST_MAPPING=PRECISE", "FS=MRC", "CURRENCY=USD", "XLFILL=b")</f>
        <v>#N/A Requesting Data...</v>
      </c>
      <c r="AE190" s="6" t="str">
        <f>_xll.BQL("NOW US Equity", "DEFERRED_REV/1M", "FPR=2021Y", "FPT=A", "FA_ACT_EST_DATA=E, EST_SOURCE=GSR", "ACT_EST_MAPPING=PRECISE", "FS=MRC", "CURRENCY=USD", "XLFILL=b")</f>
        <v>#N/A Requesting Data...</v>
      </c>
      <c r="AF190" s="6" t="str">
        <f>_xll.BQL("NOW US Equity", "DEFERRED_REV/1M", "FPR=2021Y", "FPT=A", "FA_ACT_EST_DATA=E, EST_SOURCE=FBC", "ACT_EST_MAPPING=PRECISE", "FS=MRC", "CURRENCY=USD", "XLFILL=b")</f>
        <v>#N/A Requesting Data...</v>
      </c>
      <c r="AG190" s="6" t="str">
        <f>_xll.BQL("NOW US Equity", "DEFERRED_REV/1M", "FPR=2021Y", "FPT=A", "FA_ACT_EST_DATA=E, EST_SOURCE=MAC", "ACT_EST_MAPPING=PRECISE", "FS=MRC", "CURRENCY=USD", "XLFILL=b")</f>
        <v>#N/A Requesting Data...</v>
      </c>
      <c r="AH190" s="6" t="str">
        <f>_xll.BQL("NOW US Equity", "DEFERRED_REV/1M", "FPR=2021Y", "FPT=A", "FA_ACT_EST_DATA=E, EST_SOURCE=PSG", "ACT_EST_MAPPING=PRECISE", "FS=MRC", "CURRENCY=USD", "XLFILL=b")</f>
        <v>#N/A Requesting Data...</v>
      </c>
      <c r="AI190" s="6" t="str">
        <f>_xll.BQL("NOW US Equity", "DEFERRED_REV/1M", "FPR=2021Y", "FPT=A", "FA_ACT_EST_DATA=E, EST_SOURCE=MSR", "ACT_EST_MAPPING=PRECISE", "FS=MRC", "CURRENCY=USD", "XLFILL=b")</f>
        <v>#N/A Requesting Data...</v>
      </c>
      <c r="AJ190" s="6" t="str">
        <f>_xll.BQL("NOW US Equity", "DEFERRED_REV/1M", "FPR=2021Y", "FPT=A", "FA_ACT_EST_DATA=E, EST_SOURCE=JEF", "ACT_EST_MAPPING=PRECISE", "FS=MRC", "CURRENCY=USD", "XLFILL=b")</f>
        <v>#N/A Requesting Data...</v>
      </c>
      <c r="AK190" s="6" t="str">
        <f>_xll.BQL("NOW US Equity", "DEFERRED_REV/1M", "FPR=2021Y", "FPT=A", "FA_ACT_EST_DATA=E, EST_SOURCE=TTC", "ACT_EST_MAPPING=PRECISE", "FS=MRC", "CURRENCY=USD", "XLFILL=b")</f>
        <v>#N/A Requesting Data...</v>
      </c>
      <c r="AL190" s="6" t="str">
        <f>_xll.BQL("NOW US Equity", "DEFERRED_REV/1M", "FPR=2021Y", "FPT=A", "FA_ACT_EST_DATA=E, EST_SOURCE=RWB", "ACT_EST_MAPPING=PRECISE", "FS=MRC", "CURRENCY=USD", "XLFILL=b")</f>
        <v>#N/A Requesting Data...</v>
      </c>
      <c r="AM190" s="6" t="str">
        <f>_xll.BQL("NOW US Equity", "DEFERRED_REV/1M", "FPR=2021Y", "FPT=A", "FA_ACT_EST_DATA=E, EST_SOURCE=DZB", "ACT_EST_MAPPING=PRECISE", "FS=MRC", "CURRENCY=USD", "XLFILL=b")</f>
        <v>#N/A Requesting Data...</v>
      </c>
      <c r="AN190" s="6" t="str">
        <f>_xll.BQL("NOW US Equity", "DEFERRED_REV/1M", "FPR=2021Y", "FPT=A", "FA_ACT_EST_DATA=E, EST_SOURCE=DWI", "ACT_EST_MAPPING=PRECISE", "FS=MRC", "CURRENCY=USD", "XLFILL=b")</f>
        <v>#N/A Requesting Data...</v>
      </c>
      <c r="AO190" s="6" t="str">
        <f>_xll.BQL("NOW US Equity", "DEFERRED_REV/1M", "FPR=2021Y", "FPT=A", "FA_ACT_EST_DATA=E, EST_SOURCE=ARG", "ACT_EST_MAPPING=PRECISE", "FS=MRC", "CURRENCY=USD", "XLFILL=b")</f>
        <v>#N/A Requesting Data...</v>
      </c>
      <c r="AP190" s="6" t="str">
        <f>_xll.BQL("NOW US Equity", "DEFERRED_REV/1M", "FPR=2021Y", "FPT=A", "FA_ACT_EST_DATA=E, EST_SOURCE=CTI", "ACT_EST_MAPPING=PRECISE", "FS=MRC", "CURRENCY=USD", "XLFILL=b")</f>
        <v>#N/A Requesting Data...</v>
      </c>
      <c r="AQ190" s="6" t="str">
        <f>_xll.BQL("NOW US Equity", "DEFERRED_REV/1M", "FPR=2021Y", "FPT=A", "FA_ACT_EST_DATA=E, EST_SOURCE=WFT", "ACT_EST_MAPPING=PRECISE", "FS=MRC", "CURRENCY=USD", "XLFILL=b")</f>
        <v>#N/A Requesting Data...</v>
      </c>
      <c r="AR190" s="6" t="str">
        <f>_xll.BQL("NOW US Equity", "DEFERRED_REV/1M", "FPR=2021Y", "FPT=A", "FA_ACT_EST_DATA=E, EST_SOURCE=ARE", "ACT_EST_MAPPING=PRECISE", "FS=MRC", "CURRENCY=USD", "XLFILL=b")</f>
        <v>#N/A Requesting Data...</v>
      </c>
      <c r="AS190" s="6" t="str">
        <f>_xll.BQL("NOW US Equity", "DEFERRED_REV/1M", "FPR=2021Y", "FPT=A", "FA_ACT_EST_DATA=E, EST_SOURCE=PJE", "ACT_EST_MAPPING=PRECISE", "FS=MRC", "CURRENCY=USD", "XLFILL=b")</f>
        <v>#N/A Requesting Data...</v>
      </c>
      <c r="AT190" s="6" t="str">
        <f>_xll.BQL("NOW US Equity", "DEFERRED_REV/1M", "FPR=2021Y", "FPT=A", "FA_ACT_EST_DATA=E, EST_SOURCE=MZS", "ACT_EST_MAPPING=PRECISE", "FS=MRC", "CURRENCY=USD", "XLFILL=b")</f>
        <v>#N/A Requesting Data...</v>
      </c>
      <c r="AU190" s="6" t="str">
        <f>_xll.BQL("NOW US Equity", "DEFERRED_REV/1M", "FPR=2021Y", "FPT=A", "FA_ACT_EST_DATA=E, EST_SOURCE=SUM", "ACT_EST_MAPPING=PRECISE", "FS=MRC", "CURRENCY=USD", "XLFILL=b")</f>
        <v>#N/A Requesting Data...</v>
      </c>
      <c r="AV190" s="6" t="str">
        <f>_xll.BQL("NOW US Equity", "DEFERRED_REV/1M", "FPR=2021Y", "FPT=A", "FA_ACT_EST_DATA=E, EST_SOURCE=CRC", "ACT_EST_MAPPING=PRECISE", "FS=MRC", "CURRENCY=USD", "XLFILL=b")</f>
        <v>#N/A Requesting Data...</v>
      </c>
      <c r="AW190" s="6" t="str">
        <f>_xll.BQL("NOW US Equity", "DEFERRED_REV/1M", "FPR=2021Y", "FPT=A", "FA_ACT_EST_DATA=E, EST_SOURCE=SCB", "ACT_EST_MAPPING=PRECISE", "FS=MRC", "CURRENCY=USD", "XLFILL=b")</f>
        <v>#N/A Requesting Data...</v>
      </c>
    </row>
    <row r="191" spans="1:49" x14ac:dyDescent="0.55000000000000004">
      <c r="A191" s="5" t="s">
        <v>349</v>
      </c>
      <c r="B191" s="2" t="s">
        <v>312</v>
      </c>
      <c r="C191" s="2" t="s">
        <v>350</v>
      </c>
      <c r="D191" s="2"/>
      <c r="E191" s="6" t="str">
        <f>_xll.BQL("NOW US Equity", "ST_DEFERRED_REVENUE/1M", "FPR=2021Y", "FPT=A", "FA_ACT_EST_DATA=E", "ACT_EST_MAPPING=PRECISE", "FS=MRC", "CURRENCY=USD", "XLFILL=b")</f>
        <v>#N/A Requesting Data...</v>
      </c>
      <c r="F191" s="6" t="str">
        <f>_xll.BQL("NOW US Equity", "CONTRIBUTOR_STATS(ST_DEFERRED_REVENUE, MIN)/1M", "FPR=2021Y", "FPT=A", "FA_ACT_EST_DATA=E", "ACT_EST_MAPPING=PRECISE", "FS=MRC", "CURRENCY=USD", "XLFILL=b")</f>
        <v>#N/A Requesting Data...</v>
      </c>
      <c r="G191" s="6" t="str">
        <f>_xll.BQL("NOW US Equity", "CONTRIBUTOR_STATS(ST_DEFERRED_REVENUE, MAX)/1M", "FPR=2021Y", "FPT=A", "FA_ACT_EST_DATA=E", "ACT_EST_MAPPING=PRECISE", "FS=MRC", "CURRENCY=USD", "XLFILL=b")</f>
        <v>#N/A Requesting Data...</v>
      </c>
      <c r="H191" s="6" t="str">
        <f>_xll.BQL("NOW US Equity", "CONTRIBUTOR_STATS(ST_DEFERRED_REVENUE, STD)/1M", "FPR=2021Y", "FPT=A", "FA_ACT_EST_DATA=E", "ACT_EST_MAPPING=PRECISE", "FS=MRC", "CURRENCY=USD", "XLFILL=b")</f>
        <v>#N/A Requesting Data...</v>
      </c>
      <c r="I191" s="6" t="str">
        <f>_xll.BQL("NOW US Equity", "CONTRIBUTOR_STATS(ST_DEFERRED_REVENUE, MEDIAN)/1M", "FPR=2021Y", "FPT=A", "FA_ACT_EST_DATA=E", "ACT_EST_MAPPING=PRECISE", "FS=MRC", "CURRENCY=USD", "XLFILL=b")</f>
        <v>#N/A Requesting Data...</v>
      </c>
      <c r="J191" s="6" t="str">
        <f>_xll.BQL("NOW US Equity", "ST_DEFERRED_REVENUE/1M", "FPR=2021Y", "FPT=A", "FA_ACT_EST_DATA=E, EST_SOURCE=CMPY", "ACT_EST_MAPPING=PRECISE", "FS=MRC", "CURRENCY=USD", "XLFILL=b")</f>
        <v>#N/A Requesting Data...</v>
      </c>
      <c r="K191" s="6" t="str">
        <f>_xll.BQL("NOW US Equity", "ST_DEFERRED_REVENUE/1M", "FPR=2021Y", "FPT=A", "FA_ACT_EST_DATA=E, EST_SOURCE=JPM", "ACT_EST_MAPPING=PRECISE", "FS=MRC", "CURRENCY=USD", "XLFILL=b")</f>
        <v>#N/A Requesting Data...</v>
      </c>
      <c r="L191" s="6" t="str">
        <f>_xll.BQL("NOW US Equity", "ST_DEFERRED_REVENUE/1M", "FPR=2021Y", "FPT=A", "FA_ACT_EST_DATA=E, EST_SOURCE=WBL", "ACT_EST_MAPPING=PRECISE", "FS=MRC", "CURRENCY=USD", "XLFILL=b")</f>
        <v>#N/A Requesting Data...</v>
      </c>
      <c r="M191" s="6" t="str">
        <f>_xll.BQL("NOW US Equity", "ST_DEFERRED_REVENUE/1M", "FPR=2021Y", "FPT=A", "FA_ACT_EST_DATA=E, EST_SOURCE=KEY", "ACT_EST_MAPPING=PRECISE", "FS=MRC", "CURRENCY=USD", "XLFILL=b")</f>
        <v>#N/A Requesting Data...</v>
      </c>
      <c r="N191" s="6" t="str">
        <f>_xll.BQL("NOW US Equity", "ST_DEFERRED_REVENUE/1M", "FPR=2021Y", "FPT=A", "FA_ACT_EST_DATA=E, EST_SOURCE=BMO", "ACT_EST_MAPPING=PRECISE", "FS=MRC", "CURRENCY=USD", "XLFILL=b")</f>
        <v>#N/A Requesting Data...</v>
      </c>
      <c r="O191" s="6" t="str">
        <f>_xll.BQL("NOW US Equity", "ST_DEFERRED_REVENUE/1M", "FPR=2021Y", "FPT=A", "FA_ACT_EST_DATA=E, EST_SOURCE=OPY", "ACT_EST_MAPPING=PRECISE", "FS=MRC", "CURRENCY=USD", "XLFILL=b")</f>
        <v>#N/A Requesting Data...</v>
      </c>
      <c r="P191" s="6" t="str">
        <f>_xll.BQL("NOW US Equity", "ST_DEFERRED_REVENUE/1M", "FPR=2021Y", "FPT=A", "FA_ACT_EST_DATA=E, EST_SOURCE=BCA", "ACT_EST_MAPPING=PRECISE", "FS=MRC", "CURRENCY=USD", "XLFILL=b")</f>
        <v>#N/A Requesting Data...</v>
      </c>
      <c r="Q191" s="6" t="str">
        <f>_xll.BQL("NOW US Equity", "ST_DEFERRED_REVENUE/1M", "FPR=2021Y", "FPT=A", "FA_ACT_EST_DATA=E, EST_SOURCE=RHR", "ACT_EST_MAPPING=PRECISE", "FS=MRC", "CURRENCY=USD", "XLFILL=b")</f>
        <v>#N/A Requesting Data...</v>
      </c>
      <c r="R191" s="6" t="str">
        <f>_xll.BQL("NOW US Equity", "ST_DEFERRED_REVENUE/1M", "FPR=2021Y", "FPT=A", "FA_ACT_EST_DATA=E, EST_SOURCE=SNR", "ACT_EST_MAPPING=PRECISE", "FS=MRC", "CURRENCY=USD", "XLFILL=b")</f>
        <v>#N/A Requesting Data...</v>
      </c>
      <c r="S191" s="6" t="str">
        <f>_xll.BQL("NOW US Equity", "ST_DEFERRED_REVENUE/1M", "FPR=2021Y", "FPT=A", "FA_ACT_EST_DATA=E, EST_SOURCE=MSV", "ACT_EST_MAPPING=PRECISE", "FS=MRC", "CURRENCY=USD", "XLFILL=b")</f>
        <v>#N/A Requesting Data...</v>
      </c>
      <c r="T191" s="6" t="str">
        <f>_xll.BQL("NOW US Equity", "ST_DEFERRED_REVENUE/1M", "FPR=2021Y", "FPT=A", "FA_ACT_EST_DATA=E, EST_SOURCE=CAN", "ACT_EST_MAPPING=PRECISE", "FS=MRC", "CURRENCY=USD", "XLFILL=b")</f>
        <v>#N/A Requesting Data...</v>
      </c>
      <c r="U191" s="6" t="str">
        <f>_xll.BQL("NOW US Equity", "ST_DEFERRED_REVENUE/1M", "FPR=2021Y", "FPT=A", "FA_ACT_EST_DATA=E, EST_SOURCE=JMP", "ACT_EST_MAPPING=PRECISE", "FS=MRC", "CURRENCY=USD", "XLFILL=b")</f>
        <v>#N/A Requesting Data...</v>
      </c>
      <c r="V191" s="6" t="str">
        <f>_xll.BQL("NOW US Equity", "ST_DEFERRED_REVENUE/1M", "FPR=2021Y", "FPT=A", "FA_ACT_EST_DATA=E, EST_SOURCE=NDH", "ACT_EST_MAPPING=PRECISE", "FS=MRC", "CURRENCY=USD", "XLFILL=b")</f>
        <v>#N/A Requesting Data...</v>
      </c>
      <c r="W191" s="6" t="str">
        <f>_xll.BQL("NOW US Equity", "ST_DEFERRED_REVENUE/1M", "FPR=2021Y", "FPT=A", "FA_ACT_EST_DATA=E, EST_SOURCE=ZXS", "ACT_EST_MAPPING=PRECISE", "FS=MRC", "CURRENCY=USD", "XLFILL=b")</f>
        <v>#N/A Requesting Data...</v>
      </c>
      <c r="X191" s="6" t="str">
        <f>_xll.BQL("NOW US Equity", "ST_DEFERRED_REVENUE/1M", "FPR=2021Y", "FPT=A", "FA_ACT_EST_DATA=E, EST_SOURCE=CWN", "ACT_EST_MAPPING=PRECISE", "FS=MRC", "CURRENCY=USD", "XLFILL=b")</f>
        <v>#N/A Requesting Data...</v>
      </c>
      <c r="Y191" s="6" t="str">
        <f>_xll.BQL("NOW US Equity", "ST_DEFERRED_REVENUE/1M", "FPR=2021Y", "FPT=A", "FA_ACT_EST_DATA=E, EST_SOURCE=DBG", "ACT_EST_MAPPING=PRECISE", "FS=MRC", "CURRENCY=USD", "XLFILL=b")</f>
        <v>#N/A Requesting Data...</v>
      </c>
      <c r="Z191" s="6" t="str">
        <f>_xll.BQL("NOW US Equity", "ST_DEFERRED_REVENUE/1M", "FPR=2021Y", "FPT=A", "FA_ACT_EST_DATA=E, EST_SOURCE=UBS", "ACT_EST_MAPPING=PRECISE", "FS=MRC", "CURRENCY=USD", "XLFILL=b")</f>
        <v>#N/A Requesting Data...</v>
      </c>
      <c r="AA191" s="6" t="str">
        <f>_xll.BQL("NOW US Equity", "ST_DEFERRED_REVENUE/1M", "FPR=2021Y", "FPT=A", "FA_ACT_EST_DATA=E, EST_SOURCE=RBC", "ACT_EST_MAPPING=PRECISE", "FS=MRC", "CURRENCY=USD", "XLFILL=b")</f>
        <v>#N/A Requesting Data...</v>
      </c>
      <c r="AB191" s="6" t="str">
        <f>_xll.BQL("NOW US Equity", "ST_DEFERRED_REVENUE/1M", "FPR=2021Y", "FPT=A", "FA_ACT_EST_DATA=E, EST_SOURCE=EVR", "ACT_EST_MAPPING=PRECISE", "FS=MRC", "CURRENCY=USD", "XLFILL=b")</f>
        <v>#N/A Requesting Data...</v>
      </c>
      <c r="AC191" s="6" t="str">
        <f>_xll.BQL("NOW US Equity", "ST_DEFERRED_REVENUE/1M", "FPR=2021Y", "FPT=A", "FA_ACT_EST_DATA=E, EST_SOURCE=BNS", "ACT_EST_MAPPING=PRECISE", "FS=MRC", "CURRENCY=USD", "XLFILL=b")</f>
        <v>#N/A Requesting Data...</v>
      </c>
      <c r="AD191" s="6" t="str">
        <f>_xll.BQL("NOW US Equity", "ST_DEFERRED_REVENUE/1M", "FPR=2021Y", "FPT=A", "FA_ACT_EST_DATA=E, EST_SOURCE=BAM", "ACT_EST_MAPPING=PRECISE", "FS=MRC", "CURRENCY=USD", "XLFILL=b")</f>
        <v>#N/A Requesting Data...</v>
      </c>
      <c r="AE191" s="6" t="str">
        <f>_xll.BQL("NOW US Equity", "ST_DEFERRED_REVENUE/1M", "FPR=2021Y", "FPT=A", "FA_ACT_EST_DATA=E, EST_SOURCE=GSR", "ACT_EST_MAPPING=PRECISE", "FS=MRC", "CURRENCY=USD", "XLFILL=b")</f>
        <v>#N/A Requesting Data...</v>
      </c>
      <c r="AF191" s="6" t="str">
        <f>_xll.BQL("NOW US Equity", "ST_DEFERRED_REVENUE/1M", "FPR=2021Y", "FPT=A", "FA_ACT_EST_DATA=E, EST_SOURCE=FBC", "ACT_EST_MAPPING=PRECISE", "FS=MRC", "CURRENCY=USD", "XLFILL=b")</f>
        <v>#N/A Requesting Data...</v>
      </c>
      <c r="AG191" s="6" t="str">
        <f>_xll.BQL("NOW US Equity", "ST_DEFERRED_REVENUE/1M", "FPR=2021Y", "FPT=A", "FA_ACT_EST_DATA=E, EST_SOURCE=MAC", "ACT_EST_MAPPING=PRECISE", "FS=MRC", "CURRENCY=USD", "XLFILL=b")</f>
        <v>#N/A Requesting Data...</v>
      </c>
      <c r="AH191" s="6" t="str">
        <f>_xll.BQL("NOW US Equity", "ST_DEFERRED_REVENUE/1M", "FPR=2021Y", "FPT=A", "FA_ACT_EST_DATA=E, EST_SOURCE=PSG", "ACT_EST_MAPPING=PRECISE", "FS=MRC", "CURRENCY=USD", "XLFILL=b")</f>
        <v>#N/A Requesting Data...</v>
      </c>
      <c r="AI191" s="6" t="str">
        <f>_xll.BQL("NOW US Equity", "ST_DEFERRED_REVENUE/1M", "FPR=2021Y", "FPT=A", "FA_ACT_EST_DATA=E, EST_SOURCE=MSR", "ACT_EST_MAPPING=PRECISE", "FS=MRC", "CURRENCY=USD", "XLFILL=b")</f>
        <v>#N/A Requesting Data...</v>
      </c>
      <c r="AJ191" s="6" t="str">
        <f>_xll.BQL("NOW US Equity", "ST_DEFERRED_REVENUE/1M", "FPR=2021Y", "FPT=A", "FA_ACT_EST_DATA=E, EST_SOURCE=JEF", "ACT_EST_MAPPING=PRECISE", "FS=MRC", "CURRENCY=USD", "XLFILL=b")</f>
        <v>#N/A Requesting Data...</v>
      </c>
      <c r="AK191" s="6" t="str">
        <f>_xll.BQL("NOW US Equity", "ST_DEFERRED_REVENUE/1M", "FPR=2021Y", "FPT=A", "FA_ACT_EST_DATA=E, EST_SOURCE=TTC", "ACT_EST_MAPPING=PRECISE", "FS=MRC", "CURRENCY=USD", "XLFILL=b")</f>
        <v>#N/A Requesting Data...</v>
      </c>
      <c r="AL191" s="6" t="str">
        <f>_xll.BQL("NOW US Equity", "ST_DEFERRED_REVENUE/1M", "FPR=2021Y", "FPT=A", "FA_ACT_EST_DATA=E, EST_SOURCE=RWB", "ACT_EST_MAPPING=PRECISE", "FS=MRC", "CURRENCY=USD", "XLFILL=b")</f>
        <v>#N/A Requesting Data...</v>
      </c>
      <c r="AM191" s="6" t="str">
        <f>_xll.BQL("NOW US Equity", "ST_DEFERRED_REVENUE/1M", "FPR=2021Y", "FPT=A", "FA_ACT_EST_DATA=E, EST_SOURCE=DZB", "ACT_EST_MAPPING=PRECISE", "FS=MRC", "CURRENCY=USD", "XLFILL=b")</f>
        <v>#N/A Requesting Data...</v>
      </c>
      <c r="AN191" s="6" t="str">
        <f>_xll.BQL("NOW US Equity", "ST_DEFERRED_REVENUE/1M", "FPR=2021Y", "FPT=A", "FA_ACT_EST_DATA=E, EST_SOURCE=DWI", "ACT_EST_MAPPING=PRECISE", "FS=MRC", "CURRENCY=USD", "XLFILL=b")</f>
        <v>#N/A Requesting Data...</v>
      </c>
      <c r="AO191" s="6" t="str">
        <f>_xll.BQL("NOW US Equity", "ST_DEFERRED_REVENUE/1M", "FPR=2021Y", "FPT=A", "FA_ACT_EST_DATA=E, EST_SOURCE=ARG", "ACT_EST_MAPPING=PRECISE", "FS=MRC", "CURRENCY=USD", "XLFILL=b")</f>
        <v>#N/A Requesting Data...</v>
      </c>
      <c r="AP191" s="6" t="str">
        <f>_xll.BQL("NOW US Equity", "ST_DEFERRED_REVENUE/1M", "FPR=2021Y", "FPT=A", "FA_ACT_EST_DATA=E, EST_SOURCE=CTI", "ACT_EST_MAPPING=PRECISE", "FS=MRC", "CURRENCY=USD", "XLFILL=b")</f>
        <v>#N/A Requesting Data...</v>
      </c>
      <c r="AQ191" s="6" t="str">
        <f>_xll.BQL("NOW US Equity", "ST_DEFERRED_REVENUE/1M", "FPR=2021Y", "FPT=A", "FA_ACT_EST_DATA=E, EST_SOURCE=WFT", "ACT_EST_MAPPING=PRECISE", "FS=MRC", "CURRENCY=USD", "XLFILL=b")</f>
        <v>#N/A Requesting Data...</v>
      </c>
      <c r="AR191" s="6" t="str">
        <f>_xll.BQL("NOW US Equity", "ST_DEFERRED_REVENUE/1M", "FPR=2021Y", "FPT=A", "FA_ACT_EST_DATA=E, EST_SOURCE=ARE", "ACT_EST_MAPPING=PRECISE", "FS=MRC", "CURRENCY=USD", "XLFILL=b")</f>
        <v>#N/A Requesting Data...</v>
      </c>
      <c r="AS191" s="6" t="str">
        <f>_xll.BQL("NOW US Equity", "ST_DEFERRED_REVENUE/1M", "FPR=2021Y", "FPT=A", "FA_ACT_EST_DATA=E, EST_SOURCE=PJE", "ACT_EST_MAPPING=PRECISE", "FS=MRC", "CURRENCY=USD", "XLFILL=b")</f>
        <v>#N/A Requesting Data...</v>
      </c>
      <c r="AT191" s="6" t="str">
        <f>_xll.BQL("NOW US Equity", "ST_DEFERRED_REVENUE/1M", "FPR=2021Y", "FPT=A", "FA_ACT_EST_DATA=E, EST_SOURCE=MZS", "ACT_EST_MAPPING=PRECISE", "FS=MRC", "CURRENCY=USD", "XLFILL=b")</f>
        <v>#N/A Requesting Data...</v>
      </c>
      <c r="AU191" s="6" t="str">
        <f>_xll.BQL("NOW US Equity", "ST_DEFERRED_REVENUE/1M", "FPR=2021Y", "FPT=A", "FA_ACT_EST_DATA=E, EST_SOURCE=SUM", "ACT_EST_MAPPING=PRECISE", "FS=MRC", "CURRENCY=USD", "XLFILL=b")</f>
        <v>#N/A Requesting Data...</v>
      </c>
      <c r="AV191" s="6" t="str">
        <f>_xll.BQL("NOW US Equity", "ST_DEFERRED_REVENUE/1M", "FPR=2021Y", "FPT=A", "FA_ACT_EST_DATA=E, EST_SOURCE=CRC", "ACT_EST_MAPPING=PRECISE", "FS=MRC", "CURRENCY=USD", "XLFILL=b")</f>
        <v>#N/A Requesting Data...</v>
      </c>
      <c r="AW191" s="6" t="str">
        <f>_xll.BQL("NOW US Equity", "ST_DEFERRED_REVENUE/1M", "FPR=2021Y", "FPT=A", "FA_ACT_EST_DATA=E, EST_SOURCE=SCB", "ACT_EST_MAPPING=PRECISE", "FS=MRC", "CURRENCY=USD", "XLFILL=b")</f>
        <v>#N/A Requesting Data...</v>
      </c>
    </row>
    <row r="192" spans="1:49" x14ac:dyDescent="0.55000000000000004">
      <c r="A192" s="5" t="s">
        <v>351</v>
      </c>
      <c r="B192" s="2" t="s">
        <v>321</v>
      </c>
      <c r="C192" s="2" t="s">
        <v>352</v>
      </c>
      <c r="D192" s="2"/>
      <c r="E192" s="6" t="str">
        <f>_xll.BQL("NOW US Equity", "LT_DEFERRED_REVENUE/1M", "FPR=2021Y", "FPT=A", "FA_ACT_EST_DATA=E", "ACT_EST_MAPPING=PRECISE", "FS=MRC", "CURRENCY=USD", "XLFILL=b")</f>
        <v>#N/A Requesting Data...</v>
      </c>
      <c r="F192" s="6" t="str">
        <f>_xll.BQL("NOW US Equity", "CONTRIBUTOR_STATS(LT_DEFERRED_REVENUE, MIN)/1M", "FPR=2021Y", "FPT=A", "FA_ACT_EST_DATA=E", "ACT_EST_MAPPING=PRECISE", "FS=MRC", "CURRENCY=USD", "XLFILL=b")</f>
        <v>#N/A Requesting Data...</v>
      </c>
      <c r="G192" s="6" t="str">
        <f>_xll.BQL("NOW US Equity", "CONTRIBUTOR_STATS(LT_DEFERRED_REVENUE, MAX)/1M", "FPR=2021Y", "FPT=A", "FA_ACT_EST_DATA=E", "ACT_EST_MAPPING=PRECISE", "FS=MRC", "CURRENCY=USD", "XLFILL=b")</f>
        <v>#N/A Requesting Data...</v>
      </c>
      <c r="H192" s="6" t="str">
        <f>_xll.BQL("NOW US Equity", "CONTRIBUTOR_STATS(LT_DEFERRED_REVENUE, STD)/1M", "FPR=2021Y", "FPT=A", "FA_ACT_EST_DATA=E", "ACT_EST_MAPPING=PRECISE", "FS=MRC", "CURRENCY=USD", "XLFILL=b")</f>
        <v>#N/A Requesting Data...</v>
      </c>
      <c r="I192" s="6" t="str">
        <f>_xll.BQL("NOW US Equity", "CONTRIBUTOR_STATS(LT_DEFERRED_REVENUE, MEDIAN)/1M", "FPR=2021Y", "FPT=A", "FA_ACT_EST_DATA=E", "ACT_EST_MAPPING=PRECISE", "FS=MRC", "CURRENCY=USD", "XLFILL=b")</f>
        <v>#N/A Requesting Data...</v>
      </c>
      <c r="J192" s="6" t="str">
        <f>_xll.BQL("NOW US Equity", "LT_DEFERRED_REVENUE/1M", "FPR=2021Y", "FPT=A", "FA_ACT_EST_DATA=E, EST_SOURCE=CMPY", "ACT_EST_MAPPING=PRECISE", "FS=MRC", "CURRENCY=USD", "XLFILL=b")</f>
        <v>#N/A Requesting Data...</v>
      </c>
      <c r="K192" s="6" t="str">
        <f>_xll.BQL("NOW US Equity", "LT_DEFERRED_REVENUE/1M", "FPR=2021Y", "FPT=A", "FA_ACT_EST_DATA=E, EST_SOURCE=JPM", "ACT_EST_MAPPING=PRECISE", "FS=MRC", "CURRENCY=USD", "XLFILL=b")</f>
        <v>#N/A Requesting Data...</v>
      </c>
      <c r="L192" s="6" t="str">
        <f>_xll.BQL("NOW US Equity", "LT_DEFERRED_REVENUE/1M", "FPR=2021Y", "FPT=A", "FA_ACT_EST_DATA=E, EST_SOURCE=WBL", "ACT_EST_MAPPING=PRECISE", "FS=MRC", "CURRENCY=USD", "XLFILL=b")</f>
        <v>#N/A Requesting Data...</v>
      </c>
      <c r="M192" s="6" t="str">
        <f>_xll.BQL("NOW US Equity", "LT_DEFERRED_REVENUE/1M", "FPR=2021Y", "FPT=A", "FA_ACT_EST_DATA=E, EST_SOURCE=KEY", "ACT_EST_MAPPING=PRECISE", "FS=MRC", "CURRENCY=USD", "XLFILL=b")</f>
        <v>#N/A Requesting Data...</v>
      </c>
      <c r="N192" s="6" t="str">
        <f>_xll.BQL("NOW US Equity", "LT_DEFERRED_REVENUE/1M", "FPR=2021Y", "FPT=A", "FA_ACT_EST_DATA=E, EST_SOURCE=BMO", "ACT_EST_MAPPING=PRECISE", "FS=MRC", "CURRENCY=USD", "XLFILL=b")</f>
        <v>#N/A Requesting Data...</v>
      </c>
      <c r="O192" s="6" t="str">
        <f>_xll.BQL("NOW US Equity", "LT_DEFERRED_REVENUE/1M", "FPR=2021Y", "FPT=A", "FA_ACT_EST_DATA=E, EST_SOURCE=OPY", "ACT_EST_MAPPING=PRECISE", "FS=MRC", "CURRENCY=USD", "XLFILL=b")</f>
        <v>#N/A Requesting Data...</v>
      </c>
      <c r="P192" s="6" t="str">
        <f>_xll.BQL("NOW US Equity", "LT_DEFERRED_REVENUE/1M", "FPR=2021Y", "FPT=A", "FA_ACT_EST_DATA=E, EST_SOURCE=BCA", "ACT_EST_MAPPING=PRECISE", "FS=MRC", "CURRENCY=USD", "XLFILL=b")</f>
        <v>#N/A Requesting Data...</v>
      </c>
      <c r="Q192" s="6" t="str">
        <f>_xll.BQL("NOW US Equity", "LT_DEFERRED_REVENUE/1M", "FPR=2021Y", "FPT=A", "FA_ACT_EST_DATA=E, EST_SOURCE=RHR", "ACT_EST_MAPPING=PRECISE", "FS=MRC", "CURRENCY=USD", "XLFILL=b")</f>
        <v>#N/A Requesting Data...</v>
      </c>
      <c r="R192" s="6" t="str">
        <f>_xll.BQL("NOW US Equity", "LT_DEFERRED_REVENUE/1M", "FPR=2021Y", "FPT=A", "FA_ACT_EST_DATA=E, EST_SOURCE=SNR", "ACT_EST_MAPPING=PRECISE", "FS=MRC", "CURRENCY=USD", "XLFILL=b")</f>
        <v>#N/A Requesting Data...</v>
      </c>
      <c r="S192" s="6" t="str">
        <f>_xll.BQL("NOW US Equity", "LT_DEFERRED_REVENUE/1M", "FPR=2021Y", "FPT=A", "FA_ACT_EST_DATA=E, EST_SOURCE=MSV", "ACT_EST_MAPPING=PRECISE", "FS=MRC", "CURRENCY=USD", "XLFILL=b")</f>
        <v>#N/A Requesting Data...</v>
      </c>
      <c r="T192" s="6" t="str">
        <f>_xll.BQL("NOW US Equity", "LT_DEFERRED_REVENUE/1M", "FPR=2021Y", "FPT=A", "FA_ACT_EST_DATA=E, EST_SOURCE=CAN", "ACT_EST_MAPPING=PRECISE", "FS=MRC", "CURRENCY=USD", "XLFILL=b")</f>
        <v>#N/A Requesting Data...</v>
      </c>
      <c r="U192" s="6" t="str">
        <f>_xll.BQL("NOW US Equity", "LT_DEFERRED_REVENUE/1M", "FPR=2021Y", "FPT=A", "FA_ACT_EST_DATA=E, EST_SOURCE=JMP", "ACT_EST_MAPPING=PRECISE", "FS=MRC", "CURRENCY=USD", "XLFILL=b")</f>
        <v>#N/A Requesting Data...</v>
      </c>
      <c r="V192" s="6" t="str">
        <f>_xll.BQL("NOW US Equity", "LT_DEFERRED_REVENUE/1M", "FPR=2021Y", "FPT=A", "FA_ACT_EST_DATA=E, EST_SOURCE=NDH", "ACT_EST_MAPPING=PRECISE", "FS=MRC", "CURRENCY=USD", "XLFILL=b")</f>
        <v>#N/A Requesting Data...</v>
      </c>
      <c r="W192" s="6" t="str">
        <f>_xll.BQL("NOW US Equity", "LT_DEFERRED_REVENUE/1M", "FPR=2021Y", "FPT=A", "FA_ACT_EST_DATA=E, EST_SOURCE=ZXS", "ACT_EST_MAPPING=PRECISE", "FS=MRC", "CURRENCY=USD", "XLFILL=b")</f>
        <v>#N/A Requesting Data...</v>
      </c>
      <c r="X192" s="6" t="str">
        <f>_xll.BQL("NOW US Equity", "LT_DEFERRED_REVENUE/1M", "FPR=2021Y", "FPT=A", "FA_ACT_EST_DATA=E, EST_SOURCE=CWN", "ACT_EST_MAPPING=PRECISE", "FS=MRC", "CURRENCY=USD", "XLFILL=b")</f>
        <v>#N/A Requesting Data...</v>
      </c>
      <c r="Y192" s="6" t="str">
        <f>_xll.BQL("NOW US Equity", "LT_DEFERRED_REVENUE/1M", "FPR=2021Y", "FPT=A", "FA_ACT_EST_DATA=E, EST_SOURCE=DBG", "ACT_EST_MAPPING=PRECISE", "FS=MRC", "CURRENCY=USD", "XLFILL=b")</f>
        <v>#N/A Requesting Data...</v>
      </c>
      <c r="Z192" s="6" t="str">
        <f>_xll.BQL("NOW US Equity", "LT_DEFERRED_REVENUE/1M", "FPR=2021Y", "FPT=A", "FA_ACT_EST_DATA=E, EST_SOURCE=UBS", "ACT_EST_MAPPING=PRECISE", "FS=MRC", "CURRENCY=USD", "XLFILL=b")</f>
        <v>#N/A Requesting Data...</v>
      </c>
      <c r="AA192" s="6" t="str">
        <f>_xll.BQL("NOW US Equity", "LT_DEFERRED_REVENUE/1M", "FPR=2021Y", "FPT=A", "FA_ACT_EST_DATA=E, EST_SOURCE=RBC", "ACT_EST_MAPPING=PRECISE", "FS=MRC", "CURRENCY=USD", "XLFILL=b")</f>
        <v>#N/A Requesting Data...</v>
      </c>
      <c r="AB192" s="6" t="str">
        <f>_xll.BQL("NOW US Equity", "LT_DEFERRED_REVENUE/1M", "FPR=2021Y", "FPT=A", "FA_ACT_EST_DATA=E, EST_SOURCE=EVR", "ACT_EST_MAPPING=PRECISE", "FS=MRC", "CURRENCY=USD", "XLFILL=b")</f>
        <v>#N/A Requesting Data...</v>
      </c>
      <c r="AC192" s="6" t="str">
        <f>_xll.BQL("NOW US Equity", "LT_DEFERRED_REVENUE/1M", "FPR=2021Y", "FPT=A", "FA_ACT_EST_DATA=E, EST_SOURCE=BNS", "ACT_EST_MAPPING=PRECISE", "FS=MRC", "CURRENCY=USD", "XLFILL=b")</f>
        <v>#N/A Requesting Data...</v>
      </c>
      <c r="AD192" s="6" t="str">
        <f>_xll.BQL("NOW US Equity", "LT_DEFERRED_REVENUE/1M", "FPR=2021Y", "FPT=A", "FA_ACT_EST_DATA=E, EST_SOURCE=BAM", "ACT_EST_MAPPING=PRECISE", "FS=MRC", "CURRENCY=USD", "XLFILL=b")</f>
        <v>#N/A Requesting Data...</v>
      </c>
      <c r="AE192" s="6" t="str">
        <f>_xll.BQL("NOW US Equity", "LT_DEFERRED_REVENUE/1M", "FPR=2021Y", "FPT=A", "FA_ACT_EST_DATA=E, EST_SOURCE=GSR", "ACT_EST_MAPPING=PRECISE", "FS=MRC", "CURRENCY=USD", "XLFILL=b")</f>
        <v>#N/A Requesting Data...</v>
      </c>
      <c r="AF192" s="6" t="str">
        <f>_xll.BQL("NOW US Equity", "LT_DEFERRED_REVENUE/1M", "FPR=2021Y", "FPT=A", "FA_ACT_EST_DATA=E, EST_SOURCE=FBC", "ACT_EST_MAPPING=PRECISE", "FS=MRC", "CURRENCY=USD", "XLFILL=b")</f>
        <v>#N/A Requesting Data...</v>
      </c>
      <c r="AG192" s="6" t="str">
        <f>_xll.BQL("NOW US Equity", "LT_DEFERRED_REVENUE/1M", "FPR=2021Y", "FPT=A", "FA_ACT_EST_DATA=E, EST_SOURCE=MAC", "ACT_EST_MAPPING=PRECISE", "FS=MRC", "CURRENCY=USD", "XLFILL=b")</f>
        <v>#N/A Requesting Data...</v>
      </c>
      <c r="AH192" s="6" t="str">
        <f>_xll.BQL("NOW US Equity", "LT_DEFERRED_REVENUE/1M", "FPR=2021Y", "FPT=A", "FA_ACT_EST_DATA=E, EST_SOURCE=PSG", "ACT_EST_MAPPING=PRECISE", "FS=MRC", "CURRENCY=USD", "XLFILL=b")</f>
        <v>#N/A Requesting Data...</v>
      </c>
      <c r="AI192" s="6" t="str">
        <f>_xll.BQL("NOW US Equity", "LT_DEFERRED_REVENUE/1M", "FPR=2021Y", "FPT=A", "FA_ACT_EST_DATA=E, EST_SOURCE=MSR", "ACT_EST_MAPPING=PRECISE", "FS=MRC", "CURRENCY=USD", "XLFILL=b")</f>
        <v>#N/A Requesting Data...</v>
      </c>
      <c r="AJ192" s="6" t="str">
        <f>_xll.BQL("NOW US Equity", "LT_DEFERRED_REVENUE/1M", "FPR=2021Y", "FPT=A", "FA_ACT_EST_DATA=E, EST_SOURCE=JEF", "ACT_EST_MAPPING=PRECISE", "FS=MRC", "CURRENCY=USD", "XLFILL=b")</f>
        <v>#N/A Requesting Data...</v>
      </c>
      <c r="AK192" s="6" t="str">
        <f>_xll.BQL("NOW US Equity", "LT_DEFERRED_REVENUE/1M", "FPR=2021Y", "FPT=A", "FA_ACT_EST_DATA=E, EST_SOURCE=TTC", "ACT_EST_MAPPING=PRECISE", "FS=MRC", "CURRENCY=USD", "XLFILL=b")</f>
        <v>#N/A Requesting Data...</v>
      </c>
      <c r="AL192" s="6" t="str">
        <f>_xll.BQL("NOW US Equity", "LT_DEFERRED_REVENUE/1M", "FPR=2021Y", "FPT=A", "FA_ACT_EST_DATA=E, EST_SOURCE=RWB", "ACT_EST_MAPPING=PRECISE", "FS=MRC", "CURRENCY=USD", "XLFILL=b")</f>
        <v>#N/A Requesting Data...</v>
      </c>
      <c r="AM192" s="6" t="str">
        <f>_xll.BQL("NOW US Equity", "LT_DEFERRED_REVENUE/1M", "FPR=2021Y", "FPT=A", "FA_ACT_EST_DATA=E, EST_SOURCE=DZB", "ACT_EST_MAPPING=PRECISE", "FS=MRC", "CURRENCY=USD", "XLFILL=b")</f>
        <v>#N/A Requesting Data...</v>
      </c>
      <c r="AN192" s="6" t="str">
        <f>_xll.BQL("NOW US Equity", "LT_DEFERRED_REVENUE/1M", "FPR=2021Y", "FPT=A", "FA_ACT_EST_DATA=E, EST_SOURCE=DWI", "ACT_EST_MAPPING=PRECISE", "FS=MRC", "CURRENCY=USD", "XLFILL=b")</f>
        <v>#N/A Requesting Data...</v>
      </c>
      <c r="AO192" s="6" t="str">
        <f>_xll.BQL("NOW US Equity", "LT_DEFERRED_REVENUE/1M", "FPR=2021Y", "FPT=A", "FA_ACT_EST_DATA=E, EST_SOURCE=ARG", "ACT_EST_MAPPING=PRECISE", "FS=MRC", "CURRENCY=USD", "XLFILL=b")</f>
        <v>#N/A Requesting Data...</v>
      </c>
      <c r="AP192" s="6" t="str">
        <f>_xll.BQL("NOW US Equity", "LT_DEFERRED_REVENUE/1M", "FPR=2021Y", "FPT=A", "FA_ACT_EST_DATA=E, EST_SOURCE=CTI", "ACT_EST_MAPPING=PRECISE", "FS=MRC", "CURRENCY=USD", "XLFILL=b")</f>
        <v>#N/A Requesting Data...</v>
      </c>
      <c r="AQ192" s="6" t="str">
        <f>_xll.BQL("NOW US Equity", "LT_DEFERRED_REVENUE/1M", "FPR=2021Y", "FPT=A", "FA_ACT_EST_DATA=E, EST_SOURCE=WFT", "ACT_EST_MAPPING=PRECISE", "FS=MRC", "CURRENCY=USD", "XLFILL=b")</f>
        <v>#N/A Requesting Data...</v>
      </c>
      <c r="AR192" s="6" t="str">
        <f>_xll.BQL("NOW US Equity", "LT_DEFERRED_REVENUE/1M", "FPR=2021Y", "FPT=A", "FA_ACT_EST_DATA=E, EST_SOURCE=ARE", "ACT_EST_MAPPING=PRECISE", "FS=MRC", "CURRENCY=USD", "XLFILL=b")</f>
        <v>#N/A Requesting Data...</v>
      </c>
      <c r="AS192" s="6" t="str">
        <f>_xll.BQL("NOW US Equity", "LT_DEFERRED_REVENUE/1M", "FPR=2021Y", "FPT=A", "FA_ACT_EST_DATA=E, EST_SOURCE=PJE", "ACT_EST_MAPPING=PRECISE", "FS=MRC", "CURRENCY=USD", "XLFILL=b")</f>
        <v>#N/A Requesting Data...</v>
      </c>
      <c r="AT192" s="6" t="str">
        <f>_xll.BQL("NOW US Equity", "LT_DEFERRED_REVENUE/1M", "FPR=2021Y", "FPT=A", "FA_ACT_EST_DATA=E, EST_SOURCE=MZS", "ACT_EST_MAPPING=PRECISE", "FS=MRC", "CURRENCY=USD", "XLFILL=b")</f>
        <v>#N/A Requesting Data...</v>
      </c>
      <c r="AU192" s="6" t="str">
        <f>_xll.BQL("NOW US Equity", "LT_DEFERRED_REVENUE/1M", "FPR=2021Y", "FPT=A", "FA_ACT_EST_DATA=E, EST_SOURCE=SUM", "ACT_EST_MAPPING=PRECISE", "FS=MRC", "CURRENCY=USD", "XLFILL=b")</f>
        <v>#N/A Requesting Data...</v>
      </c>
      <c r="AV192" s="6" t="str">
        <f>_xll.BQL("NOW US Equity", "LT_DEFERRED_REVENUE/1M", "FPR=2021Y", "FPT=A", "FA_ACT_EST_DATA=E, EST_SOURCE=CRC", "ACT_EST_MAPPING=PRECISE", "FS=MRC", "CURRENCY=USD", "XLFILL=b")</f>
        <v>#N/A Requesting Data...</v>
      </c>
      <c r="AW192" s="6" t="str">
        <f>_xll.BQL("NOW US Equity", "LT_DEFERRED_REVENUE/1M", "FPR=2021Y", "FPT=A", "FA_ACT_EST_DATA=E, EST_SOURCE=SCB", "ACT_EST_MAPPING=PRECISE", "FS=MRC", "CURRENCY=USD", "XLFILL=b")</f>
        <v>#N/A Requesting Data...</v>
      </c>
    </row>
    <row r="193" spans="1:49" x14ac:dyDescent="0.55000000000000004">
      <c r="A193" s="5" t="s">
        <v>353</v>
      </c>
      <c r="B193" s="2"/>
      <c r="C193" s="2" t="s">
        <v>354</v>
      </c>
      <c r="D193" s="2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</row>
    <row r="194" spans="1:49" x14ac:dyDescent="0.55000000000000004">
      <c r="A194" s="5" t="s">
        <v>267</v>
      </c>
      <c r="B194" s="2" t="s">
        <v>268</v>
      </c>
      <c r="C194" s="2" t="s">
        <v>269</v>
      </c>
      <c r="D194" s="2"/>
      <c r="E194" s="6" t="str">
        <f>_xll.BQL("NOW US Equity", "CB_BS_OTHER_CURRENT_ASSETS/1M", "FPR=2021Y", "FPT=A", "FA_ACT_EST_DATA=E", "ACT_EST_MAPPING=PRECISE", "FS=MRC", "CURRENCY=USD", "XLFILL=b")</f>
        <v>#N/A Requesting Data...</v>
      </c>
      <c r="F194" s="6" t="str">
        <f>_xll.BQL("NOW US Equity", "CONTRIBUTOR_STATS(CB_BS_OTHER_CURRENT_ASSETS, MIN)/1M", "FPR=2021Y", "FPT=A", "FA_ACT_EST_DATA=E", "ACT_EST_MAPPING=PRECISE", "FS=MRC", "CURRENCY=USD", "XLFILL=b")</f>
        <v>#N/A Requesting Data...</v>
      </c>
      <c r="G194" s="6" t="str">
        <f>_xll.BQL("NOW US Equity", "CONTRIBUTOR_STATS(CB_BS_OTHER_CURRENT_ASSETS, MAX)/1M", "FPR=2021Y", "FPT=A", "FA_ACT_EST_DATA=E", "ACT_EST_MAPPING=PRECISE", "FS=MRC", "CURRENCY=USD", "XLFILL=b")</f>
        <v>#N/A Requesting Data...</v>
      </c>
      <c r="H194" s="6" t="str">
        <f>_xll.BQL("NOW US Equity", "CONTRIBUTOR_STATS(CB_BS_OTHER_CURRENT_ASSETS, STD)/1M", "FPR=2021Y", "FPT=A", "FA_ACT_EST_DATA=E", "ACT_EST_MAPPING=PRECISE", "FS=MRC", "CURRENCY=USD", "XLFILL=b")</f>
        <v>#N/A Requesting Data...</v>
      </c>
      <c r="I194" s="6" t="str">
        <f>_xll.BQL("NOW US Equity", "CONTRIBUTOR_STATS(CB_BS_OTHER_CURRENT_ASSETS, MEDIAN)/1M", "FPR=2021Y", "FPT=A", "FA_ACT_EST_DATA=E", "ACT_EST_MAPPING=PRECISE", "FS=MRC", "CURRENCY=USD", "XLFILL=b")</f>
        <v>#N/A Requesting Data...</v>
      </c>
      <c r="J194" s="6" t="str">
        <f>_xll.BQL("NOW US Equity", "CB_BS_OTHER_CURRENT_ASSETS/1M", "FPR=2021Y", "FPT=A", "FA_ACT_EST_DATA=E, EST_SOURCE=CMPY", "ACT_EST_MAPPING=PRECISE", "FS=MRC", "CURRENCY=USD", "XLFILL=b")</f>
        <v>#N/A Requesting Data...</v>
      </c>
      <c r="K194" s="6" t="str">
        <f>_xll.BQL("NOW US Equity", "CB_BS_OTHER_CURRENT_ASSETS/1M", "FPR=2021Y", "FPT=A", "FA_ACT_EST_DATA=E, EST_SOURCE=JPM", "ACT_EST_MAPPING=PRECISE", "FS=MRC", "CURRENCY=USD", "XLFILL=b")</f>
        <v>#N/A Requesting Data...</v>
      </c>
      <c r="L194" s="6" t="str">
        <f>_xll.BQL("NOW US Equity", "CB_BS_OTHER_CURRENT_ASSETS/1M", "FPR=2021Y", "FPT=A", "FA_ACT_EST_DATA=E, EST_SOURCE=WBL", "ACT_EST_MAPPING=PRECISE", "FS=MRC", "CURRENCY=USD", "XLFILL=b")</f>
        <v>#N/A Requesting Data...</v>
      </c>
      <c r="M194" s="6" t="str">
        <f>_xll.BQL("NOW US Equity", "CB_BS_OTHER_CURRENT_ASSETS/1M", "FPR=2021Y", "FPT=A", "FA_ACT_EST_DATA=E, EST_SOURCE=KEY", "ACT_EST_MAPPING=PRECISE", "FS=MRC", "CURRENCY=USD", "XLFILL=b")</f>
        <v>#N/A Requesting Data...</v>
      </c>
      <c r="N194" s="6" t="str">
        <f>_xll.BQL("NOW US Equity", "CB_BS_OTHER_CURRENT_ASSETS/1M", "FPR=2021Y", "FPT=A", "FA_ACT_EST_DATA=E, EST_SOURCE=BMO", "ACT_EST_MAPPING=PRECISE", "FS=MRC", "CURRENCY=USD", "XLFILL=b")</f>
        <v>#N/A Requesting Data...</v>
      </c>
      <c r="O194" s="6" t="str">
        <f>_xll.BQL("NOW US Equity", "CB_BS_OTHER_CURRENT_ASSETS/1M", "FPR=2021Y", "FPT=A", "FA_ACT_EST_DATA=E, EST_SOURCE=OPY", "ACT_EST_MAPPING=PRECISE", "FS=MRC", "CURRENCY=USD", "XLFILL=b")</f>
        <v>#N/A Requesting Data...</v>
      </c>
      <c r="P194" s="6" t="str">
        <f>_xll.BQL("NOW US Equity", "CB_BS_OTHER_CURRENT_ASSETS/1M", "FPR=2021Y", "FPT=A", "FA_ACT_EST_DATA=E, EST_SOURCE=BCA", "ACT_EST_MAPPING=PRECISE", "FS=MRC", "CURRENCY=USD", "XLFILL=b")</f>
        <v>#N/A Requesting Data...</v>
      </c>
      <c r="Q194" s="6" t="str">
        <f>_xll.BQL("NOW US Equity", "CB_BS_OTHER_CURRENT_ASSETS/1M", "FPR=2021Y", "FPT=A", "FA_ACT_EST_DATA=E, EST_SOURCE=RHR", "ACT_EST_MAPPING=PRECISE", "FS=MRC", "CURRENCY=USD", "XLFILL=b")</f>
        <v>#N/A Requesting Data...</v>
      </c>
      <c r="R194" s="6" t="str">
        <f>_xll.BQL("NOW US Equity", "CB_BS_OTHER_CURRENT_ASSETS/1M", "FPR=2021Y", "FPT=A", "FA_ACT_EST_DATA=E, EST_SOURCE=SNR", "ACT_EST_MAPPING=PRECISE", "FS=MRC", "CURRENCY=USD", "XLFILL=b")</f>
        <v>#N/A Requesting Data...</v>
      </c>
      <c r="S194" s="6" t="str">
        <f>_xll.BQL("NOW US Equity", "CB_BS_OTHER_CURRENT_ASSETS/1M", "FPR=2021Y", "FPT=A", "FA_ACT_EST_DATA=E, EST_SOURCE=MSV", "ACT_EST_MAPPING=PRECISE", "FS=MRC", "CURRENCY=USD", "XLFILL=b")</f>
        <v>#N/A Requesting Data...</v>
      </c>
      <c r="T194" s="6" t="str">
        <f>_xll.BQL("NOW US Equity", "CB_BS_OTHER_CURRENT_ASSETS/1M", "FPR=2021Y", "FPT=A", "FA_ACT_EST_DATA=E, EST_SOURCE=CAN", "ACT_EST_MAPPING=PRECISE", "FS=MRC", "CURRENCY=USD", "XLFILL=b")</f>
        <v>#N/A Requesting Data...</v>
      </c>
      <c r="U194" s="6" t="str">
        <f>_xll.BQL("NOW US Equity", "CB_BS_OTHER_CURRENT_ASSETS/1M", "FPR=2021Y", "FPT=A", "FA_ACT_EST_DATA=E, EST_SOURCE=JMP", "ACT_EST_MAPPING=PRECISE", "FS=MRC", "CURRENCY=USD", "XLFILL=b")</f>
        <v>#N/A Requesting Data...</v>
      </c>
      <c r="V194" s="6" t="str">
        <f>_xll.BQL("NOW US Equity", "CB_BS_OTHER_CURRENT_ASSETS/1M", "FPR=2021Y", "FPT=A", "FA_ACT_EST_DATA=E, EST_SOURCE=NDH", "ACT_EST_MAPPING=PRECISE", "FS=MRC", "CURRENCY=USD", "XLFILL=b")</f>
        <v>#N/A Requesting Data...</v>
      </c>
      <c r="W194" s="6" t="str">
        <f>_xll.BQL("NOW US Equity", "CB_BS_OTHER_CURRENT_ASSETS/1M", "FPR=2021Y", "FPT=A", "FA_ACT_EST_DATA=E, EST_SOURCE=ZXS", "ACT_EST_MAPPING=PRECISE", "FS=MRC", "CURRENCY=USD", "XLFILL=b")</f>
        <v>#N/A Requesting Data...</v>
      </c>
      <c r="X194" s="6" t="str">
        <f>_xll.BQL("NOW US Equity", "CB_BS_OTHER_CURRENT_ASSETS/1M", "FPR=2021Y", "FPT=A", "FA_ACT_EST_DATA=E, EST_SOURCE=CWN", "ACT_EST_MAPPING=PRECISE", "FS=MRC", "CURRENCY=USD", "XLFILL=b")</f>
        <v>#N/A Requesting Data...</v>
      </c>
      <c r="Y194" s="6" t="str">
        <f>_xll.BQL("NOW US Equity", "CB_BS_OTHER_CURRENT_ASSETS/1M", "FPR=2021Y", "FPT=A", "FA_ACT_EST_DATA=E, EST_SOURCE=DBG", "ACT_EST_MAPPING=PRECISE", "FS=MRC", "CURRENCY=USD", "XLFILL=b")</f>
        <v>#N/A Requesting Data...</v>
      </c>
      <c r="Z194" s="6" t="str">
        <f>_xll.BQL("NOW US Equity", "CB_BS_OTHER_CURRENT_ASSETS/1M", "FPR=2021Y", "FPT=A", "FA_ACT_EST_DATA=E, EST_SOURCE=UBS", "ACT_EST_MAPPING=PRECISE", "FS=MRC", "CURRENCY=USD", "XLFILL=b")</f>
        <v>#N/A Requesting Data...</v>
      </c>
      <c r="AA194" s="6" t="str">
        <f>_xll.BQL("NOW US Equity", "CB_BS_OTHER_CURRENT_ASSETS/1M", "FPR=2021Y", "FPT=A", "FA_ACT_EST_DATA=E, EST_SOURCE=RBC", "ACT_EST_MAPPING=PRECISE", "FS=MRC", "CURRENCY=USD", "XLFILL=b")</f>
        <v>#N/A Requesting Data...</v>
      </c>
      <c r="AB194" s="6" t="str">
        <f>_xll.BQL("NOW US Equity", "CB_BS_OTHER_CURRENT_ASSETS/1M", "FPR=2021Y", "FPT=A", "FA_ACT_EST_DATA=E, EST_SOURCE=EVR", "ACT_EST_MAPPING=PRECISE", "FS=MRC", "CURRENCY=USD", "XLFILL=b")</f>
        <v>#N/A Requesting Data...</v>
      </c>
      <c r="AC194" s="6" t="str">
        <f>_xll.BQL("NOW US Equity", "CB_BS_OTHER_CURRENT_ASSETS/1M", "FPR=2021Y", "FPT=A", "FA_ACT_EST_DATA=E, EST_SOURCE=BNS", "ACT_EST_MAPPING=PRECISE", "FS=MRC", "CURRENCY=USD", "XLFILL=b")</f>
        <v>#N/A Requesting Data...</v>
      </c>
      <c r="AD194" s="6" t="str">
        <f>_xll.BQL("NOW US Equity", "CB_BS_OTHER_CURRENT_ASSETS/1M", "FPR=2021Y", "FPT=A", "FA_ACT_EST_DATA=E, EST_SOURCE=BAM", "ACT_EST_MAPPING=PRECISE", "FS=MRC", "CURRENCY=USD", "XLFILL=b")</f>
        <v>#N/A Requesting Data...</v>
      </c>
      <c r="AE194" s="6" t="str">
        <f>_xll.BQL("NOW US Equity", "CB_BS_OTHER_CURRENT_ASSETS/1M", "FPR=2021Y", "FPT=A", "FA_ACT_EST_DATA=E, EST_SOURCE=GSR", "ACT_EST_MAPPING=PRECISE", "FS=MRC", "CURRENCY=USD", "XLFILL=b")</f>
        <v>#N/A Requesting Data...</v>
      </c>
      <c r="AF194" s="6" t="str">
        <f>_xll.BQL("NOW US Equity", "CB_BS_OTHER_CURRENT_ASSETS/1M", "FPR=2021Y", "FPT=A", "FA_ACT_EST_DATA=E, EST_SOURCE=FBC", "ACT_EST_MAPPING=PRECISE", "FS=MRC", "CURRENCY=USD", "XLFILL=b")</f>
        <v>#N/A Requesting Data...</v>
      </c>
      <c r="AG194" s="6" t="str">
        <f>_xll.BQL("NOW US Equity", "CB_BS_OTHER_CURRENT_ASSETS/1M", "FPR=2021Y", "FPT=A", "FA_ACT_EST_DATA=E, EST_SOURCE=MAC", "ACT_EST_MAPPING=PRECISE", "FS=MRC", "CURRENCY=USD", "XLFILL=b")</f>
        <v>#N/A Requesting Data...</v>
      </c>
      <c r="AH194" s="6" t="str">
        <f>_xll.BQL("NOW US Equity", "CB_BS_OTHER_CURRENT_ASSETS/1M", "FPR=2021Y", "FPT=A", "FA_ACT_EST_DATA=E, EST_SOURCE=PSG", "ACT_EST_MAPPING=PRECISE", "FS=MRC", "CURRENCY=USD", "XLFILL=b")</f>
        <v>#N/A Requesting Data...</v>
      </c>
      <c r="AI194" s="6" t="str">
        <f>_xll.BQL("NOW US Equity", "CB_BS_OTHER_CURRENT_ASSETS/1M", "FPR=2021Y", "FPT=A", "FA_ACT_EST_DATA=E, EST_SOURCE=MSR", "ACT_EST_MAPPING=PRECISE", "FS=MRC", "CURRENCY=USD", "XLFILL=b")</f>
        <v>#N/A Requesting Data...</v>
      </c>
      <c r="AJ194" s="6" t="str">
        <f>_xll.BQL("NOW US Equity", "CB_BS_OTHER_CURRENT_ASSETS/1M", "FPR=2021Y", "FPT=A", "FA_ACT_EST_DATA=E, EST_SOURCE=JEF", "ACT_EST_MAPPING=PRECISE", "FS=MRC", "CURRENCY=USD", "XLFILL=b")</f>
        <v>#N/A Requesting Data...</v>
      </c>
      <c r="AK194" s="6" t="str">
        <f>_xll.BQL("NOW US Equity", "CB_BS_OTHER_CURRENT_ASSETS/1M", "FPR=2021Y", "FPT=A", "FA_ACT_EST_DATA=E, EST_SOURCE=TTC", "ACT_EST_MAPPING=PRECISE", "FS=MRC", "CURRENCY=USD", "XLFILL=b")</f>
        <v>#N/A Requesting Data...</v>
      </c>
      <c r="AL194" s="6" t="str">
        <f>_xll.BQL("NOW US Equity", "CB_BS_OTHER_CURRENT_ASSETS/1M", "FPR=2021Y", "FPT=A", "FA_ACT_EST_DATA=E, EST_SOURCE=RWB", "ACT_EST_MAPPING=PRECISE", "FS=MRC", "CURRENCY=USD", "XLFILL=b")</f>
        <v>#N/A Requesting Data...</v>
      </c>
      <c r="AM194" s="6" t="str">
        <f>_xll.BQL("NOW US Equity", "CB_BS_OTHER_CURRENT_ASSETS/1M", "FPR=2021Y", "FPT=A", "FA_ACT_EST_DATA=E, EST_SOURCE=DZB", "ACT_EST_MAPPING=PRECISE", "FS=MRC", "CURRENCY=USD", "XLFILL=b")</f>
        <v>#N/A Requesting Data...</v>
      </c>
      <c r="AN194" s="6" t="str">
        <f>_xll.BQL("NOW US Equity", "CB_BS_OTHER_CURRENT_ASSETS/1M", "FPR=2021Y", "FPT=A", "FA_ACT_EST_DATA=E, EST_SOURCE=DWI", "ACT_EST_MAPPING=PRECISE", "FS=MRC", "CURRENCY=USD", "XLFILL=b")</f>
        <v>#N/A Requesting Data...</v>
      </c>
      <c r="AO194" s="6" t="str">
        <f>_xll.BQL("NOW US Equity", "CB_BS_OTHER_CURRENT_ASSETS/1M", "FPR=2021Y", "FPT=A", "FA_ACT_EST_DATA=E, EST_SOURCE=ARG", "ACT_EST_MAPPING=PRECISE", "FS=MRC", "CURRENCY=USD", "XLFILL=b")</f>
        <v>#N/A Requesting Data...</v>
      </c>
      <c r="AP194" s="6" t="str">
        <f>_xll.BQL("NOW US Equity", "CB_BS_OTHER_CURRENT_ASSETS/1M", "FPR=2021Y", "FPT=A", "FA_ACT_EST_DATA=E, EST_SOURCE=CTI", "ACT_EST_MAPPING=PRECISE", "FS=MRC", "CURRENCY=USD", "XLFILL=b")</f>
        <v>#N/A Requesting Data...</v>
      </c>
      <c r="AQ194" s="6" t="str">
        <f>_xll.BQL("NOW US Equity", "CB_BS_OTHER_CURRENT_ASSETS/1M", "FPR=2021Y", "FPT=A", "FA_ACT_EST_DATA=E, EST_SOURCE=WFT", "ACT_EST_MAPPING=PRECISE", "FS=MRC", "CURRENCY=USD", "XLFILL=b")</f>
        <v>#N/A Requesting Data...</v>
      </c>
      <c r="AR194" s="6" t="str">
        <f>_xll.BQL("NOW US Equity", "CB_BS_OTHER_CURRENT_ASSETS/1M", "FPR=2021Y", "FPT=A", "FA_ACT_EST_DATA=E, EST_SOURCE=ARE", "ACT_EST_MAPPING=PRECISE", "FS=MRC", "CURRENCY=USD", "XLFILL=b")</f>
        <v>#N/A Requesting Data...</v>
      </c>
      <c r="AS194" s="6" t="str">
        <f>_xll.BQL("NOW US Equity", "CB_BS_OTHER_CURRENT_ASSETS/1M", "FPR=2021Y", "FPT=A", "FA_ACT_EST_DATA=E, EST_SOURCE=PJE", "ACT_EST_MAPPING=PRECISE", "FS=MRC", "CURRENCY=USD", "XLFILL=b")</f>
        <v>#N/A Requesting Data...</v>
      </c>
      <c r="AT194" s="6" t="str">
        <f>_xll.BQL("NOW US Equity", "CB_BS_OTHER_CURRENT_ASSETS/1M", "FPR=2021Y", "FPT=A", "FA_ACT_EST_DATA=E, EST_SOURCE=MZS", "ACT_EST_MAPPING=PRECISE", "FS=MRC", "CURRENCY=USD", "XLFILL=b")</f>
        <v>#N/A Requesting Data...</v>
      </c>
      <c r="AU194" s="6" t="str">
        <f>_xll.BQL("NOW US Equity", "CB_BS_OTHER_CURRENT_ASSETS/1M", "FPR=2021Y", "FPT=A", "FA_ACT_EST_DATA=E, EST_SOURCE=SUM", "ACT_EST_MAPPING=PRECISE", "FS=MRC", "CURRENCY=USD", "XLFILL=b")</f>
        <v>#N/A Requesting Data...</v>
      </c>
      <c r="AV194" s="6" t="str">
        <f>_xll.BQL("NOW US Equity", "CB_BS_OTHER_CURRENT_ASSETS/1M", "FPR=2021Y", "FPT=A", "FA_ACT_EST_DATA=E, EST_SOURCE=CRC", "ACT_EST_MAPPING=PRECISE", "FS=MRC", "CURRENCY=USD", "XLFILL=b")</f>
        <v>#N/A Requesting Data...</v>
      </c>
      <c r="AW194" s="6" t="str">
        <f>_xll.BQL("NOW US Equity", "CB_BS_OTHER_CURRENT_ASSETS/1M", "FPR=2021Y", "FPT=A", "FA_ACT_EST_DATA=E, EST_SOURCE=SCB", "ACT_EST_MAPPING=PRECISE", "FS=MRC", "CURRENCY=USD", "XLFILL=b")</f>
        <v>#N/A Requesting Data...</v>
      </c>
    </row>
    <row r="195" spans="1:49" x14ac:dyDescent="0.55000000000000004">
      <c r="A195" s="5" t="s">
        <v>355</v>
      </c>
      <c r="B195" s="2" t="s">
        <v>292</v>
      </c>
      <c r="C195" s="2" t="s">
        <v>356</v>
      </c>
      <c r="D195" s="2"/>
      <c r="E195" s="6" t="str">
        <f>_xll.BQL("NOW US Equity", "CB_BS_DEFERRED_COST_LT/1M", "FPR=2021Y", "FPT=A", "FA_ACT_EST_DATA=E", "ACT_EST_MAPPING=PRECISE", "FS=MRC", "CURRENCY=USD", "XLFILL=b")</f>
        <v>#N/A Requesting Data...</v>
      </c>
      <c r="F195" s="6">
        <f>_xll.BQL("NOW US Equity", "CONTRIBUTOR_STATS(CB_BS_DEFERRED_COST_LT, MIN)/1M", "FPR=2021Y", "FPT=A", "FA_ACT_EST_DATA=E", "ACT_EST_MAPPING=PRECISE", "FS=MRC", "CURRENCY=USD", "XLFILL=b")</f>
        <v>208</v>
      </c>
      <c r="G195" s="6">
        <f>_xll.BQL("NOW US Equity", "CONTRIBUTOR_STATS(CB_BS_DEFERRED_COST_LT, MAX)/1M", "FPR=2021Y", "FPT=A", "FA_ACT_EST_DATA=E", "ACT_EST_MAPPING=PRECISE", "FS=MRC", "CURRENCY=USD", "XLFILL=b")</f>
        <v>625.96091999999999</v>
      </c>
      <c r="H195" s="6">
        <f>_xll.BQL("NOW US Equity", "CONTRIBUTOR_STATS(CB_BS_DEFERRED_COST_LT, STD)/1M", "FPR=2021Y", "FPT=A", "FA_ACT_EST_DATA=E", "ACT_EST_MAPPING=PRECISE", "FS=MRC", "CURRENCY=USD", "XLFILL=b")</f>
        <v>104.60115557678897</v>
      </c>
      <c r="I195" s="6" t="str">
        <f>_xll.BQL("NOW US Equity", "CONTRIBUTOR_STATS(CB_BS_DEFERRED_COST_LT, MEDIAN)/1M", "FPR=2021Y", "FPT=A", "FA_ACT_EST_DATA=E", "ACT_EST_MAPPING=PRECISE", "FS=MRC", "CURRENCY=USD", "XLFILL=b")</f>
        <v>#N/A Requesting Data...</v>
      </c>
      <c r="J195" s="6" t="str">
        <f>_xll.BQL("NOW US Equity", "CB_BS_DEFERRED_COST_LT/1M", "FPR=2021Y", "FPT=A", "FA_ACT_EST_DATA=E, EST_SOURCE=CMPY", "ACT_EST_MAPPING=PRECISE", "FS=MRC", "CURRENCY=USD", "XLFILL=b")</f>
        <v>#N/A Requesting Data...</v>
      </c>
      <c r="K195" s="6" t="str">
        <f>_xll.BQL("NOW US Equity", "CB_BS_DEFERRED_COST_LT/1M", "FPR=2021Y", "FPT=A", "FA_ACT_EST_DATA=E, EST_SOURCE=JPM", "ACT_EST_MAPPING=PRECISE", "FS=MRC", "CURRENCY=USD", "XLFILL=b")</f>
        <v>#N/A Requesting Data...</v>
      </c>
      <c r="L195" s="6" t="str">
        <f>_xll.BQL("NOW US Equity", "CB_BS_DEFERRED_COST_LT/1M", "FPR=2021Y", "FPT=A", "FA_ACT_EST_DATA=E, EST_SOURCE=WBL", "ACT_EST_MAPPING=PRECISE", "FS=MRC", "CURRENCY=USD", "XLFILL=b")</f>
        <v>#N/A Requesting Data...</v>
      </c>
      <c r="M195" s="6" t="str">
        <f>_xll.BQL("NOW US Equity", "CB_BS_DEFERRED_COST_LT/1M", "FPR=2021Y", "FPT=A", "FA_ACT_EST_DATA=E, EST_SOURCE=KEY", "ACT_EST_MAPPING=PRECISE", "FS=MRC", "CURRENCY=USD", "XLFILL=b")</f>
        <v>#N/A Requesting Data...</v>
      </c>
      <c r="N195" s="6" t="str">
        <f>_xll.BQL("NOW US Equity", "CB_BS_DEFERRED_COST_LT/1M", "FPR=2021Y", "FPT=A", "FA_ACT_EST_DATA=E, EST_SOURCE=BMO", "ACT_EST_MAPPING=PRECISE", "FS=MRC", "CURRENCY=USD", "XLFILL=b")</f>
        <v>#N/A Requesting Data...</v>
      </c>
      <c r="O195" s="6" t="str">
        <f>_xll.BQL("NOW US Equity", "CB_BS_DEFERRED_COST_LT/1M", "FPR=2021Y", "FPT=A", "FA_ACT_EST_DATA=E, EST_SOURCE=OPY", "ACT_EST_MAPPING=PRECISE", "FS=MRC", "CURRENCY=USD", "XLFILL=b")</f>
        <v>#N/A Requesting Data...</v>
      </c>
      <c r="P195" s="6" t="str">
        <f>_xll.BQL("NOW US Equity", "CB_BS_DEFERRED_COST_LT/1M", "FPR=2021Y", "FPT=A", "FA_ACT_EST_DATA=E, EST_SOURCE=BCA", "ACT_EST_MAPPING=PRECISE", "FS=MRC", "CURRENCY=USD", "XLFILL=b")</f>
        <v>#N/A Requesting Data...</v>
      </c>
      <c r="Q195" s="6" t="str">
        <f>_xll.BQL("NOW US Equity", "CB_BS_DEFERRED_COST_LT/1M", "FPR=2021Y", "FPT=A", "FA_ACT_EST_DATA=E, EST_SOURCE=RHR", "ACT_EST_MAPPING=PRECISE", "FS=MRC", "CURRENCY=USD", "XLFILL=b")</f>
        <v>#N/A Requesting Data...</v>
      </c>
      <c r="R195" s="6" t="str">
        <f>_xll.BQL("NOW US Equity", "CB_BS_DEFERRED_COST_LT/1M", "FPR=2021Y", "FPT=A", "FA_ACT_EST_DATA=E, EST_SOURCE=SNR", "ACT_EST_MAPPING=PRECISE", "FS=MRC", "CURRENCY=USD", "XLFILL=b")</f>
        <v>#N/A Requesting Data...</v>
      </c>
      <c r="S195" s="6" t="str">
        <f>_xll.BQL("NOW US Equity", "CB_BS_DEFERRED_COST_LT/1M", "FPR=2021Y", "FPT=A", "FA_ACT_EST_DATA=E, EST_SOURCE=MSV", "ACT_EST_MAPPING=PRECISE", "FS=MRC", "CURRENCY=USD", "XLFILL=b")</f>
        <v>#N/A Requesting Data...</v>
      </c>
      <c r="T195" s="6" t="str">
        <f>_xll.BQL("NOW US Equity", "CB_BS_DEFERRED_COST_LT/1M", "FPR=2021Y", "FPT=A", "FA_ACT_EST_DATA=E, EST_SOURCE=CAN", "ACT_EST_MAPPING=PRECISE", "FS=MRC", "CURRENCY=USD", "XLFILL=b")</f>
        <v>#N/A Requesting Data...</v>
      </c>
      <c r="U195" s="6" t="str">
        <f>_xll.BQL("NOW US Equity", "CB_BS_DEFERRED_COST_LT/1M", "FPR=2021Y", "FPT=A", "FA_ACT_EST_DATA=E, EST_SOURCE=JMP", "ACT_EST_MAPPING=PRECISE", "FS=MRC", "CURRENCY=USD", "XLFILL=b")</f>
        <v>#N/A Requesting Data...</v>
      </c>
      <c r="V195" s="6" t="str">
        <f>_xll.BQL("NOW US Equity", "CB_BS_DEFERRED_COST_LT/1M", "FPR=2021Y", "FPT=A", "FA_ACT_EST_DATA=E, EST_SOURCE=NDH", "ACT_EST_MAPPING=PRECISE", "FS=MRC", "CURRENCY=USD", "XLFILL=b")</f>
        <v>#N/A Requesting Data...</v>
      </c>
      <c r="W195" s="6" t="str">
        <f>_xll.BQL("NOW US Equity", "CB_BS_DEFERRED_COST_LT/1M", "FPR=2021Y", "FPT=A", "FA_ACT_EST_DATA=E, EST_SOURCE=ZXS", "ACT_EST_MAPPING=PRECISE", "FS=MRC", "CURRENCY=USD", "XLFILL=b")</f>
        <v>#N/A Requesting Data...</v>
      </c>
      <c r="X195" s="6" t="str">
        <f>_xll.BQL("NOW US Equity", "CB_BS_DEFERRED_COST_LT/1M", "FPR=2021Y", "FPT=A", "FA_ACT_EST_DATA=E, EST_SOURCE=CWN", "ACT_EST_MAPPING=PRECISE", "FS=MRC", "CURRENCY=USD", "XLFILL=b")</f>
        <v>#N/A Requesting Data...</v>
      </c>
      <c r="Y195" s="6" t="str">
        <f>_xll.BQL("NOW US Equity", "CB_BS_DEFERRED_COST_LT/1M", "FPR=2021Y", "FPT=A", "FA_ACT_EST_DATA=E, EST_SOURCE=DBG", "ACT_EST_MAPPING=PRECISE", "FS=MRC", "CURRENCY=USD", "XLFILL=b")</f>
        <v>#N/A Requesting Data...</v>
      </c>
      <c r="Z195" s="6" t="str">
        <f>_xll.BQL("NOW US Equity", "CB_BS_DEFERRED_COST_LT/1M", "FPR=2021Y", "FPT=A", "FA_ACT_EST_DATA=E, EST_SOURCE=UBS", "ACT_EST_MAPPING=PRECISE", "FS=MRC", "CURRENCY=USD", "XLFILL=b")</f>
        <v>#N/A Requesting Data...</v>
      </c>
      <c r="AA195" s="6" t="str">
        <f>_xll.BQL("NOW US Equity", "CB_BS_DEFERRED_COST_LT/1M", "FPR=2021Y", "FPT=A", "FA_ACT_EST_DATA=E, EST_SOURCE=RBC", "ACT_EST_MAPPING=PRECISE", "FS=MRC", "CURRENCY=USD", "XLFILL=b")</f>
        <v>#N/A Requesting Data...</v>
      </c>
      <c r="AB195" s="6" t="str">
        <f>_xll.BQL("NOW US Equity", "CB_BS_DEFERRED_COST_LT/1M", "FPR=2021Y", "FPT=A", "FA_ACT_EST_DATA=E, EST_SOURCE=EVR", "ACT_EST_MAPPING=PRECISE", "FS=MRC", "CURRENCY=USD", "XLFILL=b")</f>
        <v>#N/A Requesting Data...</v>
      </c>
      <c r="AC195" s="6" t="str">
        <f>_xll.BQL("NOW US Equity", "CB_BS_DEFERRED_COST_LT/1M", "FPR=2021Y", "FPT=A", "FA_ACT_EST_DATA=E, EST_SOURCE=BNS", "ACT_EST_MAPPING=PRECISE", "FS=MRC", "CURRENCY=USD", "XLFILL=b")</f>
        <v>#N/A Requesting Data...</v>
      </c>
      <c r="AD195" s="6" t="str">
        <f>_xll.BQL("NOW US Equity", "CB_BS_DEFERRED_COST_LT/1M", "FPR=2021Y", "FPT=A", "FA_ACT_EST_DATA=E, EST_SOURCE=BAM", "ACT_EST_MAPPING=PRECISE", "FS=MRC", "CURRENCY=USD", "XLFILL=b")</f>
        <v>#N/A Requesting Data...</v>
      </c>
      <c r="AE195" s="6" t="str">
        <f>_xll.BQL("NOW US Equity", "CB_BS_DEFERRED_COST_LT/1M", "FPR=2021Y", "FPT=A", "FA_ACT_EST_DATA=E, EST_SOURCE=GSR", "ACT_EST_MAPPING=PRECISE", "FS=MRC", "CURRENCY=USD", "XLFILL=b")</f>
        <v>#N/A Requesting Data...</v>
      </c>
      <c r="AF195" s="6" t="str">
        <f>_xll.BQL("NOW US Equity", "CB_BS_DEFERRED_COST_LT/1M", "FPR=2021Y", "FPT=A", "FA_ACT_EST_DATA=E, EST_SOURCE=FBC", "ACT_EST_MAPPING=PRECISE", "FS=MRC", "CURRENCY=USD", "XLFILL=b")</f>
        <v>#N/A Requesting Data...</v>
      </c>
      <c r="AG195" s="6" t="str">
        <f>_xll.BQL("NOW US Equity", "CB_BS_DEFERRED_COST_LT/1M", "FPR=2021Y", "FPT=A", "FA_ACT_EST_DATA=E, EST_SOURCE=MAC", "ACT_EST_MAPPING=PRECISE", "FS=MRC", "CURRENCY=USD", "XLFILL=b")</f>
        <v>#N/A Requesting Data...</v>
      </c>
      <c r="AH195" s="6" t="str">
        <f>_xll.BQL("NOW US Equity", "CB_BS_DEFERRED_COST_LT/1M", "FPR=2021Y", "FPT=A", "FA_ACT_EST_DATA=E, EST_SOURCE=PSG", "ACT_EST_MAPPING=PRECISE", "FS=MRC", "CURRENCY=USD", "XLFILL=b")</f>
        <v>#N/A Requesting Data...</v>
      </c>
      <c r="AI195" s="6" t="str">
        <f>_xll.BQL("NOW US Equity", "CB_BS_DEFERRED_COST_LT/1M", "FPR=2021Y", "FPT=A", "FA_ACT_EST_DATA=E, EST_SOURCE=MSR", "ACT_EST_MAPPING=PRECISE", "FS=MRC", "CURRENCY=USD", "XLFILL=b")</f>
        <v>#N/A Requesting Data...</v>
      </c>
      <c r="AJ195" s="6" t="str">
        <f>_xll.BQL("NOW US Equity", "CB_BS_DEFERRED_COST_LT/1M", "FPR=2021Y", "FPT=A", "FA_ACT_EST_DATA=E, EST_SOURCE=JEF", "ACT_EST_MAPPING=PRECISE", "FS=MRC", "CURRENCY=USD", "XLFILL=b")</f>
        <v>#N/A Requesting Data...</v>
      </c>
      <c r="AK195" s="6" t="str">
        <f>_xll.BQL("NOW US Equity", "CB_BS_DEFERRED_COST_LT/1M", "FPR=2021Y", "FPT=A", "FA_ACT_EST_DATA=E, EST_SOURCE=TTC", "ACT_EST_MAPPING=PRECISE", "FS=MRC", "CURRENCY=USD", "XLFILL=b")</f>
        <v>#N/A Requesting Data...</v>
      </c>
      <c r="AL195" s="6" t="str">
        <f>_xll.BQL("NOW US Equity", "CB_BS_DEFERRED_COST_LT/1M", "FPR=2021Y", "FPT=A", "FA_ACT_EST_DATA=E, EST_SOURCE=RWB", "ACT_EST_MAPPING=PRECISE", "FS=MRC", "CURRENCY=USD", "XLFILL=b")</f>
        <v>#N/A Requesting Data...</v>
      </c>
      <c r="AM195" s="6" t="str">
        <f>_xll.BQL("NOW US Equity", "CB_BS_DEFERRED_COST_LT/1M", "FPR=2021Y", "FPT=A", "FA_ACT_EST_DATA=E, EST_SOURCE=DZB", "ACT_EST_MAPPING=PRECISE", "FS=MRC", "CURRENCY=USD", "XLFILL=b")</f>
        <v>#N/A Requesting Data...</v>
      </c>
      <c r="AN195" s="6" t="str">
        <f>_xll.BQL("NOW US Equity", "CB_BS_DEFERRED_COST_LT/1M", "FPR=2021Y", "FPT=A", "FA_ACT_EST_DATA=E, EST_SOURCE=DWI", "ACT_EST_MAPPING=PRECISE", "FS=MRC", "CURRENCY=USD", "XLFILL=b")</f>
        <v>#N/A Requesting Data...</v>
      </c>
      <c r="AO195" s="6" t="str">
        <f>_xll.BQL("NOW US Equity", "CB_BS_DEFERRED_COST_LT/1M", "FPR=2021Y", "FPT=A", "FA_ACT_EST_DATA=E, EST_SOURCE=ARG", "ACT_EST_MAPPING=PRECISE", "FS=MRC", "CURRENCY=USD", "XLFILL=b")</f>
        <v>#N/A Requesting Data...</v>
      </c>
      <c r="AP195" s="6" t="str">
        <f>_xll.BQL("NOW US Equity", "CB_BS_DEFERRED_COST_LT/1M", "FPR=2021Y", "FPT=A", "FA_ACT_EST_DATA=E, EST_SOURCE=CTI", "ACT_EST_MAPPING=PRECISE", "FS=MRC", "CURRENCY=USD", "XLFILL=b")</f>
        <v>#N/A Requesting Data...</v>
      </c>
      <c r="AQ195" s="6" t="str">
        <f>_xll.BQL("NOW US Equity", "CB_BS_DEFERRED_COST_LT/1M", "FPR=2021Y", "FPT=A", "FA_ACT_EST_DATA=E, EST_SOURCE=WFT", "ACT_EST_MAPPING=PRECISE", "FS=MRC", "CURRENCY=USD", "XLFILL=b")</f>
        <v>#N/A Requesting Data...</v>
      </c>
      <c r="AR195" s="6" t="str">
        <f>_xll.BQL("NOW US Equity", "CB_BS_DEFERRED_COST_LT/1M", "FPR=2021Y", "FPT=A", "FA_ACT_EST_DATA=E, EST_SOURCE=ARE", "ACT_EST_MAPPING=PRECISE", "FS=MRC", "CURRENCY=USD", "XLFILL=b")</f>
        <v>#N/A Requesting Data...</v>
      </c>
      <c r="AS195" s="6" t="str">
        <f>_xll.BQL("NOW US Equity", "CB_BS_DEFERRED_COST_LT/1M", "FPR=2021Y", "FPT=A", "FA_ACT_EST_DATA=E, EST_SOURCE=PJE", "ACT_EST_MAPPING=PRECISE", "FS=MRC", "CURRENCY=USD", "XLFILL=b")</f>
        <v>#N/A Requesting Data...</v>
      </c>
      <c r="AT195" s="6" t="str">
        <f>_xll.BQL("NOW US Equity", "CB_BS_DEFERRED_COST_LT/1M", "FPR=2021Y", "FPT=A", "FA_ACT_EST_DATA=E, EST_SOURCE=MZS", "ACT_EST_MAPPING=PRECISE", "FS=MRC", "CURRENCY=USD", "XLFILL=b")</f>
        <v>#N/A Requesting Data...</v>
      </c>
      <c r="AU195" s="6" t="str">
        <f>_xll.BQL("NOW US Equity", "CB_BS_DEFERRED_COST_LT/1M", "FPR=2021Y", "FPT=A", "FA_ACT_EST_DATA=E, EST_SOURCE=SUM", "ACT_EST_MAPPING=PRECISE", "FS=MRC", "CURRENCY=USD", "XLFILL=b")</f>
        <v>#N/A Requesting Data...</v>
      </c>
      <c r="AV195" s="6" t="str">
        <f>_xll.BQL("NOW US Equity", "CB_BS_DEFERRED_COST_LT/1M", "FPR=2021Y", "FPT=A", "FA_ACT_EST_DATA=E, EST_SOURCE=CRC", "ACT_EST_MAPPING=PRECISE", "FS=MRC", "CURRENCY=USD", "XLFILL=b")</f>
        <v>#N/A Requesting Data...</v>
      </c>
      <c r="AW195" s="6" t="str">
        <f>_xll.BQL("NOW US Equity", "CB_BS_DEFERRED_COST_LT/1M", "FPR=2021Y", "FPT=A", "FA_ACT_EST_DATA=E, EST_SOURCE=SCB", "ACT_EST_MAPPING=PRECISE", "FS=MRC", "CURRENCY=USD", "XLFILL=b")</f>
        <v>#N/A Requesting Data...</v>
      </c>
    </row>
    <row r="196" spans="1:49" x14ac:dyDescent="0.55000000000000004">
      <c r="A196" s="5" t="s">
        <v>23</v>
      </c>
      <c r="B196" s="2"/>
      <c r="C196" s="2"/>
      <c r="D196" s="2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</row>
    <row r="197" spans="1:49" x14ac:dyDescent="0.55000000000000004">
      <c r="A197" s="5" t="s">
        <v>357</v>
      </c>
      <c r="B197" s="2"/>
      <c r="C197" s="2" t="s">
        <v>358</v>
      </c>
      <c r="D197" s="2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</row>
    <row r="198" spans="1:49" x14ac:dyDescent="0.55000000000000004">
      <c r="A198" s="5" t="s">
        <v>359</v>
      </c>
      <c r="B198" s="2"/>
      <c r="C198" s="2" t="s">
        <v>360</v>
      </c>
      <c r="D198" s="2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</row>
    <row r="199" spans="1:49" x14ac:dyDescent="0.55000000000000004">
      <c r="A199" s="5" t="s">
        <v>210</v>
      </c>
      <c r="B199" s="2" t="s">
        <v>211</v>
      </c>
      <c r="C199" s="2" t="s">
        <v>161</v>
      </c>
      <c r="D199" s="2"/>
      <c r="E199" s="6" t="str">
        <f>_xll.BQL("NOW US Equity", "IS_COMP_NET_INCOME_GAAP/1M", "FPR=2021Y", "FPT=A", "FA_ACT_EST_DATA=E", "ACT_EST_MAPPING=PRECISE", "FS=MRC", "CURRENCY=USD", "XLFILL=b")</f>
        <v>#N/A Requesting Data...</v>
      </c>
      <c r="F199" s="6" t="str">
        <f>_xll.BQL("NOW US Equity", "CONTRIBUTOR_STATS(IS_COMP_NET_INCOME_GAAP, MIN)/1M", "FPR=2021Y", "FPT=A", "FA_ACT_EST_DATA=E", "ACT_EST_MAPPING=PRECISE", "FS=MRC", "CURRENCY=USD", "XLFILL=b")</f>
        <v>#N/A Requesting Data...</v>
      </c>
      <c r="G199" s="6" t="str">
        <f>_xll.BQL("NOW US Equity", "CONTRIBUTOR_STATS(IS_COMP_NET_INCOME_GAAP, MAX)/1M", "FPR=2021Y", "FPT=A", "FA_ACT_EST_DATA=E", "ACT_EST_MAPPING=PRECISE", "FS=MRC", "CURRENCY=USD", "XLFILL=b")</f>
        <v>#N/A Requesting Data...</v>
      </c>
      <c r="H199" s="6" t="str">
        <f>_xll.BQL("NOW US Equity", "CONTRIBUTOR_STATS(IS_COMP_NET_INCOME_GAAP, STD)/1M", "FPR=2021Y", "FPT=A", "FA_ACT_EST_DATA=E", "ACT_EST_MAPPING=PRECISE", "FS=MRC", "CURRENCY=USD", "XLFILL=b")</f>
        <v>#N/A Requesting Data...</v>
      </c>
      <c r="I199" s="6" t="str">
        <f>_xll.BQL("NOW US Equity", "CONTRIBUTOR_STATS(IS_COMP_NET_INCOME_GAAP, MEDIAN)/1M", "FPR=2021Y", "FPT=A", "FA_ACT_EST_DATA=E", "ACT_EST_MAPPING=PRECISE", "FS=MRC", "CURRENCY=USD", "XLFILL=b")</f>
        <v>#N/A Requesting Data...</v>
      </c>
      <c r="J199" s="6" t="str">
        <f>_xll.BQL("NOW US Equity", "IS_COMP_NET_INCOME_GAAP/1M", "FPR=2021Y", "FPT=A", "FA_ACT_EST_DATA=E, EST_SOURCE=CMPY", "ACT_EST_MAPPING=PRECISE", "FS=MRC", "CURRENCY=USD", "XLFILL=b")</f>
        <v>#N/A Requesting Data...</v>
      </c>
      <c r="K199" s="6" t="str">
        <f>_xll.BQL("NOW US Equity", "IS_COMP_NET_INCOME_GAAP/1M", "FPR=2021Y", "FPT=A", "FA_ACT_EST_DATA=E, EST_SOURCE=JPM", "ACT_EST_MAPPING=PRECISE", "FS=MRC", "CURRENCY=USD", "XLFILL=b")</f>
        <v>#N/A Requesting Data...</v>
      </c>
      <c r="L199" s="6" t="str">
        <f>_xll.BQL("NOW US Equity", "IS_COMP_NET_INCOME_GAAP/1M", "FPR=2021Y", "FPT=A", "FA_ACT_EST_DATA=E, EST_SOURCE=WBL", "ACT_EST_MAPPING=PRECISE", "FS=MRC", "CURRENCY=USD", "XLFILL=b")</f>
        <v>#N/A Requesting Data...</v>
      </c>
      <c r="M199" s="6" t="str">
        <f>_xll.BQL("NOW US Equity", "IS_COMP_NET_INCOME_GAAP/1M", "FPR=2021Y", "FPT=A", "FA_ACT_EST_DATA=E, EST_SOURCE=KEY", "ACT_EST_MAPPING=PRECISE", "FS=MRC", "CURRENCY=USD", "XLFILL=b")</f>
        <v>#N/A Requesting Data...</v>
      </c>
      <c r="N199" s="6" t="str">
        <f>_xll.BQL("NOW US Equity", "IS_COMP_NET_INCOME_GAAP/1M", "FPR=2021Y", "FPT=A", "FA_ACT_EST_DATA=E, EST_SOURCE=BMO", "ACT_EST_MAPPING=PRECISE", "FS=MRC", "CURRENCY=USD", "XLFILL=b")</f>
        <v>#N/A Requesting Data...</v>
      </c>
      <c r="O199" s="6" t="str">
        <f>_xll.BQL("NOW US Equity", "IS_COMP_NET_INCOME_GAAP/1M", "FPR=2021Y", "FPT=A", "FA_ACT_EST_DATA=E, EST_SOURCE=OPY", "ACT_EST_MAPPING=PRECISE", "FS=MRC", "CURRENCY=USD", "XLFILL=b")</f>
        <v>#N/A Requesting Data...</v>
      </c>
      <c r="P199" s="6" t="str">
        <f>_xll.BQL("NOW US Equity", "IS_COMP_NET_INCOME_GAAP/1M", "FPR=2021Y", "FPT=A", "FA_ACT_EST_DATA=E, EST_SOURCE=BCA", "ACT_EST_MAPPING=PRECISE", "FS=MRC", "CURRENCY=USD", "XLFILL=b")</f>
        <v>#N/A Requesting Data...</v>
      </c>
      <c r="Q199" s="6" t="str">
        <f>_xll.BQL("NOW US Equity", "IS_COMP_NET_INCOME_GAAP/1M", "FPR=2021Y", "FPT=A", "FA_ACT_EST_DATA=E, EST_SOURCE=RHR", "ACT_EST_MAPPING=PRECISE", "FS=MRC", "CURRENCY=USD", "XLFILL=b")</f>
        <v>#N/A Requesting Data...</v>
      </c>
      <c r="R199" s="6" t="str">
        <f>_xll.BQL("NOW US Equity", "IS_COMP_NET_INCOME_GAAP/1M", "FPR=2021Y", "FPT=A", "FA_ACT_EST_DATA=E, EST_SOURCE=SNR", "ACT_EST_MAPPING=PRECISE", "FS=MRC", "CURRENCY=USD", "XLFILL=b")</f>
        <v>#N/A Requesting Data...</v>
      </c>
      <c r="S199" s="6" t="str">
        <f>_xll.BQL("NOW US Equity", "IS_COMP_NET_INCOME_GAAP/1M", "FPR=2021Y", "FPT=A", "FA_ACT_EST_DATA=E, EST_SOURCE=MSV", "ACT_EST_MAPPING=PRECISE", "FS=MRC", "CURRENCY=USD", "XLFILL=b")</f>
        <v>#N/A Requesting Data...</v>
      </c>
      <c r="T199" s="6" t="str">
        <f>_xll.BQL("NOW US Equity", "IS_COMP_NET_INCOME_GAAP/1M", "FPR=2021Y", "FPT=A", "FA_ACT_EST_DATA=E, EST_SOURCE=CAN", "ACT_EST_MAPPING=PRECISE", "FS=MRC", "CURRENCY=USD", "XLFILL=b")</f>
        <v>#N/A Requesting Data...</v>
      </c>
      <c r="U199" s="6" t="str">
        <f>_xll.BQL("NOW US Equity", "IS_COMP_NET_INCOME_GAAP/1M", "FPR=2021Y", "FPT=A", "FA_ACT_EST_DATA=E, EST_SOURCE=JMP", "ACT_EST_MAPPING=PRECISE", "FS=MRC", "CURRENCY=USD", "XLFILL=b")</f>
        <v>#N/A Requesting Data...</v>
      </c>
      <c r="V199" s="6" t="str">
        <f>_xll.BQL("NOW US Equity", "IS_COMP_NET_INCOME_GAAP/1M", "FPR=2021Y", "FPT=A", "FA_ACT_EST_DATA=E, EST_SOURCE=NDH", "ACT_EST_MAPPING=PRECISE", "FS=MRC", "CURRENCY=USD", "XLFILL=b")</f>
        <v>#N/A Requesting Data...</v>
      </c>
      <c r="W199" s="6" t="str">
        <f>_xll.BQL("NOW US Equity", "IS_COMP_NET_INCOME_GAAP/1M", "FPR=2021Y", "FPT=A", "FA_ACT_EST_DATA=E, EST_SOURCE=ZXS", "ACT_EST_MAPPING=PRECISE", "FS=MRC", "CURRENCY=USD", "XLFILL=b")</f>
        <v>#N/A Requesting Data...</v>
      </c>
      <c r="X199" s="6" t="str">
        <f>_xll.BQL("NOW US Equity", "IS_COMP_NET_INCOME_GAAP/1M", "FPR=2021Y", "FPT=A", "FA_ACT_EST_DATA=E, EST_SOURCE=CWN", "ACT_EST_MAPPING=PRECISE", "FS=MRC", "CURRENCY=USD", "XLFILL=b")</f>
        <v>#N/A Requesting Data...</v>
      </c>
      <c r="Y199" s="6" t="str">
        <f>_xll.BQL("NOW US Equity", "IS_COMP_NET_INCOME_GAAP/1M", "FPR=2021Y", "FPT=A", "FA_ACT_EST_DATA=E, EST_SOURCE=DBG", "ACT_EST_MAPPING=PRECISE", "FS=MRC", "CURRENCY=USD", "XLFILL=b")</f>
        <v>#N/A Requesting Data...</v>
      </c>
      <c r="Z199" s="6" t="str">
        <f>_xll.BQL("NOW US Equity", "IS_COMP_NET_INCOME_GAAP/1M", "FPR=2021Y", "FPT=A", "FA_ACT_EST_DATA=E, EST_SOURCE=UBS", "ACT_EST_MAPPING=PRECISE", "FS=MRC", "CURRENCY=USD", "XLFILL=b")</f>
        <v>#N/A Requesting Data...</v>
      </c>
      <c r="AA199" s="6" t="str">
        <f>_xll.BQL("NOW US Equity", "IS_COMP_NET_INCOME_GAAP/1M", "FPR=2021Y", "FPT=A", "FA_ACT_EST_DATA=E, EST_SOURCE=RBC", "ACT_EST_MAPPING=PRECISE", "FS=MRC", "CURRENCY=USD", "XLFILL=b")</f>
        <v>#N/A Requesting Data...</v>
      </c>
      <c r="AB199" s="6" t="str">
        <f>_xll.BQL("NOW US Equity", "IS_COMP_NET_INCOME_GAAP/1M", "FPR=2021Y", "FPT=A", "FA_ACT_EST_DATA=E, EST_SOURCE=EVR", "ACT_EST_MAPPING=PRECISE", "FS=MRC", "CURRENCY=USD", "XLFILL=b")</f>
        <v>#N/A Requesting Data...</v>
      </c>
      <c r="AC199" s="6" t="str">
        <f>_xll.BQL("NOW US Equity", "IS_COMP_NET_INCOME_GAAP/1M", "FPR=2021Y", "FPT=A", "FA_ACT_EST_DATA=E, EST_SOURCE=BNS", "ACT_EST_MAPPING=PRECISE", "FS=MRC", "CURRENCY=USD", "XLFILL=b")</f>
        <v>#N/A Requesting Data...</v>
      </c>
      <c r="AD199" s="6" t="str">
        <f>_xll.BQL("NOW US Equity", "IS_COMP_NET_INCOME_GAAP/1M", "FPR=2021Y", "FPT=A", "FA_ACT_EST_DATA=E, EST_SOURCE=BAM", "ACT_EST_MAPPING=PRECISE", "FS=MRC", "CURRENCY=USD", "XLFILL=b")</f>
        <v>#N/A Requesting Data...</v>
      </c>
      <c r="AE199" s="6" t="str">
        <f>_xll.BQL("NOW US Equity", "IS_COMP_NET_INCOME_GAAP/1M", "FPR=2021Y", "FPT=A", "FA_ACT_EST_DATA=E, EST_SOURCE=GSR", "ACT_EST_MAPPING=PRECISE", "FS=MRC", "CURRENCY=USD", "XLFILL=b")</f>
        <v>#N/A Requesting Data...</v>
      </c>
      <c r="AF199" s="6" t="str">
        <f>_xll.BQL("NOW US Equity", "IS_COMP_NET_INCOME_GAAP/1M", "FPR=2021Y", "FPT=A", "FA_ACT_EST_DATA=E, EST_SOURCE=FBC", "ACT_EST_MAPPING=PRECISE", "FS=MRC", "CURRENCY=USD", "XLFILL=b")</f>
        <v>#N/A Requesting Data...</v>
      </c>
      <c r="AG199" s="6" t="str">
        <f>_xll.BQL("NOW US Equity", "IS_COMP_NET_INCOME_GAAP/1M", "FPR=2021Y", "FPT=A", "FA_ACT_EST_DATA=E, EST_SOURCE=MAC", "ACT_EST_MAPPING=PRECISE", "FS=MRC", "CURRENCY=USD", "XLFILL=b")</f>
        <v>#N/A Requesting Data...</v>
      </c>
      <c r="AH199" s="6" t="str">
        <f>_xll.BQL("NOW US Equity", "IS_COMP_NET_INCOME_GAAP/1M", "FPR=2021Y", "FPT=A", "FA_ACT_EST_DATA=E, EST_SOURCE=PSG", "ACT_EST_MAPPING=PRECISE", "FS=MRC", "CURRENCY=USD", "XLFILL=b")</f>
        <v>#N/A Requesting Data...</v>
      </c>
      <c r="AI199" s="6" t="str">
        <f>_xll.BQL("NOW US Equity", "IS_COMP_NET_INCOME_GAAP/1M", "FPR=2021Y", "FPT=A", "FA_ACT_EST_DATA=E, EST_SOURCE=MSR", "ACT_EST_MAPPING=PRECISE", "FS=MRC", "CURRENCY=USD", "XLFILL=b")</f>
        <v>#N/A Requesting Data...</v>
      </c>
      <c r="AJ199" s="6" t="str">
        <f>_xll.BQL("NOW US Equity", "IS_COMP_NET_INCOME_GAAP/1M", "FPR=2021Y", "FPT=A", "FA_ACT_EST_DATA=E, EST_SOURCE=JEF", "ACT_EST_MAPPING=PRECISE", "FS=MRC", "CURRENCY=USD", "XLFILL=b")</f>
        <v>#N/A Requesting Data...</v>
      </c>
      <c r="AK199" s="6" t="str">
        <f>_xll.BQL("NOW US Equity", "IS_COMP_NET_INCOME_GAAP/1M", "FPR=2021Y", "FPT=A", "FA_ACT_EST_DATA=E, EST_SOURCE=TTC", "ACT_EST_MAPPING=PRECISE", "FS=MRC", "CURRENCY=USD", "XLFILL=b")</f>
        <v>#N/A Requesting Data...</v>
      </c>
      <c r="AL199" s="6" t="str">
        <f>_xll.BQL("NOW US Equity", "IS_COMP_NET_INCOME_GAAP/1M", "FPR=2021Y", "FPT=A", "FA_ACT_EST_DATA=E, EST_SOURCE=RWB", "ACT_EST_MAPPING=PRECISE", "FS=MRC", "CURRENCY=USD", "XLFILL=b")</f>
        <v>#N/A Requesting Data...</v>
      </c>
      <c r="AM199" s="6" t="str">
        <f>_xll.BQL("NOW US Equity", "IS_COMP_NET_INCOME_GAAP/1M", "FPR=2021Y", "FPT=A", "FA_ACT_EST_DATA=E, EST_SOURCE=DZB", "ACT_EST_MAPPING=PRECISE", "FS=MRC", "CURRENCY=USD", "XLFILL=b")</f>
        <v>#N/A Requesting Data...</v>
      </c>
      <c r="AN199" s="6" t="str">
        <f>_xll.BQL("NOW US Equity", "IS_COMP_NET_INCOME_GAAP/1M", "FPR=2021Y", "FPT=A", "FA_ACT_EST_DATA=E, EST_SOURCE=DWI", "ACT_EST_MAPPING=PRECISE", "FS=MRC", "CURRENCY=USD", "XLFILL=b")</f>
        <v>#N/A Requesting Data...</v>
      </c>
      <c r="AO199" s="6" t="str">
        <f>_xll.BQL("NOW US Equity", "IS_COMP_NET_INCOME_GAAP/1M", "FPR=2021Y", "FPT=A", "FA_ACT_EST_DATA=E, EST_SOURCE=ARG", "ACT_EST_MAPPING=PRECISE", "FS=MRC", "CURRENCY=USD", "XLFILL=b")</f>
        <v>#N/A Requesting Data...</v>
      </c>
      <c r="AP199" s="6" t="str">
        <f>_xll.BQL("NOW US Equity", "IS_COMP_NET_INCOME_GAAP/1M", "FPR=2021Y", "FPT=A", "FA_ACT_EST_DATA=E, EST_SOURCE=CTI", "ACT_EST_MAPPING=PRECISE", "FS=MRC", "CURRENCY=USD", "XLFILL=b")</f>
        <v>#N/A Requesting Data...</v>
      </c>
      <c r="AQ199" s="6" t="str">
        <f>_xll.BQL("NOW US Equity", "IS_COMP_NET_INCOME_GAAP/1M", "FPR=2021Y", "FPT=A", "FA_ACT_EST_DATA=E, EST_SOURCE=WFT", "ACT_EST_MAPPING=PRECISE", "FS=MRC", "CURRENCY=USD", "XLFILL=b")</f>
        <v>#N/A Requesting Data...</v>
      </c>
      <c r="AR199" s="6" t="str">
        <f>_xll.BQL("NOW US Equity", "IS_COMP_NET_INCOME_GAAP/1M", "FPR=2021Y", "FPT=A", "FA_ACT_EST_DATA=E, EST_SOURCE=ARE", "ACT_EST_MAPPING=PRECISE", "FS=MRC", "CURRENCY=USD", "XLFILL=b")</f>
        <v>#N/A Requesting Data...</v>
      </c>
      <c r="AS199" s="6" t="str">
        <f>_xll.BQL("NOW US Equity", "IS_COMP_NET_INCOME_GAAP/1M", "FPR=2021Y", "FPT=A", "FA_ACT_EST_DATA=E, EST_SOURCE=PJE", "ACT_EST_MAPPING=PRECISE", "FS=MRC", "CURRENCY=USD", "XLFILL=b")</f>
        <v>#N/A Requesting Data...</v>
      </c>
      <c r="AT199" s="6" t="str">
        <f>_xll.BQL("NOW US Equity", "IS_COMP_NET_INCOME_GAAP/1M", "FPR=2021Y", "FPT=A", "FA_ACT_EST_DATA=E, EST_SOURCE=MZS", "ACT_EST_MAPPING=PRECISE", "FS=MRC", "CURRENCY=USD", "XLFILL=b")</f>
        <v>#N/A Requesting Data...</v>
      </c>
      <c r="AU199" s="6" t="str">
        <f>_xll.BQL("NOW US Equity", "IS_COMP_NET_INCOME_GAAP/1M", "FPR=2021Y", "FPT=A", "FA_ACT_EST_DATA=E, EST_SOURCE=SUM", "ACT_EST_MAPPING=PRECISE", "FS=MRC", "CURRENCY=USD", "XLFILL=b")</f>
        <v>#N/A Requesting Data...</v>
      </c>
      <c r="AV199" s="6" t="str">
        <f>_xll.BQL("NOW US Equity", "IS_COMP_NET_INCOME_GAAP/1M", "FPR=2021Y", "FPT=A", "FA_ACT_EST_DATA=E, EST_SOURCE=CRC", "ACT_EST_MAPPING=PRECISE", "FS=MRC", "CURRENCY=USD", "XLFILL=b")</f>
        <v>#N/A Requesting Data...</v>
      </c>
      <c r="AW199" s="6" t="str">
        <f>_xll.BQL("NOW US Equity", "IS_COMP_NET_INCOME_GAAP/1M", "FPR=2021Y", "FPT=A", "FA_ACT_EST_DATA=E, EST_SOURCE=SCB", "ACT_EST_MAPPING=PRECISE", "FS=MRC", "CURRENCY=USD", "XLFILL=b")</f>
        <v>#N/A Requesting Data...</v>
      </c>
    </row>
    <row r="200" spans="1:49" x14ac:dyDescent="0.55000000000000004">
      <c r="A200" s="5" t="s">
        <v>361</v>
      </c>
      <c r="B200" s="2" t="s">
        <v>148</v>
      </c>
      <c r="C200" s="2" t="s">
        <v>149</v>
      </c>
      <c r="D200" s="2"/>
      <c r="E200" s="6" t="str">
        <f>_xll.BQL("NOW US Equity", "CF_DEPR_AMORT/1M", "FPR=2021Y", "FPT=A", "FA_ACT_EST_DATA=E", "ACT_EST_MAPPING=PRECISE", "FS=MRC", "CURRENCY=USD", "XLFILL=b")</f>
        <v>#N/A Requesting Data...</v>
      </c>
      <c r="F200" s="6" t="str">
        <f>_xll.BQL("NOW US Equity", "CONTRIBUTOR_STATS(CF_DEPR_AMORT, MIN)/1M", "FPR=2021Y", "FPT=A", "FA_ACT_EST_DATA=E", "ACT_EST_MAPPING=PRECISE", "FS=MRC", "CURRENCY=USD", "XLFILL=b")</f>
        <v>#N/A Requesting Data...</v>
      </c>
      <c r="G200" s="6" t="str">
        <f>_xll.BQL("NOW US Equity", "CONTRIBUTOR_STATS(CF_DEPR_AMORT, MAX)/1M", "FPR=2021Y", "FPT=A", "FA_ACT_EST_DATA=E", "ACT_EST_MAPPING=PRECISE", "FS=MRC", "CURRENCY=USD", "XLFILL=b")</f>
        <v>#N/A Requesting Data...</v>
      </c>
      <c r="H200" s="6" t="str">
        <f>_xll.BQL("NOW US Equity", "CONTRIBUTOR_STATS(CF_DEPR_AMORT, STD)/1M", "FPR=2021Y", "FPT=A", "FA_ACT_EST_DATA=E", "ACT_EST_MAPPING=PRECISE", "FS=MRC", "CURRENCY=USD", "XLFILL=b")</f>
        <v>#N/A Requesting Data...</v>
      </c>
      <c r="I200" s="6" t="str">
        <f>_xll.BQL("NOW US Equity", "CONTRIBUTOR_STATS(CF_DEPR_AMORT, MEDIAN)/1M", "FPR=2021Y", "FPT=A", "FA_ACT_EST_DATA=E", "ACT_EST_MAPPING=PRECISE", "FS=MRC", "CURRENCY=USD", "XLFILL=b")</f>
        <v>#N/A Requesting Data...</v>
      </c>
      <c r="J200" s="6" t="str">
        <f>_xll.BQL("NOW US Equity", "CF_DEPR_AMORT/1M", "FPR=2021Y", "FPT=A", "FA_ACT_EST_DATA=E, EST_SOURCE=CMPY", "ACT_EST_MAPPING=PRECISE", "FS=MRC", "CURRENCY=USD", "XLFILL=b")</f>
        <v>#N/A Requesting Data...</v>
      </c>
      <c r="K200" s="6" t="str">
        <f>_xll.BQL("NOW US Equity", "CF_DEPR_AMORT/1M", "FPR=2021Y", "FPT=A", "FA_ACT_EST_DATA=E, EST_SOURCE=JPM", "ACT_EST_MAPPING=PRECISE", "FS=MRC", "CURRENCY=USD", "XLFILL=b")</f>
        <v>#N/A Requesting Data...</v>
      </c>
      <c r="L200" s="6" t="str">
        <f>_xll.BQL("NOW US Equity", "CF_DEPR_AMORT/1M", "FPR=2021Y", "FPT=A", "FA_ACT_EST_DATA=E, EST_SOURCE=WBL", "ACT_EST_MAPPING=PRECISE", "FS=MRC", "CURRENCY=USD", "XLFILL=b")</f>
        <v>#N/A Requesting Data...</v>
      </c>
      <c r="M200" s="6" t="str">
        <f>_xll.BQL("NOW US Equity", "CF_DEPR_AMORT/1M", "FPR=2021Y", "FPT=A", "FA_ACT_EST_DATA=E, EST_SOURCE=KEY", "ACT_EST_MAPPING=PRECISE", "FS=MRC", "CURRENCY=USD", "XLFILL=b")</f>
        <v>#N/A Requesting Data...</v>
      </c>
      <c r="N200" s="6" t="str">
        <f>_xll.BQL("NOW US Equity", "CF_DEPR_AMORT/1M", "FPR=2021Y", "FPT=A", "FA_ACT_EST_DATA=E, EST_SOURCE=BMO", "ACT_EST_MAPPING=PRECISE", "FS=MRC", "CURRENCY=USD", "XLFILL=b")</f>
        <v>#N/A Requesting Data...</v>
      </c>
      <c r="O200" s="6" t="str">
        <f>_xll.BQL("NOW US Equity", "CF_DEPR_AMORT/1M", "FPR=2021Y", "FPT=A", "FA_ACT_EST_DATA=E, EST_SOURCE=OPY", "ACT_EST_MAPPING=PRECISE", "FS=MRC", "CURRENCY=USD", "XLFILL=b")</f>
        <v>#N/A Requesting Data...</v>
      </c>
      <c r="P200" s="6" t="str">
        <f>_xll.BQL("NOW US Equity", "CF_DEPR_AMORT/1M", "FPR=2021Y", "FPT=A", "FA_ACT_EST_DATA=E, EST_SOURCE=BCA", "ACT_EST_MAPPING=PRECISE", "FS=MRC", "CURRENCY=USD", "XLFILL=b")</f>
        <v>#N/A Requesting Data...</v>
      </c>
      <c r="Q200" s="6" t="str">
        <f>_xll.BQL("NOW US Equity", "CF_DEPR_AMORT/1M", "FPR=2021Y", "FPT=A", "FA_ACT_EST_DATA=E, EST_SOURCE=RHR", "ACT_EST_MAPPING=PRECISE", "FS=MRC", "CURRENCY=USD", "XLFILL=b")</f>
        <v>#N/A Requesting Data...</v>
      </c>
      <c r="R200" s="6" t="str">
        <f>_xll.BQL("NOW US Equity", "CF_DEPR_AMORT/1M", "FPR=2021Y", "FPT=A", "FA_ACT_EST_DATA=E, EST_SOURCE=SNR", "ACT_EST_MAPPING=PRECISE", "FS=MRC", "CURRENCY=USD", "XLFILL=b")</f>
        <v>#N/A Requesting Data...</v>
      </c>
      <c r="S200" s="6" t="str">
        <f>_xll.BQL("NOW US Equity", "CF_DEPR_AMORT/1M", "FPR=2021Y", "FPT=A", "FA_ACT_EST_DATA=E, EST_SOURCE=MSV", "ACT_EST_MAPPING=PRECISE", "FS=MRC", "CURRENCY=USD", "XLFILL=b")</f>
        <v>#N/A Requesting Data...</v>
      </c>
      <c r="T200" s="6" t="str">
        <f>_xll.BQL("NOW US Equity", "CF_DEPR_AMORT/1M", "FPR=2021Y", "FPT=A", "FA_ACT_EST_DATA=E, EST_SOURCE=CAN", "ACT_EST_MAPPING=PRECISE", "FS=MRC", "CURRENCY=USD", "XLFILL=b")</f>
        <v>#N/A Requesting Data...</v>
      </c>
      <c r="U200" s="6" t="str">
        <f>_xll.BQL("NOW US Equity", "CF_DEPR_AMORT/1M", "FPR=2021Y", "FPT=A", "FA_ACT_EST_DATA=E, EST_SOURCE=JMP", "ACT_EST_MAPPING=PRECISE", "FS=MRC", "CURRENCY=USD", "XLFILL=b")</f>
        <v>#N/A Requesting Data...</v>
      </c>
      <c r="V200" s="6" t="str">
        <f>_xll.BQL("NOW US Equity", "CF_DEPR_AMORT/1M", "FPR=2021Y", "FPT=A", "FA_ACT_EST_DATA=E, EST_SOURCE=NDH", "ACT_EST_MAPPING=PRECISE", "FS=MRC", "CURRENCY=USD", "XLFILL=b")</f>
        <v>#N/A Requesting Data...</v>
      </c>
      <c r="W200" s="6" t="str">
        <f>_xll.BQL("NOW US Equity", "CF_DEPR_AMORT/1M", "FPR=2021Y", "FPT=A", "FA_ACT_EST_DATA=E, EST_SOURCE=ZXS", "ACT_EST_MAPPING=PRECISE", "FS=MRC", "CURRENCY=USD", "XLFILL=b")</f>
        <v>#N/A Requesting Data...</v>
      </c>
      <c r="X200" s="6" t="str">
        <f>_xll.BQL("NOW US Equity", "CF_DEPR_AMORT/1M", "FPR=2021Y", "FPT=A", "FA_ACT_EST_DATA=E, EST_SOURCE=CWN", "ACT_EST_MAPPING=PRECISE", "FS=MRC", "CURRENCY=USD", "XLFILL=b")</f>
        <v>#N/A Requesting Data...</v>
      </c>
      <c r="Y200" s="6" t="str">
        <f>_xll.BQL("NOW US Equity", "CF_DEPR_AMORT/1M", "FPR=2021Y", "FPT=A", "FA_ACT_EST_DATA=E, EST_SOURCE=DBG", "ACT_EST_MAPPING=PRECISE", "FS=MRC", "CURRENCY=USD", "XLFILL=b")</f>
        <v>#N/A Requesting Data...</v>
      </c>
      <c r="Z200" s="6" t="str">
        <f>_xll.BQL("NOW US Equity", "CF_DEPR_AMORT/1M", "FPR=2021Y", "FPT=A", "FA_ACT_EST_DATA=E, EST_SOURCE=UBS", "ACT_EST_MAPPING=PRECISE", "FS=MRC", "CURRENCY=USD", "XLFILL=b")</f>
        <v>#N/A Requesting Data...</v>
      </c>
      <c r="AA200" s="6" t="str">
        <f>_xll.BQL("NOW US Equity", "CF_DEPR_AMORT/1M", "FPR=2021Y", "FPT=A", "FA_ACT_EST_DATA=E, EST_SOURCE=RBC", "ACT_EST_MAPPING=PRECISE", "FS=MRC", "CURRENCY=USD", "XLFILL=b")</f>
        <v>#N/A Requesting Data...</v>
      </c>
      <c r="AB200" s="6" t="str">
        <f>_xll.BQL("NOW US Equity", "CF_DEPR_AMORT/1M", "FPR=2021Y", "FPT=A", "FA_ACT_EST_DATA=E, EST_SOURCE=EVR", "ACT_EST_MAPPING=PRECISE", "FS=MRC", "CURRENCY=USD", "XLFILL=b")</f>
        <v>#N/A Requesting Data...</v>
      </c>
      <c r="AC200" s="6" t="str">
        <f>_xll.BQL("NOW US Equity", "CF_DEPR_AMORT/1M", "FPR=2021Y", "FPT=A", "FA_ACT_EST_DATA=E, EST_SOURCE=BNS", "ACT_EST_MAPPING=PRECISE", "FS=MRC", "CURRENCY=USD", "XLFILL=b")</f>
        <v>#N/A Requesting Data...</v>
      </c>
      <c r="AD200" s="6" t="str">
        <f>_xll.BQL("NOW US Equity", "CF_DEPR_AMORT/1M", "FPR=2021Y", "FPT=A", "FA_ACT_EST_DATA=E, EST_SOURCE=BAM", "ACT_EST_MAPPING=PRECISE", "FS=MRC", "CURRENCY=USD", "XLFILL=b")</f>
        <v>#N/A Requesting Data...</v>
      </c>
      <c r="AE200" s="6" t="str">
        <f>_xll.BQL("NOW US Equity", "CF_DEPR_AMORT/1M", "FPR=2021Y", "FPT=A", "FA_ACT_EST_DATA=E, EST_SOURCE=GSR", "ACT_EST_MAPPING=PRECISE", "FS=MRC", "CURRENCY=USD", "XLFILL=b")</f>
        <v>#N/A Requesting Data...</v>
      </c>
      <c r="AF200" s="6" t="str">
        <f>_xll.BQL("NOW US Equity", "CF_DEPR_AMORT/1M", "FPR=2021Y", "FPT=A", "FA_ACT_EST_DATA=E, EST_SOURCE=FBC", "ACT_EST_MAPPING=PRECISE", "FS=MRC", "CURRENCY=USD", "XLFILL=b")</f>
        <v>#N/A Requesting Data...</v>
      </c>
      <c r="AG200" s="6" t="str">
        <f>_xll.BQL("NOW US Equity", "CF_DEPR_AMORT/1M", "FPR=2021Y", "FPT=A", "FA_ACT_EST_DATA=E, EST_SOURCE=MAC", "ACT_EST_MAPPING=PRECISE", "FS=MRC", "CURRENCY=USD", "XLFILL=b")</f>
        <v>#N/A Requesting Data...</v>
      </c>
      <c r="AH200" s="6" t="str">
        <f>_xll.BQL("NOW US Equity", "CF_DEPR_AMORT/1M", "FPR=2021Y", "FPT=A", "FA_ACT_EST_DATA=E, EST_SOURCE=PSG", "ACT_EST_MAPPING=PRECISE", "FS=MRC", "CURRENCY=USD", "XLFILL=b")</f>
        <v>#N/A Requesting Data...</v>
      </c>
      <c r="AI200" s="6" t="str">
        <f>_xll.BQL("NOW US Equity", "CF_DEPR_AMORT/1M", "FPR=2021Y", "FPT=A", "FA_ACT_EST_DATA=E, EST_SOURCE=MSR", "ACT_EST_MAPPING=PRECISE", "FS=MRC", "CURRENCY=USD", "XLFILL=b")</f>
        <v>#N/A Requesting Data...</v>
      </c>
      <c r="AJ200" s="6" t="str">
        <f>_xll.BQL("NOW US Equity", "CF_DEPR_AMORT/1M", "FPR=2021Y", "FPT=A", "FA_ACT_EST_DATA=E, EST_SOURCE=JEF", "ACT_EST_MAPPING=PRECISE", "FS=MRC", "CURRENCY=USD", "XLFILL=b")</f>
        <v>#N/A Requesting Data...</v>
      </c>
      <c r="AK200" s="6" t="str">
        <f>_xll.BQL("NOW US Equity", "CF_DEPR_AMORT/1M", "FPR=2021Y", "FPT=A", "FA_ACT_EST_DATA=E, EST_SOURCE=TTC", "ACT_EST_MAPPING=PRECISE", "FS=MRC", "CURRENCY=USD", "XLFILL=b")</f>
        <v>#N/A Requesting Data...</v>
      </c>
      <c r="AL200" s="6" t="str">
        <f>_xll.BQL("NOW US Equity", "CF_DEPR_AMORT/1M", "FPR=2021Y", "FPT=A", "FA_ACT_EST_DATA=E, EST_SOURCE=RWB", "ACT_EST_MAPPING=PRECISE", "FS=MRC", "CURRENCY=USD", "XLFILL=b")</f>
        <v>#N/A Requesting Data...</v>
      </c>
      <c r="AM200" s="6" t="str">
        <f>_xll.BQL("NOW US Equity", "CF_DEPR_AMORT/1M", "FPR=2021Y", "FPT=A", "FA_ACT_EST_DATA=E, EST_SOURCE=DZB", "ACT_EST_MAPPING=PRECISE", "FS=MRC", "CURRENCY=USD", "XLFILL=b")</f>
        <v>#N/A Requesting Data...</v>
      </c>
      <c r="AN200" s="6" t="str">
        <f>_xll.BQL("NOW US Equity", "CF_DEPR_AMORT/1M", "FPR=2021Y", "FPT=A", "FA_ACT_EST_DATA=E, EST_SOURCE=DWI", "ACT_EST_MAPPING=PRECISE", "FS=MRC", "CURRENCY=USD", "XLFILL=b")</f>
        <v>#N/A Requesting Data...</v>
      </c>
      <c r="AO200" s="6" t="str">
        <f>_xll.BQL("NOW US Equity", "CF_DEPR_AMORT/1M", "FPR=2021Y", "FPT=A", "FA_ACT_EST_DATA=E, EST_SOURCE=ARG", "ACT_EST_MAPPING=PRECISE", "FS=MRC", "CURRENCY=USD", "XLFILL=b")</f>
        <v>#N/A Requesting Data...</v>
      </c>
      <c r="AP200" s="6" t="str">
        <f>_xll.BQL("NOW US Equity", "CF_DEPR_AMORT/1M", "FPR=2021Y", "FPT=A", "FA_ACT_EST_DATA=E, EST_SOURCE=CTI", "ACT_EST_MAPPING=PRECISE", "FS=MRC", "CURRENCY=USD", "XLFILL=b")</f>
        <v>#N/A Requesting Data...</v>
      </c>
      <c r="AQ200" s="6" t="str">
        <f>_xll.BQL("NOW US Equity", "CF_DEPR_AMORT/1M", "FPR=2021Y", "FPT=A", "FA_ACT_EST_DATA=E, EST_SOURCE=WFT", "ACT_EST_MAPPING=PRECISE", "FS=MRC", "CURRENCY=USD", "XLFILL=b")</f>
        <v>#N/A Requesting Data...</v>
      </c>
      <c r="AR200" s="6" t="str">
        <f>_xll.BQL("NOW US Equity", "CF_DEPR_AMORT/1M", "FPR=2021Y", "FPT=A", "FA_ACT_EST_DATA=E, EST_SOURCE=ARE", "ACT_EST_MAPPING=PRECISE", "FS=MRC", "CURRENCY=USD", "XLFILL=b")</f>
        <v>#N/A Requesting Data...</v>
      </c>
      <c r="AS200" s="6" t="str">
        <f>_xll.BQL("NOW US Equity", "CF_DEPR_AMORT/1M", "FPR=2021Y", "FPT=A", "FA_ACT_EST_DATA=E, EST_SOURCE=PJE", "ACT_EST_MAPPING=PRECISE", "FS=MRC", "CURRENCY=USD", "XLFILL=b")</f>
        <v>#N/A Requesting Data...</v>
      </c>
      <c r="AT200" s="6" t="str">
        <f>_xll.BQL("NOW US Equity", "CF_DEPR_AMORT/1M", "FPR=2021Y", "FPT=A", "FA_ACT_EST_DATA=E, EST_SOURCE=MZS", "ACT_EST_MAPPING=PRECISE", "FS=MRC", "CURRENCY=USD", "XLFILL=b")</f>
        <v>#N/A Requesting Data...</v>
      </c>
      <c r="AU200" s="6" t="str">
        <f>_xll.BQL("NOW US Equity", "CF_DEPR_AMORT/1M", "FPR=2021Y", "FPT=A", "FA_ACT_EST_DATA=E, EST_SOURCE=SUM", "ACT_EST_MAPPING=PRECISE", "FS=MRC", "CURRENCY=USD", "XLFILL=b")</f>
        <v>#N/A Requesting Data...</v>
      </c>
      <c r="AV200" s="6" t="str">
        <f>_xll.BQL("NOW US Equity", "CF_DEPR_AMORT/1M", "FPR=2021Y", "FPT=A", "FA_ACT_EST_DATA=E, EST_SOURCE=CRC", "ACT_EST_MAPPING=PRECISE", "FS=MRC", "CURRENCY=USD", "XLFILL=b")</f>
        <v>#N/A Requesting Data...</v>
      </c>
      <c r="AW200" s="6" t="str">
        <f>_xll.BQL("NOW US Equity", "CF_DEPR_AMORT/1M", "FPR=2021Y", "FPT=A", "FA_ACT_EST_DATA=E, EST_SOURCE=SCB", "ACT_EST_MAPPING=PRECISE", "FS=MRC", "CURRENCY=USD", "XLFILL=b")</f>
        <v>#N/A Requesting Data...</v>
      </c>
    </row>
    <row r="201" spans="1:49" x14ac:dyDescent="0.55000000000000004">
      <c r="A201" s="5" t="s">
        <v>104</v>
      </c>
      <c r="B201" s="2" t="s">
        <v>362</v>
      </c>
      <c r="C201" s="2" t="s">
        <v>63</v>
      </c>
      <c r="D201" s="2"/>
      <c r="E201" s="6" t="str">
        <f>_xll.BQL("NOW US Equity", "D_AND_A_TO_SALES", "FPR=2021Y", "FPT=A", "FA_ACT_EST_DATA=E", "ACT_EST_MAPPING=PRECISE", "FS=MRC", "CURRENCY=USD", "XLFILL=b")</f>
        <v>#N/A Requesting Data...</v>
      </c>
      <c r="F201" s="6" t="str">
        <f>_xll.BQL("NOW US Equity", "CONTRIBUTOR_STATS(D_AND_A_TO_SALES, MIN)", "FPR=2021Y", "FPT=A", "FA_ACT_EST_DATA=E", "ACT_EST_MAPPING=PRECISE", "FS=MRC", "CURRENCY=USD", "XLFILL=b")</f>
        <v>#N/A Requesting Data...</v>
      </c>
      <c r="G201" s="6" t="str">
        <f>_xll.BQL("NOW US Equity", "CONTRIBUTOR_STATS(D_AND_A_TO_SALES, MAX)", "FPR=2021Y", "FPT=A", "FA_ACT_EST_DATA=E", "ACT_EST_MAPPING=PRECISE", "FS=MRC", "CURRENCY=USD", "XLFILL=b")</f>
        <v>#N/A Requesting Data...</v>
      </c>
      <c r="H201" s="6" t="str">
        <f>_xll.BQL("NOW US Equity", "CONTRIBUTOR_STATS(D_AND_A_TO_SALES, STD)", "FPR=2021Y", "FPT=A", "FA_ACT_EST_DATA=E", "ACT_EST_MAPPING=PRECISE", "FS=MRC", "CURRENCY=USD", "XLFILL=b")</f>
        <v>#N/A Requesting Data...</v>
      </c>
      <c r="I201" s="6" t="str">
        <f>_xll.BQL("NOW US Equity", "CONTRIBUTOR_STATS(D_AND_A_TO_SALES, MEDIAN)", "FPR=2021Y", "FPT=A", "FA_ACT_EST_DATA=E", "ACT_EST_MAPPING=PRECISE", "FS=MRC", "CURRENCY=USD", "XLFILL=b")</f>
        <v>#N/A Requesting Data...</v>
      </c>
      <c r="J201" s="6" t="str">
        <f>_xll.BQL("NOW US Equity", "D_AND_A_TO_SALES", "FPR=2021Y", "FPT=A", "FA_ACT_EST_DATA=E, EST_SOURCE=CMPY", "ACT_EST_MAPPING=PRECISE", "FS=MRC", "CURRENCY=USD", "XLFILL=b")</f>
        <v>#N/A Requesting Data...</v>
      </c>
      <c r="K201" s="6" t="str">
        <f>_xll.BQL("NOW US Equity", "D_AND_A_TO_SALES", "FPR=2021Y", "FPT=A", "FA_ACT_EST_DATA=E, EST_SOURCE=JPM", "ACT_EST_MAPPING=PRECISE", "FS=MRC", "CURRENCY=USD", "XLFILL=b")</f>
        <v>#N/A Requesting Data...</v>
      </c>
      <c r="L201" s="6" t="str">
        <f>_xll.BQL("NOW US Equity", "D_AND_A_TO_SALES", "FPR=2021Y", "FPT=A", "FA_ACT_EST_DATA=E, EST_SOURCE=WBL", "ACT_EST_MAPPING=PRECISE", "FS=MRC", "CURRENCY=USD", "XLFILL=b")</f>
        <v>#N/A Requesting Data...</v>
      </c>
      <c r="M201" s="6" t="str">
        <f>_xll.BQL("NOW US Equity", "D_AND_A_TO_SALES", "FPR=2021Y", "FPT=A", "FA_ACT_EST_DATA=E, EST_SOURCE=KEY", "ACT_EST_MAPPING=PRECISE", "FS=MRC", "CURRENCY=USD", "XLFILL=b")</f>
        <v>#N/A Requesting Data...</v>
      </c>
      <c r="N201" s="6" t="str">
        <f>_xll.BQL("NOW US Equity", "D_AND_A_TO_SALES", "FPR=2021Y", "FPT=A", "FA_ACT_EST_DATA=E, EST_SOURCE=BMO", "ACT_EST_MAPPING=PRECISE", "FS=MRC", "CURRENCY=USD", "XLFILL=b")</f>
        <v>#N/A Requesting Data...</v>
      </c>
      <c r="O201" s="6" t="str">
        <f>_xll.BQL("NOW US Equity", "D_AND_A_TO_SALES", "FPR=2021Y", "FPT=A", "FA_ACT_EST_DATA=E, EST_SOURCE=OPY", "ACT_EST_MAPPING=PRECISE", "FS=MRC", "CURRENCY=USD", "XLFILL=b")</f>
        <v>#N/A Requesting Data...</v>
      </c>
      <c r="P201" s="6" t="str">
        <f>_xll.BQL("NOW US Equity", "D_AND_A_TO_SALES", "FPR=2021Y", "FPT=A", "FA_ACT_EST_DATA=E, EST_SOURCE=BCA", "ACT_EST_MAPPING=PRECISE", "FS=MRC", "CURRENCY=USD", "XLFILL=b")</f>
        <v>#N/A Requesting Data...</v>
      </c>
      <c r="Q201" s="6" t="str">
        <f>_xll.BQL("NOW US Equity", "D_AND_A_TO_SALES", "FPR=2021Y", "FPT=A", "FA_ACT_EST_DATA=E, EST_SOURCE=RHR", "ACT_EST_MAPPING=PRECISE", "FS=MRC", "CURRENCY=USD", "XLFILL=b")</f>
        <v>#N/A Requesting Data...</v>
      </c>
      <c r="R201" s="6" t="str">
        <f>_xll.BQL("NOW US Equity", "D_AND_A_TO_SALES", "FPR=2021Y", "FPT=A", "FA_ACT_EST_DATA=E, EST_SOURCE=SNR", "ACT_EST_MAPPING=PRECISE", "FS=MRC", "CURRENCY=USD", "XLFILL=b")</f>
        <v>#N/A Requesting Data...</v>
      </c>
      <c r="S201" s="6" t="str">
        <f>_xll.BQL("NOW US Equity", "D_AND_A_TO_SALES", "FPR=2021Y", "FPT=A", "FA_ACT_EST_DATA=E, EST_SOURCE=MSV", "ACT_EST_MAPPING=PRECISE", "FS=MRC", "CURRENCY=USD", "XLFILL=b")</f>
        <v>#N/A Requesting Data...</v>
      </c>
      <c r="T201" s="6" t="str">
        <f>_xll.BQL("NOW US Equity", "D_AND_A_TO_SALES", "FPR=2021Y", "FPT=A", "FA_ACT_EST_DATA=E, EST_SOURCE=CAN", "ACT_EST_MAPPING=PRECISE", "FS=MRC", "CURRENCY=USD", "XLFILL=b")</f>
        <v>#N/A Requesting Data...</v>
      </c>
      <c r="U201" s="6" t="str">
        <f>_xll.BQL("NOW US Equity", "D_AND_A_TO_SALES", "FPR=2021Y", "FPT=A", "FA_ACT_EST_DATA=E, EST_SOURCE=JMP", "ACT_EST_MAPPING=PRECISE", "FS=MRC", "CURRENCY=USD", "XLFILL=b")</f>
        <v>#N/A Requesting Data...</v>
      </c>
      <c r="V201" s="6" t="str">
        <f>_xll.BQL("NOW US Equity", "D_AND_A_TO_SALES", "FPR=2021Y", "FPT=A", "FA_ACT_EST_DATA=E, EST_SOURCE=NDH", "ACT_EST_MAPPING=PRECISE", "FS=MRC", "CURRENCY=USD", "XLFILL=b")</f>
        <v>#N/A Requesting Data...</v>
      </c>
      <c r="W201" s="6" t="str">
        <f>_xll.BQL("NOW US Equity", "D_AND_A_TO_SALES", "FPR=2021Y", "FPT=A", "FA_ACT_EST_DATA=E, EST_SOURCE=ZXS", "ACT_EST_MAPPING=PRECISE", "FS=MRC", "CURRENCY=USD", "XLFILL=b")</f>
        <v>#N/A Requesting Data...</v>
      </c>
      <c r="X201" s="6" t="str">
        <f>_xll.BQL("NOW US Equity", "D_AND_A_TO_SALES", "FPR=2021Y", "FPT=A", "FA_ACT_EST_DATA=E, EST_SOURCE=CWN", "ACT_EST_MAPPING=PRECISE", "FS=MRC", "CURRENCY=USD", "XLFILL=b")</f>
        <v>#N/A Requesting Data...</v>
      </c>
      <c r="Y201" s="6" t="str">
        <f>_xll.BQL("NOW US Equity", "D_AND_A_TO_SALES", "FPR=2021Y", "FPT=A", "FA_ACT_EST_DATA=E, EST_SOURCE=DBG", "ACT_EST_MAPPING=PRECISE", "FS=MRC", "CURRENCY=USD", "XLFILL=b")</f>
        <v>#N/A Requesting Data...</v>
      </c>
      <c r="Z201" s="6" t="str">
        <f>_xll.BQL("NOW US Equity", "D_AND_A_TO_SALES", "FPR=2021Y", "FPT=A", "FA_ACT_EST_DATA=E, EST_SOURCE=UBS", "ACT_EST_MAPPING=PRECISE", "FS=MRC", "CURRENCY=USD", "XLFILL=b")</f>
        <v>#N/A Requesting Data...</v>
      </c>
      <c r="AA201" s="6" t="str">
        <f>_xll.BQL("NOW US Equity", "D_AND_A_TO_SALES", "FPR=2021Y", "FPT=A", "FA_ACT_EST_DATA=E, EST_SOURCE=RBC", "ACT_EST_MAPPING=PRECISE", "FS=MRC", "CURRENCY=USD", "XLFILL=b")</f>
        <v>#N/A Requesting Data...</v>
      </c>
      <c r="AB201" s="6" t="str">
        <f>_xll.BQL("NOW US Equity", "D_AND_A_TO_SALES", "FPR=2021Y", "FPT=A", "FA_ACT_EST_DATA=E, EST_SOURCE=EVR", "ACT_EST_MAPPING=PRECISE", "FS=MRC", "CURRENCY=USD", "XLFILL=b")</f>
        <v>#N/A Requesting Data...</v>
      </c>
      <c r="AC201" s="6" t="str">
        <f>_xll.BQL("NOW US Equity", "D_AND_A_TO_SALES", "FPR=2021Y", "FPT=A", "FA_ACT_EST_DATA=E, EST_SOURCE=BNS", "ACT_EST_MAPPING=PRECISE", "FS=MRC", "CURRENCY=USD", "XLFILL=b")</f>
        <v>#N/A Requesting Data...</v>
      </c>
      <c r="AD201" s="6" t="str">
        <f>_xll.BQL("NOW US Equity", "D_AND_A_TO_SALES", "FPR=2021Y", "FPT=A", "FA_ACT_EST_DATA=E, EST_SOURCE=BAM", "ACT_EST_MAPPING=PRECISE", "FS=MRC", "CURRENCY=USD", "XLFILL=b")</f>
        <v>#N/A Requesting Data...</v>
      </c>
      <c r="AE201" s="6" t="str">
        <f>_xll.BQL("NOW US Equity", "D_AND_A_TO_SALES", "FPR=2021Y", "FPT=A", "FA_ACT_EST_DATA=E, EST_SOURCE=GSR", "ACT_EST_MAPPING=PRECISE", "FS=MRC", "CURRENCY=USD", "XLFILL=b")</f>
        <v>#N/A Requesting Data...</v>
      </c>
      <c r="AF201" s="6" t="str">
        <f>_xll.BQL("NOW US Equity", "D_AND_A_TO_SALES", "FPR=2021Y", "FPT=A", "FA_ACT_EST_DATA=E, EST_SOURCE=FBC", "ACT_EST_MAPPING=PRECISE", "FS=MRC", "CURRENCY=USD", "XLFILL=b")</f>
        <v>#N/A Requesting Data...</v>
      </c>
      <c r="AG201" s="6" t="str">
        <f>_xll.BQL("NOW US Equity", "D_AND_A_TO_SALES", "FPR=2021Y", "FPT=A", "FA_ACT_EST_DATA=E, EST_SOURCE=MAC", "ACT_EST_MAPPING=PRECISE", "FS=MRC", "CURRENCY=USD", "XLFILL=b")</f>
        <v>#N/A Requesting Data...</v>
      </c>
      <c r="AH201" s="6" t="str">
        <f>_xll.BQL("NOW US Equity", "D_AND_A_TO_SALES", "FPR=2021Y", "FPT=A", "FA_ACT_EST_DATA=E, EST_SOURCE=PSG", "ACT_EST_MAPPING=PRECISE", "FS=MRC", "CURRENCY=USD", "XLFILL=b")</f>
        <v>#N/A Requesting Data...</v>
      </c>
      <c r="AI201" s="6" t="str">
        <f>_xll.BQL("NOW US Equity", "D_AND_A_TO_SALES", "FPR=2021Y", "FPT=A", "FA_ACT_EST_DATA=E, EST_SOURCE=MSR", "ACT_EST_MAPPING=PRECISE", "FS=MRC", "CURRENCY=USD", "XLFILL=b")</f>
        <v>#N/A Requesting Data...</v>
      </c>
      <c r="AJ201" s="6" t="str">
        <f>_xll.BQL("NOW US Equity", "D_AND_A_TO_SALES", "FPR=2021Y", "FPT=A", "FA_ACT_EST_DATA=E, EST_SOURCE=JEF", "ACT_EST_MAPPING=PRECISE", "FS=MRC", "CURRENCY=USD", "XLFILL=b")</f>
        <v>#N/A Requesting Data...</v>
      </c>
      <c r="AK201" s="6" t="str">
        <f>_xll.BQL("NOW US Equity", "D_AND_A_TO_SALES", "FPR=2021Y", "FPT=A", "FA_ACT_EST_DATA=E, EST_SOURCE=TTC", "ACT_EST_MAPPING=PRECISE", "FS=MRC", "CURRENCY=USD", "XLFILL=b")</f>
        <v>#N/A Requesting Data...</v>
      </c>
      <c r="AL201" s="6" t="str">
        <f>_xll.BQL("NOW US Equity", "D_AND_A_TO_SALES", "FPR=2021Y", "FPT=A", "FA_ACT_EST_DATA=E, EST_SOURCE=RWB", "ACT_EST_MAPPING=PRECISE", "FS=MRC", "CURRENCY=USD", "XLFILL=b")</f>
        <v>#N/A Requesting Data...</v>
      </c>
      <c r="AM201" s="6" t="str">
        <f>_xll.BQL("NOW US Equity", "D_AND_A_TO_SALES", "FPR=2021Y", "FPT=A", "FA_ACT_EST_DATA=E, EST_SOURCE=DZB", "ACT_EST_MAPPING=PRECISE", "FS=MRC", "CURRENCY=USD", "XLFILL=b")</f>
        <v>#N/A Requesting Data...</v>
      </c>
      <c r="AN201" s="6" t="str">
        <f>_xll.BQL("NOW US Equity", "D_AND_A_TO_SALES", "FPR=2021Y", "FPT=A", "FA_ACT_EST_DATA=E, EST_SOURCE=DWI", "ACT_EST_MAPPING=PRECISE", "FS=MRC", "CURRENCY=USD", "XLFILL=b")</f>
        <v>#N/A Requesting Data...</v>
      </c>
      <c r="AO201" s="6" t="str">
        <f>_xll.BQL("NOW US Equity", "D_AND_A_TO_SALES", "FPR=2021Y", "FPT=A", "FA_ACT_EST_DATA=E, EST_SOURCE=ARG", "ACT_EST_MAPPING=PRECISE", "FS=MRC", "CURRENCY=USD", "XLFILL=b")</f>
        <v>#N/A Requesting Data...</v>
      </c>
      <c r="AP201" s="6" t="str">
        <f>_xll.BQL("NOW US Equity", "D_AND_A_TO_SALES", "FPR=2021Y", "FPT=A", "FA_ACT_EST_DATA=E, EST_SOURCE=CTI", "ACT_EST_MAPPING=PRECISE", "FS=MRC", "CURRENCY=USD", "XLFILL=b")</f>
        <v>#N/A Requesting Data...</v>
      </c>
      <c r="AQ201" s="6" t="str">
        <f>_xll.BQL("NOW US Equity", "D_AND_A_TO_SALES", "FPR=2021Y", "FPT=A", "FA_ACT_EST_DATA=E, EST_SOURCE=WFT", "ACT_EST_MAPPING=PRECISE", "FS=MRC", "CURRENCY=USD", "XLFILL=b")</f>
        <v>#N/A Requesting Data...</v>
      </c>
      <c r="AR201" s="6" t="str">
        <f>_xll.BQL("NOW US Equity", "D_AND_A_TO_SALES", "FPR=2021Y", "FPT=A", "FA_ACT_EST_DATA=E, EST_SOURCE=ARE", "ACT_EST_MAPPING=PRECISE", "FS=MRC", "CURRENCY=USD", "XLFILL=b")</f>
        <v>#N/A Requesting Data...</v>
      </c>
      <c r="AS201" s="6" t="str">
        <f>_xll.BQL("NOW US Equity", "D_AND_A_TO_SALES", "FPR=2021Y", "FPT=A", "FA_ACT_EST_DATA=E, EST_SOURCE=PJE", "ACT_EST_MAPPING=PRECISE", "FS=MRC", "CURRENCY=USD", "XLFILL=b")</f>
        <v>#N/A Requesting Data...</v>
      </c>
      <c r="AT201" s="6" t="str">
        <f>_xll.BQL("NOW US Equity", "D_AND_A_TO_SALES", "FPR=2021Y", "FPT=A", "FA_ACT_EST_DATA=E, EST_SOURCE=MZS", "ACT_EST_MAPPING=PRECISE", "FS=MRC", "CURRENCY=USD", "XLFILL=b")</f>
        <v>#N/A Requesting Data...</v>
      </c>
      <c r="AU201" s="6" t="str">
        <f>_xll.BQL("NOW US Equity", "D_AND_A_TO_SALES", "FPR=2021Y", "FPT=A", "FA_ACT_EST_DATA=E, EST_SOURCE=SUM", "ACT_EST_MAPPING=PRECISE", "FS=MRC", "CURRENCY=USD", "XLFILL=b")</f>
        <v>#N/A Requesting Data...</v>
      </c>
      <c r="AV201" s="6" t="str">
        <f>_xll.BQL("NOW US Equity", "D_AND_A_TO_SALES", "FPR=2021Y", "FPT=A", "FA_ACT_EST_DATA=E, EST_SOURCE=CRC", "ACT_EST_MAPPING=PRECISE", "FS=MRC", "CURRENCY=USD", "XLFILL=b")</f>
        <v>#N/A Requesting Data...</v>
      </c>
      <c r="AW201" s="6" t="str">
        <f>_xll.BQL("NOW US Equity", "D_AND_A_TO_SALES", "FPR=2021Y", "FPT=A", "FA_ACT_EST_DATA=E, EST_SOURCE=SCB", "ACT_EST_MAPPING=PRECISE", "FS=MRC", "CURRENCY=USD", "XLFILL=b")</f>
        <v>#N/A Requesting Data...</v>
      </c>
    </row>
    <row r="202" spans="1:49" x14ac:dyDescent="0.55000000000000004">
      <c r="A202" s="5" t="s">
        <v>363</v>
      </c>
      <c r="B202" s="2" t="s">
        <v>364</v>
      </c>
      <c r="C202" s="2" t="s">
        <v>365</v>
      </c>
      <c r="D202" s="2"/>
      <c r="E202" s="6" t="str">
        <f>_xll.BQL("NOW US Equity", "CF_AMORTIZATN_OF_DEFRRD_COMPNSTN/1M", "FPR=2021Y", "FPT=A", "FA_ACT_EST_DATA=E", "ACT_EST_MAPPING=PRECISE", "FS=MRC", "CURRENCY=USD", "XLFILL=b")</f>
        <v>#N/A Requesting Data...</v>
      </c>
      <c r="F202" s="6" t="str">
        <f>_xll.BQL("NOW US Equity", "CONTRIBUTOR_STATS(CF_AMORTIZATN_OF_DEFRRD_COMPNSTN, MIN)/1M", "FPR=2021Y", "FPT=A", "FA_ACT_EST_DATA=E", "ACT_EST_MAPPING=PRECISE", "FS=MRC", "CURRENCY=USD", "XLFILL=b")</f>
        <v>#N/A Requesting Data...</v>
      </c>
      <c r="G202" s="6" t="str">
        <f>_xll.BQL("NOW US Equity", "CONTRIBUTOR_STATS(CF_AMORTIZATN_OF_DEFRRD_COMPNSTN, MAX)/1M", "FPR=2021Y", "FPT=A", "FA_ACT_EST_DATA=E", "ACT_EST_MAPPING=PRECISE", "FS=MRC", "CURRENCY=USD", "XLFILL=b")</f>
        <v>#N/A Requesting Data...</v>
      </c>
      <c r="H202" s="6" t="str">
        <f>_xll.BQL("NOW US Equity", "CONTRIBUTOR_STATS(CF_AMORTIZATN_OF_DEFRRD_COMPNSTN, STD)/1M", "FPR=2021Y", "FPT=A", "FA_ACT_EST_DATA=E", "ACT_EST_MAPPING=PRECISE", "FS=MRC", "CURRENCY=USD", "XLFILL=b")</f>
        <v>#N/A Requesting Data...</v>
      </c>
      <c r="I202" s="6" t="str">
        <f>_xll.BQL("NOW US Equity", "CONTRIBUTOR_STATS(CF_AMORTIZATN_OF_DEFRRD_COMPNSTN, MEDIAN)/1M", "FPR=2021Y", "FPT=A", "FA_ACT_EST_DATA=E", "ACT_EST_MAPPING=PRECISE", "FS=MRC", "CURRENCY=USD", "XLFILL=b")</f>
        <v>#N/A Requesting Data...</v>
      </c>
      <c r="J202" s="6" t="str">
        <f>_xll.BQL("NOW US Equity", "CF_AMORTIZATN_OF_DEFRRD_COMPNSTN/1M", "FPR=2021Y", "FPT=A", "FA_ACT_EST_DATA=E, EST_SOURCE=CMPY", "ACT_EST_MAPPING=PRECISE", "FS=MRC", "CURRENCY=USD", "XLFILL=b")</f>
        <v>#N/A Requesting Data...</v>
      </c>
      <c r="K202" s="6" t="str">
        <f>_xll.BQL("NOW US Equity", "CF_AMORTIZATN_OF_DEFRRD_COMPNSTN/1M", "FPR=2021Y", "FPT=A", "FA_ACT_EST_DATA=E, EST_SOURCE=JPM", "ACT_EST_MAPPING=PRECISE", "FS=MRC", "CURRENCY=USD", "XLFILL=b")</f>
        <v>#N/A Requesting Data...</v>
      </c>
      <c r="L202" s="6" t="str">
        <f>_xll.BQL("NOW US Equity", "CF_AMORTIZATN_OF_DEFRRD_COMPNSTN/1M", "FPR=2021Y", "FPT=A", "FA_ACT_EST_DATA=E, EST_SOURCE=WBL", "ACT_EST_MAPPING=PRECISE", "FS=MRC", "CURRENCY=USD", "XLFILL=b")</f>
        <v>#N/A Requesting Data...</v>
      </c>
      <c r="M202" s="6" t="str">
        <f>_xll.BQL("NOW US Equity", "CF_AMORTIZATN_OF_DEFRRD_COMPNSTN/1M", "FPR=2021Y", "FPT=A", "FA_ACT_EST_DATA=E, EST_SOURCE=KEY", "ACT_EST_MAPPING=PRECISE", "FS=MRC", "CURRENCY=USD", "XLFILL=b")</f>
        <v>#N/A Requesting Data...</v>
      </c>
      <c r="N202" s="6" t="str">
        <f>_xll.BQL("NOW US Equity", "CF_AMORTIZATN_OF_DEFRRD_COMPNSTN/1M", "FPR=2021Y", "FPT=A", "FA_ACT_EST_DATA=E, EST_SOURCE=BMO", "ACT_EST_MAPPING=PRECISE", "FS=MRC", "CURRENCY=USD", "XLFILL=b")</f>
        <v>#N/A Requesting Data...</v>
      </c>
      <c r="O202" s="6" t="str">
        <f>_xll.BQL("NOW US Equity", "CF_AMORTIZATN_OF_DEFRRD_COMPNSTN/1M", "FPR=2021Y", "FPT=A", "FA_ACT_EST_DATA=E, EST_SOURCE=OPY", "ACT_EST_MAPPING=PRECISE", "FS=MRC", "CURRENCY=USD", "XLFILL=b")</f>
        <v>#N/A Requesting Data...</v>
      </c>
      <c r="P202" s="6" t="str">
        <f>_xll.BQL("NOW US Equity", "CF_AMORTIZATN_OF_DEFRRD_COMPNSTN/1M", "FPR=2021Y", "FPT=A", "FA_ACT_EST_DATA=E, EST_SOURCE=BCA", "ACT_EST_MAPPING=PRECISE", "FS=MRC", "CURRENCY=USD", "XLFILL=b")</f>
        <v>#N/A Requesting Data...</v>
      </c>
      <c r="Q202" s="6" t="str">
        <f>_xll.BQL("NOW US Equity", "CF_AMORTIZATN_OF_DEFRRD_COMPNSTN/1M", "FPR=2021Y", "FPT=A", "FA_ACT_EST_DATA=E, EST_SOURCE=RHR", "ACT_EST_MAPPING=PRECISE", "FS=MRC", "CURRENCY=USD", "XLFILL=b")</f>
        <v>#N/A Requesting Data...</v>
      </c>
      <c r="R202" s="6" t="str">
        <f>_xll.BQL("NOW US Equity", "CF_AMORTIZATN_OF_DEFRRD_COMPNSTN/1M", "FPR=2021Y", "FPT=A", "FA_ACT_EST_DATA=E, EST_SOURCE=SNR", "ACT_EST_MAPPING=PRECISE", "FS=MRC", "CURRENCY=USD", "XLFILL=b")</f>
        <v>#N/A Requesting Data...</v>
      </c>
      <c r="S202" s="6" t="str">
        <f>_xll.BQL("NOW US Equity", "CF_AMORTIZATN_OF_DEFRRD_COMPNSTN/1M", "FPR=2021Y", "FPT=A", "FA_ACT_EST_DATA=E, EST_SOURCE=MSV", "ACT_EST_MAPPING=PRECISE", "FS=MRC", "CURRENCY=USD", "XLFILL=b")</f>
        <v>#N/A Requesting Data...</v>
      </c>
      <c r="T202" s="6" t="str">
        <f>_xll.BQL("NOW US Equity", "CF_AMORTIZATN_OF_DEFRRD_COMPNSTN/1M", "FPR=2021Y", "FPT=A", "FA_ACT_EST_DATA=E, EST_SOURCE=CAN", "ACT_EST_MAPPING=PRECISE", "FS=MRC", "CURRENCY=USD", "XLFILL=b")</f>
        <v>#N/A Requesting Data...</v>
      </c>
      <c r="U202" s="6" t="str">
        <f>_xll.BQL("NOW US Equity", "CF_AMORTIZATN_OF_DEFRRD_COMPNSTN/1M", "FPR=2021Y", "FPT=A", "FA_ACT_EST_DATA=E, EST_SOURCE=JMP", "ACT_EST_MAPPING=PRECISE", "FS=MRC", "CURRENCY=USD", "XLFILL=b")</f>
        <v>#N/A Requesting Data...</v>
      </c>
      <c r="V202" s="6" t="str">
        <f>_xll.BQL("NOW US Equity", "CF_AMORTIZATN_OF_DEFRRD_COMPNSTN/1M", "FPR=2021Y", "FPT=A", "FA_ACT_EST_DATA=E, EST_SOURCE=NDH", "ACT_EST_MAPPING=PRECISE", "FS=MRC", "CURRENCY=USD", "XLFILL=b")</f>
        <v>#N/A Requesting Data...</v>
      </c>
      <c r="W202" s="6" t="str">
        <f>_xll.BQL("NOW US Equity", "CF_AMORTIZATN_OF_DEFRRD_COMPNSTN/1M", "FPR=2021Y", "FPT=A", "FA_ACT_EST_DATA=E, EST_SOURCE=ZXS", "ACT_EST_MAPPING=PRECISE", "FS=MRC", "CURRENCY=USD", "XLFILL=b")</f>
        <v>#N/A Requesting Data...</v>
      </c>
      <c r="X202" s="6" t="str">
        <f>_xll.BQL("NOW US Equity", "CF_AMORTIZATN_OF_DEFRRD_COMPNSTN/1M", "FPR=2021Y", "FPT=A", "FA_ACT_EST_DATA=E, EST_SOURCE=CWN", "ACT_EST_MAPPING=PRECISE", "FS=MRC", "CURRENCY=USD", "XLFILL=b")</f>
        <v>#N/A Requesting Data...</v>
      </c>
      <c r="Y202" s="6" t="str">
        <f>_xll.BQL("NOW US Equity", "CF_AMORTIZATN_OF_DEFRRD_COMPNSTN/1M", "FPR=2021Y", "FPT=A", "FA_ACT_EST_DATA=E, EST_SOURCE=DBG", "ACT_EST_MAPPING=PRECISE", "FS=MRC", "CURRENCY=USD", "XLFILL=b")</f>
        <v>#N/A Requesting Data...</v>
      </c>
      <c r="Z202" s="6" t="str">
        <f>_xll.BQL("NOW US Equity", "CF_AMORTIZATN_OF_DEFRRD_COMPNSTN/1M", "FPR=2021Y", "FPT=A", "FA_ACT_EST_DATA=E, EST_SOURCE=UBS", "ACT_EST_MAPPING=PRECISE", "FS=MRC", "CURRENCY=USD", "XLFILL=b")</f>
        <v>#N/A Requesting Data...</v>
      </c>
      <c r="AA202" s="6" t="str">
        <f>_xll.BQL("NOW US Equity", "CF_AMORTIZATN_OF_DEFRRD_COMPNSTN/1M", "FPR=2021Y", "FPT=A", "FA_ACT_EST_DATA=E, EST_SOURCE=RBC", "ACT_EST_MAPPING=PRECISE", "FS=MRC", "CURRENCY=USD", "XLFILL=b")</f>
        <v>#N/A Requesting Data...</v>
      </c>
      <c r="AB202" s="6" t="str">
        <f>_xll.BQL("NOW US Equity", "CF_AMORTIZATN_OF_DEFRRD_COMPNSTN/1M", "FPR=2021Y", "FPT=A", "FA_ACT_EST_DATA=E, EST_SOURCE=EVR", "ACT_EST_MAPPING=PRECISE", "FS=MRC", "CURRENCY=USD", "XLFILL=b")</f>
        <v>#N/A Requesting Data...</v>
      </c>
      <c r="AC202" s="6" t="str">
        <f>_xll.BQL("NOW US Equity", "CF_AMORTIZATN_OF_DEFRRD_COMPNSTN/1M", "FPR=2021Y", "FPT=A", "FA_ACT_EST_DATA=E, EST_SOURCE=BNS", "ACT_EST_MAPPING=PRECISE", "FS=MRC", "CURRENCY=USD", "XLFILL=b")</f>
        <v>#N/A Requesting Data...</v>
      </c>
      <c r="AD202" s="6" t="str">
        <f>_xll.BQL("NOW US Equity", "CF_AMORTIZATN_OF_DEFRRD_COMPNSTN/1M", "FPR=2021Y", "FPT=A", "FA_ACT_EST_DATA=E, EST_SOURCE=BAM", "ACT_EST_MAPPING=PRECISE", "FS=MRC", "CURRENCY=USD", "XLFILL=b")</f>
        <v>#N/A Requesting Data...</v>
      </c>
      <c r="AE202" s="6" t="str">
        <f>_xll.BQL("NOW US Equity", "CF_AMORTIZATN_OF_DEFRRD_COMPNSTN/1M", "FPR=2021Y", "FPT=A", "FA_ACT_EST_DATA=E, EST_SOURCE=GSR", "ACT_EST_MAPPING=PRECISE", "FS=MRC", "CURRENCY=USD", "XLFILL=b")</f>
        <v>#N/A Requesting Data...</v>
      </c>
      <c r="AF202" s="6" t="str">
        <f>_xll.BQL("NOW US Equity", "CF_AMORTIZATN_OF_DEFRRD_COMPNSTN/1M", "FPR=2021Y", "FPT=A", "FA_ACT_EST_DATA=E, EST_SOURCE=FBC", "ACT_EST_MAPPING=PRECISE", "FS=MRC", "CURRENCY=USD", "XLFILL=b")</f>
        <v>#N/A Requesting Data...</v>
      </c>
      <c r="AG202" s="6" t="str">
        <f>_xll.BQL("NOW US Equity", "CF_AMORTIZATN_OF_DEFRRD_COMPNSTN/1M", "FPR=2021Y", "FPT=A", "FA_ACT_EST_DATA=E, EST_SOURCE=MAC", "ACT_EST_MAPPING=PRECISE", "FS=MRC", "CURRENCY=USD", "XLFILL=b")</f>
        <v>#N/A Requesting Data...</v>
      </c>
      <c r="AH202" s="6" t="str">
        <f>_xll.BQL("NOW US Equity", "CF_AMORTIZATN_OF_DEFRRD_COMPNSTN/1M", "FPR=2021Y", "FPT=A", "FA_ACT_EST_DATA=E, EST_SOURCE=PSG", "ACT_EST_MAPPING=PRECISE", "FS=MRC", "CURRENCY=USD", "XLFILL=b")</f>
        <v>#N/A Requesting Data...</v>
      </c>
      <c r="AI202" s="6" t="str">
        <f>_xll.BQL("NOW US Equity", "CF_AMORTIZATN_OF_DEFRRD_COMPNSTN/1M", "FPR=2021Y", "FPT=A", "FA_ACT_EST_DATA=E, EST_SOURCE=MSR", "ACT_EST_MAPPING=PRECISE", "FS=MRC", "CURRENCY=USD", "XLFILL=b")</f>
        <v>#N/A Requesting Data...</v>
      </c>
      <c r="AJ202" s="6" t="str">
        <f>_xll.BQL("NOW US Equity", "CF_AMORTIZATN_OF_DEFRRD_COMPNSTN/1M", "FPR=2021Y", "FPT=A", "FA_ACT_EST_DATA=E, EST_SOURCE=JEF", "ACT_EST_MAPPING=PRECISE", "FS=MRC", "CURRENCY=USD", "XLFILL=b")</f>
        <v>#N/A Requesting Data...</v>
      </c>
      <c r="AK202" s="6" t="str">
        <f>_xll.BQL("NOW US Equity", "CF_AMORTIZATN_OF_DEFRRD_COMPNSTN/1M", "FPR=2021Y", "FPT=A", "FA_ACT_EST_DATA=E, EST_SOURCE=TTC", "ACT_EST_MAPPING=PRECISE", "FS=MRC", "CURRENCY=USD", "XLFILL=b")</f>
        <v>#N/A Requesting Data...</v>
      </c>
      <c r="AL202" s="6" t="str">
        <f>_xll.BQL("NOW US Equity", "CF_AMORTIZATN_OF_DEFRRD_COMPNSTN/1M", "FPR=2021Y", "FPT=A", "FA_ACT_EST_DATA=E, EST_SOURCE=RWB", "ACT_EST_MAPPING=PRECISE", "FS=MRC", "CURRENCY=USD", "XLFILL=b")</f>
        <v>#N/A Requesting Data...</v>
      </c>
      <c r="AM202" s="6" t="str">
        <f>_xll.BQL("NOW US Equity", "CF_AMORTIZATN_OF_DEFRRD_COMPNSTN/1M", "FPR=2021Y", "FPT=A", "FA_ACT_EST_DATA=E, EST_SOURCE=DZB", "ACT_EST_MAPPING=PRECISE", "FS=MRC", "CURRENCY=USD", "XLFILL=b")</f>
        <v>#N/A Requesting Data...</v>
      </c>
      <c r="AN202" s="6" t="str">
        <f>_xll.BQL("NOW US Equity", "CF_AMORTIZATN_OF_DEFRRD_COMPNSTN/1M", "FPR=2021Y", "FPT=A", "FA_ACT_EST_DATA=E, EST_SOURCE=DWI", "ACT_EST_MAPPING=PRECISE", "FS=MRC", "CURRENCY=USD", "XLFILL=b")</f>
        <v>#N/A Requesting Data...</v>
      </c>
      <c r="AO202" s="6" t="str">
        <f>_xll.BQL("NOW US Equity", "CF_AMORTIZATN_OF_DEFRRD_COMPNSTN/1M", "FPR=2021Y", "FPT=A", "FA_ACT_EST_DATA=E, EST_SOURCE=ARG", "ACT_EST_MAPPING=PRECISE", "FS=MRC", "CURRENCY=USD", "XLFILL=b")</f>
        <v>#N/A Requesting Data...</v>
      </c>
      <c r="AP202" s="6" t="str">
        <f>_xll.BQL("NOW US Equity", "CF_AMORTIZATN_OF_DEFRRD_COMPNSTN/1M", "FPR=2021Y", "FPT=A", "FA_ACT_EST_DATA=E, EST_SOURCE=CTI", "ACT_EST_MAPPING=PRECISE", "FS=MRC", "CURRENCY=USD", "XLFILL=b")</f>
        <v>#N/A Requesting Data...</v>
      </c>
      <c r="AQ202" s="6" t="str">
        <f>_xll.BQL("NOW US Equity", "CF_AMORTIZATN_OF_DEFRRD_COMPNSTN/1M", "FPR=2021Y", "FPT=A", "FA_ACT_EST_DATA=E, EST_SOURCE=WFT", "ACT_EST_MAPPING=PRECISE", "FS=MRC", "CURRENCY=USD", "XLFILL=b")</f>
        <v>#N/A Requesting Data...</v>
      </c>
      <c r="AR202" s="6" t="str">
        <f>_xll.BQL("NOW US Equity", "CF_AMORTIZATN_OF_DEFRRD_COMPNSTN/1M", "FPR=2021Y", "FPT=A", "FA_ACT_EST_DATA=E, EST_SOURCE=ARE", "ACT_EST_MAPPING=PRECISE", "FS=MRC", "CURRENCY=USD", "XLFILL=b")</f>
        <v>#N/A Requesting Data...</v>
      </c>
      <c r="AS202" s="6" t="str">
        <f>_xll.BQL("NOW US Equity", "CF_AMORTIZATN_OF_DEFRRD_COMPNSTN/1M", "FPR=2021Y", "FPT=A", "FA_ACT_EST_DATA=E, EST_SOURCE=PJE", "ACT_EST_MAPPING=PRECISE", "FS=MRC", "CURRENCY=USD", "XLFILL=b")</f>
        <v>#N/A Requesting Data...</v>
      </c>
      <c r="AT202" s="6" t="str">
        <f>_xll.BQL("NOW US Equity", "CF_AMORTIZATN_OF_DEFRRD_COMPNSTN/1M", "FPR=2021Y", "FPT=A", "FA_ACT_EST_DATA=E, EST_SOURCE=MZS", "ACT_EST_MAPPING=PRECISE", "FS=MRC", "CURRENCY=USD", "XLFILL=b")</f>
        <v>#N/A Requesting Data...</v>
      </c>
      <c r="AU202" s="6" t="str">
        <f>_xll.BQL("NOW US Equity", "CF_AMORTIZATN_OF_DEFRRD_COMPNSTN/1M", "FPR=2021Y", "FPT=A", "FA_ACT_EST_DATA=E, EST_SOURCE=SUM", "ACT_EST_MAPPING=PRECISE", "FS=MRC", "CURRENCY=USD", "XLFILL=b")</f>
        <v>#N/A Requesting Data...</v>
      </c>
      <c r="AV202" s="6" t="str">
        <f>_xll.BQL("NOW US Equity", "CF_AMORTIZATN_OF_DEFRRD_COMPNSTN/1M", "FPR=2021Y", "FPT=A", "FA_ACT_EST_DATA=E, EST_SOURCE=CRC", "ACT_EST_MAPPING=PRECISE", "FS=MRC", "CURRENCY=USD", "XLFILL=b")</f>
        <v>#N/A Requesting Data...</v>
      </c>
      <c r="AW202" s="6" t="str">
        <f>_xll.BQL("NOW US Equity", "CF_AMORTIZATN_OF_DEFRRD_COMPNSTN/1M", "FPR=2021Y", "FPT=A", "FA_ACT_EST_DATA=E, EST_SOURCE=SCB", "ACT_EST_MAPPING=PRECISE", "FS=MRC", "CURRENCY=USD", "XLFILL=b")</f>
        <v>#N/A Requesting Data...</v>
      </c>
    </row>
    <row r="203" spans="1:49" x14ac:dyDescent="0.55000000000000004">
      <c r="A203" s="5" t="s">
        <v>366</v>
      </c>
      <c r="B203" s="2" t="s">
        <v>367</v>
      </c>
      <c r="C203" s="2" t="s">
        <v>368</v>
      </c>
      <c r="D203" s="2"/>
      <c r="E203" s="6" t="str">
        <f>_xll.BQL("NOW US Equity", "AMORTIZATN_OF_FINNCNG_COSTS/1M", "FPR=2021Y", "FPT=A", "FA_ACT_EST_DATA=E", "ACT_EST_MAPPING=PRECISE", "FS=MRC", "CURRENCY=USD", "XLFILL=b")</f>
        <v>#N/A Requesting Data...</v>
      </c>
      <c r="F203" s="6" t="str">
        <f>_xll.BQL("NOW US Equity", "CONTRIBUTOR_STATS(AMORTIZATN_OF_FINNCNG_COSTS, MIN)/1M", "FPR=2021Y", "FPT=A", "FA_ACT_EST_DATA=E", "ACT_EST_MAPPING=PRECISE", "FS=MRC", "CURRENCY=USD", "XLFILL=b")</f>
        <v>#N/A Requesting Data...</v>
      </c>
      <c r="G203" s="6" t="str">
        <f>_xll.BQL("NOW US Equity", "CONTRIBUTOR_STATS(AMORTIZATN_OF_FINNCNG_COSTS, MAX)/1M", "FPR=2021Y", "FPT=A", "FA_ACT_EST_DATA=E", "ACT_EST_MAPPING=PRECISE", "FS=MRC", "CURRENCY=USD", "XLFILL=b")</f>
        <v>#N/A Requesting Data...</v>
      </c>
      <c r="H203" s="6" t="str">
        <f>_xll.BQL("NOW US Equity", "CONTRIBUTOR_STATS(AMORTIZATN_OF_FINNCNG_COSTS, STD)/1M", "FPR=2021Y", "FPT=A", "FA_ACT_EST_DATA=E", "ACT_EST_MAPPING=PRECISE", "FS=MRC", "CURRENCY=USD", "XLFILL=b")</f>
        <v>#N/A Requesting Data...</v>
      </c>
      <c r="I203" s="6" t="str">
        <f>_xll.BQL("NOW US Equity", "CONTRIBUTOR_STATS(AMORTIZATN_OF_FINNCNG_COSTS, MEDIAN)/1M", "FPR=2021Y", "FPT=A", "FA_ACT_EST_DATA=E", "ACT_EST_MAPPING=PRECISE", "FS=MRC", "CURRENCY=USD", "XLFILL=b")</f>
        <v>#N/A Requesting Data...</v>
      </c>
      <c r="J203" s="6" t="str">
        <f>_xll.BQL("NOW US Equity", "AMORTIZATN_OF_FINNCNG_COSTS/1M", "FPR=2021Y", "FPT=A", "FA_ACT_EST_DATA=E, EST_SOURCE=CMPY", "ACT_EST_MAPPING=PRECISE", "FS=MRC", "CURRENCY=USD", "XLFILL=b")</f>
        <v>#N/A Requesting Data...</v>
      </c>
      <c r="K203" s="6" t="str">
        <f>_xll.BQL("NOW US Equity", "AMORTIZATN_OF_FINNCNG_COSTS/1M", "FPR=2021Y", "FPT=A", "FA_ACT_EST_DATA=E, EST_SOURCE=JPM", "ACT_EST_MAPPING=PRECISE", "FS=MRC", "CURRENCY=USD", "XLFILL=b")</f>
        <v>#N/A Requesting Data...</v>
      </c>
      <c r="L203" s="6" t="str">
        <f>_xll.BQL("NOW US Equity", "AMORTIZATN_OF_FINNCNG_COSTS/1M", "FPR=2021Y", "FPT=A", "FA_ACT_EST_DATA=E, EST_SOURCE=WBL", "ACT_EST_MAPPING=PRECISE", "FS=MRC", "CURRENCY=USD", "XLFILL=b")</f>
        <v>#N/A Requesting Data...</v>
      </c>
      <c r="M203" s="6" t="str">
        <f>_xll.BQL("NOW US Equity", "AMORTIZATN_OF_FINNCNG_COSTS/1M", "FPR=2021Y", "FPT=A", "FA_ACT_EST_DATA=E, EST_SOURCE=KEY", "ACT_EST_MAPPING=PRECISE", "FS=MRC", "CURRENCY=USD", "XLFILL=b")</f>
        <v>#N/A Requesting Data...</v>
      </c>
      <c r="N203" s="6" t="str">
        <f>_xll.BQL("NOW US Equity", "AMORTIZATN_OF_FINNCNG_COSTS/1M", "FPR=2021Y", "FPT=A", "FA_ACT_EST_DATA=E, EST_SOURCE=BMO", "ACT_EST_MAPPING=PRECISE", "FS=MRC", "CURRENCY=USD", "XLFILL=b")</f>
        <v>#N/A Requesting Data...</v>
      </c>
      <c r="O203" s="6" t="str">
        <f>_xll.BQL("NOW US Equity", "AMORTIZATN_OF_FINNCNG_COSTS/1M", "FPR=2021Y", "FPT=A", "FA_ACT_EST_DATA=E, EST_SOURCE=OPY", "ACT_EST_MAPPING=PRECISE", "FS=MRC", "CURRENCY=USD", "XLFILL=b")</f>
        <v>#N/A Requesting Data...</v>
      </c>
      <c r="P203" s="6" t="str">
        <f>_xll.BQL("NOW US Equity", "AMORTIZATN_OF_FINNCNG_COSTS/1M", "FPR=2021Y", "FPT=A", "FA_ACT_EST_DATA=E, EST_SOURCE=BCA", "ACT_EST_MAPPING=PRECISE", "FS=MRC", "CURRENCY=USD", "XLFILL=b")</f>
        <v>#N/A Requesting Data...</v>
      </c>
      <c r="Q203" s="6" t="str">
        <f>_xll.BQL("NOW US Equity", "AMORTIZATN_OF_FINNCNG_COSTS/1M", "FPR=2021Y", "FPT=A", "FA_ACT_EST_DATA=E, EST_SOURCE=RHR", "ACT_EST_MAPPING=PRECISE", "FS=MRC", "CURRENCY=USD", "XLFILL=b")</f>
        <v>#N/A Requesting Data...</v>
      </c>
      <c r="R203" s="6" t="str">
        <f>_xll.BQL("NOW US Equity", "AMORTIZATN_OF_FINNCNG_COSTS/1M", "FPR=2021Y", "FPT=A", "FA_ACT_EST_DATA=E, EST_SOURCE=SNR", "ACT_EST_MAPPING=PRECISE", "FS=MRC", "CURRENCY=USD", "XLFILL=b")</f>
        <v>#N/A Requesting Data...</v>
      </c>
      <c r="S203" s="6" t="str">
        <f>_xll.BQL("NOW US Equity", "AMORTIZATN_OF_FINNCNG_COSTS/1M", "FPR=2021Y", "FPT=A", "FA_ACT_EST_DATA=E, EST_SOURCE=MSV", "ACT_EST_MAPPING=PRECISE", "FS=MRC", "CURRENCY=USD", "XLFILL=b")</f>
        <v>#N/A Requesting Data...</v>
      </c>
      <c r="T203" s="6" t="str">
        <f>_xll.BQL("NOW US Equity", "AMORTIZATN_OF_FINNCNG_COSTS/1M", "FPR=2021Y", "FPT=A", "FA_ACT_EST_DATA=E, EST_SOURCE=CAN", "ACT_EST_MAPPING=PRECISE", "FS=MRC", "CURRENCY=USD", "XLFILL=b")</f>
        <v>#N/A Requesting Data...</v>
      </c>
      <c r="U203" s="6" t="str">
        <f>_xll.BQL("NOW US Equity", "AMORTIZATN_OF_FINNCNG_COSTS/1M", "FPR=2021Y", "FPT=A", "FA_ACT_EST_DATA=E, EST_SOURCE=JMP", "ACT_EST_MAPPING=PRECISE", "FS=MRC", "CURRENCY=USD", "XLFILL=b")</f>
        <v>#N/A Requesting Data...</v>
      </c>
      <c r="V203" s="6" t="str">
        <f>_xll.BQL("NOW US Equity", "AMORTIZATN_OF_FINNCNG_COSTS/1M", "FPR=2021Y", "FPT=A", "FA_ACT_EST_DATA=E, EST_SOURCE=NDH", "ACT_EST_MAPPING=PRECISE", "FS=MRC", "CURRENCY=USD", "XLFILL=b")</f>
        <v>#N/A Requesting Data...</v>
      </c>
      <c r="W203" s="6" t="str">
        <f>_xll.BQL("NOW US Equity", "AMORTIZATN_OF_FINNCNG_COSTS/1M", "FPR=2021Y", "FPT=A", "FA_ACT_EST_DATA=E, EST_SOURCE=ZXS", "ACT_EST_MAPPING=PRECISE", "FS=MRC", "CURRENCY=USD", "XLFILL=b")</f>
        <v>#N/A Requesting Data...</v>
      </c>
      <c r="X203" s="6" t="str">
        <f>_xll.BQL("NOW US Equity", "AMORTIZATN_OF_FINNCNG_COSTS/1M", "FPR=2021Y", "FPT=A", "FA_ACT_EST_DATA=E, EST_SOURCE=CWN", "ACT_EST_MAPPING=PRECISE", "FS=MRC", "CURRENCY=USD", "XLFILL=b")</f>
        <v>#N/A Requesting Data...</v>
      </c>
      <c r="Y203" s="6" t="str">
        <f>_xll.BQL("NOW US Equity", "AMORTIZATN_OF_FINNCNG_COSTS/1M", "FPR=2021Y", "FPT=A", "FA_ACT_EST_DATA=E, EST_SOURCE=DBG", "ACT_EST_MAPPING=PRECISE", "FS=MRC", "CURRENCY=USD", "XLFILL=b")</f>
        <v>#N/A Requesting Data...</v>
      </c>
      <c r="Z203" s="6" t="str">
        <f>_xll.BQL("NOW US Equity", "AMORTIZATN_OF_FINNCNG_COSTS/1M", "FPR=2021Y", "FPT=A", "FA_ACT_EST_DATA=E, EST_SOURCE=UBS", "ACT_EST_MAPPING=PRECISE", "FS=MRC", "CURRENCY=USD", "XLFILL=b")</f>
        <v>#N/A Requesting Data...</v>
      </c>
      <c r="AA203" s="6" t="str">
        <f>_xll.BQL("NOW US Equity", "AMORTIZATN_OF_FINNCNG_COSTS/1M", "FPR=2021Y", "FPT=A", "FA_ACT_EST_DATA=E, EST_SOURCE=RBC", "ACT_EST_MAPPING=PRECISE", "FS=MRC", "CURRENCY=USD", "XLFILL=b")</f>
        <v>#N/A Requesting Data...</v>
      </c>
      <c r="AB203" s="6" t="str">
        <f>_xll.BQL("NOW US Equity", "AMORTIZATN_OF_FINNCNG_COSTS/1M", "FPR=2021Y", "FPT=A", "FA_ACT_EST_DATA=E, EST_SOURCE=EVR", "ACT_EST_MAPPING=PRECISE", "FS=MRC", "CURRENCY=USD", "XLFILL=b")</f>
        <v>#N/A Requesting Data...</v>
      </c>
      <c r="AC203" s="6" t="str">
        <f>_xll.BQL("NOW US Equity", "AMORTIZATN_OF_FINNCNG_COSTS/1M", "FPR=2021Y", "FPT=A", "FA_ACT_EST_DATA=E, EST_SOURCE=BNS", "ACT_EST_MAPPING=PRECISE", "FS=MRC", "CURRENCY=USD", "XLFILL=b")</f>
        <v>#N/A Requesting Data...</v>
      </c>
      <c r="AD203" s="6" t="str">
        <f>_xll.BQL("NOW US Equity", "AMORTIZATN_OF_FINNCNG_COSTS/1M", "FPR=2021Y", "FPT=A", "FA_ACT_EST_DATA=E, EST_SOURCE=BAM", "ACT_EST_MAPPING=PRECISE", "FS=MRC", "CURRENCY=USD", "XLFILL=b")</f>
        <v>#N/A Requesting Data...</v>
      </c>
      <c r="AE203" s="6" t="str">
        <f>_xll.BQL("NOW US Equity", "AMORTIZATN_OF_FINNCNG_COSTS/1M", "FPR=2021Y", "FPT=A", "FA_ACT_EST_DATA=E, EST_SOURCE=GSR", "ACT_EST_MAPPING=PRECISE", "FS=MRC", "CURRENCY=USD", "XLFILL=b")</f>
        <v>#N/A Requesting Data...</v>
      </c>
      <c r="AF203" s="6" t="str">
        <f>_xll.BQL("NOW US Equity", "AMORTIZATN_OF_FINNCNG_COSTS/1M", "FPR=2021Y", "FPT=A", "FA_ACT_EST_DATA=E, EST_SOURCE=FBC", "ACT_EST_MAPPING=PRECISE", "FS=MRC", "CURRENCY=USD", "XLFILL=b")</f>
        <v>#N/A Requesting Data...</v>
      </c>
      <c r="AG203" s="6" t="str">
        <f>_xll.BQL("NOW US Equity", "AMORTIZATN_OF_FINNCNG_COSTS/1M", "FPR=2021Y", "FPT=A", "FA_ACT_EST_DATA=E, EST_SOURCE=MAC", "ACT_EST_MAPPING=PRECISE", "FS=MRC", "CURRENCY=USD", "XLFILL=b")</f>
        <v>#N/A Requesting Data...</v>
      </c>
      <c r="AH203" s="6" t="str">
        <f>_xll.BQL("NOW US Equity", "AMORTIZATN_OF_FINNCNG_COSTS/1M", "FPR=2021Y", "FPT=A", "FA_ACT_EST_DATA=E, EST_SOURCE=PSG", "ACT_EST_MAPPING=PRECISE", "FS=MRC", "CURRENCY=USD", "XLFILL=b")</f>
        <v>#N/A Requesting Data...</v>
      </c>
      <c r="AI203" s="6" t="str">
        <f>_xll.BQL("NOW US Equity", "AMORTIZATN_OF_FINNCNG_COSTS/1M", "FPR=2021Y", "FPT=A", "FA_ACT_EST_DATA=E, EST_SOURCE=MSR", "ACT_EST_MAPPING=PRECISE", "FS=MRC", "CURRENCY=USD", "XLFILL=b")</f>
        <v>#N/A Requesting Data...</v>
      </c>
      <c r="AJ203" s="6" t="str">
        <f>_xll.BQL("NOW US Equity", "AMORTIZATN_OF_FINNCNG_COSTS/1M", "FPR=2021Y", "FPT=A", "FA_ACT_EST_DATA=E, EST_SOURCE=JEF", "ACT_EST_MAPPING=PRECISE", "FS=MRC", "CURRENCY=USD", "XLFILL=b")</f>
        <v>#N/A Requesting Data...</v>
      </c>
      <c r="AK203" s="6" t="str">
        <f>_xll.BQL("NOW US Equity", "AMORTIZATN_OF_FINNCNG_COSTS/1M", "FPR=2021Y", "FPT=A", "FA_ACT_EST_DATA=E, EST_SOURCE=TTC", "ACT_EST_MAPPING=PRECISE", "FS=MRC", "CURRENCY=USD", "XLFILL=b")</f>
        <v>#N/A Requesting Data...</v>
      </c>
      <c r="AL203" s="6" t="str">
        <f>_xll.BQL("NOW US Equity", "AMORTIZATN_OF_FINNCNG_COSTS/1M", "FPR=2021Y", "FPT=A", "FA_ACT_EST_DATA=E, EST_SOURCE=RWB", "ACT_EST_MAPPING=PRECISE", "FS=MRC", "CURRENCY=USD", "XLFILL=b")</f>
        <v>#N/A Requesting Data...</v>
      </c>
      <c r="AM203" s="6" t="str">
        <f>_xll.BQL("NOW US Equity", "AMORTIZATN_OF_FINNCNG_COSTS/1M", "FPR=2021Y", "FPT=A", "FA_ACT_EST_DATA=E, EST_SOURCE=DZB", "ACT_EST_MAPPING=PRECISE", "FS=MRC", "CURRENCY=USD", "XLFILL=b")</f>
        <v>#N/A Requesting Data...</v>
      </c>
      <c r="AN203" s="6" t="str">
        <f>_xll.BQL("NOW US Equity", "AMORTIZATN_OF_FINNCNG_COSTS/1M", "FPR=2021Y", "FPT=A", "FA_ACT_EST_DATA=E, EST_SOURCE=DWI", "ACT_EST_MAPPING=PRECISE", "FS=MRC", "CURRENCY=USD", "XLFILL=b")</f>
        <v>#N/A Requesting Data...</v>
      </c>
      <c r="AO203" s="6" t="str">
        <f>_xll.BQL("NOW US Equity", "AMORTIZATN_OF_FINNCNG_COSTS/1M", "FPR=2021Y", "FPT=A", "FA_ACT_EST_DATA=E, EST_SOURCE=ARG", "ACT_EST_MAPPING=PRECISE", "FS=MRC", "CURRENCY=USD", "XLFILL=b")</f>
        <v>#N/A Requesting Data...</v>
      </c>
      <c r="AP203" s="6" t="str">
        <f>_xll.BQL("NOW US Equity", "AMORTIZATN_OF_FINNCNG_COSTS/1M", "FPR=2021Y", "FPT=A", "FA_ACT_EST_DATA=E, EST_SOURCE=CTI", "ACT_EST_MAPPING=PRECISE", "FS=MRC", "CURRENCY=USD", "XLFILL=b")</f>
        <v>#N/A Requesting Data...</v>
      </c>
      <c r="AQ203" s="6" t="str">
        <f>_xll.BQL("NOW US Equity", "AMORTIZATN_OF_FINNCNG_COSTS/1M", "FPR=2021Y", "FPT=A", "FA_ACT_EST_DATA=E, EST_SOURCE=WFT", "ACT_EST_MAPPING=PRECISE", "FS=MRC", "CURRENCY=USD", "XLFILL=b")</f>
        <v>#N/A Requesting Data...</v>
      </c>
      <c r="AR203" s="6" t="str">
        <f>_xll.BQL("NOW US Equity", "AMORTIZATN_OF_FINNCNG_COSTS/1M", "FPR=2021Y", "FPT=A", "FA_ACT_EST_DATA=E, EST_SOURCE=ARE", "ACT_EST_MAPPING=PRECISE", "FS=MRC", "CURRENCY=USD", "XLFILL=b")</f>
        <v>#N/A Requesting Data...</v>
      </c>
      <c r="AS203" s="6" t="str">
        <f>_xll.BQL("NOW US Equity", "AMORTIZATN_OF_FINNCNG_COSTS/1M", "FPR=2021Y", "FPT=A", "FA_ACT_EST_DATA=E, EST_SOURCE=PJE", "ACT_EST_MAPPING=PRECISE", "FS=MRC", "CURRENCY=USD", "XLFILL=b")</f>
        <v>#N/A Requesting Data...</v>
      </c>
      <c r="AT203" s="6" t="str">
        <f>_xll.BQL("NOW US Equity", "AMORTIZATN_OF_FINNCNG_COSTS/1M", "FPR=2021Y", "FPT=A", "FA_ACT_EST_DATA=E, EST_SOURCE=MZS", "ACT_EST_MAPPING=PRECISE", "FS=MRC", "CURRENCY=USD", "XLFILL=b")</f>
        <v>#N/A Requesting Data...</v>
      </c>
      <c r="AU203" s="6" t="str">
        <f>_xll.BQL("NOW US Equity", "AMORTIZATN_OF_FINNCNG_COSTS/1M", "FPR=2021Y", "FPT=A", "FA_ACT_EST_DATA=E, EST_SOURCE=SUM", "ACT_EST_MAPPING=PRECISE", "FS=MRC", "CURRENCY=USD", "XLFILL=b")</f>
        <v>#N/A Requesting Data...</v>
      </c>
      <c r="AV203" s="6" t="str">
        <f>_xll.BQL("NOW US Equity", "AMORTIZATN_OF_FINNCNG_COSTS/1M", "FPR=2021Y", "FPT=A", "FA_ACT_EST_DATA=E, EST_SOURCE=CRC", "ACT_EST_MAPPING=PRECISE", "FS=MRC", "CURRENCY=USD", "XLFILL=b")</f>
        <v>#N/A Requesting Data...</v>
      </c>
      <c r="AW203" s="6" t="str">
        <f>_xll.BQL("NOW US Equity", "AMORTIZATN_OF_FINNCNG_COSTS/1M", "FPR=2021Y", "FPT=A", "FA_ACT_EST_DATA=E, EST_SOURCE=SCB", "ACT_EST_MAPPING=PRECISE", "FS=MRC", "CURRENCY=USD", "XLFILL=b")</f>
        <v>#N/A Requesting Data...</v>
      </c>
    </row>
    <row r="204" spans="1:49" x14ac:dyDescent="0.55000000000000004">
      <c r="A204" s="5" t="s">
        <v>369</v>
      </c>
      <c r="B204" s="2" t="s">
        <v>370</v>
      </c>
      <c r="C204" s="2" t="s">
        <v>371</v>
      </c>
      <c r="D204" s="2"/>
      <c r="E204" s="6" t="str">
        <f>_xll.BQL("NOW US Equity", "CF_DEF_INC_TAX/1M", "FPR=2021Y", "FPT=A", "FA_ACT_EST_DATA=E", "ACT_EST_MAPPING=PRECISE", "FS=MRC", "CURRENCY=USD", "XLFILL=b")</f>
        <v>#N/A Requesting Data...</v>
      </c>
      <c r="F204" s="6" t="str">
        <f>_xll.BQL("NOW US Equity", "CONTRIBUTOR_STATS(CF_DEF_INC_TAX, MIN)/1M", "FPR=2021Y", "FPT=A", "FA_ACT_EST_DATA=E", "ACT_EST_MAPPING=PRECISE", "FS=MRC", "CURRENCY=USD", "XLFILL=b")</f>
        <v>#N/A Requesting Data...</v>
      </c>
      <c r="G204" s="6" t="str">
        <f>_xll.BQL("NOW US Equity", "CONTRIBUTOR_STATS(CF_DEF_INC_TAX, MAX)/1M", "FPR=2021Y", "FPT=A", "FA_ACT_EST_DATA=E", "ACT_EST_MAPPING=PRECISE", "FS=MRC", "CURRENCY=USD", "XLFILL=b")</f>
        <v>#N/A Requesting Data...</v>
      </c>
      <c r="H204" s="6" t="str">
        <f>_xll.BQL("NOW US Equity", "CONTRIBUTOR_STATS(CF_DEF_INC_TAX, STD)/1M", "FPR=2021Y", "FPT=A", "FA_ACT_EST_DATA=E", "ACT_EST_MAPPING=PRECISE", "FS=MRC", "CURRENCY=USD", "XLFILL=b")</f>
        <v>#N/A Requesting Data...</v>
      </c>
      <c r="I204" s="6" t="str">
        <f>_xll.BQL("NOW US Equity", "CONTRIBUTOR_STATS(CF_DEF_INC_TAX, MEDIAN)/1M", "FPR=2021Y", "FPT=A", "FA_ACT_EST_DATA=E", "ACT_EST_MAPPING=PRECISE", "FS=MRC", "CURRENCY=USD", "XLFILL=b")</f>
        <v>#N/A Requesting Data...</v>
      </c>
      <c r="J204" s="6" t="str">
        <f>_xll.BQL("NOW US Equity", "CF_DEF_INC_TAX/1M", "FPR=2021Y", "FPT=A", "FA_ACT_EST_DATA=E, EST_SOURCE=CMPY", "ACT_EST_MAPPING=PRECISE", "FS=MRC", "CURRENCY=USD", "XLFILL=b")</f>
        <v>#N/A Requesting Data...</v>
      </c>
      <c r="K204" s="6" t="str">
        <f>_xll.BQL("NOW US Equity", "CF_DEF_INC_TAX/1M", "FPR=2021Y", "FPT=A", "FA_ACT_EST_DATA=E, EST_SOURCE=JPM", "ACT_EST_MAPPING=PRECISE", "FS=MRC", "CURRENCY=USD", "XLFILL=b")</f>
        <v>#N/A Requesting Data...</v>
      </c>
      <c r="L204" s="6" t="str">
        <f>_xll.BQL("NOW US Equity", "CF_DEF_INC_TAX/1M", "FPR=2021Y", "FPT=A", "FA_ACT_EST_DATA=E, EST_SOURCE=WBL", "ACT_EST_MAPPING=PRECISE", "FS=MRC", "CURRENCY=USD", "XLFILL=b")</f>
        <v>#N/A Requesting Data...</v>
      </c>
      <c r="M204" s="6" t="str">
        <f>_xll.BQL("NOW US Equity", "CF_DEF_INC_TAX/1M", "FPR=2021Y", "FPT=A", "FA_ACT_EST_DATA=E, EST_SOURCE=KEY", "ACT_EST_MAPPING=PRECISE", "FS=MRC", "CURRENCY=USD", "XLFILL=b")</f>
        <v>#N/A Requesting Data...</v>
      </c>
      <c r="N204" s="6" t="str">
        <f>_xll.BQL("NOW US Equity", "CF_DEF_INC_TAX/1M", "FPR=2021Y", "FPT=A", "FA_ACT_EST_DATA=E, EST_SOURCE=BMO", "ACT_EST_MAPPING=PRECISE", "FS=MRC", "CURRENCY=USD", "XLFILL=b")</f>
        <v>#N/A Requesting Data...</v>
      </c>
      <c r="O204" s="6" t="str">
        <f>_xll.BQL("NOW US Equity", "CF_DEF_INC_TAX/1M", "FPR=2021Y", "FPT=A", "FA_ACT_EST_DATA=E, EST_SOURCE=OPY", "ACT_EST_MAPPING=PRECISE", "FS=MRC", "CURRENCY=USD", "XLFILL=b")</f>
        <v>#N/A Requesting Data...</v>
      </c>
      <c r="P204" s="6" t="str">
        <f>_xll.BQL("NOW US Equity", "CF_DEF_INC_TAX/1M", "FPR=2021Y", "FPT=A", "FA_ACT_EST_DATA=E, EST_SOURCE=BCA", "ACT_EST_MAPPING=PRECISE", "FS=MRC", "CURRENCY=USD", "XLFILL=b")</f>
        <v>#N/A Requesting Data...</v>
      </c>
      <c r="Q204" s="6" t="str">
        <f>_xll.BQL("NOW US Equity", "CF_DEF_INC_TAX/1M", "FPR=2021Y", "FPT=A", "FA_ACT_EST_DATA=E, EST_SOURCE=RHR", "ACT_EST_MAPPING=PRECISE", "FS=MRC", "CURRENCY=USD", "XLFILL=b")</f>
        <v>#N/A Requesting Data...</v>
      </c>
      <c r="R204" s="6" t="str">
        <f>_xll.BQL("NOW US Equity", "CF_DEF_INC_TAX/1M", "FPR=2021Y", "FPT=A", "FA_ACT_EST_DATA=E, EST_SOURCE=SNR", "ACT_EST_MAPPING=PRECISE", "FS=MRC", "CURRENCY=USD", "XLFILL=b")</f>
        <v>#N/A Requesting Data...</v>
      </c>
      <c r="S204" s="6" t="str">
        <f>_xll.BQL("NOW US Equity", "CF_DEF_INC_TAX/1M", "FPR=2021Y", "FPT=A", "FA_ACT_EST_DATA=E, EST_SOURCE=MSV", "ACT_EST_MAPPING=PRECISE", "FS=MRC", "CURRENCY=USD", "XLFILL=b")</f>
        <v>#N/A Requesting Data...</v>
      </c>
      <c r="T204" s="6" t="str">
        <f>_xll.BQL("NOW US Equity", "CF_DEF_INC_TAX/1M", "FPR=2021Y", "FPT=A", "FA_ACT_EST_DATA=E, EST_SOURCE=CAN", "ACT_EST_MAPPING=PRECISE", "FS=MRC", "CURRENCY=USD", "XLFILL=b")</f>
        <v>#N/A Requesting Data...</v>
      </c>
      <c r="U204" s="6" t="str">
        <f>_xll.BQL("NOW US Equity", "CF_DEF_INC_TAX/1M", "FPR=2021Y", "FPT=A", "FA_ACT_EST_DATA=E, EST_SOURCE=JMP", "ACT_EST_MAPPING=PRECISE", "FS=MRC", "CURRENCY=USD", "XLFILL=b")</f>
        <v>#N/A Requesting Data...</v>
      </c>
      <c r="V204" s="6" t="str">
        <f>_xll.BQL("NOW US Equity", "CF_DEF_INC_TAX/1M", "FPR=2021Y", "FPT=A", "FA_ACT_EST_DATA=E, EST_SOURCE=NDH", "ACT_EST_MAPPING=PRECISE", "FS=MRC", "CURRENCY=USD", "XLFILL=b")</f>
        <v>#N/A Requesting Data...</v>
      </c>
      <c r="W204" s="6" t="str">
        <f>_xll.BQL("NOW US Equity", "CF_DEF_INC_TAX/1M", "FPR=2021Y", "FPT=A", "FA_ACT_EST_DATA=E, EST_SOURCE=ZXS", "ACT_EST_MAPPING=PRECISE", "FS=MRC", "CURRENCY=USD", "XLFILL=b")</f>
        <v>#N/A Requesting Data...</v>
      </c>
      <c r="X204" s="6" t="str">
        <f>_xll.BQL("NOW US Equity", "CF_DEF_INC_TAX/1M", "FPR=2021Y", "FPT=A", "FA_ACT_EST_DATA=E, EST_SOURCE=CWN", "ACT_EST_MAPPING=PRECISE", "FS=MRC", "CURRENCY=USD", "XLFILL=b")</f>
        <v>#N/A Requesting Data...</v>
      </c>
      <c r="Y204" s="6" t="str">
        <f>_xll.BQL("NOW US Equity", "CF_DEF_INC_TAX/1M", "FPR=2021Y", "FPT=A", "FA_ACT_EST_DATA=E, EST_SOURCE=DBG", "ACT_EST_MAPPING=PRECISE", "FS=MRC", "CURRENCY=USD", "XLFILL=b")</f>
        <v>#N/A Requesting Data...</v>
      </c>
      <c r="Z204" s="6" t="str">
        <f>_xll.BQL("NOW US Equity", "CF_DEF_INC_TAX/1M", "FPR=2021Y", "FPT=A", "FA_ACT_EST_DATA=E, EST_SOURCE=UBS", "ACT_EST_MAPPING=PRECISE", "FS=MRC", "CURRENCY=USD", "XLFILL=b")</f>
        <v>#N/A Requesting Data...</v>
      </c>
      <c r="AA204" s="6" t="str">
        <f>_xll.BQL("NOW US Equity", "CF_DEF_INC_TAX/1M", "FPR=2021Y", "FPT=A", "FA_ACT_EST_DATA=E, EST_SOURCE=RBC", "ACT_EST_MAPPING=PRECISE", "FS=MRC", "CURRENCY=USD", "XLFILL=b")</f>
        <v>#N/A Requesting Data...</v>
      </c>
      <c r="AB204" s="6" t="str">
        <f>_xll.BQL("NOW US Equity", "CF_DEF_INC_TAX/1M", "FPR=2021Y", "FPT=A", "FA_ACT_EST_DATA=E, EST_SOURCE=EVR", "ACT_EST_MAPPING=PRECISE", "FS=MRC", "CURRENCY=USD", "XLFILL=b")</f>
        <v>#N/A Requesting Data...</v>
      </c>
      <c r="AC204" s="6" t="str">
        <f>_xll.BQL("NOW US Equity", "CF_DEF_INC_TAX/1M", "FPR=2021Y", "FPT=A", "FA_ACT_EST_DATA=E, EST_SOURCE=BNS", "ACT_EST_MAPPING=PRECISE", "FS=MRC", "CURRENCY=USD", "XLFILL=b")</f>
        <v>#N/A Requesting Data...</v>
      </c>
      <c r="AD204" s="6" t="str">
        <f>_xll.BQL("NOW US Equity", "CF_DEF_INC_TAX/1M", "FPR=2021Y", "FPT=A", "FA_ACT_EST_DATA=E, EST_SOURCE=BAM", "ACT_EST_MAPPING=PRECISE", "FS=MRC", "CURRENCY=USD", "XLFILL=b")</f>
        <v>#N/A Requesting Data...</v>
      </c>
      <c r="AE204" s="6" t="str">
        <f>_xll.BQL("NOW US Equity", "CF_DEF_INC_TAX/1M", "FPR=2021Y", "FPT=A", "FA_ACT_EST_DATA=E, EST_SOURCE=GSR", "ACT_EST_MAPPING=PRECISE", "FS=MRC", "CURRENCY=USD", "XLFILL=b")</f>
        <v>#N/A Requesting Data...</v>
      </c>
      <c r="AF204" s="6" t="str">
        <f>_xll.BQL("NOW US Equity", "CF_DEF_INC_TAX/1M", "FPR=2021Y", "FPT=A", "FA_ACT_EST_DATA=E, EST_SOURCE=FBC", "ACT_EST_MAPPING=PRECISE", "FS=MRC", "CURRENCY=USD", "XLFILL=b")</f>
        <v>#N/A Requesting Data...</v>
      </c>
      <c r="AG204" s="6" t="str">
        <f>_xll.BQL("NOW US Equity", "CF_DEF_INC_TAX/1M", "FPR=2021Y", "FPT=A", "FA_ACT_EST_DATA=E, EST_SOURCE=MAC", "ACT_EST_MAPPING=PRECISE", "FS=MRC", "CURRENCY=USD", "XLFILL=b")</f>
        <v>#N/A Requesting Data...</v>
      </c>
      <c r="AH204" s="6" t="str">
        <f>_xll.BQL("NOW US Equity", "CF_DEF_INC_TAX/1M", "FPR=2021Y", "FPT=A", "FA_ACT_EST_DATA=E, EST_SOURCE=PSG", "ACT_EST_MAPPING=PRECISE", "FS=MRC", "CURRENCY=USD", "XLFILL=b")</f>
        <v>#N/A Requesting Data...</v>
      </c>
      <c r="AI204" s="6" t="str">
        <f>_xll.BQL("NOW US Equity", "CF_DEF_INC_TAX/1M", "FPR=2021Y", "FPT=A", "FA_ACT_EST_DATA=E, EST_SOURCE=MSR", "ACT_EST_MAPPING=PRECISE", "FS=MRC", "CURRENCY=USD", "XLFILL=b")</f>
        <v>#N/A Requesting Data...</v>
      </c>
      <c r="AJ204" s="6" t="str">
        <f>_xll.BQL("NOW US Equity", "CF_DEF_INC_TAX/1M", "FPR=2021Y", "FPT=A", "FA_ACT_EST_DATA=E, EST_SOURCE=JEF", "ACT_EST_MAPPING=PRECISE", "FS=MRC", "CURRENCY=USD", "XLFILL=b")</f>
        <v>#N/A Requesting Data...</v>
      </c>
      <c r="AK204" s="6" t="str">
        <f>_xll.BQL("NOW US Equity", "CF_DEF_INC_TAX/1M", "FPR=2021Y", "FPT=A", "FA_ACT_EST_DATA=E, EST_SOURCE=TTC", "ACT_EST_MAPPING=PRECISE", "FS=MRC", "CURRENCY=USD", "XLFILL=b")</f>
        <v>#N/A Requesting Data...</v>
      </c>
      <c r="AL204" s="6" t="str">
        <f>_xll.BQL("NOW US Equity", "CF_DEF_INC_TAX/1M", "FPR=2021Y", "FPT=A", "FA_ACT_EST_DATA=E, EST_SOURCE=RWB", "ACT_EST_MAPPING=PRECISE", "FS=MRC", "CURRENCY=USD", "XLFILL=b")</f>
        <v>#N/A Requesting Data...</v>
      </c>
      <c r="AM204" s="6" t="str">
        <f>_xll.BQL("NOW US Equity", "CF_DEF_INC_TAX/1M", "FPR=2021Y", "FPT=A", "FA_ACT_EST_DATA=E, EST_SOURCE=DZB", "ACT_EST_MAPPING=PRECISE", "FS=MRC", "CURRENCY=USD", "XLFILL=b")</f>
        <v>#N/A Requesting Data...</v>
      </c>
      <c r="AN204" s="6" t="str">
        <f>_xll.BQL("NOW US Equity", "CF_DEF_INC_TAX/1M", "FPR=2021Y", "FPT=A", "FA_ACT_EST_DATA=E, EST_SOURCE=DWI", "ACT_EST_MAPPING=PRECISE", "FS=MRC", "CURRENCY=USD", "XLFILL=b")</f>
        <v>#N/A Requesting Data...</v>
      </c>
      <c r="AO204" s="6" t="str">
        <f>_xll.BQL("NOW US Equity", "CF_DEF_INC_TAX/1M", "FPR=2021Y", "FPT=A", "FA_ACT_EST_DATA=E, EST_SOURCE=ARG", "ACT_EST_MAPPING=PRECISE", "FS=MRC", "CURRENCY=USD", "XLFILL=b")</f>
        <v>#N/A Requesting Data...</v>
      </c>
      <c r="AP204" s="6" t="str">
        <f>_xll.BQL("NOW US Equity", "CF_DEF_INC_TAX/1M", "FPR=2021Y", "FPT=A", "FA_ACT_EST_DATA=E, EST_SOURCE=CTI", "ACT_EST_MAPPING=PRECISE", "FS=MRC", "CURRENCY=USD", "XLFILL=b")</f>
        <v>#N/A Requesting Data...</v>
      </c>
      <c r="AQ204" s="6" t="str">
        <f>_xll.BQL("NOW US Equity", "CF_DEF_INC_TAX/1M", "FPR=2021Y", "FPT=A", "FA_ACT_EST_DATA=E, EST_SOURCE=WFT", "ACT_EST_MAPPING=PRECISE", "FS=MRC", "CURRENCY=USD", "XLFILL=b")</f>
        <v>#N/A Requesting Data...</v>
      </c>
      <c r="AR204" s="6" t="str">
        <f>_xll.BQL("NOW US Equity", "CF_DEF_INC_TAX/1M", "FPR=2021Y", "FPT=A", "FA_ACT_EST_DATA=E, EST_SOURCE=ARE", "ACT_EST_MAPPING=PRECISE", "FS=MRC", "CURRENCY=USD", "XLFILL=b")</f>
        <v>#N/A Requesting Data...</v>
      </c>
      <c r="AS204" s="6" t="str">
        <f>_xll.BQL("NOW US Equity", "CF_DEF_INC_TAX/1M", "FPR=2021Y", "FPT=A", "FA_ACT_EST_DATA=E, EST_SOURCE=PJE", "ACT_EST_MAPPING=PRECISE", "FS=MRC", "CURRENCY=USD", "XLFILL=b")</f>
        <v>#N/A Requesting Data...</v>
      </c>
      <c r="AT204" s="6" t="str">
        <f>_xll.BQL("NOW US Equity", "CF_DEF_INC_TAX/1M", "FPR=2021Y", "FPT=A", "FA_ACT_EST_DATA=E, EST_SOURCE=MZS", "ACT_EST_MAPPING=PRECISE", "FS=MRC", "CURRENCY=USD", "XLFILL=b")</f>
        <v>#N/A Requesting Data...</v>
      </c>
      <c r="AU204" s="6" t="str">
        <f>_xll.BQL("NOW US Equity", "CF_DEF_INC_TAX/1M", "FPR=2021Y", "FPT=A", "FA_ACT_EST_DATA=E, EST_SOURCE=SUM", "ACT_EST_MAPPING=PRECISE", "FS=MRC", "CURRENCY=USD", "XLFILL=b")</f>
        <v>#N/A Requesting Data...</v>
      </c>
      <c r="AV204" s="6" t="str">
        <f>_xll.BQL("NOW US Equity", "CF_DEF_INC_TAX/1M", "FPR=2021Y", "FPT=A", "FA_ACT_EST_DATA=E, EST_SOURCE=CRC", "ACT_EST_MAPPING=PRECISE", "FS=MRC", "CURRENCY=USD", "XLFILL=b")</f>
        <v>#N/A Requesting Data...</v>
      </c>
      <c r="AW204" s="6" t="str">
        <f>_xll.BQL("NOW US Equity", "CF_DEF_INC_TAX/1M", "FPR=2021Y", "FPT=A", "FA_ACT_EST_DATA=E, EST_SOURCE=SCB", "ACT_EST_MAPPING=PRECISE", "FS=MRC", "CURRENCY=USD", "XLFILL=b")</f>
        <v>#N/A Requesting Data...</v>
      </c>
    </row>
    <row r="205" spans="1:49" x14ac:dyDescent="0.55000000000000004">
      <c r="A205" s="5" t="s">
        <v>372</v>
      </c>
      <c r="B205" s="2" t="s">
        <v>373</v>
      </c>
      <c r="C205" s="2" t="s">
        <v>374</v>
      </c>
      <c r="D205" s="2"/>
      <c r="E205" s="6" t="str">
        <f>_xll.BQL("NOW US Equity", "CB_CF_OTHR_NONCSH_ITEMS/1M", "FPR=2021Y", "FPT=A", "FA_ACT_EST_DATA=E", "ACT_EST_MAPPING=PRECISE", "FS=MRC", "CURRENCY=USD", "XLFILL=b")</f>
        <v>#N/A Requesting Data...</v>
      </c>
      <c r="F205" s="6" t="str">
        <f>_xll.BQL("NOW US Equity", "CONTRIBUTOR_STATS(CB_CF_OTHR_NONCSH_ITEMS, MIN)/1M", "FPR=2021Y", "FPT=A", "FA_ACT_EST_DATA=E", "ACT_EST_MAPPING=PRECISE", "FS=MRC", "CURRENCY=USD", "XLFILL=b")</f>
        <v>#N/A Requesting Data...</v>
      </c>
      <c r="G205" s="6" t="str">
        <f>_xll.BQL("NOW US Equity", "CONTRIBUTOR_STATS(CB_CF_OTHR_NONCSH_ITEMS, MAX)/1M", "FPR=2021Y", "FPT=A", "FA_ACT_EST_DATA=E", "ACT_EST_MAPPING=PRECISE", "FS=MRC", "CURRENCY=USD", "XLFILL=b")</f>
        <v>#N/A Requesting Data...</v>
      </c>
      <c r="H205" s="6" t="str">
        <f>_xll.BQL("NOW US Equity", "CONTRIBUTOR_STATS(CB_CF_OTHR_NONCSH_ITEMS, STD)/1M", "FPR=2021Y", "FPT=A", "FA_ACT_EST_DATA=E", "ACT_EST_MAPPING=PRECISE", "FS=MRC", "CURRENCY=USD", "XLFILL=b")</f>
        <v>#N/A Requesting Data...</v>
      </c>
      <c r="I205" s="6" t="str">
        <f>_xll.BQL("NOW US Equity", "CONTRIBUTOR_STATS(CB_CF_OTHR_NONCSH_ITEMS, MEDIAN)/1M", "FPR=2021Y", "FPT=A", "FA_ACT_EST_DATA=E", "ACT_EST_MAPPING=PRECISE", "FS=MRC", "CURRENCY=USD", "XLFILL=b")</f>
        <v>#N/A Requesting Data...</v>
      </c>
      <c r="J205" s="6" t="str">
        <f>_xll.BQL("NOW US Equity", "CB_CF_OTHR_NONCSH_ITEMS/1M", "FPR=2021Y", "FPT=A", "FA_ACT_EST_DATA=E, EST_SOURCE=CMPY", "ACT_EST_MAPPING=PRECISE", "FS=MRC", "CURRENCY=USD", "XLFILL=b")</f>
        <v>#N/A Requesting Data...</v>
      </c>
      <c r="K205" s="6" t="str">
        <f>_xll.BQL("NOW US Equity", "CB_CF_OTHR_NONCSH_ITEMS/1M", "FPR=2021Y", "FPT=A", "FA_ACT_EST_DATA=E, EST_SOURCE=JPM", "ACT_EST_MAPPING=PRECISE", "FS=MRC", "CURRENCY=USD", "XLFILL=b")</f>
        <v>#N/A Requesting Data...</v>
      </c>
      <c r="L205" s="6" t="str">
        <f>_xll.BQL("NOW US Equity", "CB_CF_OTHR_NONCSH_ITEMS/1M", "FPR=2021Y", "FPT=A", "FA_ACT_EST_DATA=E, EST_SOURCE=WBL", "ACT_EST_MAPPING=PRECISE", "FS=MRC", "CURRENCY=USD", "XLFILL=b")</f>
        <v>#N/A Requesting Data...</v>
      </c>
      <c r="M205" s="6" t="str">
        <f>_xll.BQL("NOW US Equity", "CB_CF_OTHR_NONCSH_ITEMS/1M", "FPR=2021Y", "FPT=A", "FA_ACT_EST_DATA=E, EST_SOURCE=KEY", "ACT_EST_MAPPING=PRECISE", "FS=MRC", "CURRENCY=USD", "XLFILL=b")</f>
        <v>#N/A Requesting Data...</v>
      </c>
      <c r="N205" s="6" t="str">
        <f>_xll.BQL("NOW US Equity", "CB_CF_OTHR_NONCSH_ITEMS/1M", "FPR=2021Y", "FPT=A", "FA_ACT_EST_DATA=E, EST_SOURCE=BMO", "ACT_EST_MAPPING=PRECISE", "FS=MRC", "CURRENCY=USD", "XLFILL=b")</f>
        <v>#N/A Requesting Data...</v>
      </c>
      <c r="O205" s="6" t="str">
        <f>_xll.BQL("NOW US Equity", "CB_CF_OTHR_NONCSH_ITEMS/1M", "FPR=2021Y", "FPT=A", "FA_ACT_EST_DATA=E, EST_SOURCE=OPY", "ACT_EST_MAPPING=PRECISE", "FS=MRC", "CURRENCY=USD", "XLFILL=b")</f>
        <v>#N/A Requesting Data...</v>
      </c>
      <c r="P205" s="6" t="str">
        <f>_xll.BQL("NOW US Equity", "CB_CF_OTHR_NONCSH_ITEMS/1M", "FPR=2021Y", "FPT=A", "FA_ACT_EST_DATA=E, EST_SOURCE=BCA", "ACT_EST_MAPPING=PRECISE", "FS=MRC", "CURRENCY=USD", "XLFILL=b")</f>
        <v>#N/A Requesting Data...</v>
      </c>
      <c r="Q205" s="6" t="str">
        <f>_xll.BQL("NOW US Equity", "CB_CF_OTHR_NONCSH_ITEMS/1M", "FPR=2021Y", "FPT=A", "FA_ACT_EST_DATA=E, EST_SOURCE=RHR", "ACT_EST_MAPPING=PRECISE", "FS=MRC", "CURRENCY=USD", "XLFILL=b")</f>
        <v>#N/A Requesting Data...</v>
      </c>
      <c r="R205" s="6" t="str">
        <f>_xll.BQL("NOW US Equity", "CB_CF_OTHR_NONCSH_ITEMS/1M", "FPR=2021Y", "FPT=A", "FA_ACT_EST_DATA=E, EST_SOURCE=SNR", "ACT_EST_MAPPING=PRECISE", "FS=MRC", "CURRENCY=USD", "XLFILL=b")</f>
        <v>#N/A Requesting Data...</v>
      </c>
      <c r="S205" s="6" t="str">
        <f>_xll.BQL("NOW US Equity", "CB_CF_OTHR_NONCSH_ITEMS/1M", "FPR=2021Y", "FPT=A", "FA_ACT_EST_DATA=E, EST_SOURCE=MSV", "ACT_EST_MAPPING=PRECISE", "FS=MRC", "CURRENCY=USD", "XLFILL=b")</f>
        <v>#N/A Requesting Data...</v>
      </c>
      <c r="T205" s="6" t="str">
        <f>_xll.BQL("NOW US Equity", "CB_CF_OTHR_NONCSH_ITEMS/1M", "FPR=2021Y", "FPT=A", "FA_ACT_EST_DATA=E, EST_SOURCE=CAN", "ACT_EST_MAPPING=PRECISE", "FS=MRC", "CURRENCY=USD", "XLFILL=b")</f>
        <v>#N/A Requesting Data...</v>
      </c>
      <c r="U205" s="6" t="str">
        <f>_xll.BQL("NOW US Equity", "CB_CF_OTHR_NONCSH_ITEMS/1M", "FPR=2021Y", "FPT=A", "FA_ACT_EST_DATA=E, EST_SOURCE=JMP", "ACT_EST_MAPPING=PRECISE", "FS=MRC", "CURRENCY=USD", "XLFILL=b")</f>
        <v>#N/A Requesting Data...</v>
      </c>
      <c r="V205" s="6" t="str">
        <f>_xll.BQL("NOW US Equity", "CB_CF_OTHR_NONCSH_ITEMS/1M", "FPR=2021Y", "FPT=A", "FA_ACT_EST_DATA=E, EST_SOURCE=NDH", "ACT_EST_MAPPING=PRECISE", "FS=MRC", "CURRENCY=USD", "XLFILL=b")</f>
        <v>#N/A Requesting Data...</v>
      </c>
      <c r="W205" s="6" t="str">
        <f>_xll.BQL("NOW US Equity", "CB_CF_OTHR_NONCSH_ITEMS/1M", "FPR=2021Y", "FPT=A", "FA_ACT_EST_DATA=E, EST_SOURCE=ZXS", "ACT_EST_MAPPING=PRECISE", "FS=MRC", "CURRENCY=USD", "XLFILL=b")</f>
        <v>#N/A Requesting Data...</v>
      </c>
      <c r="X205" s="6" t="str">
        <f>_xll.BQL("NOW US Equity", "CB_CF_OTHR_NONCSH_ITEMS/1M", "FPR=2021Y", "FPT=A", "FA_ACT_EST_DATA=E, EST_SOURCE=CWN", "ACT_EST_MAPPING=PRECISE", "FS=MRC", "CURRENCY=USD", "XLFILL=b")</f>
        <v>#N/A Requesting Data...</v>
      </c>
      <c r="Y205" s="6" t="str">
        <f>_xll.BQL("NOW US Equity", "CB_CF_OTHR_NONCSH_ITEMS/1M", "FPR=2021Y", "FPT=A", "FA_ACT_EST_DATA=E, EST_SOURCE=DBG", "ACT_EST_MAPPING=PRECISE", "FS=MRC", "CURRENCY=USD", "XLFILL=b")</f>
        <v>#N/A Requesting Data...</v>
      </c>
      <c r="Z205" s="6" t="str">
        <f>_xll.BQL("NOW US Equity", "CB_CF_OTHR_NONCSH_ITEMS/1M", "FPR=2021Y", "FPT=A", "FA_ACT_EST_DATA=E, EST_SOURCE=UBS", "ACT_EST_MAPPING=PRECISE", "FS=MRC", "CURRENCY=USD", "XLFILL=b")</f>
        <v>#N/A Requesting Data...</v>
      </c>
      <c r="AA205" s="6" t="str">
        <f>_xll.BQL("NOW US Equity", "CB_CF_OTHR_NONCSH_ITEMS/1M", "FPR=2021Y", "FPT=A", "FA_ACT_EST_DATA=E, EST_SOURCE=RBC", "ACT_EST_MAPPING=PRECISE", "FS=MRC", "CURRENCY=USD", "XLFILL=b")</f>
        <v>#N/A Requesting Data...</v>
      </c>
      <c r="AB205" s="6" t="str">
        <f>_xll.BQL("NOW US Equity", "CB_CF_OTHR_NONCSH_ITEMS/1M", "FPR=2021Y", "FPT=A", "FA_ACT_EST_DATA=E, EST_SOURCE=EVR", "ACT_EST_MAPPING=PRECISE", "FS=MRC", "CURRENCY=USD", "XLFILL=b")</f>
        <v>#N/A Requesting Data...</v>
      </c>
      <c r="AC205" s="6" t="str">
        <f>_xll.BQL("NOW US Equity", "CB_CF_OTHR_NONCSH_ITEMS/1M", "FPR=2021Y", "FPT=A", "FA_ACT_EST_DATA=E, EST_SOURCE=BNS", "ACT_EST_MAPPING=PRECISE", "FS=MRC", "CURRENCY=USD", "XLFILL=b")</f>
        <v>#N/A Requesting Data...</v>
      </c>
      <c r="AD205" s="6" t="str">
        <f>_xll.BQL("NOW US Equity", "CB_CF_OTHR_NONCSH_ITEMS/1M", "FPR=2021Y", "FPT=A", "FA_ACT_EST_DATA=E, EST_SOURCE=BAM", "ACT_EST_MAPPING=PRECISE", "FS=MRC", "CURRENCY=USD", "XLFILL=b")</f>
        <v>#N/A Requesting Data...</v>
      </c>
      <c r="AE205" s="6" t="str">
        <f>_xll.BQL("NOW US Equity", "CB_CF_OTHR_NONCSH_ITEMS/1M", "FPR=2021Y", "FPT=A", "FA_ACT_EST_DATA=E, EST_SOURCE=GSR", "ACT_EST_MAPPING=PRECISE", "FS=MRC", "CURRENCY=USD", "XLFILL=b")</f>
        <v>#N/A Requesting Data...</v>
      </c>
      <c r="AF205" s="6" t="str">
        <f>_xll.BQL("NOW US Equity", "CB_CF_OTHR_NONCSH_ITEMS/1M", "FPR=2021Y", "FPT=A", "FA_ACT_EST_DATA=E, EST_SOURCE=FBC", "ACT_EST_MAPPING=PRECISE", "FS=MRC", "CURRENCY=USD", "XLFILL=b")</f>
        <v>#N/A Requesting Data...</v>
      </c>
      <c r="AG205" s="6" t="str">
        <f>_xll.BQL("NOW US Equity", "CB_CF_OTHR_NONCSH_ITEMS/1M", "FPR=2021Y", "FPT=A", "FA_ACT_EST_DATA=E, EST_SOURCE=MAC", "ACT_EST_MAPPING=PRECISE", "FS=MRC", "CURRENCY=USD", "XLFILL=b")</f>
        <v>#N/A Requesting Data...</v>
      </c>
      <c r="AH205" s="6" t="str">
        <f>_xll.BQL("NOW US Equity", "CB_CF_OTHR_NONCSH_ITEMS/1M", "FPR=2021Y", "FPT=A", "FA_ACT_EST_DATA=E, EST_SOURCE=PSG", "ACT_EST_MAPPING=PRECISE", "FS=MRC", "CURRENCY=USD", "XLFILL=b")</f>
        <v>#N/A Requesting Data...</v>
      </c>
      <c r="AI205" s="6" t="str">
        <f>_xll.BQL("NOW US Equity", "CB_CF_OTHR_NONCSH_ITEMS/1M", "FPR=2021Y", "FPT=A", "FA_ACT_EST_DATA=E, EST_SOURCE=MSR", "ACT_EST_MAPPING=PRECISE", "FS=MRC", "CURRENCY=USD", "XLFILL=b")</f>
        <v>#N/A Requesting Data...</v>
      </c>
      <c r="AJ205" s="6" t="str">
        <f>_xll.BQL("NOW US Equity", "CB_CF_OTHR_NONCSH_ITEMS/1M", "FPR=2021Y", "FPT=A", "FA_ACT_EST_DATA=E, EST_SOURCE=JEF", "ACT_EST_MAPPING=PRECISE", "FS=MRC", "CURRENCY=USD", "XLFILL=b")</f>
        <v>#N/A Requesting Data...</v>
      </c>
      <c r="AK205" s="6" t="str">
        <f>_xll.BQL("NOW US Equity", "CB_CF_OTHR_NONCSH_ITEMS/1M", "FPR=2021Y", "FPT=A", "FA_ACT_EST_DATA=E, EST_SOURCE=TTC", "ACT_EST_MAPPING=PRECISE", "FS=MRC", "CURRENCY=USD", "XLFILL=b")</f>
        <v>#N/A Requesting Data...</v>
      </c>
      <c r="AL205" s="6" t="str">
        <f>_xll.BQL("NOW US Equity", "CB_CF_OTHR_NONCSH_ITEMS/1M", "FPR=2021Y", "FPT=A", "FA_ACT_EST_DATA=E, EST_SOURCE=RWB", "ACT_EST_MAPPING=PRECISE", "FS=MRC", "CURRENCY=USD", "XLFILL=b")</f>
        <v>#N/A Requesting Data...</v>
      </c>
      <c r="AM205" s="6" t="str">
        <f>_xll.BQL("NOW US Equity", "CB_CF_OTHR_NONCSH_ITEMS/1M", "FPR=2021Y", "FPT=A", "FA_ACT_EST_DATA=E, EST_SOURCE=DZB", "ACT_EST_MAPPING=PRECISE", "FS=MRC", "CURRENCY=USD", "XLFILL=b")</f>
        <v>#N/A Requesting Data...</v>
      </c>
      <c r="AN205" s="6" t="str">
        <f>_xll.BQL("NOW US Equity", "CB_CF_OTHR_NONCSH_ITEMS/1M", "FPR=2021Y", "FPT=A", "FA_ACT_EST_DATA=E, EST_SOURCE=DWI", "ACT_EST_MAPPING=PRECISE", "FS=MRC", "CURRENCY=USD", "XLFILL=b")</f>
        <v>#N/A Requesting Data...</v>
      </c>
      <c r="AO205" s="6" t="str">
        <f>_xll.BQL("NOW US Equity", "CB_CF_OTHR_NONCSH_ITEMS/1M", "FPR=2021Y", "FPT=A", "FA_ACT_EST_DATA=E, EST_SOURCE=ARG", "ACT_EST_MAPPING=PRECISE", "FS=MRC", "CURRENCY=USD", "XLFILL=b")</f>
        <v>#N/A Requesting Data...</v>
      </c>
      <c r="AP205" s="6" t="str">
        <f>_xll.BQL("NOW US Equity", "CB_CF_OTHR_NONCSH_ITEMS/1M", "FPR=2021Y", "FPT=A", "FA_ACT_EST_DATA=E, EST_SOURCE=CTI", "ACT_EST_MAPPING=PRECISE", "FS=MRC", "CURRENCY=USD", "XLFILL=b")</f>
        <v>#N/A Requesting Data...</v>
      </c>
      <c r="AQ205" s="6" t="str">
        <f>_xll.BQL("NOW US Equity", "CB_CF_OTHR_NONCSH_ITEMS/1M", "FPR=2021Y", "FPT=A", "FA_ACT_EST_DATA=E, EST_SOURCE=WFT", "ACT_EST_MAPPING=PRECISE", "FS=MRC", "CURRENCY=USD", "XLFILL=b")</f>
        <v>#N/A Requesting Data...</v>
      </c>
      <c r="AR205" s="6" t="str">
        <f>_xll.BQL("NOW US Equity", "CB_CF_OTHR_NONCSH_ITEMS/1M", "FPR=2021Y", "FPT=A", "FA_ACT_EST_DATA=E, EST_SOURCE=ARE", "ACT_EST_MAPPING=PRECISE", "FS=MRC", "CURRENCY=USD", "XLFILL=b")</f>
        <v>#N/A Requesting Data...</v>
      </c>
      <c r="AS205" s="6" t="str">
        <f>_xll.BQL("NOW US Equity", "CB_CF_OTHR_NONCSH_ITEMS/1M", "FPR=2021Y", "FPT=A", "FA_ACT_EST_DATA=E, EST_SOURCE=PJE", "ACT_EST_MAPPING=PRECISE", "FS=MRC", "CURRENCY=USD", "XLFILL=b")</f>
        <v>#N/A Requesting Data...</v>
      </c>
      <c r="AT205" s="6" t="str">
        <f>_xll.BQL("NOW US Equity", "CB_CF_OTHR_NONCSH_ITEMS/1M", "FPR=2021Y", "FPT=A", "FA_ACT_EST_DATA=E, EST_SOURCE=MZS", "ACT_EST_MAPPING=PRECISE", "FS=MRC", "CURRENCY=USD", "XLFILL=b")</f>
        <v>#N/A Requesting Data...</v>
      </c>
      <c r="AU205" s="6" t="str">
        <f>_xll.BQL("NOW US Equity", "CB_CF_OTHR_NONCSH_ITEMS/1M", "FPR=2021Y", "FPT=A", "FA_ACT_EST_DATA=E, EST_SOURCE=SUM", "ACT_EST_MAPPING=PRECISE", "FS=MRC", "CURRENCY=USD", "XLFILL=b")</f>
        <v>#N/A Requesting Data...</v>
      </c>
      <c r="AV205" s="6" t="str">
        <f>_xll.BQL("NOW US Equity", "CB_CF_OTHR_NONCSH_ITEMS/1M", "FPR=2021Y", "FPT=A", "FA_ACT_EST_DATA=E, EST_SOURCE=CRC", "ACT_EST_MAPPING=PRECISE", "FS=MRC", "CURRENCY=USD", "XLFILL=b")</f>
        <v>#N/A Requesting Data...</v>
      </c>
      <c r="AW205" s="6" t="str">
        <f>_xll.BQL("NOW US Equity", "CB_CF_OTHR_NONCSH_ITEMS/1M", "FPR=2021Y", "FPT=A", "FA_ACT_EST_DATA=E, EST_SOURCE=SCB", "ACT_EST_MAPPING=PRECISE", "FS=MRC", "CURRENCY=USD", "XLFILL=b")</f>
        <v>#N/A Requesting Data...</v>
      </c>
    </row>
    <row r="206" spans="1:49" x14ac:dyDescent="0.55000000000000004">
      <c r="A206" s="5" t="s">
        <v>375</v>
      </c>
      <c r="B206" s="2"/>
      <c r="C206" s="2" t="s">
        <v>376</v>
      </c>
      <c r="D206" s="2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</row>
    <row r="207" spans="1:49" x14ac:dyDescent="0.55000000000000004">
      <c r="A207" s="5" t="s">
        <v>264</v>
      </c>
      <c r="B207" s="2" t="s">
        <v>377</v>
      </c>
      <c r="C207" s="2" t="s">
        <v>266</v>
      </c>
      <c r="D207" s="2"/>
      <c r="E207" s="6" t="str">
        <f>_xll.BQL("NOW US Equity", "CB_CF_CHANGE_IN_ACCOUNTS_RECEIVABLE/1M", "FPR=2021Y", "FPT=A", "FA_ACT_EST_DATA=E", "ACT_EST_MAPPING=PRECISE", "FS=MRC", "CURRENCY=USD", "XLFILL=b")</f>
        <v>#N/A Requesting Data...</v>
      </c>
      <c r="F207" s="6">
        <f>_xll.BQL("NOW US Equity", "CONTRIBUTOR_STATS(CB_CF_CHANGE_IN_ACCOUNTS_RECEIVABLE, MIN)/1M", "FPR=2021Y", "FPT=A", "FA_ACT_EST_DATA=E", "ACT_EST_MAPPING=PRECISE", "FS=MRC", "CURRENCY=USD", "XLFILL=b")</f>
        <v>-375.74847424472767</v>
      </c>
      <c r="G207" s="6">
        <f>_xll.BQL("NOW US Equity", "CONTRIBUTOR_STATS(CB_CF_CHANGE_IN_ACCOUNTS_RECEIVABLE, MAX)/1M", "FPR=2021Y", "FPT=A", "FA_ACT_EST_DATA=E", "ACT_EST_MAPPING=PRECISE", "FS=MRC", "CURRENCY=USD", "XLFILL=b")</f>
        <v>-167.33034027777791</v>
      </c>
      <c r="H207" s="6">
        <f>_xll.BQL("NOW US Equity", "CONTRIBUTOR_STATS(CB_CF_CHANGE_IN_ACCOUNTS_RECEIVABLE, STD)/1M", "FPR=2021Y", "FPT=A", "FA_ACT_EST_DATA=E", "ACT_EST_MAPPING=PRECISE", "FS=MRC", "CURRENCY=USD", "XLFILL=b")</f>
        <v>65.34619289808299</v>
      </c>
      <c r="I207" s="6">
        <f>_xll.BQL("NOW US Equity", "CONTRIBUTOR_STATS(CB_CF_CHANGE_IN_ACCOUNTS_RECEIVABLE, MEDIAN)/1M", "FPR=2021Y", "FPT=A", "FA_ACT_EST_DATA=E", "ACT_EST_MAPPING=PRECISE", "FS=MRC", "CURRENCY=USD", "XLFILL=b")</f>
        <v>-266.31792803646903</v>
      </c>
      <c r="J207" s="6" t="str">
        <f>_xll.BQL("NOW US Equity", "CB_CF_CHANGE_IN_ACCOUNTS_RECEIVABLE/1M", "FPR=2021Y", "FPT=A", "FA_ACT_EST_DATA=E, EST_SOURCE=CMPY", "ACT_EST_MAPPING=PRECISE", "FS=MRC", "CURRENCY=USD", "XLFILL=b")</f>
        <v>#N/A Requesting Data...</v>
      </c>
      <c r="K207" s="6" t="str">
        <f>_xll.BQL("NOW US Equity", "CB_CF_CHANGE_IN_ACCOUNTS_RECEIVABLE/1M", "FPR=2021Y", "FPT=A", "FA_ACT_EST_DATA=E, EST_SOURCE=JPM", "ACT_EST_MAPPING=PRECISE", "FS=MRC", "CURRENCY=USD", "XLFILL=b")</f>
        <v>#N/A Requesting Data...</v>
      </c>
      <c r="L207" s="6" t="str">
        <f>_xll.BQL("NOW US Equity", "CB_CF_CHANGE_IN_ACCOUNTS_RECEIVABLE/1M", "FPR=2021Y", "FPT=A", "FA_ACT_EST_DATA=E, EST_SOURCE=WBL", "ACT_EST_MAPPING=PRECISE", "FS=MRC", "CURRENCY=USD", "XLFILL=b")</f>
        <v>#N/A Requesting Data...</v>
      </c>
      <c r="M207" s="6" t="str">
        <f>_xll.BQL("NOW US Equity", "CB_CF_CHANGE_IN_ACCOUNTS_RECEIVABLE/1M", "FPR=2021Y", "FPT=A", "FA_ACT_EST_DATA=E, EST_SOURCE=KEY", "ACT_EST_MAPPING=PRECISE", "FS=MRC", "CURRENCY=USD", "XLFILL=b")</f>
        <v>#N/A Requesting Data...</v>
      </c>
      <c r="N207" s="6" t="str">
        <f>_xll.BQL("NOW US Equity", "CB_CF_CHANGE_IN_ACCOUNTS_RECEIVABLE/1M", "FPR=2021Y", "FPT=A", "FA_ACT_EST_DATA=E, EST_SOURCE=BMO", "ACT_EST_MAPPING=PRECISE", "FS=MRC", "CURRENCY=USD", "XLFILL=b")</f>
        <v>#N/A Requesting Data...</v>
      </c>
      <c r="O207" s="6" t="str">
        <f>_xll.BQL("NOW US Equity", "CB_CF_CHANGE_IN_ACCOUNTS_RECEIVABLE/1M", "FPR=2021Y", "FPT=A", "FA_ACT_EST_DATA=E, EST_SOURCE=OPY", "ACT_EST_MAPPING=PRECISE", "FS=MRC", "CURRENCY=USD", "XLFILL=b")</f>
        <v>#N/A Requesting Data...</v>
      </c>
      <c r="P207" s="6" t="str">
        <f>_xll.BQL("NOW US Equity", "CB_CF_CHANGE_IN_ACCOUNTS_RECEIVABLE/1M", "FPR=2021Y", "FPT=A", "FA_ACT_EST_DATA=E, EST_SOURCE=BCA", "ACT_EST_MAPPING=PRECISE", "FS=MRC", "CURRENCY=USD", "XLFILL=b")</f>
        <v>#N/A Requesting Data...</v>
      </c>
      <c r="Q207" s="6" t="str">
        <f>_xll.BQL("NOW US Equity", "CB_CF_CHANGE_IN_ACCOUNTS_RECEIVABLE/1M", "FPR=2021Y", "FPT=A", "FA_ACT_EST_DATA=E, EST_SOURCE=RHR", "ACT_EST_MAPPING=PRECISE", "FS=MRC", "CURRENCY=USD", "XLFILL=b")</f>
        <v>#N/A Requesting Data...</v>
      </c>
      <c r="R207" s="6" t="str">
        <f>_xll.BQL("NOW US Equity", "CB_CF_CHANGE_IN_ACCOUNTS_RECEIVABLE/1M", "FPR=2021Y", "FPT=A", "FA_ACT_EST_DATA=E, EST_SOURCE=SNR", "ACT_EST_MAPPING=PRECISE", "FS=MRC", "CURRENCY=USD", "XLFILL=b")</f>
        <v>#N/A Requesting Data...</v>
      </c>
      <c r="S207" s="6" t="str">
        <f>_xll.BQL("NOW US Equity", "CB_CF_CHANGE_IN_ACCOUNTS_RECEIVABLE/1M", "FPR=2021Y", "FPT=A", "FA_ACT_EST_DATA=E, EST_SOURCE=MSV", "ACT_EST_MAPPING=PRECISE", "FS=MRC", "CURRENCY=USD", "XLFILL=b")</f>
        <v>#N/A Requesting Data...</v>
      </c>
      <c r="T207" s="6" t="str">
        <f>_xll.BQL("NOW US Equity", "CB_CF_CHANGE_IN_ACCOUNTS_RECEIVABLE/1M", "FPR=2021Y", "FPT=A", "FA_ACT_EST_DATA=E, EST_SOURCE=CAN", "ACT_EST_MAPPING=PRECISE", "FS=MRC", "CURRENCY=USD", "XLFILL=b")</f>
        <v>#N/A Requesting Data...</v>
      </c>
      <c r="U207" s="6" t="str">
        <f>_xll.BQL("NOW US Equity", "CB_CF_CHANGE_IN_ACCOUNTS_RECEIVABLE/1M", "FPR=2021Y", "FPT=A", "FA_ACT_EST_DATA=E, EST_SOURCE=JMP", "ACT_EST_MAPPING=PRECISE", "FS=MRC", "CURRENCY=USD", "XLFILL=b")</f>
        <v>#N/A Requesting Data...</v>
      </c>
      <c r="V207" s="6" t="str">
        <f>_xll.BQL("NOW US Equity", "CB_CF_CHANGE_IN_ACCOUNTS_RECEIVABLE/1M", "FPR=2021Y", "FPT=A", "FA_ACT_EST_DATA=E, EST_SOURCE=NDH", "ACT_EST_MAPPING=PRECISE", "FS=MRC", "CURRENCY=USD", "XLFILL=b")</f>
        <v>#N/A Requesting Data...</v>
      </c>
      <c r="W207" s="6" t="str">
        <f>_xll.BQL("NOW US Equity", "CB_CF_CHANGE_IN_ACCOUNTS_RECEIVABLE/1M", "FPR=2021Y", "FPT=A", "FA_ACT_EST_DATA=E, EST_SOURCE=ZXS", "ACT_EST_MAPPING=PRECISE", "FS=MRC", "CURRENCY=USD", "XLFILL=b")</f>
        <v>#N/A Requesting Data...</v>
      </c>
      <c r="X207" s="6" t="str">
        <f>_xll.BQL("NOW US Equity", "CB_CF_CHANGE_IN_ACCOUNTS_RECEIVABLE/1M", "FPR=2021Y", "FPT=A", "FA_ACT_EST_DATA=E, EST_SOURCE=CWN", "ACT_EST_MAPPING=PRECISE", "FS=MRC", "CURRENCY=USD", "XLFILL=b")</f>
        <v>#N/A Requesting Data...</v>
      </c>
      <c r="Y207" s="6" t="str">
        <f>_xll.BQL("NOW US Equity", "CB_CF_CHANGE_IN_ACCOUNTS_RECEIVABLE/1M", "FPR=2021Y", "FPT=A", "FA_ACT_EST_DATA=E, EST_SOURCE=DBG", "ACT_EST_MAPPING=PRECISE", "FS=MRC", "CURRENCY=USD", "XLFILL=b")</f>
        <v>#N/A Requesting Data...</v>
      </c>
      <c r="Z207" s="6" t="str">
        <f>_xll.BQL("NOW US Equity", "CB_CF_CHANGE_IN_ACCOUNTS_RECEIVABLE/1M", "FPR=2021Y", "FPT=A", "FA_ACT_EST_DATA=E, EST_SOURCE=UBS", "ACT_EST_MAPPING=PRECISE", "FS=MRC", "CURRENCY=USD", "XLFILL=b")</f>
        <v>#N/A Requesting Data...</v>
      </c>
      <c r="AA207" s="6" t="str">
        <f>_xll.BQL("NOW US Equity", "CB_CF_CHANGE_IN_ACCOUNTS_RECEIVABLE/1M", "FPR=2021Y", "FPT=A", "FA_ACT_EST_DATA=E, EST_SOURCE=RBC", "ACT_EST_MAPPING=PRECISE", "FS=MRC", "CURRENCY=USD", "XLFILL=b")</f>
        <v>#N/A Requesting Data...</v>
      </c>
      <c r="AB207" s="6" t="str">
        <f>_xll.BQL("NOW US Equity", "CB_CF_CHANGE_IN_ACCOUNTS_RECEIVABLE/1M", "FPR=2021Y", "FPT=A", "FA_ACT_EST_DATA=E, EST_SOURCE=EVR", "ACT_EST_MAPPING=PRECISE", "FS=MRC", "CURRENCY=USD", "XLFILL=b")</f>
        <v>#N/A Requesting Data...</v>
      </c>
      <c r="AC207" s="6" t="str">
        <f>_xll.BQL("NOW US Equity", "CB_CF_CHANGE_IN_ACCOUNTS_RECEIVABLE/1M", "FPR=2021Y", "FPT=A", "FA_ACT_EST_DATA=E, EST_SOURCE=BNS", "ACT_EST_MAPPING=PRECISE", "FS=MRC", "CURRENCY=USD", "XLFILL=b")</f>
        <v>#N/A Requesting Data...</v>
      </c>
      <c r="AD207" s="6" t="str">
        <f>_xll.BQL("NOW US Equity", "CB_CF_CHANGE_IN_ACCOUNTS_RECEIVABLE/1M", "FPR=2021Y", "FPT=A", "FA_ACT_EST_DATA=E, EST_SOURCE=BAM", "ACT_EST_MAPPING=PRECISE", "FS=MRC", "CURRENCY=USD", "XLFILL=b")</f>
        <v>#N/A Requesting Data...</v>
      </c>
      <c r="AE207" s="6" t="str">
        <f>_xll.BQL("NOW US Equity", "CB_CF_CHANGE_IN_ACCOUNTS_RECEIVABLE/1M", "FPR=2021Y", "FPT=A", "FA_ACT_EST_DATA=E, EST_SOURCE=GSR", "ACT_EST_MAPPING=PRECISE", "FS=MRC", "CURRENCY=USD", "XLFILL=b")</f>
        <v>#N/A Requesting Data...</v>
      </c>
      <c r="AF207" s="6" t="str">
        <f>_xll.BQL("NOW US Equity", "CB_CF_CHANGE_IN_ACCOUNTS_RECEIVABLE/1M", "FPR=2021Y", "FPT=A", "FA_ACT_EST_DATA=E, EST_SOURCE=FBC", "ACT_EST_MAPPING=PRECISE", "FS=MRC", "CURRENCY=USD", "XLFILL=b")</f>
        <v>#N/A Requesting Data...</v>
      </c>
      <c r="AG207" s="6" t="str">
        <f>_xll.BQL("NOW US Equity", "CB_CF_CHANGE_IN_ACCOUNTS_RECEIVABLE/1M", "FPR=2021Y", "FPT=A", "FA_ACT_EST_DATA=E, EST_SOURCE=MAC", "ACT_EST_MAPPING=PRECISE", "FS=MRC", "CURRENCY=USD", "XLFILL=b")</f>
        <v>#N/A Requesting Data...</v>
      </c>
      <c r="AH207" s="6" t="str">
        <f>_xll.BQL("NOW US Equity", "CB_CF_CHANGE_IN_ACCOUNTS_RECEIVABLE/1M", "FPR=2021Y", "FPT=A", "FA_ACT_EST_DATA=E, EST_SOURCE=PSG", "ACT_EST_MAPPING=PRECISE", "FS=MRC", "CURRENCY=USD", "XLFILL=b")</f>
        <v>#N/A Requesting Data...</v>
      </c>
      <c r="AI207" s="6" t="str">
        <f>_xll.BQL("NOW US Equity", "CB_CF_CHANGE_IN_ACCOUNTS_RECEIVABLE/1M", "FPR=2021Y", "FPT=A", "FA_ACT_EST_DATA=E, EST_SOURCE=MSR", "ACT_EST_MAPPING=PRECISE", "FS=MRC", "CURRENCY=USD", "XLFILL=b")</f>
        <v>#N/A Requesting Data...</v>
      </c>
      <c r="AJ207" s="6" t="str">
        <f>_xll.BQL("NOW US Equity", "CB_CF_CHANGE_IN_ACCOUNTS_RECEIVABLE/1M", "FPR=2021Y", "FPT=A", "FA_ACT_EST_DATA=E, EST_SOURCE=JEF", "ACT_EST_MAPPING=PRECISE", "FS=MRC", "CURRENCY=USD", "XLFILL=b")</f>
        <v>#N/A Requesting Data...</v>
      </c>
      <c r="AK207" s="6" t="str">
        <f>_xll.BQL("NOW US Equity", "CB_CF_CHANGE_IN_ACCOUNTS_RECEIVABLE/1M", "FPR=2021Y", "FPT=A", "FA_ACT_EST_DATA=E, EST_SOURCE=TTC", "ACT_EST_MAPPING=PRECISE", "FS=MRC", "CURRENCY=USD", "XLFILL=b")</f>
        <v>#N/A Requesting Data...</v>
      </c>
      <c r="AL207" s="6" t="str">
        <f>_xll.BQL("NOW US Equity", "CB_CF_CHANGE_IN_ACCOUNTS_RECEIVABLE/1M", "FPR=2021Y", "FPT=A", "FA_ACT_EST_DATA=E, EST_SOURCE=RWB", "ACT_EST_MAPPING=PRECISE", "FS=MRC", "CURRENCY=USD", "XLFILL=b")</f>
        <v>#N/A Requesting Data...</v>
      </c>
      <c r="AM207" s="6" t="str">
        <f>_xll.BQL("NOW US Equity", "CB_CF_CHANGE_IN_ACCOUNTS_RECEIVABLE/1M", "FPR=2021Y", "FPT=A", "FA_ACT_EST_DATA=E, EST_SOURCE=DZB", "ACT_EST_MAPPING=PRECISE", "FS=MRC", "CURRENCY=USD", "XLFILL=b")</f>
        <v>#N/A Requesting Data...</v>
      </c>
      <c r="AN207" s="6" t="str">
        <f>_xll.BQL("NOW US Equity", "CB_CF_CHANGE_IN_ACCOUNTS_RECEIVABLE/1M", "FPR=2021Y", "FPT=A", "FA_ACT_EST_DATA=E, EST_SOURCE=DWI", "ACT_EST_MAPPING=PRECISE", "FS=MRC", "CURRENCY=USD", "XLFILL=b")</f>
        <v>#N/A Requesting Data...</v>
      </c>
      <c r="AO207" s="6" t="str">
        <f>_xll.BQL("NOW US Equity", "CB_CF_CHANGE_IN_ACCOUNTS_RECEIVABLE/1M", "FPR=2021Y", "FPT=A", "FA_ACT_EST_DATA=E, EST_SOURCE=ARG", "ACT_EST_MAPPING=PRECISE", "FS=MRC", "CURRENCY=USD", "XLFILL=b")</f>
        <v>#N/A Requesting Data...</v>
      </c>
      <c r="AP207" s="6" t="str">
        <f>_xll.BQL("NOW US Equity", "CB_CF_CHANGE_IN_ACCOUNTS_RECEIVABLE/1M", "FPR=2021Y", "FPT=A", "FA_ACT_EST_DATA=E, EST_SOURCE=CTI", "ACT_EST_MAPPING=PRECISE", "FS=MRC", "CURRENCY=USD", "XLFILL=b")</f>
        <v>#N/A Requesting Data...</v>
      </c>
      <c r="AQ207" s="6" t="str">
        <f>_xll.BQL("NOW US Equity", "CB_CF_CHANGE_IN_ACCOUNTS_RECEIVABLE/1M", "FPR=2021Y", "FPT=A", "FA_ACT_EST_DATA=E, EST_SOURCE=WFT", "ACT_EST_MAPPING=PRECISE", "FS=MRC", "CURRENCY=USD", "XLFILL=b")</f>
        <v>#N/A Requesting Data...</v>
      </c>
      <c r="AR207" s="6" t="str">
        <f>_xll.BQL("NOW US Equity", "CB_CF_CHANGE_IN_ACCOUNTS_RECEIVABLE/1M", "FPR=2021Y", "FPT=A", "FA_ACT_EST_DATA=E, EST_SOURCE=ARE", "ACT_EST_MAPPING=PRECISE", "FS=MRC", "CURRENCY=USD", "XLFILL=b")</f>
        <v>#N/A Requesting Data...</v>
      </c>
      <c r="AS207" s="6" t="str">
        <f>_xll.BQL("NOW US Equity", "CB_CF_CHANGE_IN_ACCOUNTS_RECEIVABLE/1M", "FPR=2021Y", "FPT=A", "FA_ACT_EST_DATA=E, EST_SOURCE=PJE", "ACT_EST_MAPPING=PRECISE", "FS=MRC", "CURRENCY=USD", "XLFILL=b")</f>
        <v>#N/A Requesting Data...</v>
      </c>
      <c r="AT207" s="6" t="str">
        <f>_xll.BQL("NOW US Equity", "CB_CF_CHANGE_IN_ACCOUNTS_RECEIVABLE/1M", "FPR=2021Y", "FPT=A", "FA_ACT_EST_DATA=E, EST_SOURCE=MZS", "ACT_EST_MAPPING=PRECISE", "FS=MRC", "CURRENCY=USD", "XLFILL=b")</f>
        <v>#N/A Requesting Data...</v>
      </c>
      <c r="AU207" s="6" t="str">
        <f>_xll.BQL("NOW US Equity", "CB_CF_CHANGE_IN_ACCOUNTS_RECEIVABLE/1M", "FPR=2021Y", "FPT=A", "FA_ACT_EST_DATA=E, EST_SOURCE=SUM", "ACT_EST_MAPPING=PRECISE", "FS=MRC", "CURRENCY=USD", "XLFILL=b")</f>
        <v>#N/A Requesting Data...</v>
      </c>
      <c r="AV207" s="6" t="str">
        <f>_xll.BQL("NOW US Equity", "CB_CF_CHANGE_IN_ACCOUNTS_RECEIVABLE/1M", "FPR=2021Y", "FPT=A", "FA_ACT_EST_DATA=E, EST_SOURCE=CRC", "ACT_EST_MAPPING=PRECISE", "FS=MRC", "CURRENCY=USD", "XLFILL=b")</f>
        <v>#N/A Requesting Data...</v>
      </c>
      <c r="AW207" s="6" t="str">
        <f>_xll.BQL("NOW US Equity", "CB_CF_CHANGE_IN_ACCOUNTS_RECEIVABLE/1M", "FPR=2021Y", "FPT=A", "FA_ACT_EST_DATA=E, EST_SOURCE=SCB", "ACT_EST_MAPPING=PRECISE", "FS=MRC", "CURRENCY=USD", "XLFILL=b")</f>
        <v>#N/A Requesting Data...</v>
      </c>
    </row>
    <row r="208" spans="1:49" x14ac:dyDescent="0.55000000000000004">
      <c r="A208" s="5" t="s">
        <v>378</v>
      </c>
      <c r="B208" s="2" t="s">
        <v>379</v>
      </c>
      <c r="C208" s="2" t="s">
        <v>380</v>
      </c>
      <c r="D208" s="2"/>
      <c r="E208" s="6" t="str">
        <f>_xll.BQL("NOW US Equity", "CF_CHANGE_IN_OTHR_ASSTS/1M", "FPR=2021Y", "FPT=A", "FA_ACT_EST_DATA=E", "ACT_EST_MAPPING=PRECISE", "FS=MRC", "CURRENCY=USD", "XLFILL=b")</f>
        <v>#N/A Requesting Data...</v>
      </c>
      <c r="F208" s="6" t="str">
        <f>_xll.BQL("NOW US Equity", "CONTRIBUTOR_STATS(CF_CHANGE_IN_OTHR_ASSTS, MIN)/1M", "FPR=2021Y", "FPT=A", "FA_ACT_EST_DATA=E", "ACT_EST_MAPPING=PRECISE", "FS=MRC", "CURRENCY=USD", "XLFILL=b")</f>
        <v>#N/A Requesting Data...</v>
      </c>
      <c r="G208" s="6" t="str">
        <f>_xll.BQL("NOW US Equity", "CONTRIBUTOR_STATS(CF_CHANGE_IN_OTHR_ASSTS, MAX)/1M", "FPR=2021Y", "FPT=A", "FA_ACT_EST_DATA=E", "ACT_EST_MAPPING=PRECISE", "FS=MRC", "CURRENCY=USD", "XLFILL=b")</f>
        <v>#N/A Requesting Data...</v>
      </c>
      <c r="H208" s="6" t="str">
        <f>_xll.BQL("NOW US Equity", "CONTRIBUTOR_STATS(CF_CHANGE_IN_OTHR_ASSTS, STD)/1M", "FPR=2021Y", "FPT=A", "FA_ACT_EST_DATA=E", "ACT_EST_MAPPING=PRECISE", "FS=MRC", "CURRENCY=USD", "XLFILL=b")</f>
        <v>#N/A Requesting Data...</v>
      </c>
      <c r="I208" s="6" t="str">
        <f>_xll.BQL("NOW US Equity", "CONTRIBUTOR_STATS(CF_CHANGE_IN_OTHR_ASSTS, MEDIAN)/1M", "FPR=2021Y", "FPT=A", "FA_ACT_EST_DATA=E", "ACT_EST_MAPPING=PRECISE", "FS=MRC", "CURRENCY=USD", "XLFILL=b")</f>
        <v>#N/A Requesting Data...</v>
      </c>
      <c r="J208" s="6" t="str">
        <f>_xll.BQL("NOW US Equity", "CF_CHANGE_IN_OTHR_ASSTS/1M", "FPR=2021Y", "FPT=A", "FA_ACT_EST_DATA=E, EST_SOURCE=CMPY", "ACT_EST_MAPPING=PRECISE", "FS=MRC", "CURRENCY=USD", "XLFILL=b")</f>
        <v>#N/A Requesting Data...</v>
      </c>
      <c r="K208" s="6" t="str">
        <f>_xll.BQL("NOW US Equity", "CF_CHANGE_IN_OTHR_ASSTS/1M", "FPR=2021Y", "FPT=A", "FA_ACT_EST_DATA=E, EST_SOURCE=JPM", "ACT_EST_MAPPING=PRECISE", "FS=MRC", "CURRENCY=USD", "XLFILL=b")</f>
        <v>#N/A Requesting Data...</v>
      </c>
      <c r="L208" s="6" t="str">
        <f>_xll.BQL("NOW US Equity", "CF_CHANGE_IN_OTHR_ASSTS/1M", "FPR=2021Y", "FPT=A", "FA_ACT_EST_DATA=E, EST_SOURCE=WBL", "ACT_EST_MAPPING=PRECISE", "FS=MRC", "CURRENCY=USD", "XLFILL=b")</f>
        <v>#N/A Requesting Data...</v>
      </c>
      <c r="M208" s="6" t="str">
        <f>_xll.BQL("NOW US Equity", "CF_CHANGE_IN_OTHR_ASSTS/1M", "FPR=2021Y", "FPT=A", "FA_ACT_EST_DATA=E, EST_SOURCE=KEY", "ACT_EST_MAPPING=PRECISE", "FS=MRC", "CURRENCY=USD", "XLFILL=b")</f>
        <v>#N/A Requesting Data...</v>
      </c>
      <c r="N208" s="6" t="str">
        <f>_xll.BQL("NOW US Equity", "CF_CHANGE_IN_OTHR_ASSTS/1M", "FPR=2021Y", "FPT=A", "FA_ACT_EST_DATA=E, EST_SOURCE=BMO", "ACT_EST_MAPPING=PRECISE", "FS=MRC", "CURRENCY=USD", "XLFILL=b")</f>
        <v>#N/A Requesting Data...</v>
      </c>
      <c r="O208" s="6" t="str">
        <f>_xll.BQL("NOW US Equity", "CF_CHANGE_IN_OTHR_ASSTS/1M", "FPR=2021Y", "FPT=A", "FA_ACT_EST_DATA=E, EST_SOURCE=OPY", "ACT_EST_MAPPING=PRECISE", "FS=MRC", "CURRENCY=USD", "XLFILL=b")</f>
        <v>#N/A Requesting Data...</v>
      </c>
      <c r="P208" s="6" t="str">
        <f>_xll.BQL("NOW US Equity", "CF_CHANGE_IN_OTHR_ASSTS/1M", "FPR=2021Y", "FPT=A", "FA_ACT_EST_DATA=E, EST_SOURCE=BCA", "ACT_EST_MAPPING=PRECISE", "FS=MRC", "CURRENCY=USD", "XLFILL=b")</f>
        <v>#N/A Requesting Data...</v>
      </c>
      <c r="Q208" s="6" t="str">
        <f>_xll.BQL("NOW US Equity", "CF_CHANGE_IN_OTHR_ASSTS/1M", "FPR=2021Y", "FPT=A", "FA_ACT_EST_DATA=E, EST_SOURCE=RHR", "ACT_EST_MAPPING=PRECISE", "FS=MRC", "CURRENCY=USD", "XLFILL=b")</f>
        <v>#N/A Requesting Data...</v>
      </c>
      <c r="R208" s="6" t="str">
        <f>_xll.BQL("NOW US Equity", "CF_CHANGE_IN_OTHR_ASSTS/1M", "FPR=2021Y", "FPT=A", "FA_ACT_EST_DATA=E, EST_SOURCE=SNR", "ACT_EST_MAPPING=PRECISE", "FS=MRC", "CURRENCY=USD", "XLFILL=b")</f>
        <v>#N/A Requesting Data...</v>
      </c>
      <c r="S208" s="6" t="str">
        <f>_xll.BQL("NOW US Equity", "CF_CHANGE_IN_OTHR_ASSTS/1M", "FPR=2021Y", "FPT=A", "FA_ACT_EST_DATA=E, EST_SOURCE=MSV", "ACT_EST_MAPPING=PRECISE", "FS=MRC", "CURRENCY=USD", "XLFILL=b")</f>
        <v>#N/A Requesting Data...</v>
      </c>
      <c r="T208" s="6" t="str">
        <f>_xll.BQL("NOW US Equity", "CF_CHANGE_IN_OTHR_ASSTS/1M", "FPR=2021Y", "FPT=A", "FA_ACT_EST_DATA=E, EST_SOURCE=CAN", "ACT_EST_MAPPING=PRECISE", "FS=MRC", "CURRENCY=USD", "XLFILL=b")</f>
        <v>#N/A Requesting Data...</v>
      </c>
      <c r="U208" s="6" t="str">
        <f>_xll.BQL("NOW US Equity", "CF_CHANGE_IN_OTHR_ASSTS/1M", "FPR=2021Y", "FPT=A", "FA_ACT_EST_DATA=E, EST_SOURCE=JMP", "ACT_EST_MAPPING=PRECISE", "FS=MRC", "CURRENCY=USD", "XLFILL=b")</f>
        <v>#N/A Requesting Data...</v>
      </c>
      <c r="V208" s="6" t="str">
        <f>_xll.BQL("NOW US Equity", "CF_CHANGE_IN_OTHR_ASSTS/1M", "FPR=2021Y", "FPT=A", "FA_ACT_EST_DATA=E, EST_SOURCE=NDH", "ACT_EST_MAPPING=PRECISE", "FS=MRC", "CURRENCY=USD", "XLFILL=b")</f>
        <v>#N/A Requesting Data...</v>
      </c>
      <c r="W208" s="6" t="str">
        <f>_xll.BQL("NOW US Equity", "CF_CHANGE_IN_OTHR_ASSTS/1M", "FPR=2021Y", "FPT=A", "FA_ACT_EST_DATA=E, EST_SOURCE=ZXS", "ACT_EST_MAPPING=PRECISE", "FS=MRC", "CURRENCY=USD", "XLFILL=b")</f>
        <v>#N/A Requesting Data...</v>
      </c>
      <c r="X208" s="6" t="str">
        <f>_xll.BQL("NOW US Equity", "CF_CHANGE_IN_OTHR_ASSTS/1M", "FPR=2021Y", "FPT=A", "FA_ACT_EST_DATA=E, EST_SOURCE=CWN", "ACT_EST_MAPPING=PRECISE", "FS=MRC", "CURRENCY=USD", "XLFILL=b")</f>
        <v>#N/A Requesting Data...</v>
      </c>
      <c r="Y208" s="6" t="str">
        <f>_xll.BQL("NOW US Equity", "CF_CHANGE_IN_OTHR_ASSTS/1M", "FPR=2021Y", "FPT=A", "FA_ACT_EST_DATA=E, EST_SOURCE=DBG", "ACT_EST_MAPPING=PRECISE", "FS=MRC", "CURRENCY=USD", "XLFILL=b")</f>
        <v>#N/A Requesting Data...</v>
      </c>
      <c r="Z208" s="6" t="str">
        <f>_xll.BQL("NOW US Equity", "CF_CHANGE_IN_OTHR_ASSTS/1M", "FPR=2021Y", "FPT=A", "FA_ACT_EST_DATA=E, EST_SOURCE=UBS", "ACT_EST_MAPPING=PRECISE", "FS=MRC", "CURRENCY=USD", "XLFILL=b")</f>
        <v>#N/A Requesting Data...</v>
      </c>
      <c r="AA208" s="6" t="str">
        <f>_xll.BQL("NOW US Equity", "CF_CHANGE_IN_OTHR_ASSTS/1M", "FPR=2021Y", "FPT=A", "FA_ACT_EST_DATA=E, EST_SOURCE=RBC", "ACT_EST_MAPPING=PRECISE", "FS=MRC", "CURRENCY=USD", "XLFILL=b")</f>
        <v>#N/A Requesting Data...</v>
      </c>
      <c r="AB208" s="6" t="str">
        <f>_xll.BQL("NOW US Equity", "CF_CHANGE_IN_OTHR_ASSTS/1M", "FPR=2021Y", "FPT=A", "FA_ACT_EST_DATA=E, EST_SOURCE=EVR", "ACT_EST_MAPPING=PRECISE", "FS=MRC", "CURRENCY=USD", "XLFILL=b")</f>
        <v>#N/A Requesting Data...</v>
      </c>
      <c r="AC208" s="6" t="str">
        <f>_xll.BQL("NOW US Equity", "CF_CHANGE_IN_OTHR_ASSTS/1M", "FPR=2021Y", "FPT=A", "FA_ACT_EST_DATA=E, EST_SOURCE=BNS", "ACT_EST_MAPPING=PRECISE", "FS=MRC", "CURRENCY=USD", "XLFILL=b")</f>
        <v>#N/A Requesting Data...</v>
      </c>
      <c r="AD208" s="6" t="str">
        <f>_xll.BQL("NOW US Equity", "CF_CHANGE_IN_OTHR_ASSTS/1M", "FPR=2021Y", "FPT=A", "FA_ACT_EST_DATA=E, EST_SOURCE=BAM", "ACT_EST_MAPPING=PRECISE", "FS=MRC", "CURRENCY=USD", "XLFILL=b")</f>
        <v>#N/A Requesting Data...</v>
      </c>
      <c r="AE208" s="6" t="str">
        <f>_xll.BQL("NOW US Equity", "CF_CHANGE_IN_OTHR_ASSTS/1M", "FPR=2021Y", "FPT=A", "FA_ACT_EST_DATA=E, EST_SOURCE=GSR", "ACT_EST_MAPPING=PRECISE", "FS=MRC", "CURRENCY=USD", "XLFILL=b")</f>
        <v>#N/A Requesting Data...</v>
      </c>
      <c r="AF208" s="6" t="str">
        <f>_xll.BQL("NOW US Equity", "CF_CHANGE_IN_OTHR_ASSTS/1M", "FPR=2021Y", "FPT=A", "FA_ACT_EST_DATA=E, EST_SOURCE=FBC", "ACT_EST_MAPPING=PRECISE", "FS=MRC", "CURRENCY=USD", "XLFILL=b")</f>
        <v>#N/A Requesting Data...</v>
      </c>
      <c r="AG208" s="6" t="str">
        <f>_xll.BQL("NOW US Equity", "CF_CHANGE_IN_OTHR_ASSTS/1M", "FPR=2021Y", "FPT=A", "FA_ACT_EST_DATA=E, EST_SOURCE=MAC", "ACT_EST_MAPPING=PRECISE", "FS=MRC", "CURRENCY=USD", "XLFILL=b")</f>
        <v>#N/A Requesting Data...</v>
      </c>
      <c r="AH208" s="6" t="str">
        <f>_xll.BQL("NOW US Equity", "CF_CHANGE_IN_OTHR_ASSTS/1M", "FPR=2021Y", "FPT=A", "FA_ACT_EST_DATA=E, EST_SOURCE=PSG", "ACT_EST_MAPPING=PRECISE", "FS=MRC", "CURRENCY=USD", "XLFILL=b")</f>
        <v>#N/A Requesting Data...</v>
      </c>
      <c r="AI208" s="6" t="str">
        <f>_xll.BQL("NOW US Equity", "CF_CHANGE_IN_OTHR_ASSTS/1M", "FPR=2021Y", "FPT=A", "FA_ACT_EST_DATA=E, EST_SOURCE=MSR", "ACT_EST_MAPPING=PRECISE", "FS=MRC", "CURRENCY=USD", "XLFILL=b")</f>
        <v>#N/A Requesting Data...</v>
      </c>
      <c r="AJ208" s="6" t="str">
        <f>_xll.BQL("NOW US Equity", "CF_CHANGE_IN_OTHR_ASSTS/1M", "FPR=2021Y", "FPT=A", "FA_ACT_EST_DATA=E, EST_SOURCE=JEF", "ACT_EST_MAPPING=PRECISE", "FS=MRC", "CURRENCY=USD", "XLFILL=b")</f>
        <v>#N/A Requesting Data...</v>
      </c>
      <c r="AK208" s="6" t="str">
        <f>_xll.BQL("NOW US Equity", "CF_CHANGE_IN_OTHR_ASSTS/1M", "FPR=2021Y", "FPT=A", "FA_ACT_EST_DATA=E, EST_SOURCE=TTC", "ACT_EST_MAPPING=PRECISE", "FS=MRC", "CURRENCY=USD", "XLFILL=b")</f>
        <v>#N/A Requesting Data...</v>
      </c>
      <c r="AL208" s="6" t="str">
        <f>_xll.BQL("NOW US Equity", "CF_CHANGE_IN_OTHR_ASSTS/1M", "FPR=2021Y", "FPT=A", "FA_ACT_EST_DATA=E, EST_SOURCE=RWB", "ACT_EST_MAPPING=PRECISE", "FS=MRC", "CURRENCY=USD", "XLFILL=b")</f>
        <v>#N/A Requesting Data...</v>
      </c>
      <c r="AM208" s="6" t="str">
        <f>_xll.BQL("NOW US Equity", "CF_CHANGE_IN_OTHR_ASSTS/1M", "FPR=2021Y", "FPT=A", "FA_ACT_EST_DATA=E, EST_SOURCE=DZB", "ACT_EST_MAPPING=PRECISE", "FS=MRC", "CURRENCY=USD", "XLFILL=b")</f>
        <v>#N/A Requesting Data...</v>
      </c>
      <c r="AN208" s="6" t="str">
        <f>_xll.BQL("NOW US Equity", "CF_CHANGE_IN_OTHR_ASSTS/1M", "FPR=2021Y", "FPT=A", "FA_ACT_EST_DATA=E, EST_SOURCE=DWI", "ACT_EST_MAPPING=PRECISE", "FS=MRC", "CURRENCY=USD", "XLFILL=b")</f>
        <v>#N/A Requesting Data...</v>
      </c>
      <c r="AO208" s="6" t="str">
        <f>_xll.BQL("NOW US Equity", "CF_CHANGE_IN_OTHR_ASSTS/1M", "FPR=2021Y", "FPT=A", "FA_ACT_EST_DATA=E, EST_SOURCE=ARG", "ACT_EST_MAPPING=PRECISE", "FS=MRC", "CURRENCY=USD", "XLFILL=b")</f>
        <v>#N/A Requesting Data...</v>
      </c>
      <c r="AP208" s="6" t="str">
        <f>_xll.BQL("NOW US Equity", "CF_CHANGE_IN_OTHR_ASSTS/1M", "FPR=2021Y", "FPT=A", "FA_ACT_EST_DATA=E, EST_SOURCE=CTI", "ACT_EST_MAPPING=PRECISE", "FS=MRC", "CURRENCY=USD", "XLFILL=b")</f>
        <v>#N/A Requesting Data...</v>
      </c>
      <c r="AQ208" s="6" t="str">
        <f>_xll.BQL("NOW US Equity", "CF_CHANGE_IN_OTHR_ASSTS/1M", "FPR=2021Y", "FPT=A", "FA_ACT_EST_DATA=E, EST_SOURCE=WFT", "ACT_EST_MAPPING=PRECISE", "FS=MRC", "CURRENCY=USD", "XLFILL=b")</f>
        <v>#N/A Requesting Data...</v>
      </c>
      <c r="AR208" s="6" t="str">
        <f>_xll.BQL("NOW US Equity", "CF_CHANGE_IN_OTHR_ASSTS/1M", "FPR=2021Y", "FPT=A", "FA_ACT_EST_DATA=E, EST_SOURCE=ARE", "ACT_EST_MAPPING=PRECISE", "FS=MRC", "CURRENCY=USD", "XLFILL=b")</f>
        <v>#N/A Requesting Data...</v>
      </c>
      <c r="AS208" s="6" t="str">
        <f>_xll.BQL("NOW US Equity", "CF_CHANGE_IN_OTHR_ASSTS/1M", "FPR=2021Y", "FPT=A", "FA_ACT_EST_DATA=E, EST_SOURCE=PJE", "ACT_EST_MAPPING=PRECISE", "FS=MRC", "CURRENCY=USD", "XLFILL=b")</f>
        <v>#N/A Requesting Data...</v>
      </c>
      <c r="AT208" s="6" t="str">
        <f>_xll.BQL("NOW US Equity", "CF_CHANGE_IN_OTHR_ASSTS/1M", "FPR=2021Y", "FPT=A", "FA_ACT_EST_DATA=E, EST_SOURCE=MZS", "ACT_EST_MAPPING=PRECISE", "FS=MRC", "CURRENCY=USD", "XLFILL=b")</f>
        <v>#N/A Requesting Data...</v>
      </c>
      <c r="AU208" s="6" t="str">
        <f>_xll.BQL("NOW US Equity", "CF_CHANGE_IN_OTHR_ASSTS/1M", "FPR=2021Y", "FPT=A", "FA_ACT_EST_DATA=E, EST_SOURCE=SUM", "ACT_EST_MAPPING=PRECISE", "FS=MRC", "CURRENCY=USD", "XLFILL=b")</f>
        <v>#N/A Requesting Data...</v>
      </c>
      <c r="AV208" s="6" t="str">
        <f>_xll.BQL("NOW US Equity", "CF_CHANGE_IN_OTHR_ASSTS/1M", "FPR=2021Y", "FPT=A", "FA_ACT_EST_DATA=E, EST_SOURCE=CRC", "ACT_EST_MAPPING=PRECISE", "FS=MRC", "CURRENCY=USD", "XLFILL=b")</f>
        <v>#N/A Requesting Data...</v>
      </c>
      <c r="AW208" s="6" t="str">
        <f>_xll.BQL("NOW US Equity", "CF_CHANGE_IN_OTHR_ASSTS/1M", "FPR=2021Y", "FPT=A", "FA_ACT_EST_DATA=E, EST_SOURCE=SCB", "ACT_EST_MAPPING=PRECISE", "FS=MRC", "CURRENCY=USD", "XLFILL=b")</f>
        <v>#N/A Requesting Data...</v>
      </c>
    </row>
    <row r="209" spans="1:49" x14ac:dyDescent="0.55000000000000004">
      <c r="A209" s="5" t="s">
        <v>305</v>
      </c>
      <c r="B209" s="2" t="s">
        <v>381</v>
      </c>
      <c r="C209" s="2" t="s">
        <v>307</v>
      </c>
      <c r="D209" s="2"/>
      <c r="E209" s="6" t="str">
        <f>_xll.BQL("NOW US Equity", "CF_CHANGE_IN_ACCOUNTS_PAYABLE/1M", "FPR=2021Y", "FPT=A", "FA_ACT_EST_DATA=E", "ACT_EST_MAPPING=PRECISE", "FS=MRC", "CURRENCY=USD", "XLFILL=b")</f>
        <v>#N/A Requesting Data...</v>
      </c>
      <c r="F209" s="6" t="str">
        <f>_xll.BQL("NOW US Equity", "CONTRIBUTOR_STATS(CF_CHANGE_IN_ACCOUNTS_PAYABLE, MIN)/1M", "FPR=2021Y", "FPT=A", "FA_ACT_EST_DATA=E", "ACT_EST_MAPPING=PRECISE", "FS=MRC", "CURRENCY=USD", "XLFILL=b")</f>
        <v>#N/A Requesting Data...</v>
      </c>
      <c r="G209" s="6" t="str">
        <f>_xll.BQL("NOW US Equity", "CONTRIBUTOR_STATS(CF_CHANGE_IN_ACCOUNTS_PAYABLE, MAX)/1M", "FPR=2021Y", "FPT=A", "FA_ACT_EST_DATA=E", "ACT_EST_MAPPING=PRECISE", "FS=MRC", "CURRENCY=USD", "XLFILL=b")</f>
        <v>#N/A Requesting Data...</v>
      </c>
      <c r="H209" s="6" t="str">
        <f>_xll.BQL("NOW US Equity", "CONTRIBUTOR_STATS(CF_CHANGE_IN_ACCOUNTS_PAYABLE, STD)/1M", "FPR=2021Y", "FPT=A", "FA_ACT_EST_DATA=E", "ACT_EST_MAPPING=PRECISE", "FS=MRC", "CURRENCY=USD", "XLFILL=b")</f>
        <v>#N/A Requesting Data...</v>
      </c>
      <c r="I209" s="6" t="str">
        <f>_xll.BQL("NOW US Equity", "CONTRIBUTOR_STATS(CF_CHANGE_IN_ACCOUNTS_PAYABLE, MEDIAN)/1M", "FPR=2021Y", "FPT=A", "FA_ACT_EST_DATA=E", "ACT_EST_MAPPING=PRECISE", "FS=MRC", "CURRENCY=USD", "XLFILL=b")</f>
        <v>#N/A Requesting Data...</v>
      </c>
      <c r="J209" s="6" t="str">
        <f>_xll.BQL("NOW US Equity", "CF_CHANGE_IN_ACCOUNTS_PAYABLE/1M", "FPR=2021Y", "FPT=A", "FA_ACT_EST_DATA=E, EST_SOURCE=CMPY", "ACT_EST_MAPPING=PRECISE", "FS=MRC", "CURRENCY=USD", "XLFILL=b")</f>
        <v>#N/A Requesting Data...</v>
      </c>
      <c r="K209" s="6" t="str">
        <f>_xll.BQL("NOW US Equity", "CF_CHANGE_IN_ACCOUNTS_PAYABLE/1M", "FPR=2021Y", "FPT=A", "FA_ACT_EST_DATA=E, EST_SOURCE=JPM", "ACT_EST_MAPPING=PRECISE", "FS=MRC", "CURRENCY=USD", "XLFILL=b")</f>
        <v>#N/A Requesting Data...</v>
      </c>
      <c r="L209" s="6" t="str">
        <f>_xll.BQL("NOW US Equity", "CF_CHANGE_IN_ACCOUNTS_PAYABLE/1M", "FPR=2021Y", "FPT=A", "FA_ACT_EST_DATA=E, EST_SOURCE=WBL", "ACT_EST_MAPPING=PRECISE", "FS=MRC", "CURRENCY=USD", "XLFILL=b")</f>
        <v>#N/A Requesting Data...</v>
      </c>
      <c r="M209" s="6" t="str">
        <f>_xll.BQL("NOW US Equity", "CF_CHANGE_IN_ACCOUNTS_PAYABLE/1M", "FPR=2021Y", "FPT=A", "FA_ACT_EST_DATA=E, EST_SOURCE=KEY", "ACT_EST_MAPPING=PRECISE", "FS=MRC", "CURRENCY=USD", "XLFILL=b")</f>
        <v>#N/A Requesting Data...</v>
      </c>
      <c r="N209" s="6" t="str">
        <f>_xll.BQL("NOW US Equity", "CF_CHANGE_IN_ACCOUNTS_PAYABLE/1M", "FPR=2021Y", "FPT=A", "FA_ACT_EST_DATA=E, EST_SOURCE=BMO", "ACT_EST_MAPPING=PRECISE", "FS=MRC", "CURRENCY=USD", "XLFILL=b")</f>
        <v>#N/A Requesting Data...</v>
      </c>
      <c r="O209" s="6" t="str">
        <f>_xll.BQL("NOW US Equity", "CF_CHANGE_IN_ACCOUNTS_PAYABLE/1M", "FPR=2021Y", "FPT=A", "FA_ACT_EST_DATA=E, EST_SOURCE=OPY", "ACT_EST_MAPPING=PRECISE", "FS=MRC", "CURRENCY=USD", "XLFILL=b")</f>
        <v>#N/A Requesting Data...</v>
      </c>
      <c r="P209" s="6" t="str">
        <f>_xll.BQL("NOW US Equity", "CF_CHANGE_IN_ACCOUNTS_PAYABLE/1M", "FPR=2021Y", "FPT=A", "FA_ACT_EST_DATA=E, EST_SOURCE=BCA", "ACT_EST_MAPPING=PRECISE", "FS=MRC", "CURRENCY=USD", "XLFILL=b")</f>
        <v>#N/A Requesting Data...</v>
      </c>
      <c r="Q209" s="6" t="str">
        <f>_xll.BQL("NOW US Equity", "CF_CHANGE_IN_ACCOUNTS_PAYABLE/1M", "FPR=2021Y", "FPT=A", "FA_ACT_EST_DATA=E, EST_SOURCE=RHR", "ACT_EST_MAPPING=PRECISE", "FS=MRC", "CURRENCY=USD", "XLFILL=b")</f>
        <v>#N/A Requesting Data...</v>
      </c>
      <c r="R209" s="6" t="str">
        <f>_xll.BQL("NOW US Equity", "CF_CHANGE_IN_ACCOUNTS_PAYABLE/1M", "FPR=2021Y", "FPT=A", "FA_ACT_EST_DATA=E, EST_SOURCE=SNR", "ACT_EST_MAPPING=PRECISE", "FS=MRC", "CURRENCY=USD", "XLFILL=b")</f>
        <v>#N/A Requesting Data...</v>
      </c>
      <c r="S209" s="6" t="str">
        <f>_xll.BQL("NOW US Equity", "CF_CHANGE_IN_ACCOUNTS_PAYABLE/1M", "FPR=2021Y", "FPT=A", "FA_ACT_EST_DATA=E, EST_SOURCE=MSV", "ACT_EST_MAPPING=PRECISE", "FS=MRC", "CURRENCY=USD", "XLFILL=b")</f>
        <v>#N/A Requesting Data...</v>
      </c>
      <c r="T209" s="6" t="str">
        <f>_xll.BQL("NOW US Equity", "CF_CHANGE_IN_ACCOUNTS_PAYABLE/1M", "FPR=2021Y", "FPT=A", "FA_ACT_EST_DATA=E, EST_SOURCE=CAN", "ACT_EST_MAPPING=PRECISE", "FS=MRC", "CURRENCY=USD", "XLFILL=b")</f>
        <v>#N/A Requesting Data...</v>
      </c>
      <c r="U209" s="6" t="str">
        <f>_xll.BQL("NOW US Equity", "CF_CHANGE_IN_ACCOUNTS_PAYABLE/1M", "FPR=2021Y", "FPT=A", "FA_ACT_EST_DATA=E, EST_SOURCE=JMP", "ACT_EST_MAPPING=PRECISE", "FS=MRC", "CURRENCY=USD", "XLFILL=b")</f>
        <v>#N/A Requesting Data...</v>
      </c>
      <c r="V209" s="6" t="str">
        <f>_xll.BQL("NOW US Equity", "CF_CHANGE_IN_ACCOUNTS_PAYABLE/1M", "FPR=2021Y", "FPT=A", "FA_ACT_EST_DATA=E, EST_SOURCE=NDH", "ACT_EST_MAPPING=PRECISE", "FS=MRC", "CURRENCY=USD", "XLFILL=b")</f>
        <v>#N/A Requesting Data...</v>
      </c>
      <c r="W209" s="6" t="str">
        <f>_xll.BQL("NOW US Equity", "CF_CHANGE_IN_ACCOUNTS_PAYABLE/1M", "FPR=2021Y", "FPT=A", "FA_ACT_EST_DATA=E, EST_SOURCE=ZXS", "ACT_EST_MAPPING=PRECISE", "FS=MRC", "CURRENCY=USD", "XLFILL=b")</f>
        <v>#N/A Requesting Data...</v>
      </c>
      <c r="X209" s="6" t="str">
        <f>_xll.BQL("NOW US Equity", "CF_CHANGE_IN_ACCOUNTS_PAYABLE/1M", "FPR=2021Y", "FPT=A", "FA_ACT_EST_DATA=E, EST_SOURCE=CWN", "ACT_EST_MAPPING=PRECISE", "FS=MRC", "CURRENCY=USD", "XLFILL=b")</f>
        <v>#N/A Requesting Data...</v>
      </c>
      <c r="Y209" s="6" t="str">
        <f>_xll.BQL("NOW US Equity", "CF_CHANGE_IN_ACCOUNTS_PAYABLE/1M", "FPR=2021Y", "FPT=A", "FA_ACT_EST_DATA=E, EST_SOURCE=DBG", "ACT_EST_MAPPING=PRECISE", "FS=MRC", "CURRENCY=USD", "XLFILL=b")</f>
        <v>#N/A Requesting Data...</v>
      </c>
      <c r="Z209" s="6" t="str">
        <f>_xll.BQL("NOW US Equity", "CF_CHANGE_IN_ACCOUNTS_PAYABLE/1M", "FPR=2021Y", "FPT=A", "FA_ACT_EST_DATA=E, EST_SOURCE=UBS", "ACT_EST_MAPPING=PRECISE", "FS=MRC", "CURRENCY=USD", "XLFILL=b")</f>
        <v>#N/A Requesting Data...</v>
      </c>
      <c r="AA209" s="6" t="str">
        <f>_xll.BQL("NOW US Equity", "CF_CHANGE_IN_ACCOUNTS_PAYABLE/1M", "FPR=2021Y", "FPT=A", "FA_ACT_EST_DATA=E, EST_SOURCE=RBC", "ACT_EST_MAPPING=PRECISE", "FS=MRC", "CURRENCY=USD", "XLFILL=b")</f>
        <v>#N/A Requesting Data...</v>
      </c>
      <c r="AB209" s="6" t="str">
        <f>_xll.BQL("NOW US Equity", "CF_CHANGE_IN_ACCOUNTS_PAYABLE/1M", "FPR=2021Y", "FPT=A", "FA_ACT_EST_DATA=E, EST_SOURCE=EVR", "ACT_EST_MAPPING=PRECISE", "FS=MRC", "CURRENCY=USD", "XLFILL=b")</f>
        <v>#N/A Requesting Data...</v>
      </c>
      <c r="AC209" s="6" t="str">
        <f>_xll.BQL("NOW US Equity", "CF_CHANGE_IN_ACCOUNTS_PAYABLE/1M", "FPR=2021Y", "FPT=A", "FA_ACT_EST_DATA=E, EST_SOURCE=BNS", "ACT_EST_MAPPING=PRECISE", "FS=MRC", "CURRENCY=USD", "XLFILL=b")</f>
        <v>#N/A Requesting Data...</v>
      </c>
      <c r="AD209" s="6" t="str">
        <f>_xll.BQL("NOW US Equity", "CF_CHANGE_IN_ACCOUNTS_PAYABLE/1M", "FPR=2021Y", "FPT=A", "FA_ACT_EST_DATA=E, EST_SOURCE=BAM", "ACT_EST_MAPPING=PRECISE", "FS=MRC", "CURRENCY=USD", "XLFILL=b")</f>
        <v>#N/A Requesting Data...</v>
      </c>
      <c r="AE209" s="6" t="str">
        <f>_xll.BQL("NOW US Equity", "CF_CHANGE_IN_ACCOUNTS_PAYABLE/1M", "FPR=2021Y", "FPT=A", "FA_ACT_EST_DATA=E, EST_SOURCE=GSR", "ACT_EST_MAPPING=PRECISE", "FS=MRC", "CURRENCY=USD", "XLFILL=b")</f>
        <v>#N/A Requesting Data...</v>
      </c>
      <c r="AF209" s="6" t="str">
        <f>_xll.BQL("NOW US Equity", "CF_CHANGE_IN_ACCOUNTS_PAYABLE/1M", "FPR=2021Y", "FPT=A", "FA_ACT_EST_DATA=E, EST_SOURCE=FBC", "ACT_EST_MAPPING=PRECISE", "FS=MRC", "CURRENCY=USD", "XLFILL=b")</f>
        <v>#N/A Requesting Data...</v>
      </c>
      <c r="AG209" s="6" t="str">
        <f>_xll.BQL("NOW US Equity", "CF_CHANGE_IN_ACCOUNTS_PAYABLE/1M", "FPR=2021Y", "FPT=A", "FA_ACT_EST_DATA=E, EST_SOURCE=MAC", "ACT_EST_MAPPING=PRECISE", "FS=MRC", "CURRENCY=USD", "XLFILL=b")</f>
        <v>#N/A Requesting Data...</v>
      </c>
      <c r="AH209" s="6" t="str">
        <f>_xll.BQL("NOW US Equity", "CF_CHANGE_IN_ACCOUNTS_PAYABLE/1M", "FPR=2021Y", "FPT=A", "FA_ACT_EST_DATA=E, EST_SOURCE=PSG", "ACT_EST_MAPPING=PRECISE", "FS=MRC", "CURRENCY=USD", "XLFILL=b")</f>
        <v>#N/A Requesting Data...</v>
      </c>
      <c r="AI209" s="6" t="str">
        <f>_xll.BQL("NOW US Equity", "CF_CHANGE_IN_ACCOUNTS_PAYABLE/1M", "FPR=2021Y", "FPT=A", "FA_ACT_EST_DATA=E, EST_SOURCE=MSR", "ACT_EST_MAPPING=PRECISE", "FS=MRC", "CURRENCY=USD", "XLFILL=b")</f>
        <v>#N/A Requesting Data...</v>
      </c>
      <c r="AJ209" s="6" t="str">
        <f>_xll.BQL("NOW US Equity", "CF_CHANGE_IN_ACCOUNTS_PAYABLE/1M", "FPR=2021Y", "FPT=A", "FA_ACT_EST_DATA=E, EST_SOURCE=JEF", "ACT_EST_MAPPING=PRECISE", "FS=MRC", "CURRENCY=USD", "XLFILL=b")</f>
        <v>#N/A Requesting Data...</v>
      </c>
      <c r="AK209" s="6" t="str">
        <f>_xll.BQL("NOW US Equity", "CF_CHANGE_IN_ACCOUNTS_PAYABLE/1M", "FPR=2021Y", "FPT=A", "FA_ACT_EST_DATA=E, EST_SOURCE=TTC", "ACT_EST_MAPPING=PRECISE", "FS=MRC", "CURRENCY=USD", "XLFILL=b")</f>
        <v>#N/A Requesting Data...</v>
      </c>
      <c r="AL209" s="6" t="str">
        <f>_xll.BQL("NOW US Equity", "CF_CHANGE_IN_ACCOUNTS_PAYABLE/1M", "FPR=2021Y", "FPT=A", "FA_ACT_EST_DATA=E, EST_SOURCE=RWB", "ACT_EST_MAPPING=PRECISE", "FS=MRC", "CURRENCY=USD", "XLFILL=b")</f>
        <v>#N/A Requesting Data...</v>
      </c>
      <c r="AM209" s="6" t="str">
        <f>_xll.BQL("NOW US Equity", "CF_CHANGE_IN_ACCOUNTS_PAYABLE/1M", "FPR=2021Y", "FPT=A", "FA_ACT_EST_DATA=E, EST_SOURCE=DZB", "ACT_EST_MAPPING=PRECISE", "FS=MRC", "CURRENCY=USD", "XLFILL=b")</f>
        <v>#N/A Requesting Data...</v>
      </c>
      <c r="AN209" s="6" t="str">
        <f>_xll.BQL("NOW US Equity", "CF_CHANGE_IN_ACCOUNTS_PAYABLE/1M", "FPR=2021Y", "FPT=A", "FA_ACT_EST_DATA=E, EST_SOURCE=DWI", "ACT_EST_MAPPING=PRECISE", "FS=MRC", "CURRENCY=USD", "XLFILL=b")</f>
        <v>#N/A Requesting Data...</v>
      </c>
      <c r="AO209" s="6" t="str">
        <f>_xll.BQL("NOW US Equity", "CF_CHANGE_IN_ACCOUNTS_PAYABLE/1M", "FPR=2021Y", "FPT=A", "FA_ACT_EST_DATA=E, EST_SOURCE=ARG", "ACT_EST_MAPPING=PRECISE", "FS=MRC", "CURRENCY=USD", "XLFILL=b")</f>
        <v>#N/A Requesting Data...</v>
      </c>
      <c r="AP209" s="6" t="str">
        <f>_xll.BQL("NOW US Equity", "CF_CHANGE_IN_ACCOUNTS_PAYABLE/1M", "FPR=2021Y", "FPT=A", "FA_ACT_EST_DATA=E, EST_SOURCE=CTI", "ACT_EST_MAPPING=PRECISE", "FS=MRC", "CURRENCY=USD", "XLFILL=b")</f>
        <v>#N/A Requesting Data...</v>
      </c>
      <c r="AQ209" s="6" t="str">
        <f>_xll.BQL("NOW US Equity", "CF_CHANGE_IN_ACCOUNTS_PAYABLE/1M", "FPR=2021Y", "FPT=A", "FA_ACT_EST_DATA=E, EST_SOURCE=WFT", "ACT_EST_MAPPING=PRECISE", "FS=MRC", "CURRENCY=USD", "XLFILL=b")</f>
        <v>#N/A Requesting Data...</v>
      </c>
      <c r="AR209" s="6" t="str">
        <f>_xll.BQL("NOW US Equity", "CF_CHANGE_IN_ACCOUNTS_PAYABLE/1M", "FPR=2021Y", "FPT=A", "FA_ACT_EST_DATA=E, EST_SOURCE=ARE", "ACT_EST_MAPPING=PRECISE", "FS=MRC", "CURRENCY=USD", "XLFILL=b")</f>
        <v>#N/A Requesting Data...</v>
      </c>
      <c r="AS209" s="6" t="str">
        <f>_xll.BQL("NOW US Equity", "CF_CHANGE_IN_ACCOUNTS_PAYABLE/1M", "FPR=2021Y", "FPT=A", "FA_ACT_EST_DATA=E, EST_SOURCE=PJE", "ACT_EST_MAPPING=PRECISE", "FS=MRC", "CURRENCY=USD", "XLFILL=b")</f>
        <v>#N/A Requesting Data...</v>
      </c>
      <c r="AT209" s="6" t="str">
        <f>_xll.BQL("NOW US Equity", "CF_CHANGE_IN_ACCOUNTS_PAYABLE/1M", "FPR=2021Y", "FPT=A", "FA_ACT_EST_DATA=E, EST_SOURCE=MZS", "ACT_EST_MAPPING=PRECISE", "FS=MRC", "CURRENCY=USD", "XLFILL=b")</f>
        <v>#N/A Requesting Data...</v>
      </c>
      <c r="AU209" s="6" t="str">
        <f>_xll.BQL("NOW US Equity", "CF_CHANGE_IN_ACCOUNTS_PAYABLE/1M", "FPR=2021Y", "FPT=A", "FA_ACT_EST_DATA=E, EST_SOURCE=SUM", "ACT_EST_MAPPING=PRECISE", "FS=MRC", "CURRENCY=USD", "XLFILL=b")</f>
        <v>#N/A Requesting Data...</v>
      </c>
      <c r="AV209" s="6" t="str">
        <f>_xll.BQL("NOW US Equity", "CF_CHANGE_IN_ACCOUNTS_PAYABLE/1M", "FPR=2021Y", "FPT=A", "FA_ACT_EST_DATA=E, EST_SOURCE=CRC", "ACT_EST_MAPPING=PRECISE", "FS=MRC", "CURRENCY=USD", "XLFILL=b")</f>
        <v>#N/A Requesting Data...</v>
      </c>
      <c r="AW209" s="6" t="str">
        <f>_xll.BQL("NOW US Equity", "CF_CHANGE_IN_ACCOUNTS_PAYABLE/1M", "FPR=2021Y", "FPT=A", "FA_ACT_EST_DATA=E, EST_SOURCE=SCB", "ACT_EST_MAPPING=PRECISE", "FS=MRC", "CURRENCY=USD", "XLFILL=b")</f>
        <v>#N/A Requesting Data...</v>
      </c>
    </row>
    <row r="210" spans="1:49" x14ac:dyDescent="0.55000000000000004">
      <c r="A210" s="5" t="s">
        <v>270</v>
      </c>
      <c r="B210" s="2" t="s">
        <v>382</v>
      </c>
      <c r="C210" s="2" t="s">
        <v>272</v>
      </c>
      <c r="D210" s="2"/>
      <c r="E210" s="6" t="str">
        <f>_xll.BQL("NOW US Equity", "CF_CHANGE_IN_PREPAID_EXPNSS/1M", "FPR=2021Y", "FPT=A", "FA_ACT_EST_DATA=E", "ACT_EST_MAPPING=PRECISE", "FS=MRC", "CURRENCY=USD", "XLFILL=b")</f>
        <v>#N/A Requesting Data...</v>
      </c>
      <c r="F210" s="6">
        <f>_xll.BQL("NOW US Equity", "CONTRIBUTOR_STATS(CF_CHANGE_IN_PREPAID_EXPNSS, MIN)/1M", "FPR=2021Y", "FPT=A", "FA_ACT_EST_DATA=E", "ACT_EST_MAPPING=PRECISE", "FS=MRC", "CURRENCY=USD", "XLFILL=b")</f>
        <v>-121.80448</v>
      </c>
      <c r="G210" s="6">
        <f>_xll.BQL("NOW US Equity", "CONTRIBUTOR_STATS(CF_CHANGE_IN_PREPAID_EXPNSS, MAX)/1M", "FPR=2021Y", "FPT=A", "FA_ACT_EST_DATA=E", "ACT_EST_MAPPING=PRECISE", "FS=MRC", "CURRENCY=USD", "XLFILL=b")</f>
        <v>-66.39385033730872</v>
      </c>
      <c r="H210" s="6">
        <f>_xll.BQL("NOW US Equity", "CONTRIBUTOR_STATS(CF_CHANGE_IN_PREPAID_EXPNSS, STD)/1M", "FPR=2021Y", "FPT=A", "FA_ACT_EST_DATA=E", "ACT_EST_MAPPING=PRECISE", "FS=MRC", "CURRENCY=USD", "XLFILL=b")</f>
        <v>16.696854872086078</v>
      </c>
      <c r="I210" s="6" t="str">
        <f>_xll.BQL("NOW US Equity", "CONTRIBUTOR_STATS(CF_CHANGE_IN_PREPAID_EXPNSS, MEDIAN)/1M", "FPR=2021Y", "FPT=A", "FA_ACT_EST_DATA=E", "ACT_EST_MAPPING=PRECISE", "FS=MRC", "CURRENCY=USD", "XLFILL=b")</f>
        <v>#N/A Requesting Data...</v>
      </c>
      <c r="J210" s="6" t="str">
        <f>_xll.BQL("NOW US Equity", "CF_CHANGE_IN_PREPAID_EXPNSS/1M", "FPR=2021Y", "FPT=A", "FA_ACT_EST_DATA=E, EST_SOURCE=CMPY", "ACT_EST_MAPPING=PRECISE", "FS=MRC", "CURRENCY=USD", "XLFILL=b")</f>
        <v>#N/A Requesting Data...</v>
      </c>
      <c r="K210" s="6" t="str">
        <f>_xll.BQL("NOW US Equity", "CF_CHANGE_IN_PREPAID_EXPNSS/1M", "FPR=2021Y", "FPT=A", "FA_ACT_EST_DATA=E, EST_SOURCE=JPM", "ACT_EST_MAPPING=PRECISE", "FS=MRC", "CURRENCY=USD", "XLFILL=b")</f>
        <v>#N/A Requesting Data...</v>
      </c>
      <c r="L210" s="6" t="str">
        <f>_xll.BQL("NOW US Equity", "CF_CHANGE_IN_PREPAID_EXPNSS/1M", "FPR=2021Y", "FPT=A", "FA_ACT_EST_DATA=E, EST_SOURCE=WBL", "ACT_EST_MAPPING=PRECISE", "FS=MRC", "CURRENCY=USD", "XLFILL=b")</f>
        <v>#N/A Requesting Data...</v>
      </c>
      <c r="M210" s="6" t="str">
        <f>_xll.BQL("NOW US Equity", "CF_CHANGE_IN_PREPAID_EXPNSS/1M", "FPR=2021Y", "FPT=A", "FA_ACT_EST_DATA=E, EST_SOURCE=KEY", "ACT_EST_MAPPING=PRECISE", "FS=MRC", "CURRENCY=USD", "XLFILL=b")</f>
        <v>#N/A Requesting Data...</v>
      </c>
      <c r="N210" s="6" t="str">
        <f>_xll.BQL("NOW US Equity", "CF_CHANGE_IN_PREPAID_EXPNSS/1M", "FPR=2021Y", "FPT=A", "FA_ACT_EST_DATA=E, EST_SOURCE=BMO", "ACT_EST_MAPPING=PRECISE", "FS=MRC", "CURRENCY=USD", "XLFILL=b")</f>
        <v>#N/A Requesting Data...</v>
      </c>
      <c r="O210" s="6" t="str">
        <f>_xll.BQL("NOW US Equity", "CF_CHANGE_IN_PREPAID_EXPNSS/1M", "FPR=2021Y", "FPT=A", "FA_ACT_EST_DATA=E, EST_SOURCE=OPY", "ACT_EST_MAPPING=PRECISE", "FS=MRC", "CURRENCY=USD", "XLFILL=b")</f>
        <v>#N/A Requesting Data...</v>
      </c>
      <c r="P210" s="6" t="str">
        <f>_xll.BQL("NOW US Equity", "CF_CHANGE_IN_PREPAID_EXPNSS/1M", "FPR=2021Y", "FPT=A", "FA_ACT_EST_DATA=E, EST_SOURCE=BCA", "ACT_EST_MAPPING=PRECISE", "FS=MRC", "CURRENCY=USD", "XLFILL=b")</f>
        <v>#N/A Requesting Data...</v>
      </c>
      <c r="Q210" s="6" t="str">
        <f>_xll.BQL("NOW US Equity", "CF_CHANGE_IN_PREPAID_EXPNSS/1M", "FPR=2021Y", "FPT=A", "FA_ACT_EST_DATA=E, EST_SOURCE=RHR", "ACT_EST_MAPPING=PRECISE", "FS=MRC", "CURRENCY=USD", "XLFILL=b")</f>
        <v>#N/A Requesting Data...</v>
      </c>
      <c r="R210" s="6" t="str">
        <f>_xll.BQL("NOW US Equity", "CF_CHANGE_IN_PREPAID_EXPNSS/1M", "FPR=2021Y", "FPT=A", "FA_ACT_EST_DATA=E, EST_SOURCE=SNR", "ACT_EST_MAPPING=PRECISE", "FS=MRC", "CURRENCY=USD", "XLFILL=b")</f>
        <v>#N/A Requesting Data...</v>
      </c>
      <c r="S210" s="6" t="str">
        <f>_xll.BQL("NOW US Equity", "CF_CHANGE_IN_PREPAID_EXPNSS/1M", "FPR=2021Y", "FPT=A", "FA_ACT_EST_DATA=E, EST_SOURCE=MSV", "ACT_EST_MAPPING=PRECISE", "FS=MRC", "CURRENCY=USD", "XLFILL=b")</f>
        <v>#N/A Requesting Data...</v>
      </c>
      <c r="T210" s="6" t="str">
        <f>_xll.BQL("NOW US Equity", "CF_CHANGE_IN_PREPAID_EXPNSS/1M", "FPR=2021Y", "FPT=A", "FA_ACT_EST_DATA=E, EST_SOURCE=CAN", "ACT_EST_MAPPING=PRECISE", "FS=MRC", "CURRENCY=USD", "XLFILL=b")</f>
        <v>#N/A Requesting Data...</v>
      </c>
      <c r="U210" s="6" t="str">
        <f>_xll.BQL("NOW US Equity", "CF_CHANGE_IN_PREPAID_EXPNSS/1M", "FPR=2021Y", "FPT=A", "FA_ACT_EST_DATA=E, EST_SOURCE=JMP", "ACT_EST_MAPPING=PRECISE", "FS=MRC", "CURRENCY=USD", "XLFILL=b")</f>
        <v>#N/A Requesting Data...</v>
      </c>
      <c r="V210" s="6" t="str">
        <f>_xll.BQL("NOW US Equity", "CF_CHANGE_IN_PREPAID_EXPNSS/1M", "FPR=2021Y", "FPT=A", "FA_ACT_EST_DATA=E, EST_SOURCE=NDH", "ACT_EST_MAPPING=PRECISE", "FS=MRC", "CURRENCY=USD", "XLFILL=b")</f>
        <v>#N/A Requesting Data...</v>
      </c>
      <c r="W210" s="6" t="str">
        <f>_xll.BQL("NOW US Equity", "CF_CHANGE_IN_PREPAID_EXPNSS/1M", "FPR=2021Y", "FPT=A", "FA_ACT_EST_DATA=E, EST_SOURCE=ZXS", "ACT_EST_MAPPING=PRECISE", "FS=MRC", "CURRENCY=USD", "XLFILL=b")</f>
        <v>#N/A Requesting Data...</v>
      </c>
      <c r="X210" s="6" t="str">
        <f>_xll.BQL("NOW US Equity", "CF_CHANGE_IN_PREPAID_EXPNSS/1M", "FPR=2021Y", "FPT=A", "FA_ACT_EST_DATA=E, EST_SOURCE=CWN", "ACT_EST_MAPPING=PRECISE", "FS=MRC", "CURRENCY=USD", "XLFILL=b")</f>
        <v>#N/A Requesting Data...</v>
      </c>
      <c r="Y210" s="6" t="str">
        <f>_xll.BQL("NOW US Equity", "CF_CHANGE_IN_PREPAID_EXPNSS/1M", "FPR=2021Y", "FPT=A", "FA_ACT_EST_DATA=E, EST_SOURCE=DBG", "ACT_EST_MAPPING=PRECISE", "FS=MRC", "CURRENCY=USD", "XLFILL=b")</f>
        <v>#N/A Requesting Data...</v>
      </c>
      <c r="Z210" s="6" t="str">
        <f>_xll.BQL("NOW US Equity", "CF_CHANGE_IN_PREPAID_EXPNSS/1M", "FPR=2021Y", "FPT=A", "FA_ACT_EST_DATA=E, EST_SOURCE=UBS", "ACT_EST_MAPPING=PRECISE", "FS=MRC", "CURRENCY=USD", "XLFILL=b")</f>
        <v>#N/A Requesting Data...</v>
      </c>
      <c r="AA210" s="6" t="str">
        <f>_xll.BQL("NOW US Equity", "CF_CHANGE_IN_PREPAID_EXPNSS/1M", "FPR=2021Y", "FPT=A", "FA_ACT_EST_DATA=E, EST_SOURCE=RBC", "ACT_EST_MAPPING=PRECISE", "FS=MRC", "CURRENCY=USD", "XLFILL=b")</f>
        <v>#N/A Requesting Data...</v>
      </c>
      <c r="AB210" s="6" t="str">
        <f>_xll.BQL("NOW US Equity", "CF_CHANGE_IN_PREPAID_EXPNSS/1M", "FPR=2021Y", "FPT=A", "FA_ACT_EST_DATA=E, EST_SOURCE=EVR", "ACT_EST_MAPPING=PRECISE", "FS=MRC", "CURRENCY=USD", "XLFILL=b")</f>
        <v>#N/A Requesting Data...</v>
      </c>
      <c r="AC210" s="6" t="str">
        <f>_xll.BQL("NOW US Equity", "CF_CHANGE_IN_PREPAID_EXPNSS/1M", "FPR=2021Y", "FPT=A", "FA_ACT_EST_DATA=E, EST_SOURCE=BNS", "ACT_EST_MAPPING=PRECISE", "FS=MRC", "CURRENCY=USD", "XLFILL=b")</f>
        <v>#N/A Requesting Data...</v>
      </c>
      <c r="AD210" s="6" t="str">
        <f>_xll.BQL("NOW US Equity", "CF_CHANGE_IN_PREPAID_EXPNSS/1M", "FPR=2021Y", "FPT=A", "FA_ACT_EST_DATA=E, EST_SOURCE=BAM", "ACT_EST_MAPPING=PRECISE", "FS=MRC", "CURRENCY=USD", "XLFILL=b")</f>
        <v>#N/A Requesting Data...</v>
      </c>
      <c r="AE210" s="6" t="str">
        <f>_xll.BQL("NOW US Equity", "CF_CHANGE_IN_PREPAID_EXPNSS/1M", "FPR=2021Y", "FPT=A", "FA_ACT_EST_DATA=E, EST_SOURCE=GSR", "ACT_EST_MAPPING=PRECISE", "FS=MRC", "CURRENCY=USD", "XLFILL=b")</f>
        <v>#N/A Requesting Data...</v>
      </c>
      <c r="AF210" s="6" t="str">
        <f>_xll.BQL("NOW US Equity", "CF_CHANGE_IN_PREPAID_EXPNSS/1M", "FPR=2021Y", "FPT=A", "FA_ACT_EST_DATA=E, EST_SOURCE=FBC", "ACT_EST_MAPPING=PRECISE", "FS=MRC", "CURRENCY=USD", "XLFILL=b")</f>
        <v>#N/A Requesting Data...</v>
      </c>
      <c r="AG210" s="6" t="str">
        <f>_xll.BQL("NOW US Equity", "CF_CHANGE_IN_PREPAID_EXPNSS/1M", "FPR=2021Y", "FPT=A", "FA_ACT_EST_DATA=E, EST_SOURCE=MAC", "ACT_EST_MAPPING=PRECISE", "FS=MRC", "CURRENCY=USD", "XLFILL=b")</f>
        <v>#N/A Requesting Data...</v>
      </c>
      <c r="AH210" s="6" t="str">
        <f>_xll.BQL("NOW US Equity", "CF_CHANGE_IN_PREPAID_EXPNSS/1M", "FPR=2021Y", "FPT=A", "FA_ACT_EST_DATA=E, EST_SOURCE=PSG", "ACT_EST_MAPPING=PRECISE", "FS=MRC", "CURRENCY=USD", "XLFILL=b")</f>
        <v>#N/A Requesting Data...</v>
      </c>
      <c r="AI210" s="6" t="str">
        <f>_xll.BQL("NOW US Equity", "CF_CHANGE_IN_PREPAID_EXPNSS/1M", "FPR=2021Y", "FPT=A", "FA_ACT_EST_DATA=E, EST_SOURCE=MSR", "ACT_EST_MAPPING=PRECISE", "FS=MRC", "CURRENCY=USD", "XLFILL=b")</f>
        <v>#N/A Requesting Data...</v>
      </c>
      <c r="AJ210" s="6" t="str">
        <f>_xll.BQL("NOW US Equity", "CF_CHANGE_IN_PREPAID_EXPNSS/1M", "FPR=2021Y", "FPT=A", "FA_ACT_EST_DATA=E, EST_SOURCE=JEF", "ACT_EST_MAPPING=PRECISE", "FS=MRC", "CURRENCY=USD", "XLFILL=b")</f>
        <v>#N/A Requesting Data...</v>
      </c>
      <c r="AK210" s="6" t="str">
        <f>_xll.BQL("NOW US Equity", "CF_CHANGE_IN_PREPAID_EXPNSS/1M", "FPR=2021Y", "FPT=A", "FA_ACT_EST_DATA=E, EST_SOURCE=TTC", "ACT_EST_MAPPING=PRECISE", "FS=MRC", "CURRENCY=USD", "XLFILL=b")</f>
        <v>#N/A Requesting Data...</v>
      </c>
      <c r="AL210" s="6" t="str">
        <f>_xll.BQL("NOW US Equity", "CF_CHANGE_IN_PREPAID_EXPNSS/1M", "FPR=2021Y", "FPT=A", "FA_ACT_EST_DATA=E, EST_SOURCE=RWB", "ACT_EST_MAPPING=PRECISE", "FS=MRC", "CURRENCY=USD", "XLFILL=b")</f>
        <v>#N/A Requesting Data...</v>
      </c>
      <c r="AM210" s="6" t="str">
        <f>_xll.BQL("NOW US Equity", "CF_CHANGE_IN_PREPAID_EXPNSS/1M", "FPR=2021Y", "FPT=A", "FA_ACT_EST_DATA=E, EST_SOURCE=DZB", "ACT_EST_MAPPING=PRECISE", "FS=MRC", "CURRENCY=USD", "XLFILL=b")</f>
        <v>#N/A Requesting Data...</v>
      </c>
      <c r="AN210" s="6" t="str">
        <f>_xll.BQL("NOW US Equity", "CF_CHANGE_IN_PREPAID_EXPNSS/1M", "FPR=2021Y", "FPT=A", "FA_ACT_EST_DATA=E, EST_SOURCE=DWI", "ACT_EST_MAPPING=PRECISE", "FS=MRC", "CURRENCY=USD", "XLFILL=b")</f>
        <v>#N/A Requesting Data...</v>
      </c>
      <c r="AO210" s="6" t="str">
        <f>_xll.BQL("NOW US Equity", "CF_CHANGE_IN_PREPAID_EXPNSS/1M", "FPR=2021Y", "FPT=A", "FA_ACT_EST_DATA=E, EST_SOURCE=ARG", "ACT_EST_MAPPING=PRECISE", "FS=MRC", "CURRENCY=USD", "XLFILL=b")</f>
        <v>#N/A Requesting Data...</v>
      </c>
      <c r="AP210" s="6" t="str">
        <f>_xll.BQL("NOW US Equity", "CF_CHANGE_IN_PREPAID_EXPNSS/1M", "FPR=2021Y", "FPT=A", "FA_ACT_EST_DATA=E, EST_SOURCE=CTI", "ACT_EST_MAPPING=PRECISE", "FS=MRC", "CURRENCY=USD", "XLFILL=b")</f>
        <v>#N/A Requesting Data...</v>
      </c>
      <c r="AQ210" s="6" t="str">
        <f>_xll.BQL("NOW US Equity", "CF_CHANGE_IN_PREPAID_EXPNSS/1M", "FPR=2021Y", "FPT=A", "FA_ACT_EST_DATA=E, EST_SOURCE=WFT", "ACT_EST_MAPPING=PRECISE", "FS=MRC", "CURRENCY=USD", "XLFILL=b")</f>
        <v>#N/A Requesting Data...</v>
      </c>
      <c r="AR210" s="6" t="str">
        <f>_xll.BQL("NOW US Equity", "CF_CHANGE_IN_PREPAID_EXPNSS/1M", "FPR=2021Y", "FPT=A", "FA_ACT_EST_DATA=E, EST_SOURCE=ARE", "ACT_EST_MAPPING=PRECISE", "FS=MRC", "CURRENCY=USD", "XLFILL=b")</f>
        <v>#N/A Requesting Data...</v>
      </c>
      <c r="AS210" s="6" t="str">
        <f>_xll.BQL("NOW US Equity", "CF_CHANGE_IN_PREPAID_EXPNSS/1M", "FPR=2021Y", "FPT=A", "FA_ACT_EST_DATA=E, EST_SOURCE=PJE", "ACT_EST_MAPPING=PRECISE", "FS=MRC", "CURRENCY=USD", "XLFILL=b")</f>
        <v>#N/A Requesting Data...</v>
      </c>
      <c r="AT210" s="6" t="str">
        <f>_xll.BQL("NOW US Equity", "CF_CHANGE_IN_PREPAID_EXPNSS/1M", "FPR=2021Y", "FPT=A", "FA_ACT_EST_DATA=E, EST_SOURCE=MZS", "ACT_EST_MAPPING=PRECISE", "FS=MRC", "CURRENCY=USD", "XLFILL=b")</f>
        <v>#N/A Requesting Data...</v>
      </c>
      <c r="AU210" s="6" t="str">
        <f>_xll.BQL("NOW US Equity", "CF_CHANGE_IN_PREPAID_EXPNSS/1M", "FPR=2021Y", "FPT=A", "FA_ACT_EST_DATA=E, EST_SOURCE=SUM", "ACT_EST_MAPPING=PRECISE", "FS=MRC", "CURRENCY=USD", "XLFILL=b")</f>
        <v>#N/A Requesting Data...</v>
      </c>
      <c r="AV210" s="6" t="str">
        <f>_xll.BQL("NOW US Equity", "CF_CHANGE_IN_PREPAID_EXPNSS/1M", "FPR=2021Y", "FPT=A", "FA_ACT_EST_DATA=E, EST_SOURCE=CRC", "ACT_EST_MAPPING=PRECISE", "FS=MRC", "CURRENCY=USD", "XLFILL=b")</f>
        <v>#N/A Requesting Data...</v>
      </c>
      <c r="AW210" s="6" t="str">
        <f>_xll.BQL("NOW US Equity", "CF_CHANGE_IN_PREPAID_EXPNSS/1M", "FPR=2021Y", "FPT=A", "FA_ACT_EST_DATA=E, EST_SOURCE=SCB", "ACT_EST_MAPPING=PRECISE", "FS=MRC", "CURRENCY=USD", "XLFILL=b")</f>
        <v>#N/A Requesting Data...</v>
      </c>
    </row>
    <row r="211" spans="1:49" x14ac:dyDescent="0.55000000000000004">
      <c r="A211" s="5" t="s">
        <v>383</v>
      </c>
      <c r="B211" s="2" t="s">
        <v>384</v>
      </c>
      <c r="C211" s="2" t="s">
        <v>385</v>
      </c>
      <c r="D211" s="2"/>
      <c r="E211" s="6" t="str">
        <f>_xll.BQL("NOW US Equity", "CF_CHG_IN_DEFER_UNEARND_REV_ST/1M", "FPR=2021Y", "FPT=A", "FA_ACT_EST_DATA=E", "ACT_EST_MAPPING=PRECISE", "FS=MRC", "CURRENCY=USD", "XLFILL=b")</f>
        <v>#N/A Requesting Data...</v>
      </c>
      <c r="F211" s="6" t="str">
        <f>_xll.BQL("NOW US Equity", "CONTRIBUTOR_STATS(CF_CHG_IN_DEFER_UNEARND_REV_ST, MIN)/1M", "FPR=2021Y", "FPT=A", "FA_ACT_EST_DATA=E", "ACT_EST_MAPPING=PRECISE", "FS=MRC", "CURRENCY=USD", "XLFILL=b")</f>
        <v>#N/A Requesting Data...</v>
      </c>
      <c r="G211" s="6" t="str">
        <f>_xll.BQL("NOW US Equity", "CONTRIBUTOR_STATS(CF_CHG_IN_DEFER_UNEARND_REV_ST, MAX)/1M", "FPR=2021Y", "FPT=A", "FA_ACT_EST_DATA=E", "ACT_EST_MAPPING=PRECISE", "FS=MRC", "CURRENCY=USD", "XLFILL=b")</f>
        <v>#N/A Requesting Data...</v>
      </c>
      <c r="H211" s="6" t="str">
        <f>_xll.BQL("NOW US Equity", "CONTRIBUTOR_STATS(CF_CHG_IN_DEFER_UNEARND_REV_ST, STD)/1M", "FPR=2021Y", "FPT=A", "FA_ACT_EST_DATA=E", "ACT_EST_MAPPING=PRECISE", "FS=MRC", "CURRENCY=USD", "XLFILL=b")</f>
        <v>#N/A Requesting Data...</v>
      </c>
      <c r="I211" s="6" t="str">
        <f>_xll.BQL("NOW US Equity", "CONTRIBUTOR_STATS(CF_CHG_IN_DEFER_UNEARND_REV_ST, MEDIAN)/1M", "FPR=2021Y", "FPT=A", "FA_ACT_EST_DATA=E", "ACT_EST_MAPPING=PRECISE", "FS=MRC", "CURRENCY=USD", "XLFILL=b")</f>
        <v>#N/A Requesting Data...</v>
      </c>
      <c r="J211" s="6" t="str">
        <f>_xll.BQL("NOW US Equity", "CF_CHG_IN_DEFER_UNEARND_REV_ST/1M", "FPR=2021Y", "FPT=A", "FA_ACT_EST_DATA=E, EST_SOURCE=CMPY", "ACT_EST_MAPPING=PRECISE", "FS=MRC", "CURRENCY=USD", "XLFILL=b")</f>
        <v>#N/A Requesting Data...</v>
      </c>
      <c r="K211" s="6" t="str">
        <f>_xll.BQL("NOW US Equity", "CF_CHG_IN_DEFER_UNEARND_REV_ST/1M", "FPR=2021Y", "FPT=A", "FA_ACT_EST_DATA=E, EST_SOURCE=JPM", "ACT_EST_MAPPING=PRECISE", "FS=MRC", "CURRENCY=USD", "XLFILL=b")</f>
        <v>#N/A Requesting Data...</v>
      </c>
      <c r="L211" s="6" t="str">
        <f>_xll.BQL("NOW US Equity", "CF_CHG_IN_DEFER_UNEARND_REV_ST/1M", "FPR=2021Y", "FPT=A", "FA_ACT_EST_DATA=E, EST_SOURCE=WBL", "ACT_EST_MAPPING=PRECISE", "FS=MRC", "CURRENCY=USD", "XLFILL=b")</f>
        <v>#N/A Requesting Data...</v>
      </c>
      <c r="M211" s="6" t="str">
        <f>_xll.BQL("NOW US Equity", "CF_CHG_IN_DEFER_UNEARND_REV_ST/1M", "FPR=2021Y", "FPT=A", "FA_ACT_EST_DATA=E, EST_SOURCE=KEY", "ACT_EST_MAPPING=PRECISE", "FS=MRC", "CURRENCY=USD", "XLFILL=b")</f>
        <v>#N/A Requesting Data...</v>
      </c>
      <c r="N211" s="6" t="str">
        <f>_xll.BQL("NOW US Equity", "CF_CHG_IN_DEFER_UNEARND_REV_ST/1M", "FPR=2021Y", "FPT=A", "FA_ACT_EST_DATA=E, EST_SOURCE=BMO", "ACT_EST_MAPPING=PRECISE", "FS=MRC", "CURRENCY=USD", "XLFILL=b")</f>
        <v>#N/A Requesting Data...</v>
      </c>
      <c r="O211" s="6" t="str">
        <f>_xll.BQL("NOW US Equity", "CF_CHG_IN_DEFER_UNEARND_REV_ST/1M", "FPR=2021Y", "FPT=A", "FA_ACT_EST_DATA=E, EST_SOURCE=OPY", "ACT_EST_MAPPING=PRECISE", "FS=MRC", "CURRENCY=USD", "XLFILL=b")</f>
        <v>#N/A Requesting Data...</v>
      </c>
      <c r="P211" s="6" t="str">
        <f>_xll.BQL("NOW US Equity", "CF_CHG_IN_DEFER_UNEARND_REV_ST/1M", "FPR=2021Y", "FPT=A", "FA_ACT_EST_DATA=E, EST_SOURCE=BCA", "ACT_EST_MAPPING=PRECISE", "FS=MRC", "CURRENCY=USD", "XLFILL=b")</f>
        <v>#N/A Requesting Data...</v>
      </c>
      <c r="Q211" s="6" t="str">
        <f>_xll.BQL("NOW US Equity", "CF_CHG_IN_DEFER_UNEARND_REV_ST/1M", "FPR=2021Y", "FPT=A", "FA_ACT_EST_DATA=E, EST_SOURCE=RHR", "ACT_EST_MAPPING=PRECISE", "FS=MRC", "CURRENCY=USD", "XLFILL=b")</f>
        <v>#N/A Requesting Data...</v>
      </c>
      <c r="R211" s="6" t="str">
        <f>_xll.BQL("NOW US Equity", "CF_CHG_IN_DEFER_UNEARND_REV_ST/1M", "FPR=2021Y", "FPT=A", "FA_ACT_EST_DATA=E, EST_SOURCE=SNR", "ACT_EST_MAPPING=PRECISE", "FS=MRC", "CURRENCY=USD", "XLFILL=b")</f>
        <v>#N/A Requesting Data...</v>
      </c>
      <c r="S211" s="6" t="str">
        <f>_xll.BQL("NOW US Equity", "CF_CHG_IN_DEFER_UNEARND_REV_ST/1M", "FPR=2021Y", "FPT=A", "FA_ACT_EST_DATA=E, EST_SOURCE=MSV", "ACT_EST_MAPPING=PRECISE", "FS=MRC", "CURRENCY=USD", "XLFILL=b")</f>
        <v>#N/A Requesting Data...</v>
      </c>
      <c r="T211" s="6" t="str">
        <f>_xll.BQL("NOW US Equity", "CF_CHG_IN_DEFER_UNEARND_REV_ST/1M", "FPR=2021Y", "FPT=A", "FA_ACT_EST_DATA=E, EST_SOURCE=CAN", "ACT_EST_MAPPING=PRECISE", "FS=MRC", "CURRENCY=USD", "XLFILL=b")</f>
        <v>#N/A Requesting Data...</v>
      </c>
      <c r="U211" s="6" t="str">
        <f>_xll.BQL("NOW US Equity", "CF_CHG_IN_DEFER_UNEARND_REV_ST/1M", "FPR=2021Y", "FPT=A", "FA_ACT_EST_DATA=E, EST_SOURCE=JMP", "ACT_EST_MAPPING=PRECISE", "FS=MRC", "CURRENCY=USD", "XLFILL=b")</f>
        <v>#N/A Requesting Data...</v>
      </c>
      <c r="V211" s="6" t="str">
        <f>_xll.BQL("NOW US Equity", "CF_CHG_IN_DEFER_UNEARND_REV_ST/1M", "FPR=2021Y", "FPT=A", "FA_ACT_EST_DATA=E, EST_SOURCE=NDH", "ACT_EST_MAPPING=PRECISE", "FS=MRC", "CURRENCY=USD", "XLFILL=b")</f>
        <v>#N/A Requesting Data...</v>
      </c>
      <c r="W211" s="6" t="str">
        <f>_xll.BQL("NOW US Equity", "CF_CHG_IN_DEFER_UNEARND_REV_ST/1M", "FPR=2021Y", "FPT=A", "FA_ACT_EST_DATA=E, EST_SOURCE=ZXS", "ACT_EST_MAPPING=PRECISE", "FS=MRC", "CURRENCY=USD", "XLFILL=b")</f>
        <v>#N/A Requesting Data...</v>
      </c>
      <c r="X211" s="6" t="str">
        <f>_xll.BQL("NOW US Equity", "CF_CHG_IN_DEFER_UNEARND_REV_ST/1M", "FPR=2021Y", "FPT=A", "FA_ACT_EST_DATA=E, EST_SOURCE=CWN", "ACT_EST_MAPPING=PRECISE", "FS=MRC", "CURRENCY=USD", "XLFILL=b")</f>
        <v>#N/A Requesting Data...</v>
      </c>
      <c r="Y211" s="6" t="str">
        <f>_xll.BQL("NOW US Equity", "CF_CHG_IN_DEFER_UNEARND_REV_ST/1M", "FPR=2021Y", "FPT=A", "FA_ACT_EST_DATA=E, EST_SOURCE=DBG", "ACT_EST_MAPPING=PRECISE", "FS=MRC", "CURRENCY=USD", "XLFILL=b")</f>
        <v>#N/A Requesting Data...</v>
      </c>
      <c r="Z211" s="6" t="str">
        <f>_xll.BQL("NOW US Equity", "CF_CHG_IN_DEFER_UNEARND_REV_ST/1M", "FPR=2021Y", "FPT=A", "FA_ACT_EST_DATA=E, EST_SOURCE=UBS", "ACT_EST_MAPPING=PRECISE", "FS=MRC", "CURRENCY=USD", "XLFILL=b")</f>
        <v>#N/A Requesting Data...</v>
      </c>
      <c r="AA211" s="6" t="str">
        <f>_xll.BQL("NOW US Equity", "CF_CHG_IN_DEFER_UNEARND_REV_ST/1M", "FPR=2021Y", "FPT=A", "FA_ACT_EST_DATA=E, EST_SOURCE=RBC", "ACT_EST_MAPPING=PRECISE", "FS=MRC", "CURRENCY=USD", "XLFILL=b")</f>
        <v>#N/A Requesting Data...</v>
      </c>
      <c r="AB211" s="6" t="str">
        <f>_xll.BQL("NOW US Equity", "CF_CHG_IN_DEFER_UNEARND_REV_ST/1M", "FPR=2021Y", "FPT=A", "FA_ACT_EST_DATA=E, EST_SOURCE=EVR", "ACT_EST_MAPPING=PRECISE", "FS=MRC", "CURRENCY=USD", "XLFILL=b")</f>
        <v>#N/A Requesting Data...</v>
      </c>
      <c r="AC211" s="6" t="str">
        <f>_xll.BQL("NOW US Equity", "CF_CHG_IN_DEFER_UNEARND_REV_ST/1M", "FPR=2021Y", "FPT=A", "FA_ACT_EST_DATA=E, EST_SOURCE=BNS", "ACT_EST_MAPPING=PRECISE", "FS=MRC", "CURRENCY=USD", "XLFILL=b")</f>
        <v>#N/A Requesting Data...</v>
      </c>
      <c r="AD211" s="6" t="str">
        <f>_xll.BQL("NOW US Equity", "CF_CHG_IN_DEFER_UNEARND_REV_ST/1M", "FPR=2021Y", "FPT=A", "FA_ACT_EST_DATA=E, EST_SOURCE=BAM", "ACT_EST_MAPPING=PRECISE", "FS=MRC", "CURRENCY=USD", "XLFILL=b")</f>
        <v>#N/A Requesting Data...</v>
      </c>
      <c r="AE211" s="6" t="str">
        <f>_xll.BQL("NOW US Equity", "CF_CHG_IN_DEFER_UNEARND_REV_ST/1M", "FPR=2021Y", "FPT=A", "FA_ACT_EST_DATA=E, EST_SOURCE=GSR", "ACT_EST_MAPPING=PRECISE", "FS=MRC", "CURRENCY=USD", "XLFILL=b")</f>
        <v>#N/A Requesting Data...</v>
      </c>
      <c r="AF211" s="6" t="str">
        <f>_xll.BQL("NOW US Equity", "CF_CHG_IN_DEFER_UNEARND_REV_ST/1M", "FPR=2021Y", "FPT=A", "FA_ACT_EST_DATA=E, EST_SOURCE=FBC", "ACT_EST_MAPPING=PRECISE", "FS=MRC", "CURRENCY=USD", "XLFILL=b")</f>
        <v>#N/A Requesting Data...</v>
      </c>
      <c r="AG211" s="6" t="str">
        <f>_xll.BQL("NOW US Equity", "CF_CHG_IN_DEFER_UNEARND_REV_ST/1M", "FPR=2021Y", "FPT=A", "FA_ACT_EST_DATA=E, EST_SOURCE=MAC", "ACT_EST_MAPPING=PRECISE", "FS=MRC", "CURRENCY=USD", "XLFILL=b")</f>
        <v>#N/A Requesting Data...</v>
      </c>
      <c r="AH211" s="6" t="str">
        <f>_xll.BQL("NOW US Equity", "CF_CHG_IN_DEFER_UNEARND_REV_ST/1M", "FPR=2021Y", "FPT=A", "FA_ACT_EST_DATA=E, EST_SOURCE=PSG", "ACT_EST_MAPPING=PRECISE", "FS=MRC", "CURRENCY=USD", "XLFILL=b")</f>
        <v>#N/A Requesting Data...</v>
      </c>
      <c r="AI211" s="6" t="str">
        <f>_xll.BQL("NOW US Equity", "CF_CHG_IN_DEFER_UNEARND_REV_ST/1M", "FPR=2021Y", "FPT=A", "FA_ACT_EST_DATA=E, EST_SOURCE=MSR", "ACT_EST_MAPPING=PRECISE", "FS=MRC", "CURRENCY=USD", "XLFILL=b")</f>
        <v>#N/A Requesting Data...</v>
      </c>
      <c r="AJ211" s="6" t="str">
        <f>_xll.BQL("NOW US Equity", "CF_CHG_IN_DEFER_UNEARND_REV_ST/1M", "FPR=2021Y", "FPT=A", "FA_ACT_EST_DATA=E, EST_SOURCE=JEF", "ACT_EST_MAPPING=PRECISE", "FS=MRC", "CURRENCY=USD", "XLFILL=b")</f>
        <v>#N/A Requesting Data...</v>
      </c>
      <c r="AK211" s="6" t="str">
        <f>_xll.BQL("NOW US Equity", "CF_CHG_IN_DEFER_UNEARND_REV_ST/1M", "FPR=2021Y", "FPT=A", "FA_ACT_EST_DATA=E, EST_SOURCE=TTC", "ACT_EST_MAPPING=PRECISE", "FS=MRC", "CURRENCY=USD", "XLFILL=b")</f>
        <v>#N/A Requesting Data...</v>
      </c>
      <c r="AL211" s="6" t="str">
        <f>_xll.BQL("NOW US Equity", "CF_CHG_IN_DEFER_UNEARND_REV_ST/1M", "FPR=2021Y", "FPT=A", "FA_ACT_EST_DATA=E, EST_SOURCE=RWB", "ACT_EST_MAPPING=PRECISE", "FS=MRC", "CURRENCY=USD", "XLFILL=b")</f>
        <v>#N/A Requesting Data...</v>
      </c>
      <c r="AM211" s="6" t="str">
        <f>_xll.BQL("NOW US Equity", "CF_CHG_IN_DEFER_UNEARND_REV_ST/1M", "FPR=2021Y", "FPT=A", "FA_ACT_EST_DATA=E, EST_SOURCE=DZB", "ACT_EST_MAPPING=PRECISE", "FS=MRC", "CURRENCY=USD", "XLFILL=b")</f>
        <v>#N/A Requesting Data...</v>
      </c>
      <c r="AN211" s="6" t="str">
        <f>_xll.BQL("NOW US Equity", "CF_CHG_IN_DEFER_UNEARND_REV_ST/1M", "FPR=2021Y", "FPT=A", "FA_ACT_EST_DATA=E, EST_SOURCE=DWI", "ACT_EST_MAPPING=PRECISE", "FS=MRC", "CURRENCY=USD", "XLFILL=b")</f>
        <v>#N/A Requesting Data...</v>
      </c>
      <c r="AO211" s="6" t="str">
        <f>_xll.BQL("NOW US Equity", "CF_CHG_IN_DEFER_UNEARND_REV_ST/1M", "FPR=2021Y", "FPT=A", "FA_ACT_EST_DATA=E, EST_SOURCE=ARG", "ACT_EST_MAPPING=PRECISE", "FS=MRC", "CURRENCY=USD", "XLFILL=b")</f>
        <v>#N/A Requesting Data...</v>
      </c>
      <c r="AP211" s="6" t="str">
        <f>_xll.BQL("NOW US Equity", "CF_CHG_IN_DEFER_UNEARND_REV_ST/1M", "FPR=2021Y", "FPT=A", "FA_ACT_EST_DATA=E, EST_SOURCE=CTI", "ACT_EST_MAPPING=PRECISE", "FS=MRC", "CURRENCY=USD", "XLFILL=b")</f>
        <v>#N/A Requesting Data...</v>
      </c>
      <c r="AQ211" s="6" t="str">
        <f>_xll.BQL("NOW US Equity", "CF_CHG_IN_DEFER_UNEARND_REV_ST/1M", "FPR=2021Y", "FPT=A", "FA_ACT_EST_DATA=E, EST_SOURCE=WFT", "ACT_EST_MAPPING=PRECISE", "FS=MRC", "CURRENCY=USD", "XLFILL=b")</f>
        <v>#N/A Requesting Data...</v>
      </c>
      <c r="AR211" s="6" t="str">
        <f>_xll.BQL("NOW US Equity", "CF_CHG_IN_DEFER_UNEARND_REV_ST/1M", "FPR=2021Y", "FPT=A", "FA_ACT_EST_DATA=E, EST_SOURCE=ARE", "ACT_EST_MAPPING=PRECISE", "FS=MRC", "CURRENCY=USD", "XLFILL=b")</f>
        <v>#N/A Requesting Data...</v>
      </c>
      <c r="AS211" s="6" t="str">
        <f>_xll.BQL("NOW US Equity", "CF_CHG_IN_DEFER_UNEARND_REV_ST/1M", "FPR=2021Y", "FPT=A", "FA_ACT_EST_DATA=E, EST_SOURCE=PJE", "ACT_EST_MAPPING=PRECISE", "FS=MRC", "CURRENCY=USD", "XLFILL=b")</f>
        <v>#N/A Requesting Data...</v>
      </c>
      <c r="AT211" s="6" t="str">
        <f>_xll.BQL("NOW US Equity", "CF_CHG_IN_DEFER_UNEARND_REV_ST/1M", "FPR=2021Y", "FPT=A", "FA_ACT_EST_DATA=E, EST_SOURCE=MZS", "ACT_EST_MAPPING=PRECISE", "FS=MRC", "CURRENCY=USD", "XLFILL=b")</f>
        <v>#N/A Requesting Data...</v>
      </c>
      <c r="AU211" s="6" t="str">
        <f>_xll.BQL("NOW US Equity", "CF_CHG_IN_DEFER_UNEARND_REV_ST/1M", "FPR=2021Y", "FPT=A", "FA_ACT_EST_DATA=E, EST_SOURCE=SUM", "ACT_EST_MAPPING=PRECISE", "FS=MRC", "CURRENCY=USD", "XLFILL=b")</f>
        <v>#N/A Requesting Data...</v>
      </c>
      <c r="AV211" s="6" t="str">
        <f>_xll.BQL("NOW US Equity", "CF_CHG_IN_DEFER_UNEARND_REV_ST/1M", "FPR=2021Y", "FPT=A", "FA_ACT_EST_DATA=E, EST_SOURCE=CRC", "ACT_EST_MAPPING=PRECISE", "FS=MRC", "CURRENCY=USD", "XLFILL=b")</f>
        <v>#N/A Requesting Data...</v>
      </c>
      <c r="AW211" s="6" t="str">
        <f>_xll.BQL("NOW US Equity", "CF_CHG_IN_DEFER_UNEARND_REV_ST/1M", "FPR=2021Y", "FPT=A", "FA_ACT_EST_DATA=E, EST_SOURCE=SCB", "ACT_EST_MAPPING=PRECISE", "FS=MRC", "CURRENCY=USD", "XLFILL=b")</f>
        <v>#N/A Requesting Data...</v>
      </c>
    </row>
    <row r="212" spans="1:49" x14ac:dyDescent="0.55000000000000004">
      <c r="A212" s="5" t="s">
        <v>308</v>
      </c>
      <c r="B212" s="2" t="s">
        <v>386</v>
      </c>
      <c r="C212" s="2" t="s">
        <v>310</v>
      </c>
      <c r="D212" s="2"/>
      <c r="E212" s="6" t="str">
        <f>_xll.BQL("NOW US Equity", "CF_CHANGE_IN_ACCRUD_EXPNSS/1M", "FPR=2021Y", "FPT=A", "FA_ACT_EST_DATA=E", "ACT_EST_MAPPING=PRECISE", "FS=MRC", "CURRENCY=USD", "XLFILL=b")</f>
        <v>#N/A Requesting Data...</v>
      </c>
      <c r="F212" s="6" t="str">
        <f>_xll.BQL("NOW US Equity", "CONTRIBUTOR_STATS(CF_CHANGE_IN_ACCRUD_EXPNSS, MIN)/1M", "FPR=2021Y", "FPT=A", "FA_ACT_EST_DATA=E", "ACT_EST_MAPPING=PRECISE", "FS=MRC", "CURRENCY=USD", "XLFILL=b")</f>
        <v>#N/A Requesting Data...</v>
      </c>
      <c r="G212" s="6" t="str">
        <f>_xll.BQL("NOW US Equity", "CONTRIBUTOR_STATS(CF_CHANGE_IN_ACCRUD_EXPNSS, MAX)/1M", "FPR=2021Y", "FPT=A", "FA_ACT_EST_DATA=E", "ACT_EST_MAPPING=PRECISE", "FS=MRC", "CURRENCY=USD", "XLFILL=b")</f>
        <v>#N/A Requesting Data...</v>
      </c>
      <c r="H212" s="6" t="str">
        <f>_xll.BQL("NOW US Equity", "CONTRIBUTOR_STATS(CF_CHANGE_IN_ACCRUD_EXPNSS, STD)/1M", "FPR=2021Y", "FPT=A", "FA_ACT_EST_DATA=E", "ACT_EST_MAPPING=PRECISE", "FS=MRC", "CURRENCY=USD", "XLFILL=b")</f>
        <v>#N/A Requesting Data...</v>
      </c>
      <c r="I212" s="6" t="str">
        <f>_xll.BQL("NOW US Equity", "CONTRIBUTOR_STATS(CF_CHANGE_IN_ACCRUD_EXPNSS, MEDIAN)/1M", "FPR=2021Y", "FPT=A", "FA_ACT_EST_DATA=E", "ACT_EST_MAPPING=PRECISE", "FS=MRC", "CURRENCY=USD", "XLFILL=b")</f>
        <v>#N/A Requesting Data...</v>
      </c>
      <c r="J212" s="6" t="str">
        <f>_xll.BQL("NOW US Equity", "CF_CHANGE_IN_ACCRUD_EXPNSS/1M", "FPR=2021Y", "FPT=A", "FA_ACT_EST_DATA=E, EST_SOURCE=CMPY", "ACT_EST_MAPPING=PRECISE", "FS=MRC", "CURRENCY=USD", "XLFILL=b")</f>
        <v>#N/A Requesting Data...</v>
      </c>
      <c r="K212" s="6" t="str">
        <f>_xll.BQL("NOW US Equity", "CF_CHANGE_IN_ACCRUD_EXPNSS/1M", "FPR=2021Y", "FPT=A", "FA_ACT_EST_DATA=E, EST_SOURCE=JPM", "ACT_EST_MAPPING=PRECISE", "FS=MRC", "CURRENCY=USD", "XLFILL=b")</f>
        <v>#N/A Requesting Data...</v>
      </c>
      <c r="L212" s="6" t="str">
        <f>_xll.BQL("NOW US Equity", "CF_CHANGE_IN_ACCRUD_EXPNSS/1M", "FPR=2021Y", "FPT=A", "FA_ACT_EST_DATA=E, EST_SOURCE=WBL", "ACT_EST_MAPPING=PRECISE", "FS=MRC", "CURRENCY=USD", "XLFILL=b")</f>
        <v>#N/A Requesting Data...</v>
      </c>
      <c r="M212" s="6" t="str">
        <f>_xll.BQL("NOW US Equity", "CF_CHANGE_IN_ACCRUD_EXPNSS/1M", "FPR=2021Y", "FPT=A", "FA_ACT_EST_DATA=E, EST_SOURCE=KEY", "ACT_EST_MAPPING=PRECISE", "FS=MRC", "CURRENCY=USD", "XLFILL=b")</f>
        <v>#N/A Requesting Data...</v>
      </c>
      <c r="N212" s="6" t="str">
        <f>_xll.BQL("NOW US Equity", "CF_CHANGE_IN_ACCRUD_EXPNSS/1M", "FPR=2021Y", "FPT=A", "FA_ACT_EST_DATA=E, EST_SOURCE=BMO", "ACT_EST_MAPPING=PRECISE", "FS=MRC", "CURRENCY=USD", "XLFILL=b")</f>
        <v>#N/A Requesting Data...</v>
      </c>
      <c r="O212" s="6" t="str">
        <f>_xll.BQL("NOW US Equity", "CF_CHANGE_IN_ACCRUD_EXPNSS/1M", "FPR=2021Y", "FPT=A", "FA_ACT_EST_DATA=E, EST_SOURCE=OPY", "ACT_EST_MAPPING=PRECISE", "FS=MRC", "CURRENCY=USD", "XLFILL=b")</f>
        <v>#N/A Requesting Data...</v>
      </c>
      <c r="P212" s="6" t="str">
        <f>_xll.BQL("NOW US Equity", "CF_CHANGE_IN_ACCRUD_EXPNSS/1M", "FPR=2021Y", "FPT=A", "FA_ACT_EST_DATA=E, EST_SOURCE=BCA", "ACT_EST_MAPPING=PRECISE", "FS=MRC", "CURRENCY=USD", "XLFILL=b")</f>
        <v>#N/A Requesting Data...</v>
      </c>
      <c r="Q212" s="6" t="str">
        <f>_xll.BQL("NOW US Equity", "CF_CHANGE_IN_ACCRUD_EXPNSS/1M", "FPR=2021Y", "FPT=A", "FA_ACT_EST_DATA=E, EST_SOURCE=RHR", "ACT_EST_MAPPING=PRECISE", "FS=MRC", "CURRENCY=USD", "XLFILL=b")</f>
        <v>#N/A Requesting Data...</v>
      </c>
      <c r="R212" s="6" t="str">
        <f>_xll.BQL("NOW US Equity", "CF_CHANGE_IN_ACCRUD_EXPNSS/1M", "FPR=2021Y", "FPT=A", "FA_ACT_EST_DATA=E, EST_SOURCE=SNR", "ACT_EST_MAPPING=PRECISE", "FS=MRC", "CURRENCY=USD", "XLFILL=b")</f>
        <v>#N/A Requesting Data...</v>
      </c>
      <c r="S212" s="6" t="str">
        <f>_xll.BQL("NOW US Equity", "CF_CHANGE_IN_ACCRUD_EXPNSS/1M", "FPR=2021Y", "FPT=A", "FA_ACT_EST_DATA=E, EST_SOURCE=MSV", "ACT_EST_MAPPING=PRECISE", "FS=MRC", "CURRENCY=USD", "XLFILL=b")</f>
        <v>#N/A Requesting Data...</v>
      </c>
      <c r="T212" s="6" t="str">
        <f>_xll.BQL("NOW US Equity", "CF_CHANGE_IN_ACCRUD_EXPNSS/1M", "FPR=2021Y", "FPT=A", "FA_ACT_EST_DATA=E, EST_SOURCE=CAN", "ACT_EST_MAPPING=PRECISE", "FS=MRC", "CURRENCY=USD", "XLFILL=b")</f>
        <v>#N/A Requesting Data...</v>
      </c>
      <c r="U212" s="6" t="str">
        <f>_xll.BQL("NOW US Equity", "CF_CHANGE_IN_ACCRUD_EXPNSS/1M", "FPR=2021Y", "FPT=A", "FA_ACT_EST_DATA=E, EST_SOURCE=JMP", "ACT_EST_MAPPING=PRECISE", "FS=MRC", "CURRENCY=USD", "XLFILL=b")</f>
        <v>#N/A Requesting Data...</v>
      </c>
      <c r="V212" s="6" t="str">
        <f>_xll.BQL("NOW US Equity", "CF_CHANGE_IN_ACCRUD_EXPNSS/1M", "FPR=2021Y", "FPT=A", "FA_ACT_EST_DATA=E, EST_SOURCE=NDH", "ACT_EST_MAPPING=PRECISE", "FS=MRC", "CURRENCY=USD", "XLFILL=b")</f>
        <v>#N/A Requesting Data...</v>
      </c>
      <c r="W212" s="6" t="str">
        <f>_xll.BQL("NOW US Equity", "CF_CHANGE_IN_ACCRUD_EXPNSS/1M", "FPR=2021Y", "FPT=A", "FA_ACT_EST_DATA=E, EST_SOURCE=ZXS", "ACT_EST_MAPPING=PRECISE", "FS=MRC", "CURRENCY=USD", "XLFILL=b")</f>
        <v>#N/A Requesting Data...</v>
      </c>
      <c r="X212" s="6" t="str">
        <f>_xll.BQL("NOW US Equity", "CF_CHANGE_IN_ACCRUD_EXPNSS/1M", "FPR=2021Y", "FPT=A", "FA_ACT_EST_DATA=E, EST_SOURCE=CWN", "ACT_EST_MAPPING=PRECISE", "FS=MRC", "CURRENCY=USD", "XLFILL=b")</f>
        <v>#N/A Requesting Data...</v>
      </c>
      <c r="Y212" s="6" t="str">
        <f>_xll.BQL("NOW US Equity", "CF_CHANGE_IN_ACCRUD_EXPNSS/1M", "FPR=2021Y", "FPT=A", "FA_ACT_EST_DATA=E, EST_SOURCE=DBG", "ACT_EST_MAPPING=PRECISE", "FS=MRC", "CURRENCY=USD", "XLFILL=b")</f>
        <v>#N/A Requesting Data...</v>
      </c>
      <c r="Z212" s="6" t="str">
        <f>_xll.BQL("NOW US Equity", "CF_CHANGE_IN_ACCRUD_EXPNSS/1M", "FPR=2021Y", "FPT=A", "FA_ACT_EST_DATA=E, EST_SOURCE=UBS", "ACT_EST_MAPPING=PRECISE", "FS=MRC", "CURRENCY=USD", "XLFILL=b")</f>
        <v>#N/A Requesting Data...</v>
      </c>
      <c r="AA212" s="6" t="str">
        <f>_xll.BQL("NOW US Equity", "CF_CHANGE_IN_ACCRUD_EXPNSS/1M", "FPR=2021Y", "FPT=A", "FA_ACT_EST_DATA=E, EST_SOURCE=RBC", "ACT_EST_MAPPING=PRECISE", "FS=MRC", "CURRENCY=USD", "XLFILL=b")</f>
        <v>#N/A Requesting Data...</v>
      </c>
      <c r="AB212" s="6" t="str">
        <f>_xll.BQL("NOW US Equity", "CF_CHANGE_IN_ACCRUD_EXPNSS/1M", "FPR=2021Y", "FPT=A", "FA_ACT_EST_DATA=E, EST_SOURCE=EVR", "ACT_EST_MAPPING=PRECISE", "FS=MRC", "CURRENCY=USD", "XLFILL=b")</f>
        <v>#N/A Requesting Data...</v>
      </c>
      <c r="AC212" s="6" t="str">
        <f>_xll.BQL("NOW US Equity", "CF_CHANGE_IN_ACCRUD_EXPNSS/1M", "FPR=2021Y", "FPT=A", "FA_ACT_EST_DATA=E, EST_SOURCE=BNS", "ACT_EST_MAPPING=PRECISE", "FS=MRC", "CURRENCY=USD", "XLFILL=b")</f>
        <v>#N/A Requesting Data...</v>
      </c>
      <c r="AD212" s="6" t="str">
        <f>_xll.BQL("NOW US Equity", "CF_CHANGE_IN_ACCRUD_EXPNSS/1M", "FPR=2021Y", "FPT=A", "FA_ACT_EST_DATA=E, EST_SOURCE=BAM", "ACT_EST_MAPPING=PRECISE", "FS=MRC", "CURRENCY=USD", "XLFILL=b")</f>
        <v>#N/A Requesting Data...</v>
      </c>
      <c r="AE212" s="6" t="str">
        <f>_xll.BQL("NOW US Equity", "CF_CHANGE_IN_ACCRUD_EXPNSS/1M", "FPR=2021Y", "FPT=A", "FA_ACT_EST_DATA=E, EST_SOURCE=GSR", "ACT_EST_MAPPING=PRECISE", "FS=MRC", "CURRENCY=USD", "XLFILL=b")</f>
        <v>#N/A Requesting Data...</v>
      </c>
      <c r="AF212" s="6" t="str">
        <f>_xll.BQL("NOW US Equity", "CF_CHANGE_IN_ACCRUD_EXPNSS/1M", "FPR=2021Y", "FPT=A", "FA_ACT_EST_DATA=E, EST_SOURCE=FBC", "ACT_EST_MAPPING=PRECISE", "FS=MRC", "CURRENCY=USD", "XLFILL=b")</f>
        <v>#N/A Requesting Data...</v>
      </c>
      <c r="AG212" s="6" t="str">
        <f>_xll.BQL("NOW US Equity", "CF_CHANGE_IN_ACCRUD_EXPNSS/1M", "FPR=2021Y", "FPT=A", "FA_ACT_EST_DATA=E, EST_SOURCE=MAC", "ACT_EST_MAPPING=PRECISE", "FS=MRC", "CURRENCY=USD", "XLFILL=b")</f>
        <v>#N/A Requesting Data...</v>
      </c>
      <c r="AH212" s="6" t="str">
        <f>_xll.BQL("NOW US Equity", "CF_CHANGE_IN_ACCRUD_EXPNSS/1M", "FPR=2021Y", "FPT=A", "FA_ACT_EST_DATA=E, EST_SOURCE=PSG", "ACT_EST_MAPPING=PRECISE", "FS=MRC", "CURRENCY=USD", "XLFILL=b")</f>
        <v>#N/A Requesting Data...</v>
      </c>
      <c r="AI212" s="6" t="str">
        <f>_xll.BQL("NOW US Equity", "CF_CHANGE_IN_ACCRUD_EXPNSS/1M", "FPR=2021Y", "FPT=A", "FA_ACT_EST_DATA=E, EST_SOURCE=MSR", "ACT_EST_MAPPING=PRECISE", "FS=MRC", "CURRENCY=USD", "XLFILL=b")</f>
        <v>#N/A Requesting Data...</v>
      </c>
      <c r="AJ212" s="6" t="str">
        <f>_xll.BQL("NOW US Equity", "CF_CHANGE_IN_ACCRUD_EXPNSS/1M", "FPR=2021Y", "FPT=A", "FA_ACT_EST_DATA=E, EST_SOURCE=JEF", "ACT_EST_MAPPING=PRECISE", "FS=MRC", "CURRENCY=USD", "XLFILL=b")</f>
        <v>#N/A Requesting Data...</v>
      </c>
      <c r="AK212" s="6" t="str">
        <f>_xll.BQL("NOW US Equity", "CF_CHANGE_IN_ACCRUD_EXPNSS/1M", "FPR=2021Y", "FPT=A", "FA_ACT_EST_DATA=E, EST_SOURCE=TTC", "ACT_EST_MAPPING=PRECISE", "FS=MRC", "CURRENCY=USD", "XLFILL=b")</f>
        <v>#N/A Requesting Data...</v>
      </c>
      <c r="AL212" s="6" t="str">
        <f>_xll.BQL("NOW US Equity", "CF_CHANGE_IN_ACCRUD_EXPNSS/1M", "FPR=2021Y", "FPT=A", "FA_ACT_EST_DATA=E, EST_SOURCE=RWB", "ACT_EST_MAPPING=PRECISE", "FS=MRC", "CURRENCY=USD", "XLFILL=b")</f>
        <v>#N/A Requesting Data...</v>
      </c>
      <c r="AM212" s="6" t="str">
        <f>_xll.BQL("NOW US Equity", "CF_CHANGE_IN_ACCRUD_EXPNSS/1M", "FPR=2021Y", "FPT=A", "FA_ACT_EST_DATA=E, EST_SOURCE=DZB", "ACT_EST_MAPPING=PRECISE", "FS=MRC", "CURRENCY=USD", "XLFILL=b")</f>
        <v>#N/A Requesting Data...</v>
      </c>
      <c r="AN212" s="6" t="str">
        <f>_xll.BQL("NOW US Equity", "CF_CHANGE_IN_ACCRUD_EXPNSS/1M", "FPR=2021Y", "FPT=A", "FA_ACT_EST_DATA=E, EST_SOURCE=DWI", "ACT_EST_MAPPING=PRECISE", "FS=MRC", "CURRENCY=USD", "XLFILL=b")</f>
        <v>#N/A Requesting Data...</v>
      </c>
      <c r="AO212" s="6" t="str">
        <f>_xll.BQL("NOW US Equity", "CF_CHANGE_IN_ACCRUD_EXPNSS/1M", "FPR=2021Y", "FPT=A", "FA_ACT_EST_DATA=E, EST_SOURCE=ARG", "ACT_EST_MAPPING=PRECISE", "FS=MRC", "CURRENCY=USD", "XLFILL=b")</f>
        <v>#N/A Requesting Data...</v>
      </c>
      <c r="AP212" s="6" t="str">
        <f>_xll.BQL("NOW US Equity", "CF_CHANGE_IN_ACCRUD_EXPNSS/1M", "FPR=2021Y", "FPT=A", "FA_ACT_EST_DATA=E, EST_SOURCE=CTI", "ACT_EST_MAPPING=PRECISE", "FS=MRC", "CURRENCY=USD", "XLFILL=b")</f>
        <v>#N/A Requesting Data...</v>
      </c>
      <c r="AQ212" s="6" t="str">
        <f>_xll.BQL("NOW US Equity", "CF_CHANGE_IN_ACCRUD_EXPNSS/1M", "FPR=2021Y", "FPT=A", "FA_ACT_EST_DATA=E, EST_SOURCE=WFT", "ACT_EST_MAPPING=PRECISE", "FS=MRC", "CURRENCY=USD", "XLFILL=b")</f>
        <v>#N/A Requesting Data...</v>
      </c>
      <c r="AR212" s="6" t="str">
        <f>_xll.BQL("NOW US Equity", "CF_CHANGE_IN_ACCRUD_EXPNSS/1M", "FPR=2021Y", "FPT=A", "FA_ACT_EST_DATA=E, EST_SOURCE=ARE", "ACT_EST_MAPPING=PRECISE", "FS=MRC", "CURRENCY=USD", "XLFILL=b")</f>
        <v>#N/A Requesting Data...</v>
      </c>
      <c r="AS212" s="6" t="str">
        <f>_xll.BQL("NOW US Equity", "CF_CHANGE_IN_ACCRUD_EXPNSS/1M", "FPR=2021Y", "FPT=A", "FA_ACT_EST_DATA=E, EST_SOURCE=PJE", "ACT_EST_MAPPING=PRECISE", "FS=MRC", "CURRENCY=USD", "XLFILL=b")</f>
        <v>#N/A Requesting Data...</v>
      </c>
      <c r="AT212" s="6" t="str">
        <f>_xll.BQL("NOW US Equity", "CF_CHANGE_IN_ACCRUD_EXPNSS/1M", "FPR=2021Y", "FPT=A", "FA_ACT_EST_DATA=E, EST_SOURCE=MZS", "ACT_EST_MAPPING=PRECISE", "FS=MRC", "CURRENCY=USD", "XLFILL=b")</f>
        <v>#N/A Requesting Data...</v>
      </c>
      <c r="AU212" s="6" t="str">
        <f>_xll.BQL("NOW US Equity", "CF_CHANGE_IN_ACCRUD_EXPNSS/1M", "FPR=2021Y", "FPT=A", "FA_ACT_EST_DATA=E, EST_SOURCE=SUM", "ACT_EST_MAPPING=PRECISE", "FS=MRC", "CURRENCY=USD", "XLFILL=b")</f>
        <v>#N/A Requesting Data...</v>
      </c>
      <c r="AV212" s="6" t="str">
        <f>_xll.BQL("NOW US Equity", "CF_CHANGE_IN_ACCRUD_EXPNSS/1M", "FPR=2021Y", "FPT=A", "FA_ACT_EST_DATA=E, EST_SOURCE=CRC", "ACT_EST_MAPPING=PRECISE", "FS=MRC", "CURRENCY=USD", "XLFILL=b")</f>
        <v>#N/A Requesting Data...</v>
      </c>
      <c r="AW212" s="6" t="str">
        <f>_xll.BQL("NOW US Equity", "CF_CHANGE_IN_ACCRUD_EXPNSS/1M", "FPR=2021Y", "FPT=A", "FA_ACT_EST_DATA=E, EST_SOURCE=SCB", "ACT_EST_MAPPING=PRECISE", "FS=MRC", "CURRENCY=USD", "XLFILL=b")</f>
        <v>#N/A Requesting Data...</v>
      </c>
    </row>
    <row r="213" spans="1:49" x14ac:dyDescent="0.55000000000000004">
      <c r="A213" s="5" t="s">
        <v>387</v>
      </c>
      <c r="B213" s="2" t="s">
        <v>388</v>
      </c>
      <c r="C213" s="2" t="s">
        <v>389</v>
      </c>
      <c r="D213" s="2"/>
      <c r="E213" s="6" t="str">
        <f>_xll.BQL("NOW US Equity", "CF_CASH_FROM_OPER/1M", "FPR=2021Y", "FPT=A", "FA_ACT_EST_DATA=E", "ACT_EST_MAPPING=PRECISE", "FS=MRC", "CURRENCY=USD", "XLFILL=b")</f>
        <v>#N/A Requesting Data...</v>
      </c>
      <c r="F213" s="6" t="str">
        <f>_xll.BQL("NOW US Equity", "CONTRIBUTOR_STATS(CF_CASH_FROM_OPER, MIN)/1M", "FPR=2021Y", "FPT=A", "FA_ACT_EST_DATA=E", "ACT_EST_MAPPING=PRECISE", "FS=MRC", "CURRENCY=USD", "XLFILL=b")</f>
        <v>#N/A Requesting Data...</v>
      </c>
      <c r="G213" s="6" t="str">
        <f>_xll.BQL("NOW US Equity", "CONTRIBUTOR_STATS(CF_CASH_FROM_OPER, MAX)/1M", "FPR=2021Y", "FPT=A", "FA_ACT_EST_DATA=E", "ACT_EST_MAPPING=PRECISE", "FS=MRC", "CURRENCY=USD", "XLFILL=b")</f>
        <v>#N/A Requesting Data...</v>
      </c>
      <c r="H213" s="6" t="str">
        <f>_xll.BQL("NOW US Equity", "CONTRIBUTOR_STATS(CF_CASH_FROM_OPER, STD)/1M", "FPR=2021Y", "FPT=A", "FA_ACT_EST_DATA=E", "ACT_EST_MAPPING=PRECISE", "FS=MRC", "CURRENCY=USD", "XLFILL=b")</f>
        <v>#N/A Requesting Data...</v>
      </c>
      <c r="I213" s="6">
        <f>_xll.BQL("NOW US Equity", "CONTRIBUTOR_STATS(CF_CASH_FROM_OPER, MEDIAN)/1M", "FPR=2021Y", "FPT=A", "FA_ACT_EST_DATA=E", "ACT_EST_MAPPING=PRECISE", "FS=MRC", "CURRENCY=USD", "XLFILL=b")</f>
        <v>2223.2565330346551</v>
      </c>
      <c r="J213" s="6" t="str">
        <f>_xll.BQL("NOW US Equity", "CF_CASH_FROM_OPER/1M", "FPR=2021Y", "FPT=A", "FA_ACT_EST_DATA=E, EST_SOURCE=CMPY", "ACT_EST_MAPPING=PRECISE", "FS=MRC", "CURRENCY=USD", "XLFILL=b")</f>
        <v>#N/A Requesting Data...</v>
      </c>
      <c r="K213" s="6" t="str">
        <f>_xll.BQL("NOW US Equity", "CF_CASH_FROM_OPER/1M", "FPR=2021Y", "FPT=A", "FA_ACT_EST_DATA=E, EST_SOURCE=JPM", "ACT_EST_MAPPING=PRECISE", "FS=MRC", "CURRENCY=USD", "XLFILL=b")</f>
        <v>#N/A Requesting Data...</v>
      </c>
      <c r="L213" s="6" t="str">
        <f>_xll.BQL("NOW US Equity", "CF_CASH_FROM_OPER/1M", "FPR=2021Y", "FPT=A", "FA_ACT_EST_DATA=E, EST_SOURCE=WBL", "ACT_EST_MAPPING=PRECISE", "FS=MRC", "CURRENCY=USD", "XLFILL=b")</f>
        <v>#N/A Requesting Data...</v>
      </c>
      <c r="M213" s="6" t="str">
        <f>_xll.BQL("NOW US Equity", "CF_CASH_FROM_OPER/1M", "FPR=2021Y", "FPT=A", "FA_ACT_EST_DATA=E, EST_SOURCE=KEY", "ACT_EST_MAPPING=PRECISE", "FS=MRC", "CURRENCY=USD", "XLFILL=b")</f>
        <v>#N/A Requesting Data...</v>
      </c>
      <c r="N213" s="6" t="str">
        <f>_xll.BQL("NOW US Equity", "CF_CASH_FROM_OPER/1M", "FPR=2021Y", "FPT=A", "FA_ACT_EST_DATA=E, EST_SOURCE=BMO", "ACT_EST_MAPPING=PRECISE", "FS=MRC", "CURRENCY=USD", "XLFILL=b")</f>
        <v>#N/A Requesting Data...</v>
      </c>
      <c r="O213" s="6" t="str">
        <f>_xll.BQL("NOW US Equity", "CF_CASH_FROM_OPER/1M", "FPR=2021Y", "FPT=A", "FA_ACT_EST_DATA=E, EST_SOURCE=OPY", "ACT_EST_MAPPING=PRECISE", "FS=MRC", "CURRENCY=USD", "XLFILL=b")</f>
        <v>#N/A Requesting Data...</v>
      </c>
      <c r="P213" s="6" t="str">
        <f>_xll.BQL("NOW US Equity", "CF_CASH_FROM_OPER/1M", "FPR=2021Y", "FPT=A", "FA_ACT_EST_DATA=E, EST_SOURCE=BCA", "ACT_EST_MAPPING=PRECISE", "FS=MRC", "CURRENCY=USD", "XLFILL=b")</f>
        <v>#N/A Requesting Data...</v>
      </c>
      <c r="Q213" s="6" t="str">
        <f>_xll.BQL("NOW US Equity", "CF_CASH_FROM_OPER/1M", "FPR=2021Y", "FPT=A", "FA_ACT_EST_DATA=E, EST_SOURCE=RHR", "ACT_EST_MAPPING=PRECISE", "FS=MRC", "CURRENCY=USD", "XLFILL=b")</f>
        <v>#N/A Requesting Data...</v>
      </c>
      <c r="R213" s="6" t="str">
        <f>_xll.BQL("NOW US Equity", "CF_CASH_FROM_OPER/1M", "FPR=2021Y", "FPT=A", "FA_ACT_EST_DATA=E, EST_SOURCE=SNR", "ACT_EST_MAPPING=PRECISE", "FS=MRC", "CURRENCY=USD", "XLFILL=b")</f>
        <v>#N/A Requesting Data...</v>
      </c>
      <c r="S213" s="6" t="str">
        <f>_xll.BQL("NOW US Equity", "CF_CASH_FROM_OPER/1M", "FPR=2021Y", "FPT=A", "FA_ACT_EST_DATA=E, EST_SOURCE=MSV", "ACT_EST_MAPPING=PRECISE", "FS=MRC", "CURRENCY=USD", "XLFILL=b")</f>
        <v>#N/A Requesting Data...</v>
      </c>
      <c r="T213" s="6" t="str">
        <f>_xll.BQL("NOW US Equity", "CF_CASH_FROM_OPER/1M", "FPR=2021Y", "FPT=A", "FA_ACT_EST_DATA=E, EST_SOURCE=CAN", "ACT_EST_MAPPING=PRECISE", "FS=MRC", "CURRENCY=USD", "XLFILL=b")</f>
        <v>#N/A Requesting Data...</v>
      </c>
      <c r="U213" s="6" t="str">
        <f>_xll.BQL("NOW US Equity", "CF_CASH_FROM_OPER/1M", "FPR=2021Y", "FPT=A", "FA_ACT_EST_DATA=E, EST_SOURCE=JMP", "ACT_EST_MAPPING=PRECISE", "FS=MRC", "CURRENCY=USD", "XLFILL=b")</f>
        <v>#N/A Requesting Data...</v>
      </c>
      <c r="V213" s="6" t="str">
        <f>_xll.BQL("NOW US Equity", "CF_CASH_FROM_OPER/1M", "FPR=2021Y", "FPT=A", "FA_ACT_EST_DATA=E, EST_SOURCE=NDH", "ACT_EST_MAPPING=PRECISE", "FS=MRC", "CURRENCY=USD", "XLFILL=b")</f>
        <v>#N/A Requesting Data...</v>
      </c>
      <c r="W213" s="6" t="str">
        <f>_xll.BQL("NOW US Equity", "CF_CASH_FROM_OPER/1M", "FPR=2021Y", "FPT=A", "FA_ACT_EST_DATA=E, EST_SOURCE=ZXS", "ACT_EST_MAPPING=PRECISE", "FS=MRC", "CURRENCY=USD", "XLFILL=b")</f>
        <v>#N/A Requesting Data...</v>
      </c>
      <c r="X213" s="6" t="str">
        <f>_xll.BQL("NOW US Equity", "CF_CASH_FROM_OPER/1M", "FPR=2021Y", "FPT=A", "FA_ACT_EST_DATA=E, EST_SOURCE=CWN", "ACT_EST_MAPPING=PRECISE", "FS=MRC", "CURRENCY=USD", "XLFILL=b")</f>
        <v>#N/A Requesting Data...</v>
      </c>
      <c r="Y213" s="6" t="str">
        <f>_xll.BQL("NOW US Equity", "CF_CASH_FROM_OPER/1M", "FPR=2021Y", "FPT=A", "FA_ACT_EST_DATA=E, EST_SOURCE=DBG", "ACT_EST_MAPPING=PRECISE", "FS=MRC", "CURRENCY=USD", "XLFILL=b")</f>
        <v>#N/A Requesting Data...</v>
      </c>
      <c r="Z213" s="6" t="str">
        <f>_xll.BQL("NOW US Equity", "CF_CASH_FROM_OPER/1M", "FPR=2021Y", "FPT=A", "FA_ACT_EST_DATA=E, EST_SOURCE=UBS", "ACT_EST_MAPPING=PRECISE", "FS=MRC", "CURRENCY=USD", "XLFILL=b")</f>
        <v>#N/A Requesting Data...</v>
      </c>
      <c r="AA213" s="6" t="str">
        <f>_xll.BQL("NOW US Equity", "CF_CASH_FROM_OPER/1M", "FPR=2021Y", "FPT=A", "FA_ACT_EST_DATA=E, EST_SOURCE=RBC", "ACT_EST_MAPPING=PRECISE", "FS=MRC", "CURRENCY=USD", "XLFILL=b")</f>
        <v>#N/A Requesting Data...</v>
      </c>
      <c r="AB213" s="6" t="str">
        <f>_xll.BQL("NOW US Equity", "CF_CASH_FROM_OPER/1M", "FPR=2021Y", "FPT=A", "FA_ACT_EST_DATA=E, EST_SOURCE=EVR", "ACT_EST_MAPPING=PRECISE", "FS=MRC", "CURRENCY=USD", "XLFILL=b")</f>
        <v>#N/A Requesting Data...</v>
      </c>
      <c r="AC213" s="6" t="str">
        <f>_xll.BQL("NOW US Equity", "CF_CASH_FROM_OPER/1M", "FPR=2021Y", "FPT=A", "FA_ACT_EST_DATA=E, EST_SOURCE=BNS", "ACT_EST_MAPPING=PRECISE", "FS=MRC", "CURRENCY=USD", "XLFILL=b")</f>
        <v>#N/A Requesting Data...</v>
      </c>
      <c r="AD213" s="6" t="str">
        <f>_xll.BQL("NOW US Equity", "CF_CASH_FROM_OPER/1M", "FPR=2021Y", "FPT=A", "FA_ACT_EST_DATA=E, EST_SOURCE=BAM", "ACT_EST_MAPPING=PRECISE", "FS=MRC", "CURRENCY=USD", "XLFILL=b")</f>
        <v>#N/A Requesting Data...</v>
      </c>
      <c r="AE213" s="6" t="str">
        <f>_xll.BQL("NOW US Equity", "CF_CASH_FROM_OPER/1M", "FPR=2021Y", "FPT=A", "FA_ACT_EST_DATA=E, EST_SOURCE=GSR", "ACT_EST_MAPPING=PRECISE", "FS=MRC", "CURRENCY=USD", "XLFILL=b")</f>
        <v>#N/A Requesting Data...</v>
      </c>
      <c r="AF213" s="6" t="str">
        <f>_xll.BQL("NOW US Equity", "CF_CASH_FROM_OPER/1M", "FPR=2021Y", "FPT=A", "FA_ACT_EST_DATA=E, EST_SOURCE=FBC", "ACT_EST_MAPPING=PRECISE", "FS=MRC", "CURRENCY=USD", "XLFILL=b")</f>
        <v>#N/A Requesting Data...</v>
      </c>
      <c r="AG213" s="6" t="str">
        <f>_xll.BQL("NOW US Equity", "CF_CASH_FROM_OPER/1M", "FPR=2021Y", "FPT=A", "FA_ACT_EST_DATA=E, EST_SOURCE=MAC", "ACT_EST_MAPPING=PRECISE", "FS=MRC", "CURRENCY=USD", "XLFILL=b")</f>
        <v>#N/A Requesting Data...</v>
      </c>
      <c r="AH213" s="6" t="str">
        <f>_xll.BQL("NOW US Equity", "CF_CASH_FROM_OPER/1M", "FPR=2021Y", "FPT=A", "FA_ACT_EST_DATA=E, EST_SOURCE=PSG", "ACT_EST_MAPPING=PRECISE", "FS=MRC", "CURRENCY=USD", "XLFILL=b")</f>
        <v>#N/A Requesting Data...</v>
      </c>
      <c r="AI213" s="6" t="str">
        <f>_xll.BQL("NOW US Equity", "CF_CASH_FROM_OPER/1M", "FPR=2021Y", "FPT=A", "FA_ACT_EST_DATA=E, EST_SOURCE=MSR", "ACT_EST_MAPPING=PRECISE", "FS=MRC", "CURRENCY=USD", "XLFILL=b")</f>
        <v>#N/A Requesting Data...</v>
      </c>
      <c r="AJ213" s="6" t="str">
        <f>_xll.BQL("NOW US Equity", "CF_CASH_FROM_OPER/1M", "FPR=2021Y", "FPT=A", "FA_ACT_EST_DATA=E, EST_SOURCE=JEF", "ACT_EST_MAPPING=PRECISE", "FS=MRC", "CURRENCY=USD", "XLFILL=b")</f>
        <v>#N/A Requesting Data...</v>
      </c>
      <c r="AK213" s="6" t="str">
        <f>_xll.BQL("NOW US Equity", "CF_CASH_FROM_OPER/1M", "FPR=2021Y", "FPT=A", "FA_ACT_EST_DATA=E, EST_SOURCE=TTC", "ACT_EST_MAPPING=PRECISE", "FS=MRC", "CURRENCY=USD", "XLFILL=b")</f>
        <v>#N/A Requesting Data...</v>
      </c>
      <c r="AL213" s="6" t="str">
        <f>_xll.BQL("NOW US Equity", "CF_CASH_FROM_OPER/1M", "FPR=2021Y", "FPT=A", "FA_ACT_EST_DATA=E, EST_SOURCE=RWB", "ACT_EST_MAPPING=PRECISE", "FS=MRC", "CURRENCY=USD", "XLFILL=b")</f>
        <v>#N/A Requesting Data...</v>
      </c>
      <c r="AM213" s="6" t="str">
        <f>_xll.BQL("NOW US Equity", "CF_CASH_FROM_OPER/1M", "FPR=2021Y", "FPT=A", "FA_ACT_EST_DATA=E, EST_SOURCE=DZB", "ACT_EST_MAPPING=PRECISE", "FS=MRC", "CURRENCY=USD", "XLFILL=b")</f>
        <v>#N/A Requesting Data...</v>
      </c>
      <c r="AN213" s="6" t="str">
        <f>_xll.BQL("NOW US Equity", "CF_CASH_FROM_OPER/1M", "FPR=2021Y", "FPT=A", "FA_ACT_EST_DATA=E, EST_SOURCE=DWI", "ACT_EST_MAPPING=PRECISE", "FS=MRC", "CURRENCY=USD", "XLFILL=b")</f>
        <v>#N/A Requesting Data...</v>
      </c>
      <c r="AO213" s="6" t="str">
        <f>_xll.BQL("NOW US Equity", "CF_CASH_FROM_OPER/1M", "FPR=2021Y", "FPT=A", "FA_ACT_EST_DATA=E, EST_SOURCE=ARG", "ACT_EST_MAPPING=PRECISE", "FS=MRC", "CURRENCY=USD", "XLFILL=b")</f>
        <v>#N/A Requesting Data...</v>
      </c>
      <c r="AP213" s="6" t="str">
        <f>_xll.BQL("NOW US Equity", "CF_CASH_FROM_OPER/1M", "FPR=2021Y", "FPT=A", "FA_ACT_EST_DATA=E, EST_SOURCE=CTI", "ACT_EST_MAPPING=PRECISE", "FS=MRC", "CURRENCY=USD", "XLFILL=b")</f>
        <v>#N/A Requesting Data...</v>
      </c>
      <c r="AQ213" s="6" t="str">
        <f>_xll.BQL("NOW US Equity", "CF_CASH_FROM_OPER/1M", "FPR=2021Y", "FPT=A", "FA_ACT_EST_DATA=E, EST_SOURCE=WFT", "ACT_EST_MAPPING=PRECISE", "FS=MRC", "CURRENCY=USD", "XLFILL=b")</f>
        <v>#N/A Requesting Data...</v>
      </c>
      <c r="AR213" s="6" t="str">
        <f>_xll.BQL("NOW US Equity", "CF_CASH_FROM_OPER/1M", "FPR=2021Y", "FPT=A", "FA_ACT_EST_DATA=E, EST_SOURCE=ARE", "ACT_EST_MAPPING=PRECISE", "FS=MRC", "CURRENCY=USD", "XLFILL=b")</f>
        <v>#N/A Requesting Data...</v>
      </c>
      <c r="AS213" s="6" t="str">
        <f>_xll.BQL("NOW US Equity", "CF_CASH_FROM_OPER/1M", "FPR=2021Y", "FPT=A", "FA_ACT_EST_DATA=E, EST_SOURCE=PJE", "ACT_EST_MAPPING=PRECISE", "FS=MRC", "CURRENCY=USD", "XLFILL=b")</f>
        <v>#N/A Requesting Data...</v>
      </c>
      <c r="AT213" s="6" t="str">
        <f>_xll.BQL("NOW US Equity", "CF_CASH_FROM_OPER/1M", "FPR=2021Y", "FPT=A", "FA_ACT_EST_DATA=E, EST_SOURCE=MZS", "ACT_EST_MAPPING=PRECISE", "FS=MRC", "CURRENCY=USD", "XLFILL=b")</f>
        <v>#N/A Requesting Data...</v>
      </c>
      <c r="AU213" s="6" t="str">
        <f>_xll.BQL("NOW US Equity", "CF_CASH_FROM_OPER/1M", "FPR=2021Y", "FPT=A", "FA_ACT_EST_DATA=E, EST_SOURCE=SUM", "ACT_EST_MAPPING=PRECISE", "FS=MRC", "CURRENCY=USD", "XLFILL=b")</f>
        <v>#N/A Requesting Data...</v>
      </c>
      <c r="AV213" s="6" t="str">
        <f>_xll.BQL("NOW US Equity", "CF_CASH_FROM_OPER/1M", "FPR=2021Y", "FPT=A", "FA_ACT_EST_DATA=E, EST_SOURCE=CRC", "ACT_EST_MAPPING=PRECISE", "FS=MRC", "CURRENCY=USD", "XLFILL=b")</f>
        <v>#N/A Requesting Data...</v>
      </c>
      <c r="AW213" s="6" t="str">
        <f>_xll.BQL("NOW US Equity", "CF_CASH_FROM_OPER/1M", "FPR=2021Y", "FPT=A", "FA_ACT_EST_DATA=E, EST_SOURCE=SCB", "ACT_EST_MAPPING=PRECISE", "FS=MRC", "CURRENCY=USD", "XLFILL=b")</f>
        <v>#N/A Requesting Data...</v>
      </c>
    </row>
    <row r="214" spans="1:49" x14ac:dyDescent="0.55000000000000004">
      <c r="A214" s="5" t="s">
        <v>23</v>
      </c>
      <c r="B214" s="2"/>
      <c r="C214" s="2"/>
      <c r="D214" s="2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</row>
    <row r="215" spans="1:49" x14ac:dyDescent="0.55000000000000004">
      <c r="A215" s="5" t="s">
        <v>390</v>
      </c>
      <c r="B215" s="2"/>
      <c r="C215" s="2" t="s">
        <v>391</v>
      </c>
      <c r="D215" s="2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</row>
    <row r="216" spans="1:49" x14ac:dyDescent="0.55000000000000004">
      <c r="A216" s="5" t="s">
        <v>392</v>
      </c>
      <c r="B216" s="2" t="s">
        <v>393</v>
      </c>
      <c r="C216" s="2" t="s">
        <v>394</v>
      </c>
      <c r="D216" s="2"/>
      <c r="E216" s="6" t="str">
        <f>_xll.BQL("NOW US Equity", "CF_PURCHASE_OF_FIXED_PROD_ASSETS/1M", "FPR=2021Y", "FPT=A", "FA_ACT_EST_DATA=E", "ACT_EST_MAPPING=PRECISE", "FS=MRC", "CURRENCY=USD", "XLFILL=b")</f>
        <v>#N/A Requesting Data...</v>
      </c>
      <c r="F216" s="6" t="str">
        <f>_xll.BQL("NOW US Equity", "CONTRIBUTOR_STATS(CF_PURCHASE_OF_FIXED_PROD_ASSETS, MIN)/1M", "FPR=2021Y", "FPT=A", "FA_ACT_EST_DATA=E", "ACT_EST_MAPPING=PRECISE", "FS=MRC", "CURRENCY=USD", "XLFILL=b")</f>
        <v>#N/A Requesting Data...</v>
      </c>
      <c r="G216" s="6" t="str">
        <f>_xll.BQL("NOW US Equity", "CONTRIBUTOR_STATS(CF_PURCHASE_OF_FIXED_PROD_ASSETS, MAX)/1M", "FPR=2021Y", "FPT=A", "FA_ACT_EST_DATA=E", "ACT_EST_MAPPING=PRECISE", "FS=MRC", "CURRENCY=USD", "XLFILL=b")</f>
        <v>#N/A Requesting Data...</v>
      </c>
      <c r="H216" s="6" t="str">
        <f>_xll.BQL("NOW US Equity", "CONTRIBUTOR_STATS(CF_PURCHASE_OF_FIXED_PROD_ASSETS, STD)/1M", "FPR=2021Y", "FPT=A", "FA_ACT_EST_DATA=E", "ACT_EST_MAPPING=PRECISE", "FS=MRC", "CURRENCY=USD", "XLFILL=b")</f>
        <v>#N/A Requesting Data...</v>
      </c>
      <c r="I216" s="6">
        <f>_xll.BQL("NOW US Equity", "CONTRIBUTOR_STATS(CF_PURCHASE_OF_FIXED_PROD_ASSETS, MEDIAN)/1M", "FPR=2021Y", "FPT=A", "FA_ACT_EST_DATA=E", "ACT_EST_MAPPING=PRECISE", "FS=MRC", "CURRENCY=USD", "XLFILL=b")</f>
        <v>-403.20713242143751</v>
      </c>
      <c r="J216" s="6" t="str">
        <f>_xll.BQL("NOW US Equity", "CF_PURCHASE_OF_FIXED_PROD_ASSETS/1M", "FPR=2021Y", "FPT=A", "FA_ACT_EST_DATA=E, EST_SOURCE=CMPY", "ACT_EST_MAPPING=PRECISE", "FS=MRC", "CURRENCY=USD", "XLFILL=b")</f>
        <v>#N/A Requesting Data...</v>
      </c>
      <c r="K216" s="6" t="str">
        <f>_xll.BQL("NOW US Equity", "CF_PURCHASE_OF_FIXED_PROD_ASSETS/1M", "FPR=2021Y", "FPT=A", "FA_ACT_EST_DATA=E, EST_SOURCE=JPM", "ACT_EST_MAPPING=PRECISE", "FS=MRC", "CURRENCY=USD", "XLFILL=b")</f>
        <v>#N/A Requesting Data...</v>
      </c>
      <c r="L216" s="6" t="str">
        <f>_xll.BQL("NOW US Equity", "CF_PURCHASE_OF_FIXED_PROD_ASSETS/1M", "FPR=2021Y", "FPT=A", "FA_ACT_EST_DATA=E, EST_SOURCE=WBL", "ACT_EST_MAPPING=PRECISE", "FS=MRC", "CURRENCY=USD", "XLFILL=b")</f>
        <v>#N/A Requesting Data...</v>
      </c>
      <c r="M216" s="6" t="str">
        <f>_xll.BQL("NOW US Equity", "CF_PURCHASE_OF_FIXED_PROD_ASSETS/1M", "FPR=2021Y", "FPT=A", "FA_ACT_EST_DATA=E, EST_SOURCE=KEY", "ACT_EST_MAPPING=PRECISE", "FS=MRC", "CURRENCY=USD", "XLFILL=b")</f>
        <v>#N/A Requesting Data...</v>
      </c>
      <c r="N216" s="6" t="str">
        <f>_xll.BQL("NOW US Equity", "CF_PURCHASE_OF_FIXED_PROD_ASSETS/1M", "FPR=2021Y", "FPT=A", "FA_ACT_EST_DATA=E, EST_SOURCE=BMO", "ACT_EST_MAPPING=PRECISE", "FS=MRC", "CURRENCY=USD", "XLFILL=b")</f>
        <v>#N/A Requesting Data...</v>
      </c>
      <c r="O216" s="6" t="str">
        <f>_xll.BQL("NOW US Equity", "CF_PURCHASE_OF_FIXED_PROD_ASSETS/1M", "FPR=2021Y", "FPT=A", "FA_ACT_EST_DATA=E, EST_SOURCE=OPY", "ACT_EST_MAPPING=PRECISE", "FS=MRC", "CURRENCY=USD", "XLFILL=b")</f>
        <v>#N/A Requesting Data...</v>
      </c>
      <c r="P216" s="6" t="str">
        <f>_xll.BQL("NOW US Equity", "CF_PURCHASE_OF_FIXED_PROD_ASSETS/1M", "FPR=2021Y", "FPT=A", "FA_ACT_EST_DATA=E, EST_SOURCE=BCA", "ACT_EST_MAPPING=PRECISE", "FS=MRC", "CURRENCY=USD", "XLFILL=b")</f>
        <v>#N/A Requesting Data...</v>
      </c>
      <c r="Q216" s="6" t="str">
        <f>_xll.BQL("NOW US Equity", "CF_PURCHASE_OF_FIXED_PROD_ASSETS/1M", "FPR=2021Y", "FPT=A", "FA_ACT_EST_DATA=E, EST_SOURCE=RHR", "ACT_EST_MAPPING=PRECISE", "FS=MRC", "CURRENCY=USD", "XLFILL=b")</f>
        <v>#N/A Requesting Data...</v>
      </c>
      <c r="R216" s="6" t="str">
        <f>_xll.BQL("NOW US Equity", "CF_PURCHASE_OF_FIXED_PROD_ASSETS/1M", "FPR=2021Y", "FPT=A", "FA_ACT_EST_DATA=E, EST_SOURCE=SNR", "ACT_EST_MAPPING=PRECISE", "FS=MRC", "CURRENCY=USD", "XLFILL=b")</f>
        <v>#N/A Requesting Data...</v>
      </c>
      <c r="S216" s="6" t="str">
        <f>_xll.BQL("NOW US Equity", "CF_PURCHASE_OF_FIXED_PROD_ASSETS/1M", "FPR=2021Y", "FPT=A", "FA_ACT_EST_DATA=E, EST_SOURCE=MSV", "ACT_EST_MAPPING=PRECISE", "FS=MRC", "CURRENCY=USD", "XLFILL=b")</f>
        <v>#N/A Requesting Data...</v>
      </c>
      <c r="T216" s="6" t="str">
        <f>_xll.BQL("NOW US Equity", "CF_PURCHASE_OF_FIXED_PROD_ASSETS/1M", "FPR=2021Y", "FPT=A", "FA_ACT_EST_DATA=E, EST_SOURCE=CAN", "ACT_EST_MAPPING=PRECISE", "FS=MRC", "CURRENCY=USD", "XLFILL=b")</f>
        <v>#N/A Requesting Data...</v>
      </c>
      <c r="U216" s="6" t="str">
        <f>_xll.BQL("NOW US Equity", "CF_PURCHASE_OF_FIXED_PROD_ASSETS/1M", "FPR=2021Y", "FPT=A", "FA_ACT_EST_DATA=E, EST_SOURCE=JMP", "ACT_EST_MAPPING=PRECISE", "FS=MRC", "CURRENCY=USD", "XLFILL=b")</f>
        <v>#N/A Requesting Data...</v>
      </c>
      <c r="V216" s="6" t="str">
        <f>_xll.BQL("NOW US Equity", "CF_PURCHASE_OF_FIXED_PROD_ASSETS/1M", "FPR=2021Y", "FPT=A", "FA_ACT_EST_DATA=E, EST_SOURCE=NDH", "ACT_EST_MAPPING=PRECISE", "FS=MRC", "CURRENCY=USD", "XLFILL=b")</f>
        <v>#N/A Requesting Data...</v>
      </c>
      <c r="W216" s="6" t="str">
        <f>_xll.BQL("NOW US Equity", "CF_PURCHASE_OF_FIXED_PROD_ASSETS/1M", "FPR=2021Y", "FPT=A", "FA_ACT_EST_DATA=E, EST_SOURCE=ZXS", "ACT_EST_MAPPING=PRECISE", "FS=MRC", "CURRENCY=USD", "XLFILL=b")</f>
        <v>#N/A Requesting Data...</v>
      </c>
      <c r="X216" s="6" t="str">
        <f>_xll.BQL("NOW US Equity", "CF_PURCHASE_OF_FIXED_PROD_ASSETS/1M", "FPR=2021Y", "FPT=A", "FA_ACT_EST_DATA=E, EST_SOURCE=CWN", "ACT_EST_MAPPING=PRECISE", "FS=MRC", "CURRENCY=USD", "XLFILL=b")</f>
        <v>#N/A Requesting Data...</v>
      </c>
      <c r="Y216" s="6" t="str">
        <f>_xll.BQL("NOW US Equity", "CF_PURCHASE_OF_FIXED_PROD_ASSETS/1M", "FPR=2021Y", "FPT=A", "FA_ACT_EST_DATA=E, EST_SOURCE=DBG", "ACT_EST_MAPPING=PRECISE", "FS=MRC", "CURRENCY=USD", "XLFILL=b")</f>
        <v>#N/A Requesting Data...</v>
      </c>
      <c r="Z216" s="6" t="str">
        <f>_xll.BQL("NOW US Equity", "CF_PURCHASE_OF_FIXED_PROD_ASSETS/1M", "FPR=2021Y", "FPT=A", "FA_ACT_EST_DATA=E, EST_SOURCE=UBS", "ACT_EST_MAPPING=PRECISE", "FS=MRC", "CURRENCY=USD", "XLFILL=b")</f>
        <v>#N/A Requesting Data...</v>
      </c>
      <c r="AA216" s="6" t="str">
        <f>_xll.BQL("NOW US Equity", "CF_PURCHASE_OF_FIXED_PROD_ASSETS/1M", "FPR=2021Y", "FPT=A", "FA_ACT_EST_DATA=E, EST_SOURCE=RBC", "ACT_EST_MAPPING=PRECISE", "FS=MRC", "CURRENCY=USD", "XLFILL=b")</f>
        <v>#N/A Requesting Data...</v>
      </c>
      <c r="AB216" s="6" t="str">
        <f>_xll.BQL("NOW US Equity", "CF_PURCHASE_OF_FIXED_PROD_ASSETS/1M", "FPR=2021Y", "FPT=A", "FA_ACT_EST_DATA=E, EST_SOURCE=EVR", "ACT_EST_MAPPING=PRECISE", "FS=MRC", "CURRENCY=USD", "XLFILL=b")</f>
        <v>#N/A Requesting Data...</v>
      </c>
      <c r="AC216" s="6" t="str">
        <f>_xll.BQL("NOW US Equity", "CF_PURCHASE_OF_FIXED_PROD_ASSETS/1M", "FPR=2021Y", "FPT=A", "FA_ACT_EST_DATA=E, EST_SOURCE=BNS", "ACT_EST_MAPPING=PRECISE", "FS=MRC", "CURRENCY=USD", "XLFILL=b")</f>
        <v>#N/A Requesting Data...</v>
      </c>
      <c r="AD216" s="6" t="str">
        <f>_xll.BQL("NOW US Equity", "CF_PURCHASE_OF_FIXED_PROD_ASSETS/1M", "FPR=2021Y", "FPT=A", "FA_ACT_EST_DATA=E, EST_SOURCE=BAM", "ACT_EST_MAPPING=PRECISE", "FS=MRC", "CURRENCY=USD", "XLFILL=b")</f>
        <v>#N/A Requesting Data...</v>
      </c>
      <c r="AE216" s="6" t="str">
        <f>_xll.BQL("NOW US Equity", "CF_PURCHASE_OF_FIXED_PROD_ASSETS/1M", "FPR=2021Y", "FPT=A", "FA_ACT_EST_DATA=E, EST_SOURCE=GSR", "ACT_EST_MAPPING=PRECISE", "FS=MRC", "CURRENCY=USD", "XLFILL=b")</f>
        <v>#N/A Requesting Data...</v>
      </c>
      <c r="AF216" s="6" t="str">
        <f>_xll.BQL("NOW US Equity", "CF_PURCHASE_OF_FIXED_PROD_ASSETS/1M", "FPR=2021Y", "FPT=A", "FA_ACT_EST_DATA=E, EST_SOURCE=FBC", "ACT_EST_MAPPING=PRECISE", "FS=MRC", "CURRENCY=USD", "XLFILL=b")</f>
        <v>#N/A Requesting Data...</v>
      </c>
      <c r="AG216" s="6" t="str">
        <f>_xll.BQL("NOW US Equity", "CF_PURCHASE_OF_FIXED_PROD_ASSETS/1M", "FPR=2021Y", "FPT=A", "FA_ACT_EST_DATA=E, EST_SOURCE=MAC", "ACT_EST_MAPPING=PRECISE", "FS=MRC", "CURRENCY=USD", "XLFILL=b")</f>
        <v>#N/A Requesting Data...</v>
      </c>
      <c r="AH216" s="6" t="str">
        <f>_xll.BQL("NOW US Equity", "CF_PURCHASE_OF_FIXED_PROD_ASSETS/1M", "FPR=2021Y", "FPT=A", "FA_ACT_EST_DATA=E, EST_SOURCE=PSG", "ACT_EST_MAPPING=PRECISE", "FS=MRC", "CURRENCY=USD", "XLFILL=b")</f>
        <v>#N/A Requesting Data...</v>
      </c>
      <c r="AI216" s="6" t="str">
        <f>_xll.BQL("NOW US Equity", "CF_PURCHASE_OF_FIXED_PROD_ASSETS/1M", "FPR=2021Y", "FPT=A", "FA_ACT_EST_DATA=E, EST_SOURCE=MSR", "ACT_EST_MAPPING=PRECISE", "FS=MRC", "CURRENCY=USD", "XLFILL=b")</f>
        <v>#N/A Requesting Data...</v>
      </c>
      <c r="AJ216" s="6" t="str">
        <f>_xll.BQL("NOW US Equity", "CF_PURCHASE_OF_FIXED_PROD_ASSETS/1M", "FPR=2021Y", "FPT=A", "FA_ACT_EST_DATA=E, EST_SOURCE=JEF", "ACT_EST_MAPPING=PRECISE", "FS=MRC", "CURRENCY=USD", "XLFILL=b")</f>
        <v>#N/A Requesting Data...</v>
      </c>
      <c r="AK216" s="6" t="str">
        <f>_xll.BQL("NOW US Equity", "CF_PURCHASE_OF_FIXED_PROD_ASSETS/1M", "FPR=2021Y", "FPT=A", "FA_ACT_EST_DATA=E, EST_SOURCE=TTC", "ACT_EST_MAPPING=PRECISE", "FS=MRC", "CURRENCY=USD", "XLFILL=b")</f>
        <v>#N/A Requesting Data...</v>
      </c>
      <c r="AL216" s="6" t="str">
        <f>_xll.BQL("NOW US Equity", "CF_PURCHASE_OF_FIXED_PROD_ASSETS/1M", "FPR=2021Y", "FPT=A", "FA_ACT_EST_DATA=E, EST_SOURCE=RWB", "ACT_EST_MAPPING=PRECISE", "FS=MRC", "CURRENCY=USD", "XLFILL=b")</f>
        <v>#N/A Requesting Data...</v>
      </c>
      <c r="AM216" s="6" t="str">
        <f>_xll.BQL("NOW US Equity", "CF_PURCHASE_OF_FIXED_PROD_ASSETS/1M", "FPR=2021Y", "FPT=A", "FA_ACT_EST_DATA=E, EST_SOURCE=DZB", "ACT_EST_MAPPING=PRECISE", "FS=MRC", "CURRENCY=USD", "XLFILL=b")</f>
        <v>#N/A Requesting Data...</v>
      </c>
      <c r="AN216" s="6" t="str">
        <f>_xll.BQL("NOW US Equity", "CF_PURCHASE_OF_FIXED_PROD_ASSETS/1M", "FPR=2021Y", "FPT=A", "FA_ACT_EST_DATA=E, EST_SOURCE=DWI", "ACT_EST_MAPPING=PRECISE", "FS=MRC", "CURRENCY=USD", "XLFILL=b")</f>
        <v>#N/A Requesting Data...</v>
      </c>
      <c r="AO216" s="6" t="str">
        <f>_xll.BQL("NOW US Equity", "CF_PURCHASE_OF_FIXED_PROD_ASSETS/1M", "FPR=2021Y", "FPT=A", "FA_ACT_EST_DATA=E, EST_SOURCE=ARG", "ACT_EST_MAPPING=PRECISE", "FS=MRC", "CURRENCY=USD", "XLFILL=b")</f>
        <v>#N/A Requesting Data...</v>
      </c>
      <c r="AP216" s="6" t="str">
        <f>_xll.BQL("NOW US Equity", "CF_PURCHASE_OF_FIXED_PROD_ASSETS/1M", "FPR=2021Y", "FPT=A", "FA_ACT_EST_DATA=E, EST_SOURCE=CTI", "ACT_EST_MAPPING=PRECISE", "FS=MRC", "CURRENCY=USD", "XLFILL=b")</f>
        <v>#N/A Requesting Data...</v>
      </c>
      <c r="AQ216" s="6" t="str">
        <f>_xll.BQL("NOW US Equity", "CF_PURCHASE_OF_FIXED_PROD_ASSETS/1M", "FPR=2021Y", "FPT=A", "FA_ACT_EST_DATA=E, EST_SOURCE=WFT", "ACT_EST_MAPPING=PRECISE", "FS=MRC", "CURRENCY=USD", "XLFILL=b")</f>
        <v>#N/A Requesting Data...</v>
      </c>
      <c r="AR216" s="6" t="str">
        <f>_xll.BQL("NOW US Equity", "CF_PURCHASE_OF_FIXED_PROD_ASSETS/1M", "FPR=2021Y", "FPT=A", "FA_ACT_EST_DATA=E, EST_SOURCE=ARE", "ACT_EST_MAPPING=PRECISE", "FS=MRC", "CURRENCY=USD", "XLFILL=b")</f>
        <v>#N/A Requesting Data...</v>
      </c>
      <c r="AS216" s="6" t="str">
        <f>_xll.BQL("NOW US Equity", "CF_PURCHASE_OF_FIXED_PROD_ASSETS/1M", "FPR=2021Y", "FPT=A", "FA_ACT_EST_DATA=E, EST_SOURCE=PJE", "ACT_EST_MAPPING=PRECISE", "FS=MRC", "CURRENCY=USD", "XLFILL=b")</f>
        <v>#N/A Requesting Data...</v>
      </c>
      <c r="AT216" s="6" t="str">
        <f>_xll.BQL("NOW US Equity", "CF_PURCHASE_OF_FIXED_PROD_ASSETS/1M", "FPR=2021Y", "FPT=A", "FA_ACT_EST_DATA=E, EST_SOURCE=MZS", "ACT_EST_MAPPING=PRECISE", "FS=MRC", "CURRENCY=USD", "XLFILL=b")</f>
        <v>#N/A Requesting Data...</v>
      </c>
      <c r="AU216" s="6" t="str">
        <f>_xll.BQL("NOW US Equity", "CF_PURCHASE_OF_FIXED_PROD_ASSETS/1M", "FPR=2021Y", "FPT=A", "FA_ACT_EST_DATA=E, EST_SOURCE=SUM", "ACT_EST_MAPPING=PRECISE", "FS=MRC", "CURRENCY=USD", "XLFILL=b")</f>
        <v>#N/A Requesting Data...</v>
      </c>
      <c r="AV216" s="6" t="str">
        <f>_xll.BQL("NOW US Equity", "CF_PURCHASE_OF_FIXED_PROD_ASSETS/1M", "FPR=2021Y", "FPT=A", "FA_ACT_EST_DATA=E, EST_SOURCE=CRC", "ACT_EST_MAPPING=PRECISE", "FS=MRC", "CURRENCY=USD", "XLFILL=b")</f>
        <v>#N/A Requesting Data...</v>
      </c>
      <c r="AW216" s="6" t="str">
        <f>_xll.BQL("NOW US Equity", "CF_PURCHASE_OF_FIXED_PROD_ASSETS/1M", "FPR=2021Y", "FPT=A", "FA_ACT_EST_DATA=E, EST_SOURCE=SCB", "ACT_EST_MAPPING=PRECISE", "FS=MRC", "CURRENCY=USD", "XLFILL=b")</f>
        <v>#N/A Requesting Data...</v>
      </c>
    </row>
    <row r="217" spans="1:49" x14ac:dyDescent="0.55000000000000004">
      <c r="A217" s="5" t="s">
        <v>104</v>
      </c>
      <c r="B217" s="2" t="s">
        <v>395</v>
      </c>
      <c r="C217" s="2" t="s">
        <v>63</v>
      </c>
      <c r="D217" s="2"/>
      <c r="E217" s="6" t="str">
        <f>_xll.BQL("NOW US Equity", "CAP_EXPEND_TO_SALES", "FPR=2021Y", "FPT=A", "FA_ACT_EST_DATA=E", "ACT_EST_MAPPING=PRECISE", "FS=MRC", "CURRENCY=USD", "XLFILL=b")</f>
        <v>#N/A Requesting Data...</v>
      </c>
      <c r="F217" s="6" t="str">
        <f>_xll.BQL("NOW US Equity", "CONTRIBUTOR_STATS(CAP_EXPEND_TO_SALES, MIN)", "FPR=2021Y", "FPT=A", "FA_ACT_EST_DATA=E", "ACT_EST_MAPPING=PRECISE", "FS=MRC", "CURRENCY=USD", "XLFILL=b")</f>
        <v>#N/A Requesting Data...</v>
      </c>
      <c r="G217" s="6" t="str">
        <f>_xll.BQL("NOW US Equity", "CONTRIBUTOR_STATS(CAP_EXPEND_TO_SALES, MAX)", "FPR=2021Y", "FPT=A", "FA_ACT_EST_DATA=E", "ACT_EST_MAPPING=PRECISE", "FS=MRC", "CURRENCY=USD", "XLFILL=b")</f>
        <v>#N/A Requesting Data...</v>
      </c>
      <c r="H217" s="6" t="str">
        <f>_xll.BQL("NOW US Equity", "CONTRIBUTOR_STATS(CAP_EXPEND_TO_SALES, STD)", "FPR=2021Y", "FPT=A", "FA_ACT_EST_DATA=E", "ACT_EST_MAPPING=PRECISE", "FS=MRC", "CURRENCY=USD", "XLFILL=b")</f>
        <v>#N/A Requesting Data...</v>
      </c>
      <c r="I217" s="6" t="str">
        <f>_xll.BQL("NOW US Equity", "CONTRIBUTOR_STATS(CAP_EXPEND_TO_SALES, MEDIAN)", "FPR=2021Y", "FPT=A", "FA_ACT_EST_DATA=E", "ACT_EST_MAPPING=PRECISE", "FS=MRC", "CURRENCY=USD", "XLFILL=b")</f>
        <v>#N/A Requesting Data...</v>
      </c>
      <c r="J217" s="6" t="str">
        <f>_xll.BQL("NOW US Equity", "CAP_EXPEND_TO_SALES", "FPR=2021Y", "FPT=A", "FA_ACT_EST_DATA=E, EST_SOURCE=CMPY", "ACT_EST_MAPPING=PRECISE", "FS=MRC", "CURRENCY=USD", "XLFILL=b")</f>
        <v>#N/A Requesting Data...</v>
      </c>
      <c r="K217" s="6" t="str">
        <f>_xll.BQL("NOW US Equity", "CAP_EXPEND_TO_SALES", "FPR=2021Y", "FPT=A", "FA_ACT_EST_DATA=E, EST_SOURCE=JPM", "ACT_EST_MAPPING=PRECISE", "FS=MRC", "CURRENCY=USD", "XLFILL=b")</f>
        <v>#N/A Requesting Data...</v>
      </c>
      <c r="L217" s="6" t="str">
        <f>_xll.BQL("NOW US Equity", "CAP_EXPEND_TO_SALES", "FPR=2021Y", "FPT=A", "FA_ACT_EST_DATA=E, EST_SOURCE=WBL", "ACT_EST_MAPPING=PRECISE", "FS=MRC", "CURRENCY=USD", "XLFILL=b")</f>
        <v>#N/A Requesting Data...</v>
      </c>
      <c r="M217" s="6" t="str">
        <f>_xll.BQL("NOW US Equity", "CAP_EXPEND_TO_SALES", "FPR=2021Y", "FPT=A", "FA_ACT_EST_DATA=E, EST_SOURCE=KEY", "ACT_EST_MAPPING=PRECISE", "FS=MRC", "CURRENCY=USD", "XLFILL=b")</f>
        <v>#N/A Requesting Data...</v>
      </c>
      <c r="N217" s="6" t="str">
        <f>_xll.BQL("NOW US Equity", "CAP_EXPEND_TO_SALES", "FPR=2021Y", "FPT=A", "FA_ACT_EST_DATA=E, EST_SOURCE=BMO", "ACT_EST_MAPPING=PRECISE", "FS=MRC", "CURRENCY=USD", "XLFILL=b")</f>
        <v>#N/A Requesting Data...</v>
      </c>
      <c r="O217" s="6" t="str">
        <f>_xll.BQL("NOW US Equity", "CAP_EXPEND_TO_SALES", "FPR=2021Y", "FPT=A", "FA_ACT_EST_DATA=E, EST_SOURCE=OPY", "ACT_EST_MAPPING=PRECISE", "FS=MRC", "CURRENCY=USD", "XLFILL=b")</f>
        <v>#N/A Requesting Data...</v>
      </c>
      <c r="P217" s="6" t="str">
        <f>_xll.BQL("NOW US Equity", "CAP_EXPEND_TO_SALES", "FPR=2021Y", "FPT=A", "FA_ACT_EST_DATA=E, EST_SOURCE=BCA", "ACT_EST_MAPPING=PRECISE", "FS=MRC", "CURRENCY=USD", "XLFILL=b")</f>
        <v>#N/A Requesting Data...</v>
      </c>
      <c r="Q217" s="6" t="str">
        <f>_xll.BQL("NOW US Equity", "CAP_EXPEND_TO_SALES", "FPR=2021Y", "FPT=A", "FA_ACT_EST_DATA=E, EST_SOURCE=RHR", "ACT_EST_MAPPING=PRECISE", "FS=MRC", "CURRENCY=USD", "XLFILL=b")</f>
        <v>#N/A Requesting Data...</v>
      </c>
      <c r="R217" s="6" t="str">
        <f>_xll.BQL("NOW US Equity", "CAP_EXPEND_TO_SALES", "FPR=2021Y", "FPT=A", "FA_ACT_EST_DATA=E, EST_SOURCE=SNR", "ACT_EST_MAPPING=PRECISE", "FS=MRC", "CURRENCY=USD", "XLFILL=b")</f>
        <v>#N/A Requesting Data...</v>
      </c>
      <c r="S217" s="6" t="str">
        <f>_xll.BQL("NOW US Equity", "CAP_EXPEND_TO_SALES", "FPR=2021Y", "FPT=A", "FA_ACT_EST_DATA=E, EST_SOURCE=MSV", "ACT_EST_MAPPING=PRECISE", "FS=MRC", "CURRENCY=USD", "XLFILL=b")</f>
        <v>#N/A Requesting Data...</v>
      </c>
      <c r="T217" s="6" t="str">
        <f>_xll.BQL("NOW US Equity", "CAP_EXPEND_TO_SALES", "FPR=2021Y", "FPT=A", "FA_ACT_EST_DATA=E, EST_SOURCE=CAN", "ACT_EST_MAPPING=PRECISE", "FS=MRC", "CURRENCY=USD", "XLFILL=b")</f>
        <v>#N/A Requesting Data...</v>
      </c>
      <c r="U217" s="6" t="str">
        <f>_xll.BQL("NOW US Equity", "CAP_EXPEND_TO_SALES", "FPR=2021Y", "FPT=A", "FA_ACT_EST_DATA=E, EST_SOURCE=JMP", "ACT_EST_MAPPING=PRECISE", "FS=MRC", "CURRENCY=USD", "XLFILL=b")</f>
        <v>#N/A Requesting Data...</v>
      </c>
      <c r="V217" s="6" t="str">
        <f>_xll.BQL("NOW US Equity", "CAP_EXPEND_TO_SALES", "FPR=2021Y", "FPT=A", "FA_ACT_EST_DATA=E, EST_SOURCE=NDH", "ACT_EST_MAPPING=PRECISE", "FS=MRC", "CURRENCY=USD", "XLFILL=b")</f>
        <v>#N/A Requesting Data...</v>
      </c>
      <c r="W217" s="6" t="str">
        <f>_xll.BQL("NOW US Equity", "CAP_EXPEND_TO_SALES", "FPR=2021Y", "FPT=A", "FA_ACT_EST_DATA=E, EST_SOURCE=ZXS", "ACT_EST_MAPPING=PRECISE", "FS=MRC", "CURRENCY=USD", "XLFILL=b")</f>
        <v/>
      </c>
      <c r="X217" s="6" t="str">
        <f>_xll.BQL("NOW US Equity", "CAP_EXPEND_TO_SALES", "FPR=2021Y", "FPT=A", "FA_ACT_EST_DATA=E, EST_SOURCE=CWN", "ACT_EST_MAPPING=PRECISE", "FS=MRC", "CURRENCY=USD", "XLFILL=b")</f>
        <v>#N/A Requesting Data...</v>
      </c>
      <c r="Y217" s="6" t="str">
        <f>_xll.BQL("NOW US Equity", "CAP_EXPEND_TO_SALES", "FPR=2021Y", "FPT=A", "FA_ACT_EST_DATA=E, EST_SOURCE=DBG", "ACT_EST_MAPPING=PRECISE", "FS=MRC", "CURRENCY=USD", "XLFILL=b")</f>
        <v>#N/A Requesting Data...</v>
      </c>
      <c r="Z217" s="6" t="str">
        <f>_xll.BQL("NOW US Equity", "CAP_EXPEND_TO_SALES", "FPR=2021Y", "FPT=A", "FA_ACT_EST_DATA=E, EST_SOURCE=UBS", "ACT_EST_MAPPING=PRECISE", "FS=MRC", "CURRENCY=USD", "XLFILL=b")</f>
        <v>#N/A Requesting Data...</v>
      </c>
      <c r="AA217" s="6" t="str">
        <f>_xll.BQL("NOW US Equity", "CAP_EXPEND_TO_SALES", "FPR=2021Y", "FPT=A", "FA_ACT_EST_DATA=E, EST_SOURCE=RBC", "ACT_EST_MAPPING=PRECISE", "FS=MRC", "CURRENCY=USD", "XLFILL=b")</f>
        <v>#N/A Requesting Data...</v>
      </c>
      <c r="AB217" s="6" t="str">
        <f>_xll.BQL("NOW US Equity", "CAP_EXPEND_TO_SALES", "FPR=2021Y", "FPT=A", "FA_ACT_EST_DATA=E, EST_SOURCE=EVR", "ACT_EST_MAPPING=PRECISE", "FS=MRC", "CURRENCY=USD", "XLFILL=b")</f>
        <v>#N/A Requesting Data...</v>
      </c>
      <c r="AC217" s="6" t="str">
        <f>_xll.BQL("NOW US Equity", "CAP_EXPEND_TO_SALES", "FPR=2021Y", "FPT=A", "FA_ACT_EST_DATA=E, EST_SOURCE=BNS", "ACT_EST_MAPPING=PRECISE", "FS=MRC", "CURRENCY=USD", "XLFILL=b")</f>
        <v>#N/A Requesting Data...</v>
      </c>
      <c r="AD217" s="6" t="str">
        <f>_xll.BQL("NOW US Equity", "CAP_EXPEND_TO_SALES", "FPR=2021Y", "FPT=A", "FA_ACT_EST_DATA=E, EST_SOURCE=BAM", "ACT_EST_MAPPING=PRECISE", "FS=MRC", "CURRENCY=USD", "XLFILL=b")</f>
        <v>#N/A Requesting Data...</v>
      </c>
      <c r="AE217" s="6" t="str">
        <f>_xll.BQL("NOW US Equity", "CAP_EXPEND_TO_SALES", "FPR=2021Y", "FPT=A", "FA_ACT_EST_DATA=E, EST_SOURCE=GSR", "ACT_EST_MAPPING=PRECISE", "FS=MRC", "CURRENCY=USD", "XLFILL=b")</f>
        <v>#N/A Requesting Data...</v>
      </c>
      <c r="AF217" s="6" t="str">
        <f>_xll.BQL("NOW US Equity", "CAP_EXPEND_TO_SALES", "FPR=2021Y", "FPT=A", "FA_ACT_EST_DATA=E, EST_SOURCE=FBC", "ACT_EST_MAPPING=PRECISE", "FS=MRC", "CURRENCY=USD", "XLFILL=b")</f>
        <v>#N/A Requesting Data...</v>
      </c>
      <c r="AG217" s="6" t="str">
        <f>_xll.BQL("NOW US Equity", "CAP_EXPEND_TO_SALES", "FPR=2021Y", "FPT=A", "FA_ACT_EST_DATA=E, EST_SOURCE=MAC", "ACT_EST_MAPPING=PRECISE", "FS=MRC", "CURRENCY=USD", "XLFILL=b")</f>
        <v>#N/A Requesting Data...</v>
      </c>
      <c r="AH217" s="6" t="str">
        <f>_xll.BQL("NOW US Equity", "CAP_EXPEND_TO_SALES", "FPR=2021Y", "FPT=A", "FA_ACT_EST_DATA=E, EST_SOURCE=PSG", "ACT_EST_MAPPING=PRECISE", "FS=MRC", "CURRENCY=USD", "XLFILL=b")</f>
        <v>#N/A Requesting Data...</v>
      </c>
      <c r="AI217" s="6" t="str">
        <f>_xll.BQL("NOW US Equity", "CAP_EXPEND_TO_SALES", "FPR=2021Y", "FPT=A", "FA_ACT_EST_DATA=E, EST_SOURCE=MSR", "ACT_EST_MAPPING=PRECISE", "FS=MRC", "CURRENCY=USD", "XLFILL=b")</f>
        <v>#N/A Requesting Data...</v>
      </c>
      <c r="AJ217" s="6" t="str">
        <f>_xll.BQL("NOW US Equity", "CAP_EXPEND_TO_SALES", "FPR=2021Y", "FPT=A", "FA_ACT_EST_DATA=E, EST_SOURCE=JEF", "ACT_EST_MAPPING=PRECISE", "FS=MRC", "CURRENCY=USD", "XLFILL=b")</f>
        <v>#N/A Requesting Data...</v>
      </c>
      <c r="AK217" s="6" t="str">
        <f>_xll.BQL("NOW US Equity", "CAP_EXPEND_TO_SALES", "FPR=2021Y", "FPT=A", "FA_ACT_EST_DATA=E, EST_SOURCE=TTC", "ACT_EST_MAPPING=PRECISE", "FS=MRC", "CURRENCY=USD", "XLFILL=b")</f>
        <v>#N/A Requesting Data...</v>
      </c>
      <c r="AL217" s="6" t="str">
        <f>_xll.BQL("NOW US Equity", "CAP_EXPEND_TO_SALES", "FPR=2021Y", "FPT=A", "FA_ACT_EST_DATA=E, EST_SOURCE=RWB", "ACT_EST_MAPPING=PRECISE", "FS=MRC", "CURRENCY=USD", "XLFILL=b")</f>
        <v>#N/A Requesting Data...</v>
      </c>
      <c r="AM217" s="6" t="str">
        <f>_xll.BQL("NOW US Equity", "CAP_EXPEND_TO_SALES", "FPR=2021Y", "FPT=A", "FA_ACT_EST_DATA=E, EST_SOURCE=DZB", "ACT_EST_MAPPING=PRECISE", "FS=MRC", "CURRENCY=USD", "XLFILL=b")</f>
        <v/>
      </c>
      <c r="AN217" s="6" t="str">
        <f>_xll.BQL("NOW US Equity", "CAP_EXPEND_TO_SALES", "FPR=2021Y", "FPT=A", "FA_ACT_EST_DATA=E, EST_SOURCE=DWI", "ACT_EST_MAPPING=PRECISE", "FS=MRC", "CURRENCY=USD", "XLFILL=b")</f>
        <v>#N/A Requesting Data...</v>
      </c>
      <c r="AO217" s="6" t="str">
        <f>_xll.BQL("NOW US Equity", "CAP_EXPEND_TO_SALES", "FPR=2021Y", "FPT=A", "FA_ACT_EST_DATA=E, EST_SOURCE=ARG", "ACT_EST_MAPPING=PRECISE", "FS=MRC", "CURRENCY=USD", "XLFILL=b")</f>
        <v>#N/A Requesting Data...</v>
      </c>
      <c r="AP217" s="6" t="str">
        <f>_xll.BQL("NOW US Equity", "CAP_EXPEND_TO_SALES", "FPR=2021Y", "FPT=A", "FA_ACT_EST_DATA=E, EST_SOURCE=CTI", "ACT_EST_MAPPING=PRECISE", "FS=MRC", "CURRENCY=USD", "XLFILL=b")</f>
        <v>#N/A Requesting Data...</v>
      </c>
      <c r="AQ217" s="6" t="str">
        <f>_xll.BQL("NOW US Equity", "CAP_EXPEND_TO_SALES", "FPR=2021Y", "FPT=A", "FA_ACT_EST_DATA=E, EST_SOURCE=WFT", "ACT_EST_MAPPING=PRECISE", "FS=MRC", "CURRENCY=USD", "XLFILL=b")</f>
        <v>#N/A Requesting Data...</v>
      </c>
      <c r="AR217" s="6" t="str">
        <f>_xll.BQL("NOW US Equity", "CAP_EXPEND_TO_SALES", "FPR=2021Y", "FPT=A", "FA_ACT_EST_DATA=E, EST_SOURCE=ARE", "ACT_EST_MAPPING=PRECISE", "FS=MRC", "CURRENCY=USD", "XLFILL=b")</f>
        <v>#N/A Requesting Data...</v>
      </c>
      <c r="AS217" s="6" t="str">
        <f>_xll.BQL("NOW US Equity", "CAP_EXPEND_TO_SALES", "FPR=2021Y", "FPT=A", "FA_ACT_EST_DATA=E, EST_SOURCE=PJE", "ACT_EST_MAPPING=PRECISE", "FS=MRC", "CURRENCY=USD", "XLFILL=b")</f>
        <v>#N/A Requesting Data...</v>
      </c>
      <c r="AT217" s="6" t="str">
        <f>_xll.BQL("NOW US Equity", "CAP_EXPEND_TO_SALES", "FPR=2021Y", "FPT=A", "FA_ACT_EST_DATA=E, EST_SOURCE=MZS", "ACT_EST_MAPPING=PRECISE", "FS=MRC", "CURRENCY=USD", "XLFILL=b")</f>
        <v/>
      </c>
      <c r="AU217" s="6" t="str">
        <f>_xll.BQL("NOW US Equity", "CAP_EXPEND_TO_SALES", "FPR=2021Y", "FPT=A", "FA_ACT_EST_DATA=E, EST_SOURCE=SUM", "ACT_EST_MAPPING=PRECISE", "FS=MRC", "CURRENCY=USD", "XLFILL=b")</f>
        <v>#N/A Requesting Data...</v>
      </c>
      <c r="AV217" s="6" t="str">
        <f>_xll.BQL("NOW US Equity", "CAP_EXPEND_TO_SALES", "FPR=2021Y", "FPT=A", "FA_ACT_EST_DATA=E, EST_SOURCE=CRC", "ACT_EST_MAPPING=PRECISE", "FS=MRC", "CURRENCY=USD", "XLFILL=b")</f>
        <v>#N/A Requesting Data...</v>
      </c>
      <c r="AW217" s="6" t="str">
        <f>_xll.BQL("NOW US Equity", "CAP_EXPEND_TO_SALES", "FPR=2021Y", "FPT=A", "FA_ACT_EST_DATA=E, EST_SOURCE=SCB", "ACT_EST_MAPPING=PRECISE", "FS=MRC", "CURRENCY=USD", "XLFILL=b")</f>
        <v>#N/A Requesting Data...</v>
      </c>
    </row>
    <row r="218" spans="1:49" x14ac:dyDescent="0.55000000000000004">
      <c r="A218" s="5" t="s">
        <v>396</v>
      </c>
      <c r="B218" s="2" t="s">
        <v>397</v>
      </c>
      <c r="C218" s="2" t="s">
        <v>398</v>
      </c>
      <c r="D218" s="2"/>
      <c r="E218" s="6" t="str">
        <f>_xll.BQL("NOW US Equity", "CF_ACQUISITION_OF_INTANG_ASSETS/1M", "FPR=2021Y", "FPT=A", "FA_ACT_EST_DATA=E", "ACT_EST_MAPPING=PRECISE", "FS=MRC", "CURRENCY=USD", "XLFILL=b")</f>
        <v>#N/A Requesting Data...</v>
      </c>
      <c r="F218" s="6" t="str">
        <f>_xll.BQL("NOW US Equity", "CONTRIBUTOR_STATS(CF_ACQUISITION_OF_INTANG_ASSETS, MIN)/1M", "FPR=2021Y", "FPT=A", "FA_ACT_EST_DATA=E", "ACT_EST_MAPPING=PRECISE", "FS=MRC", "CURRENCY=USD", "XLFILL=b")</f>
        <v>#N/A Requesting Data...</v>
      </c>
      <c r="G218" s="6" t="str">
        <f>_xll.BQL("NOW US Equity", "CONTRIBUTOR_STATS(CF_ACQUISITION_OF_INTANG_ASSETS, MAX)/1M", "FPR=2021Y", "FPT=A", "FA_ACT_EST_DATA=E", "ACT_EST_MAPPING=PRECISE", "FS=MRC", "CURRENCY=USD", "XLFILL=b")</f>
        <v>#N/A Requesting Data...</v>
      </c>
      <c r="H218" s="6" t="str">
        <f>_xll.BQL("NOW US Equity", "CONTRIBUTOR_STATS(CF_ACQUISITION_OF_INTANG_ASSETS, STD)/1M", "FPR=2021Y", "FPT=A", "FA_ACT_EST_DATA=E", "ACT_EST_MAPPING=PRECISE", "FS=MRC", "CURRENCY=USD", "XLFILL=b")</f>
        <v>#N/A Requesting Data...</v>
      </c>
      <c r="I218" s="6" t="str">
        <f>_xll.BQL("NOW US Equity", "CONTRIBUTOR_STATS(CF_ACQUISITION_OF_INTANG_ASSETS, MEDIAN)/1M", "FPR=2021Y", "FPT=A", "FA_ACT_EST_DATA=E", "ACT_EST_MAPPING=PRECISE", "FS=MRC", "CURRENCY=USD", "XLFILL=b")</f>
        <v>#N/A Requesting Data...</v>
      </c>
      <c r="J218" s="6" t="str">
        <f>_xll.BQL("NOW US Equity", "CF_ACQUISITION_OF_INTANG_ASSETS/1M", "FPR=2021Y", "FPT=A", "FA_ACT_EST_DATA=E, EST_SOURCE=CMPY", "ACT_EST_MAPPING=PRECISE", "FS=MRC", "CURRENCY=USD", "XLFILL=b")</f>
        <v>#N/A Requesting Data...</v>
      </c>
      <c r="K218" s="6" t="str">
        <f>_xll.BQL("NOW US Equity", "CF_ACQUISITION_OF_INTANG_ASSETS/1M", "FPR=2021Y", "FPT=A", "FA_ACT_EST_DATA=E, EST_SOURCE=JPM", "ACT_EST_MAPPING=PRECISE", "FS=MRC", "CURRENCY=USD", "XLFILL=b")</f>
        <v>#N/A Requesting Data...</v>
      </c>
      <c r="L218" s="6" t="str">
        <f>_xll.BQL("NOW US Equity", "CF_ACQUISITION_OF_INTANG_ASSETS/1M", "FPR=2021Y", "FPT=A", "FA_ACT_EST_DATA=E, EST_SOURCE=WBL", "ACT_EST_MAPPING=PRECISE", "FS=MRC", "CURRENCY=USD", "XLFILL=b")</f>
        <v>#N/A Requesting Data...</v>
      </c>
      <c r="M218" s="6" t="str">
        <f>_xll.BQL("NOW US Equity", "CF_ACQUISITION_OF_INTANG_ASSETS/1M", "FPR=2021Y", "FPT=A", "FA_ACT_EST_DATA=E, EST_SOURCE=KEY", "ACT_EST_MAPPING=PRECISE", "FS=MRC", "CURRENCY=USD", "XLFILL=b")</f>
        <v>#N/A Requesting Data...</v>
      </c>
      <c r="N218" s="6" t="str">
        <f>_xll.BQL("NOW US Equity", "CF_ACQUISITION_OF_INTANG_ASSETS/1M", "FPR=2021Y", "FPT=A", "FA_ACT_EST_DATA=E, EST_SOURCE=BMO", "ACT_EST_MAPPING=PRECISE", "FS=MRC", "CURRENCY=USD", "XLFILL=b")</f>
        <v>#N/A Requesting Data...</v>
      </c>
      <c r="O218" s="6" t="str">
        <f>_xll.BQL("NOW US Equity", "CF_ACQUISITION_OF_INTANG_ASSETS/1M", "FPR=2021Y", "FPT=A", "FA_ACT_EST_DATA=E, EST_SOURCE=OPY", "ACT_EST_MAPPING=PRECISE", "FS=MRC", "CURRENCY=USD", "XLFILL=b")</f>
        <v>#N/A Requesting Data...</v>
      </c>
      <c r="P218" s="6" t="str">
        <f>_xll.BQL("NOW US Equity", "CF_ACQUISITION_OF_INTANG_ASSETS/1M", "FPR=2021Y", "FPT=A", "FA_ACT_EST_DATA=E, EST_SOURCE=BCA", "ACT_EST_MAPPING=PRECISE", "FS=MRC", "CURRENCY=USD", "XLFILL=b")</f>
        <v>#N/A Requesting Data...</v>
      </c>
      <c r="Q218" s="6" t="str">
        <f>_xll.BQL("NOW US Equity", "CF_ACQUISITION_OF_INTANG_ASSETS/1M", "FPR=2021Y", "FPT=A", "FA_ACT_EST_DATA=E, EST_SOURCE=RHR", "ACT_EST_MAPPING=PRECISE", "FS=MRC", "CURRENCY=USD", "XLFILL=b")</f>
        <v>#N/A Requesting Data...</v>
      </c>
      <c r="R218" s="6" t="str">
        <f>_xll.BQL("NOW US Equity", "CF_ACQUISITION_OF_INTANG_ASSETS/1M", "FPR=2021Y", "FPT=A", "FA_ACT_EST_DATA=E, EST_SOURCE=SNR", "ACT_EST_MAPPING=PRECISE", "FS=MRC", "CURRENCY=USD", "XLFILL=b")</f>
        <v>#N/A Requesting Data...</v>
      </c>
      <c r="S218" s="6" t="str">
        <f>_xll.BQL("NOW US Equity", "CF_ACQUISITION_OF_INTANG_ASSETS/1M", "FPR=2021Y", "FPT=A", "FA_ACT_EST_DATA=E, EST_SOURCE=MSV", "ACT_EST_MAPPING=PRECISE", "FS=MRC", "CURRENCY=USD", "XLFILL=b")</f>
        <v>#N/A Requesting Data...</v>
      </c>
      <c r="T218" s="6" t="str">
        <f>_xll.BQL("NOW US Equity", "CF_ACQUISITION_OF_INTANG_ASSETS/1M", "FPR=2021Y", "FPT=A", "FA_ACT_EST_DATA=E, EST_SOURCE=CAN", "ACT_EST_MAPPING=PRECISE", "FS=MRC", "CURRENCY=USD", "XLFILL=b")</f>
        <v>#N/A Requesting Data...</v>
      </c>
      <c r="U218" s="6" t="str">
        <f>_xll.BQL("NOW US Equity", "CF_ACQUISITION_OF_INTANG_ASSETS/1M", "FPR=2021Y", "FPT=A", "FA_ACT_EST_DATA=E, EST_SOURCE=JMP", "ACT_EST_MAPPING=PRECISE", "FS=MRC", "CURRENCY=USD", "XLFILL=b")</f>
        <v>#N/A Requesting Data...</v>
      </c>
      <c r="V218" s="6" t="str">
        <f>_xll.BQL("NOW US Equity", "CF_ACQUISITION_OF_INTANG_ASSETS/1M", "FPR=2021Y", "FPT=A", "FA_ACT_EST_DATA=E, EST_SOURCE=NDH", "ACT_EST_MAPPING=PRECISE", "FS=MRC", "CURRENCY=USD", "XLFILL=b")</f>
        <v>#N/A Requesting Data...</v>
      </c>
      <c r="W218" s="6" t="str">
        <f>_xll.BQL("NOW US Equity", "CF_ACQUISITION_OF_INTANG_ASSETS/1M", "FPR=2021Y", "FPT=A", "FA_ACT_EST_DATA=E, EST_SOURCE=ZXS", "ACT_EST_MAPPING=PRECISE", "FS=MRC", "CURRENCY=USD", "XLFILL=b")</f>
        <v>#N/A Requesting Data...</v>
      </c>
      <c r="X218" s="6" t="str">
        <f>_xll.BQL("NOW US Equity", "CF_ACQUISITION_OF_INTANG_ASSETS/1M", "FPR=2021Y", "FPT=A", "FA_ACT_EST_DATA=E, EST_SOURCE=CWN", "ACT_EST_MAPPING=PRECISE", "FS=MRC", "CURRENCY=USD", "XLFILL=b")</f>
        <v>#N/A Requesting Data...</v>
      </c>
      <c r="Y218" s="6" t="str">
        <f>_xll.BQL("NOW US Equity", "CF_ACQUISITION_OF_INTANG_ASSETS/1M", "FPR=2021Y", "FPT=A", "FA_ACT_EST_DATA=E, EST_SOURCE=DBG", "ACT_EST_MAPPING=PRECISE", "FS=MRC", "CURRENCY=USD", "XLFILL=b")</f>
        <v>#N/A Requesting Data...</v>
      </c>
      <c r="Z218" s="6" t="str">
        <f>_xll.BQL("NOW US Equity", "CF_ACQUISITION_OF_INTANG_ASSETS/1M", "FPR=2021Y", "FPT=A", "FA_ACT_EST_DATA=E, EST_SOURCE=UBS", "ACT_EST_MAPPING=PRECISE", "FS=MRC", "CURRENCY=USD", "XLFILL=b")</f>
        <v>#N/A Requesting Data...</v>
      </c>
      <c r="AA218" s="6" t="str">
        <f>_xll.BQL("NOW US Equity", "CF_ACQUISITION_OF_INTANG_ASSETS/1M", "FPR=2021Y", "FPT=A", "FA_ACT_EST_DATA=E, EST_SOURCE=RBC", "ACT_EST_MAPPING=PRECISE", "FS=MRC", "CURRENCY=USD", "XLFILL=b")</f>
        <v>#N/A Requesting Data...</v>
      </c>
      <c r="AB218" s="6" t="str">
        <f>_xll.BQL("NOW US Equity", "CF_ACQUISITION_OF_INTANG_ASSETS/1M", "FPR=2021Y", "FPT=A", "FA_ACT_EST_DATA=E, EST_SOURCE=EVR", "ACT_EST_MAPPING=PRECISE", "FS=MRC", "CURRENCY=USD", "XLFILL=b")</f>
        <v>#N/A Requesting Data...</v>
      </c>
      <c r="AC218" s="6" t="str">
        <f>_xll.BQL("NOW US Equity", "CF_ACQUISITION_OF_INTANG_ASSETS/1M", "FPR=2021Y", "FPT=A", "FA_ACT_EST_DATA=E, EST_SOURCE=BNS", "ACT_EST_MAPPING=PRECISE", "FS=MRC", "CURRENCY=USD", "XLFILL=b")</f>
        <v>#N/A Requesting Data...</v>
      </c>
      <c r="AD218" s="6" t="str">
        <f>_xll.BQL("NOW US Equity", "CF_ACQUISITION_OF_INTANG_ASSETS/1M", "FPR=2021Y", "FPT=A", "FA_ACT_EST_DATA=E, EST_SOURCE=BAM", "ACT_EST_MAPPING=PRECISE", "FS=MRC", "CURRENCY=USD", "XLFILL=b")</f>
        <v>#N/A Requesting Data...</v>
      </c>
      <c r="AE218" s="6" t="str">
        <f>_xll.BQL("NOW US Equity", "CF_ACQUISITION_OF_INTANG_ASSETS/1M", "FPR=2021Y", "FPT=A", "FA_ACT_EST_DATA=E, EST_SOURCE=GSR", "ACT_EST_MAPPING=PRECISE", "FS=MRC", "CURRENCY=USD", "XLFILL=b")</f>
        <v>#N/A Requesting Data...</v>
      </c>
      <c r="AF218" s="6" t="str">
        <f>_xll.BQL("NOW US Equity", "CF_ACQUISITION_OF_INTANG_ASSETS/1M", "FPR=2021Y", "FPT=A", "FA_ACT_EST_DATA=E, EST_SOURCE=FBC", "ACT_EST_MAPPING=PRECISE", "FS=MRC", "CURRENCY=USD", "XLFILL=b")</f>
        <v>#N/A Requesting Data...</v>
      </c>
      <c r="AG218" s="6" t="str">
        <f>_xll.BQL("NOW US Equity", "CF_ACQUISITION_OF_INTANG_ASSETS/1M", "FPR=2021Y", "FPT=A", "FA_ACT_EST_DATA=E, EST_SOURCE=MAC", "ACT_EST_MAPPING=PRECISE", "FS=MRC", "CURRENCY=USD", "XLFILL=b")</f>
        <v>#N/A Requesting Data...</v>
      </c>
      <c r="AH218" s="6" t="str">
        <f>_xll.BQL("NOW US Equity", "CF_ACQUISITION_OF_INTANG_ASSETS/1M", "FPR=2021Y", "FPT=A", "FA_ACT_EST_DATA=E, EST_SOURCE=PSG", "ACT_EST_MAPPING=PRECISE", "FS=MRC", "CURRENCY=USD", "XLFILL=b")</f>
        <v>#N/A Requesting Data...</v>
      </c>
      <c r="AI218" s="6" t="str">
        <f>_xll.BQL("NOW US Equity", "CF_ACQUISITION_OF_INTANG_ASSETS/1M", "FPR=2021Y", "FPT=A", "FA_ACT_EST_DATA=E, EST_SOURCE=MSR", "ACT_EST_MAPPING=PRECISE", "FS=MRC", "CURRENCY=USD", "XLFILL=b")</f>
        <v>#N/A Requesting Data...</v>
      </c>
      <c r="AJ218" s="6" t="str">
        <f>_xll.BQL("NOW US Equity", "CF_ACQUISITION_OF_INTANG_ASSETS/1M", "FPR=2021Y", "FPT=A", "FA_ACT_EST_DATA=E, EST_SOURCE=JEF", "ACT_EST_MAPPING=PRECISE", "FS=MRC", "CURRENCY=USD", "XLFILL=b")</f>
        <v>#N/A Requesting Data...</v>
      </c>
      <c r="AK218" s="6" t="str">
        <f>_xll.BQL("NOW US Equity", "CF_ACQUISITION_OF_INTANG_ASSETS/1M", "FPR=2021Y", "FPT=A", "FA_ACT_EST_DATA=E, EST_SOURCE=TTC", "ACT_EST_MAPPING=PRECISE", "FS=MRC", "CURRENCY=USD", "XLFILL=b")</f>
        <v>#N/A Requesting Data...</v>
      </c>
      <c r="AL218" s="6" t="str">
        <f>_xll.BQL("NOW US Equity", "CF_ACQUISITION_OF_INTANG_ASSETS/1M", "FPR=2021Y", "FPT=A", "FA_ACT_EST_DATA=E, EST_SOURCE=RWB", "ACT_EST_MAPPING=PRECISE", "FS=MRC", "CURRENCY=USD", "XLFILL=b")</f>
        <v>#N/A Requesting Data...</v>
      </c>
      <c r="AM218" s="6" t="str">
        <f>_xll.BQL("NOW US Equity", "CF_ACQUISITION_OF_INTANG_ASSETS/1M", "FPR=2021Y", "FPT=A", "FA_ACT_EST_DATA=E, EST_SOURCE=DZB", "ACT_EST_MAPPING=PRECISE", "FS=MRC", "CURRENCY=USD", "XLFILL=b")</f>
        <v>#N/A Requesting Data...</v>
      </c>
      <c r="AN218" s="6" t="str">
        <f>_xll.BQL("NOW US Equity", "CF_ACQUISITION_OF_INTANG_ASSETS/1M", "FPR=2021Y", "FPT=A", "FA_ACT_EST_DATA=E, EST_SOURCE=DWI", "ACT_EST_MAPPING=PRECISE", "FS=MRC", "CURRENCY=USD", "XLFILL=b")</f>
        <v>#N/A Requesting Data...</v>
      </c>
      <c r="AO218" s="6" t="str">
        <f>_xll.BQL("NOW US Equity", "CF_ACQUISITION_OF_INTANG_ASSETS/1M", "FPR=2021Y", "FPT=A", "FA_ACT_EST_DATA=E, EST_SOURCE=ARG", "ACT_EST_MAPPING=PRECISE", "FS=MRC", "CURRENCY=USD", "XLFILL=b")</f>
        <v>#N/A Requesting Data...</v>
      </c>
      <c r="AP218" s="6" t="str">
        <f>_xll.BQL("NOW US Equity", "CF_ACQUISITION_OF_INTANG_ASSETS/1M", "FPR=2021Y", "FPT=A", "FA_ACT_EST_DATA=E, EST_SOURCE=CTI", "ACT_EST_MAPPING=PRECISE", "FS=MRC", "CURRENCY=USD", "XLFILL=b")</f>
        <v>#N/A Requesting Data...</v>
      </c>
      <c r="AQ218" s="6" t="str">
        <f>_xll.BQL("NOW US Equity", "CF_ACQUISITION_OF_INTANG_ASSETS/1M", "FPR=2021Y", "FPT=A", "FA_ACT_EST_DATA=E, EST_SOURCE=WFT", "ACT_EST_MAPPING=PRECISE", "FS=MRC", "CURRENCY=USD", "XLFILL=b")</f>
        <v>#N/A Requesting Data...</v>
      </c>
      <c r="AR218" s="6" t="str">
        <f>_xll.BQL("NOW US Equity", "CF_ACQUISITION_OF_INTANG_ASSETS/1M", "FPR=2021Y", "FPT=A", "FA_ACT_EST_DATA=E, EST_SOURCE=ARE", "ACT_EST_MAPPING=PRECISE", "FS=MRC", "CURRENCY=USD", "XLFILL=b")</f>
        <v>#N/A Requesting Data...</v>
      </c>
      <c r="AS218" s="6" t="str">
        <f>_xll.BQL("NOW US Equity", "CF_ACQUISITION_OF_INTANG_ASSETS/1M", "FPR=2021Y", "FPT=A", "FA_ACT_EST_DATA=E, EST_SOURCE=PJE", "ACT_EST_MAPPING=PRECISE", "FS=MRC", "CURRENCY=USD", "XLFILL=b")</f>
        <v>#N/A Requesting Data...</v>
      </c>
      <c r="AT218" s="6" t="str">
        <f>_xll.BQL("NOW US Equity", "CF_ACQUISITION_OF_INTANG_ASSETS/1M", "FPR=2021Y", "FPT=A", "FA_ACT_EST_DATA=E, EST_SOURCE=MZS", "ACT_EST_MAPPING=PRECISE", "FS=MRC", "CURRENCY=USD", "XLFILL=b")</f>
        <v>#N/A Requesting Data...</v>
      </c>
      <c r="AU218" s="6" t="str">
        <f>_xll.BQL("NOW US Equity", "CF_ACQUISITION_OF_INTANG_ASSETS/1M", "FPR=2021Y", "FPT=A", "FA_ACT_EST_DATA=E, EST_SOURCE=SUM", "ACT_EST_MAPPING=PRECISE", "FS=MRC", "CURRENCY=USD", "XLFILL=b")</f>
        <v>#N/A Requesting Data...</v>
      </c>
      <c r="AV218" s="6" t="str">
        <f>_xll.BQL("NOW US Equity", "CF_ACQUISITION_OF_INTANG_ASSETS/1M", "FPR=2021Y", "FPT=A", "FA_ACT_EST_DATA=E, EST_SOURCE=CRC", "ACT_EST_MAPPING=PRECISE", "FS=MRC", "CURRENCY=USD", "XLFILL=b")</f>
        <v>#N/A Requesting Data...</v>
      </c>
      <c r="AW218" s="6" t="str">
        <f>_xll.BQL("NOW US Equity", "CF_ACQUISITION_OF_INTANG_ASSETS/1M", "FPR=2021Y", "FPT=A", "FA_ACT_EST_DATA=E, EST_SOURCE=SCB", "ACT_EST_MAPPING=PRECISE", "FS=MRC", "CURRENCY=USD", "XLFILL=b")</f>
        <v>#N/A Requesting Data...</v>
      </c>
    </row>
    <row r="219" spans="1:49" x14ac:dyDescent="0.55000000000000004">
      <c r="A219" s="5" t="s">
        <v>399</v>
      </c>
      <c r="B219" s="2" t="s">
        <v>400</v>
      </c>
      <c r="C219" s="2" t="s">
        <v>401</v>
      </c>
      <c r="D219" s="2"/>
      <c r="E219" s="6" t="str">
        <f>_xll.BQL("NOW US Equity", "CF_PURCHSS_OF_INVSTMNTS/1M", "FPR=2021Y", "FPT=A", "FA_ACT_EST_DATA=E", "ACT_EST_MAPPING=PRECISE", "FS=MRC", "CURRENCY=USD", "XLFILL=b")</f>
        <v>#N/A Requesting Data...</v>
      </c>
      <c r="F219" s="6" t="str">
        <f>_xll.BQL("NOW US Equity", "CONTRIBUTOR_STATS(CF_PURCHSS_OF_INVSTMNTS, MIN)/1M", "FPR=2021Y", "FPT=A", "FA_ACT_EST_DATA=E", "ACT_EST_MAPPING=PRECISE", "FS=MRC", "CURRENCY=USD", "XLFILL=b")</f>
        <v>#N/A Requesting Data...</v>
      </c>
      <c r="G219" s="6" t="str">
        <f>_xll.BQL("NOW US Equity", "CONTRIBUTOR_STATS(CF_PURCHSS_OF_INVSTMNTS, MAX)/1M", "FPR=2021Y", "FPT=A", "FA_ACT_EST_DATA=E", "ACT_EST_MAPPING=PRECISE", "FS=MRC", "CURRENCY=USD", "XLFILL=b")</f>
        <v>#N/A Requesting Data...</v>
      </c>
      <c r="H219" s="6" t="str">
        <f>_xll.BQL("NOW US Equity", "CONTRIBUTOR_STATS(CF_PURCHSS_OF_INVSTMNTS, STD)/1M", "FPR=2021Y", "FPT=A", "FA_ACT_EST_DATA=E", "ACT_EST_MAPPING=PRECISE", "FS=MRC", "CURRENCY=USD", "XLFILL=b")</f>
        <v>#N/A Requesting Data...</v>
      </c>
      <c r="I219" s="6" t="str">
        <f>_xll.BQL("NOW US Equity", "CONTRIBUTOR_STATS(CF_PURCHSS_OF_INVSTMNTS, MEDIAN)/1M", "FPR=2021Y", "FPT=A", "FA_ACT_EST_DATA=E", "ACT_EST_MAPPING=PRECISE", "FS=MRC", "CURRENCY=USD", "XLFILL=b")</f>
        <v>#N/A Requesting Data...</v>
      </c>
      <c r="J219" s="6" t="str">
        <f>_xll.BQL("NOW US Equity", "CF_PURCHSS_OF_INVSTMNTS/1M", "FPR=2021Y", "FPT=A", "FA_ACT_EST_DATA=E, EST_SOURCE=CMPY", "ACT_EST_MAPPING=PRECISE", "FS=MRC", "CURRENCY=USD", "XLFILL=b")</f>
        <v>#N/A Requesting Data...</v>
      </c>
      <c r="K219" s="6" t="str">
        <f>_xll.BQL("NOW US Equity", "CF_PURCHSS_OF_INVSTMNTS/1M", "FPR=2021Y", "FPT=A", "FA_ACT_EST_DATA=E, EST_SOURCE=JPM", "ACT_EST_MAPPING=PRECISE", "FS=MRC", "CURRENCY=USD", "XLFILL=b")</f>
        <v>#N/A Requesting Data...</v>
      </c>
      <c r="L219" s="6" t="str">
        <f>_xll.BQL("NOW US Equity", "CF_PURCHSS_OF_INVSTMNTS/1M", "FPR=2021Y", "FPT=A", "FA_ACT_EST_DATA=E, EST_SOURCE=WBL", "ACT_EST_MAPPING=PRECISE", "FS=MRC", "CURRENCY=USD", "XLFILL=b")</f>
        <v>#N/A Requesting Data...</v>
      </c>
      <c r="M219" s="6" t="str">
        <f>_xll.BQL("NOW US Equity", "CF_PURCHSS_OF_INVSTMNTS/1M", "FPR=2021Y", "FPT=A", "FA_ACT_EST_DATA=E, EST_SOURCE=KEY", "ACT_EST_MAPPING=PRECISE", "FS=MRC", "CURRENCY=USD", "XLFILL=b")</f>
        <v>#N/A Requesting Data...</v>
      </c>
      <c r="N219" s="6" t="str">
        <f>_xll.BQL("NOW US Equity", "CF_PURCHSS_OF_INVSTMNTS/1M", "FPR=2021Y", "FPT=A", "FA_ACT_EST_DATA=E, EST_SOURCE=BMO", "ACT_EST_MAPPING=PRECISE", "FS=MRC", "CURRENCY=USD", "XLFILL=b")</f>
        <v>#N/A Requesting Data...</v>
      </c>
      <c r="O219" s="6" t="str">
        <f>_xll.BQL("NOW US Equity", "CF_PURCHSS_OF_INVSTMNTS/1M", "FPR=2021Y", "FPT=A", "FA_ACT_EST_DATA=E, EST_SOURCE=OPY", "ACT_EST_MAPPING=PRECISE", "FS=MRC", "CURRENCY=USD", "XLFILL=b")</f>
        <v>#N/A Requesting Data...</v>
      </c>
      <c r="P219" s="6" t="str">
        <f>_xll.BQL("NOW US Equity", "CF_PURCHSS_OF_INVSTMNTS/1M", "FPR=2021Y", "FPT=A", "FA_ACT_EST_DATA=E, EST_SOURCE=BCA", "ACT_EST_MAPPING=PRECISE", "FS=MRC", "CURRENCY=USD", "XLFILL=b")</f>
        <v>#N/A Requesting Data...</v>
      </c>
      <c r="Q219" s="6" t="str">
        <f>_xll.BQL("NOW US Equity", "CF_PURCHSS_OF_INVSTMNTS/1M", "FPR=2021Y", "FPT=A", "FA_ACT_EST_DATA=E, EST_SOURCE=RHR", "ACT_EST_MAPPING=PRECISE", "FS=MRC", "CURRENCY=USD", "XLFILL=b")</f>
        <v>#N/A Requesting Data...</v>
      </c>
      <c r="R219" s="6" t="str">
        <f>_xll.BQL("NOW US Equity", "CF_PURCHSS_OF_INVSTMNTS/1M", "FPR=2021Y", "FPT=A", "FA_ACT_EST_DATA=E, EST_SOURCE=SNR", "ACT_EST_MAPPING=PRECISE", "FS=MRC", "CURRENCY=USD", "XLFILL=b")</f>
        <v>#N/A Requesting Data...</v>
      </c>
      <c r="S219" s="6" t="str">
        <f>_xll.BQL("NOW US Equity", "CF_PURCHSS_OF_INVSTMNTS/1M", "FPR=2021Y", "FPT=A", "FA_ACT_EST_DATA=E, EST_SOURCE=MSV", "ACT_EST_MAPPING=PRECISE", "FS=MRC", "CURRENCY=USD", "XLFILL=b")</f>
        <v>#N/A Requesting Data...</v>
      </c>
      <c r="T219" s="6" t="str">
        <f>_xll.BQL("NOW US Equity", "CF_PURCHSS_OF_INVSTMNTS/1M", "FPR=2021Y", "FPT=A", "FA_ACT_EST_DATA=E, EST_SOURCE=CAN", "ACT_EST_MAPPING=PRECISE", "FS=MRC", "CURRENCY=USD", "XLFILL=b")</f>
        <v>#N/A Requesting Data...</v>
      </c>
      <c r="U219" s="6" t="str">
        <f>_xll.BQL("NOW US Equity", "CF_PURCHSS_OF_INVSTMNTS/1M", "FPR=2021Y", "FPT=A", "FA_ACT_EST_DATA=E, EST_SOURCE=JMP", "ACT_EST_MAPPING=PRECISE", "FS=MRC", "CURRENCY=USD", "XLFILL=b")</f>
        <v>#N/A Requesting Data...</v>
      </c>
      <c r="V219" s="6" t="str">
        <f>_xll.BQL("NOW US Equity", "CF_PURCHSS_OF_INVSTMNTS/1M", "FPR=2021Y", "FPT=A", "FA_ACT_EST_DATA=E, EST_SOURCE=NDH", "ACT_EST_MAPPING=PRECISE", "FS=MRC", "CURRENCY=USD", "XLFILL=b")</f>
        <v>#N/A Requesting Data...</v>
      </c>
      <c r="W219" s="6" t="str">
        <f>_xll.BQL("NOW US Equity", "CF_PURCHSS_OF_INVSTMNTS/1M", "FPR=2021Y", "FPT=A", "FA_ACT_EST_DATA=E, EST_SOURCE=ZXS", "ACT_EST_MAPPING=PRECISE", "FS=MRC", "CURRENCY=USD", "XLFILL=b")</f>
        <v>#N/A Requesting Data...</v>
      </c>
      <c r="X219" s="6" t="str">
        <f>_xll.BQL("NOW US Equity", "CF_PURCHSS_OF_INVSTMNTS/1M", "FPR=2021Y", "FPT=A", "FA_ACT_EST_DATA=E, EST_SOURCE=CWN", "ACT_EST_MAPPING=PRECISE", "FS=MRC", "CURRENCY=USD", "XLFILL=b")</f>
        <v>#N/A Requesting Data...</v>
      </c>
      <c r="Y219" s="6" t="str">
        <f>_xll.BQL("NOW US Equity", "CF_PURCHSS_OF_INVSTMNTS/1M", "FPR=2021Y", "FPT=A", "FA_ACT_EST_DATA=E, EST_SOURCE=DBG", "ACT_EST_MAPPING=PRECISE", "FS=MRC", "CURRENCY=USD", "XLFILL=b")</f>
        <v>#N/A Requesting Data...</v>
      </c>
      <c r="Z219" s="6" t="str">
        <f>_xll.BQL("NOW US Equity", "CF_PURCHSS_OF_INVSTMNTS/1M", "FPR=2021Y", "FPT=A", "FA_ACT_EST_DATA=E, EST_SOURCE=UBS", "ACT_EST_MAPPING=PRECISE", "FS=MRC", "CURRENCY=USD", "XLFILL=b")</f>
        <v>#N/A Requesting Data...</v>
      </c>
      <c r="AA219" s="6" t="str">
        <f>_xll.BQL("NOW US Equity", "CF_PURCHSS_OF_INVSTMNTS/1M", "FPR=2021Y", "FPT=A", "FA_ACT_EST_DATA=E, EST_SOURCE=RBC", "ACT_EST_MAPPING=PRECISE", "FS=MRC", "CURRENCY=USD", "XLFILL=b")</f>
        <v>#N/A Requesting Data...</v>
      </c>
      <c r="AB219" s="6" t="str">
        <f>_xll.BQL("NOW US Equity", "CF_PURCHSS_OF_INVSTMNTS/1M", "FPR=2021Y", "FPT=A", "FA_ACT_EST_DATA=E, EST_SOURCE=EVR", "ACT_EST_MAPPING=PRECISE", "FS=MRC", "CURRENCY=USD", "XLFILL=b")</f>
        <v>#N/A Requesting Data...</v>
      </c>
      <c r="AC219" s="6" t="str">
        <f>_xll.BQL("NOW US Equity", "CF_PURCHSS_OF_INVSTMNTS/1M", "FPR=2021Y", "FPT=A", "FA_ACT_EST_DATA=E, EST_SOURCE=BNS", "ACT_EST_MAPPING=PRECISE", "FS=MRC", "CURRENCY=USD", "XLFILL=b")</f>
        <v>#N/A Requesting Data...</v>
      </c>
      <c r="AD219" s="6" t="str">
        <f>_xll.BQL("NOW US Equity", "CF_PURCHSS_OF_INVSTMNTS/1M", "FPR=2021Y", "FPT=A", "FA_ACT_EST_DATA=E, EST_SOURCE=BAM", "ACT_EST_MAPPING=PRECISE", "FS=MRC", "CURRENCY=USD", "XLFILL=b")</f>
        <v>#N/A Requesting Data...</v>
      </c>
      <c r="AE219" s="6" t="str">
        <f>_xll.BQL("NOW US Equity", "CF_PURCHSS_OF_INVSTMNTS/1M", "FPR=2021Y", "FPT=A", "FA_ACT_EST_DATA=E, EST_SOURCE=GSR", "ACT_EST_MAPPING=PRECISE", "FS=MRC", "CURRENCY=USD", "XLFILL=b")</f>
        <v>#N/A Requesting Data...</v>
      </c>
      <c r="AF219" s="6" t="str">
        <f>_xll.BQL("NOW US Equity", "CF_PURCHSS_OF_INVSTMNTS/1M", "FPR=2021Y", "FPT=A", "FA_ACT_EST_DATA=E, EST_SOURCE=FBC", "ACT_EST_MAPPING=PRECISE", "FS=MRC", "CURRENCY=USD", "XLFILL=b")</f>
        <v>#N/A Requesting Data...</v>
      </c>
      <c r="AG219" s="6" t="str">
        <f>_xll.BQL("NOW US Equity", "CF_PURCHSS_OF_INVSTMNTS/1M", "FPR=2021Y", "FPT=A", "FA_ACT_EST_DATA=E, EST_SOURCE=MAC", "ACT_EST_MAPPING=PRECISE", "FS=MRC", "CURRENCY=USD", "XLFILL=b")</f>
        <v>#N/A Requesting Data...</v>
      </c>
      <c r="AH219" s="6" t="str">
        <f>_xll.BQL("NOW US Equity", "CF_PURCHSS_OF_INVSTMNTS/1M", "FPR=2021Y", "FPT=A", "FA_ACT_EST_DATA=E, EST_SOURCE=PSG", "ACT_EST_MAPPING=PRECISE", "FS=MRC", "CURRENCY=USD", "XLFILL=b")</f>
        <v>#N/A Requesting Data...</v>
      </c>
      <c r="AI219" s="6" t="str">
        <f>_xll.BQL("NOW US Equity", "CF_PURCHSS_OF_INVSTMNTS/1M", "FPR=2021Y", "FPT=A", "FA_ACT_EST_DATA=E, EST_SOURCE=MSR", "ACT_EST_MAPPING=PRECISE", "FS=MRC", "CURRENCY=USD", "XLFILL=b")</f>
        <v>#N/A Requesting Data...</v>
      </c>
      <c r="AJ219" s="6" t="str">
        <f>_xll.BQL("NOW US Equity", "CF_PURCHSS_OF_INVSTMNTS/1M", "FPR=2021Y", "FPT=A", "FA_ACT_EST_DATA=E, EST_SOURCE=JEF", "ACT_EST_MAPPING=PRECISE", "FS=MRC", "CURRENCY=USD", "XLFILL=b")</f>
        <v>#N/A Requesting Data...</v>
      </c>
      <c r="AK219" s="6" t="str">
        <f>_xll.BQL("NOW US Equity", "CF_PURCHSS_OF_INVSTMNTS/1M", "FPR=2021Y", "FPT=A", "FA_ACT_EST_DATA=E, EST_SOURCE=TTC", "ACT_EST_MAPPING=PRECISE", "FS=MRC", "CURRENCY=USD", "XLFILL=b")</f>
        <v>#N/A Requesting Data...</v>
      </c>
      <c r="AL219" s="6" t="str">
        <f>_xll.BQL("NOW US Equity", "CF_PURCHSS_OF_INVSTMNTS/1M", "FPR=2021Y", "FPT=A", "FA_ACT_EST_DATA=E, EST_SOURCE=RWB", "ACT_EST_MAPPING=PRECISE", "FS=MRC", "CURRENCY=USD", "XLFILL=b")</f>
        <v>#N/A Requesting Data...</v>
      </c>
      <c r="AM219" s="6" t="str">
        <f>_xll.BQL("NOW US Equity", "CF_PURCHSS_OF_INVSTMNTS/1M", "FPR=2021Y", "FPT=A", "FA_ACT_EST_DATA=E, EST_SOURCE=DZB", "ACT_EST_MAPPING=PRECISE", "FS=MRC", "CURRENCY=USD", "XLFILL=b")</f>
        <v>#N/A Requesting Data...</v>
      </c>
      <c r="AN219" s="6" t="str">
        <f>_xll.BQL("NOW US Equity", "CF_PURCHSS_OF_INVSTMNTS/1M", "FPR=2021Y", "FPT=A", "FA_ACT_EST_DATA=E, EST_SOURCE=DWI", "ACT_EST_MAPPING=PRECISE", "FS=MRC", "CURRENCY=USD", "XLFILL=b")</f>
        <v>#N/A Requesting Data...</v>
      </c>
      <c r="AO219" s="6" t="str">
        <f>_xll.BQL("NOW US Equity", "CF_PURCHSS_OF_INVSTMNTS/1M", "FPR=2021Y", "FPT=A", "FA_ACT_EST_DATA=E, EST_SOURCE=ARG", "ACT_EST_MAPPING=PRECISE", "FS=MRC", "CURRENCY=USD", "XLFILL=b")</f>
        <v>#N/A Requesting Data...</v>
      </c>
      <c r="AP219" s="6" t="str">
        <f>_xll.BQL("NOW US Equity", "CF_PURCHSS_OF_INVSTMNTS/1M", "FPR=2021Y", "FPT=A", "FA_ACT_EST_DATA=E, EST_SOURCE=CTI", "ACT_EST_MAPPING=PRECISE", "FS=MRC", "CURRENCY=USD", "XLFILL=b")</f>
        <v>#N/A Requesting Data...</v>
      </c>
      <c r="AQ219" s="6" t="str">
        <f>_xll.BQL("NOW US Equity", "CF_PURCHSS_OF_INVSTMNTS/1M", "FPR=2021Y", "FPT=A", "FA_ACT_EST_DATA=E, EST_SOURCE=WFT", "ACT_EST_MAPPING=PRECISE", "FS=MRC", "CURRENCY=USD", "XLFILL=b")</f>
        <v>#N/A Requesting Data...</v>
      </c>
      <c r="AR219" s="6" t="str">
        <f>_xll.BQL("NOW US Equity", "CF_PURCHSS_OF_INVSTMNTS/1M", "FPR=2021Y", "FPT=A", "FA_ACT_EST_DATA=E, EST_SOURCE=ARE", "ACT_EST_MAPPING=PRECISE", "FS=MRC", "CURRENCY=USD", "XLFILL=b")</f>
        <v>#N/A Requesting Data...</v>
      </c>
      <c r="AS219" s="6" t="str">
        <f>_xll.BQL("NOW US Equity", "CF_PURCHSS_OF_INVSTMNTS/1M", "FPR=2021Y", "FPT=A", "FA_ACT_EST_DATA=E, EST_SOURCE=PJE", "ACT_EST_MAPPING=PRECISE", "FS=MRC", "CURRENCY=USD", "XLFILL=b")</f>
        <v>#N/A Requesting Data...</v>
      </c>
      <c r="AT219" s="6" t="str">
        <f>_xll.BQL("NOW US Equity", "CF_PURCHSS_OF_INVSTMNTS/1M", "FPR=2021Y", "FPT=A", "FA_ACT_EST_DATA=E, EST_SOURCE=MZS", "ACT_EST_MAPPING=PRECISE", "FS=MRC", "CURRENCY=USD", "XLFILL=b")</f>
        <v>#N/A Requesting Data...</v>
      </c>
      <c r="AU219" s="6" t="str">
        <f>_xll.BQL("NOW US Equity", "CF_PURCHSS_OF_INVSTMNTS/1M", "FPR=2021Y", "FPT=A", "FA_ACT_EST_DATA=E, EST_SOURCE=SUM", "ACT_EST_MAPPING=PRECISE", "FS=MRC", "CURRENCY=USD", "XLFILL=b")</f>
        <v>#N/A Requesting Data...</v>
      </c>
      <c r="AV219" s="6" t="str">
        <f>_xll.BQL("NOW US Equity", "CF_PURCHSS_OF_INVSTMNTS/1M", "FPR=2021Y", "FPT=A", "FA_ACT_EST_DATA=E, EST_SOURCE=CRC", "ACT_EST_MAPPING=PRECISE", "FS=MRC", "CURRENCY=USD", "XLFILL=b")</f>
        <v>#N/A Requesting Data...</v>
      </c>
      <c r="AW219" s="6" t="str">
        <f>_xll.BQL("NOW US Equity", "CF_PURCHSS_OF_INVSTMNTS/1M", "FPR=2021Y", "FPT=A", "FA_ACT_EST_DATA=E, EST_SOURCE=SCB", "ACT_EST_MAPPING=PRECISE", "FS=MRC", "CURRENCY=USD", "XLFILL=b")</f>
        <v>#N/A Requesting Data...</v>
      </c>
    </row>
    <row r="220" spans="1:49" x14ac:dyDescent="0.55000000000000004">
      <c r="A220" s="5" t="s">
        <v>402</v>
      </c>
      <c r="B220" s="2" t="s">
        <v>403</v>
      </c>
      <c r="C220" s="2" t="s">
        <v>404</v>
      </c>
      <c r="D220" s="2"/>
      <c r="E220" s="6" t="str">
        <f>_xll.BQL("NOW US Equity", "CF_PROCDS_FROM_INVSTMNTS/1M", "FPR=2021Y", "FPT=A", "FA_ACT_EST_DATA=E", "ACT_EST_MAPPING=PRECISE", "FS=MRC", "CURRENCY=USD", "XLFILL=b")</f>
        <v>#N/A Requesting Data...</v>
      </c>
      <c r="F220" s="6" t="str">
        <f>_xll.BQL("NOW US Equity", "CONTRIBUTOR_STATS(CF_PROCDS_FROM_INVSTMNTS, MIN)/1M", "FPR=2021Y", "FPT=A", "FA_ACT_EST_DATA=E", "ACT_EST_MAPPING=PRECISE", "FS=MRC", "CURRENCY=USD", "XLFILL=b")</f>
        <v>#N/A Requesting Data...</v>
      </c>
      <c r="G220" s="6" t="str">
        <f>_xll.BQL("NOW US Equity", "CONTRIBUTOR_STATS(CF_PROCDS_FROM_INVSTMNTS, MAX)/1M", "FPR=2021Y", "FPT=A", "FA_ACT_EST_DATA=E", "ACT_EST_MAPPING=PRECISE", "FS=MRC", "CURRENCY=USD", "XLFILL=b")</f>
        <v>#N/A Requesting Data...</v>
      </c>
      <c r="H220" s="6" t="str">
        <f>_xll.BQL("NOW US Equity", "CONTRIBUTOR_STATS(CF_PROCDS_FROM_INVSTMNTS, STD)/1M", "FPR=2021Y", "FPT=A", "FA_ACT_EST_DATA=E", "ACT_EST_MAPPING=PRECISE", "FS=MRC", "CURRENCY=USD", "XLFILL=b")</f>
        <v>#N/A Requesting Data...</v>
      </c>
      <c r="I220" s="6" t="str">
        <f>_xll.BQL("NOW US Equity", "CONTRIBUTOR_STATS(CF_PROCDS_FROM_INVSTMNTS, MEDIAN)/1M", "FPR=2021Y", "FPT=A", "FA_ACT_EST_DATA=E", "ACT_EST_MAPPING=PRECISE", "FS=MRC", "CURRENCY=USD", "XLFILL=b")</f>
        <v>#N/A Requesting Data...</v>
      </c>
      <c r="J220" s="6" t="str">
        <f>_xll.BQL("NOW US Equity", "CF_PROCDS_FROM_INVSTMNTS/1M", "FPR=2021Y", "FPT=A", "FA_ACT_EST_DATA=E, EST_SOURCE=CMPY", "ACT_EST_MAPPING=PRECISE", "FS=MRC", "CURRENCY=USD", "XLFILL=b")</f>
        <v>#N/A Requesting Data...</v>
      </c>
      <c r="K220" s="6">
        <f>_xll.BQL("NOW US Equity", "CF_PROCDS_FROM_INVSTMNTS/1M", "FPR=2021Y", "FPT=A", "FA_ACT_EST_DATA=E, EST_SOURCE=JPM", "ACT_EST_MAPPING=PRECISE", "FS=MRC", "CURRENCY=USD", "XLFILL=b")</f>
        <v>1579</v>
      </c>
      <c r="L220" s="6" t="str">
        <f>_xll.BQL("NOW US Equity", "CF_PROCDS_FROM_INVSTMNTS/1M", "FPR=2021Y", "FPT=A", "FA_ACT_EST_DATA=E, EST_SOURCE=WBL", "ACT_EST_MAPPING=PRECISE", "FS=MRC", "CURRENCY=USD", "XLFILL=b")</f>
        <v>#N/A Requesting Data...</v>
      </c>
      <c r="M220" s="6" t="str">
        <f>_xll.BQL("NOW US Equity", "CF_PROCDS_FROM_INVSTMNTS/1M", "FPR=2021Y", "FPT=A", "FA_ACT_EST_DATA=E, EST_SOURCE=KEY", "ACT_EST_MAPPING=PRECISE", "FS=MRC", "CURRENCY=USD", "XLFILL=b")</f>
        <v>#N/A Requesting Data...</v>
      </c>
      <c r="N220" s="6" t="str">
        <f>_xll.BQL("NOW US Equity", "CF_PROCDS_FROM_INVSTMNTS/1M", "FPR=2021Y", "FPT=A", "FA_ACT_EST_DATA=E, EST_SOURCE=BMO", "ACT_EST_MAPPING=PRECISE", "FS=MRC", "CURRENCY=USD", "XLFILL=b")</f>
        <v>#N/A Requesting Data...</v>
      </c>
      <c r="O220" s="6" t="str">
        <f>_xll.BQL("NOW US Equity", "CF_PROCDS_FROM_INVSTMNTS/1M", "FPR=2021Y", "FPT=A", "FA_ACT_EST_DATA=E, EST_SOURCE=OPY", "ACT_EST_MAPPING=PRECISE", "FS=MRC", "CURRENCY=USD", "XLFILL=b")</f>
        <v/>
      </c>
      <c r="P220" s="6" t="str">
        <f>_xll.BQL("NOW US Equity", "CF_PROCDS_FROM_INVSTMNTS/1M", "FPR=2021Y", "FPT=A", "FA_ACT_EST_DATA=E, EST_SOURCE=BCA", "ACT_EST_MAPPING=PRECISE", "FS=MRC", "CURRENCY=USD", "XLFILL=b")</f>
        <v>#N/A Requesting Data...</v>
      </c>
      <c r="Q220" s="6" t="str">
        <f>_xll.BQL("NOW US Equity", "CF_PROCDS_FROM_INVSTMNTS/1M", "FPR=2021Y", "FPT=A", "FA_ACT_EST_DATA=E, EST_SOURCE=RHR", "ACT_EST_MAPPING=PRECISE", "FS=MRC", "CURRENCY=USD", "XLFILL=b")</f>
        <v>#N/A Requesting Data...</v>
      </c>
      <c r="R220" s="6" t="str">
        <f>_xll.BQL("NOW US Equity", "CF_PROCDS_FROM_INVSTMNTS/1M", "FPR=2021Y", "FPT=A", "FA_ACT_EST_DATA=E, EST_SOURCE=SNR", "ACT_EST_MAPPING=PRECISE", "FS=MRC", "CURRENCY=USD", "XLFILL=b")</f>
        <v>#N/A Requesting Data...</v>
      </c>
      <c r="S220" s="6" t="str">
        <f>_xll.BQL("NOW US Equity", "CF_PROCDS_FROM_INVSTMNTS/1M", "FPR=2021Y", "FPT=A", "FA_ACT_EST_DATA=E, EST_SOURCE=MSV", "ACT_EST_MAPPING=PRECISE", "FS=MRC", "CURRENCY=USD", "XLFILL=b")</f>
        <v>#N/A Requesting Data...</v>
      </c>
      <c r="T220" s="6" t="str">
        <f>_xll.BQL("NOW US Equity", "CF_PROCDS_FROM_INVSTMNTS/1M", "FPR=2021Y", "FPT=A", "FA_ACT_EST_DATA=E, EST_SOURCE=CAN", "ACT_EST_MAPPING=PRECISE", "FS=MRC", "CURRENCY=USD", "XLFILL=b")</f>
        <v>#N/A Requesting Data...</v>
      </c>
      <c r="U220" s="6" t="str">
        <f>_xll.BQL("NOW US Equity", "CF_PROCDS_FROM_INVSTMNTS/1M", "FPR=2021Y", "FPT=A", "FA_ACT_EST_DATA=E, EST_SOURCE=JMP", "ACT_EST_MAPPING=PRECISE", "FS=MRC", "CURRENCY=USD", "XLFILL=b")</f>
        <v>#N/A Requesting Data...</v>
      </c>
      <c r="V220" s="6" t="str">
        <f>_xll.BQL("NOW US Equity", "CF_PROCDS_FROM_INVSTMNTS/1M", "FPR=2021Y", "FPT=A", "FA_ACT_EST_DATA=E, EST_SOURCE=NDH", "ACT_EST_MAPPING=PRECISE", "FS=MRC", "CURRENCY=USD", "XLFILL=b")</f>
        <v>#N/A Requesting Data...</v>
      </c>
      <c r="W220" s="6" t="str">
        <f>_xll.BQL("NOW US Equity", "CF_PROCDS_FROM_INVSTMNTS/1M", "FPR=2021Y", "FPT=A", "FA_ACT_EST_DATA=E, EST_SOURCE=ZXS", "ACT_EST_MAPPING=PRECISE", "FS=MRC", "CURRENCY=USD", "XLFILL=b")</f>
        <v>#N/A Requesting Data...</v>
      </c>
      <c r="X220" s="6" t="str">
        <f>_xll.BQL("NOW US Equity", "CF_PROCDS_FROM_INVSTMNTS/1M", "FPR=2021Y", "FPT=A", "FA_ACT_EST_DATA=E, EST_SOURCE=CWN", "ACT_EST_MAPPING=PRECISE", "FS=MRC", "CURRENCY=USD", "XLFILL=b")</f>
        <v/>
      </c>
      <c r="Y220" s="6" t="str">
        <f>_xll.BQL("NOW US Equity", "CF_PROCDS_FROM_INVSTMNTS/1M", "FPR=2021Y", "FPT=A", "FA_ACT_EST_DATA=E, EST_SOURCE=DBG", "ACT_EST_MAPPING=PRECISE", "FS=MRC", "CURRENCY=USD", "XLFILL=b")</f>
        <v>#N/A Requesting Data...</v>
      </c>
      <c r="Z220" s="6" t="str">
        <f>_xll.BQL("NOW US Equity", "CF_PROCDS_FROM_INVSTMNTS/1M", "FPR=2021Y", "FPT=A", "FA_ACT_EST_DATA=E, EST_SOURCE=UBS", "ACT_EST_MAPPING=PRECISE", "FS=MRC", "CURRENCY=USD", "XLFILL=b")</f>
        <v>#N/A Requesting Data...</v>
      </c>
      <c r="AA220" s="6" t="str">
        <f>_xll.BQL("NOW US Equity", "CF_PROCDS_FROM_INVSTMNTS/1M", "FPR=2021Y", "FPT=A", "FA_ACT_EST_DATA=E, EST_SOURCE=RBC", "ACT_EST_MAPPING=PRECISE", "FS=MRC", "CURRENCY=USD", "XLFILL=b")</f>
        <v>#N/A Requesting Data...</v>
      </c>
      <c r="AB220" s="6" t="str">
        <f>_xll.BQL("NOW US Equity", "CF_PROCDS_FROM_INVSTMNTS/1M", "FPR=2021Y", "FPT=A", "FA_ACT_EST_DATA=E, EST_SOURCE=EVR", "ACT_EST_MAPPING=PRECISE", "FS=MRC", "CURRENCY=USD", "XLFILL=b")</f>
        <v/>
      </c>
      <c r="AC220" s="6" t="str">
        <f>_xll.BQL("NOW US Equity", "CF_PROCDS_FROM_INVSTMNTS/1M", "FPR=2021Y", "FPT=A", "FA_ACT_EST_DATA=E, EST_SOURCE=BNS", "ACT_EST_MAPPING=PRECISE", "FS=MRC", "CURRENCY=USD", "XLFILL=b")</f>
        <v>#N/A Requesting Data...</v>
      </c>
      <c r="AD220" s="6" t="str">
        <f>_xll.BQL("NOW US Equity", "CF_PROCDS_FROM_INVSTMNTS/1M", "FPR=2021Y", "FPT=A", "FA_ACT_EST_DATA=E, EST_SOURCE=BAM", "ACT_EST_MAPPING=PRECISE", "FS=MRC", "CURRENCY=USD", "XLFILL=b")</f>
        <v>#N/A Requesting Data...</v>
      </c>
      <c r="AE220" s="6" t="str">
        <f>_xll.BQL("NOW US Equity", "CF_PROCDS_FROM_INVSTMNTS/1M", "FPR=2021Y", "FPT=A", "FA_ACT_EST_DATA=E, EST_SOURCE=GSR", "ACT_EST_MAPPING=PRECISE", "FS=MRC", "CURRENCY=USD", "XLFILL=b")</f>
        <v/>
      </c>
      <c r="AF220" s="6" t="str">
        <f>_xll.BQL("NOW US Equity", "CF_PROCDS_FROM_INVSTMNTS/1M", "FPR=2021Y", "FPT=A", "FA_ACT_EST_DATA=E, EST_SOURCE=FBC", "ACT_EST_MAPPING=PRECISE", "FS=MRC", "CURRENCY=USD", "XLFILL=b")</f>
        <v>#N/A Requesting Data...</v>
      </c>
      <c r="AG220" s="6" t="str">
        <f>_xll.BQL("NOW US Equity", "CF_PROCDS_FROM_INVSTMNTS/1M", "FPR=2021Y", "FPT=A", "FA_ACT_EST_DATA=E, EST_SOURCE=MAC", "ACT_EST_MAPPING=PRECISE", "FS=MRC", "CURRENCY=USD", "XLFILL=b")</f>
        <v>#N/A Requesting Data...</v>
      </c>
      <c r="AH220" s="6" t="str">
        <f>_xll.BQL("NOW US Equity", "CF_PROCDS_FROM_INVSTMNTS/1M", "FPR=2021Y", "FPT=A", "FA_ACT_EST_DATA=E, EST_SOURCE=PSG", "ACT_EST_MAPPING=PRECISE", "FS=MRC", "CURRENCY=USD", "XLFILL=b")</f>
        <v/>
      </c>
      <c r="AI220" s="6" t="str">
        <f>_xll.BQL("NOW US Equity", "CF_PROCDS_FROM_INVSTMNTS/1M", "FPR=2021Y", "FPT=A", "FA_ACT_EST_DATA=E, EST_SOURCE=MSR", "ACT_EST_MAPPING=PRECISE", "FS=MRC", "CURRENCY=USD", "XLFILL=b")</f>
        <v/>
      </c>
      <c r="AJ220" s="6" t="str">
        <f>_xll.BQL("NOW US Equity", "CF_PROCDS_FROM_INVSTMNTS/1M", "FPR=2021Y", "FPT=A", "FA_ACT_EST_DATA=E, EST_SOURCE=JEF", "ACT_EST_MAPPING=PRECISE", "FS=MRC", "CURRENCY=USD", "XLFILL=b")</f>
        <v>#N/A Requesting Data...</v>
      </c>
      <c r="AK220" s="6" t="str">
        <f>_xll.BQL("NOW US Equity", "CF_PROCDS_FROM_INVSTMNTS/1M", "FPR=2021Y", "FPT=A", "FA_ACT_EST_DATA=E, EST_SOURCE=TTC", "ACT_EST_MAPPING=PRECISE", "FS=MRC", "CURRENCY=USD", "XLFILL=b")</f>
        <v/>
      </c>
      <c r="AL220" s="6" t="str">
        <f>_xll.BQL("NOW US Equity", "CF_PROCDS_FROM_INVSTMNTS/1M", "FPR=2021Y", "FPT=A", "FA_ACT_EST_DATA=E, EST_SOURCE=RWB", "ACT_EST_MAPPING=PRECISE", "FS=MRC", "CURRENCY=USD", "XLFILL=b")</f>
        <v/>
      </c>
      <c r="AM220" s="6" t="str">
        <f>_xll.BQL("NOW US Equity", "CF_PROCDS_FROM_INVSTMNTS/1M", "FPR=2021Y", "FPT=A", "FA_ACT_EST_DATA=E, EST_SOURCE=DZB", "ACT_EST_MAPPING=PRECISE", "FS=MRC", "CURRENCY=USD", "XLFILL=b")</f>
        <v>#N/A Requesting Data...</v>
      </c>
      <c r="AN220" s="6" t="str">
        <f>_xll.BQL("NOW US Equity", "CF_PROCDS_FROM_INVSTMNTS/1M", "FPR=2021Y", "FPT=A", "FA_ACT_EST_DATA=E, EST_SOURCE=DWI", "ACT_EST_MAPPING=PRECISE", "FS=MRC", "CURRENCY=USD", "XLFILL=b")</f>
        <v>#N/A Requesting Data...</v>
      </c>
      <c r="AO220" s="6" t="str">
        <f>_xll.BQL("NOW US Equity", "CF_PROCDS_FROM_INVSTMNTS/1M", "FPR=2021Y", "FPT=A", "FA_ACT_EST_DATA=E, EST_SOURCE=ARG", "ACT_EST_MAPPING=PRECISE", "FS=MRC", "CURRENCY=USD", "XLFILL=b")</f>
        <v/>
      </c>
      <c r="AP220" s="6" t="str">
        <f>_xll.BQL("NOW US Equity", "CF_PROCDS_FROM_INVSTMNTS/1M", "FPR=2021Y", "FPT=A", "FA_ACT_EST_DATA=E, EST_SOURCE=CTI", "ACT_EST_MAPPING=PRECISE", "FS=MRC", "CURRENCY=USD", "XLFILL=b")</f>
        <v/>
      </c>
      <c r="AQ220" s="6" t="str">
        <f>_xll.BQL("NOW US Equity", "CF_PROCDS_FROM_INVSTMNTS/1M", "FPR=2021Y", "FPT=A", "FA_ACT_EST_DATA=E, EST_SOURCE=WFT", "ACT_EST_MAPPING=PRECISE", "FS=MRC", "CURRENCY=USD", "XLFILL=b")</f>
        <v>#N/A Requesting Data...</v>
      </c>
      <c r="AR220" s="6" t="str">
        <f>_xll.BQL("NOW US Equity", "CF_PROCDS_FROM_INVSTMNTS/1M", "FPR=2021Y", "FPT=A", "FA_ACT_EST_DATA=E, EST_SOURCE=ARE", "ACT_EST_MAPPING=PRECISE", "FS=MRC", "CURRENCY=USD", "XLFILL=b")</f>
        <v/>
      </c>
      <c r="AS220" s="6" t="str">
        <f>_xll.BQL("NOW US Equity", "CF_PROCDS_FROM_INVSTMNTS/1M", "FPR=2021Y", "FPT=A", "FA_ACT_EST_DATA=E, EST_SOURCE=PJE", "ACT_EST_MAPPING=PRECISE", "FS=MRC", "CURRENCY=USD", "XLFILL=b")</f>
        <v>#N/A Requesting Data...</v>
      </c>
      <c r="AT220" s="6" t="str">
        <f>_xll.BQL("NOW US Equity", "CF_PROCDS_FROM_INVSTMNTS/1M", "FPR=2021Y", "FPT=A", "FA_ACT_EST_DATA=E, EST_SOURCE=MZS", "ACT_EST_MAPPING=PRECISE", "FS=MRC", "CURRENCY=USD", "XLFILL=b")</f>
        <v>#N/A Requesting Data...</v>
      </c>
      <c r="AU220" s="6" t="str">
        <f>_xll.BQL("NOW US Equity", "CF_PROCDS_FROM_INVSTMNTS/1M", "FPR=2021Y", "FPT=A", "FA_ACT_EST_DATA=E, EST_SOURCE=SUM", "ACT_EST_MAPPING=PRECISE", "FS=MRC", "CURRENCY=USD", "XLFILL=b")</f>
        <v/>
      </c>
      <c r="AV220" s="6" t="str">
        <f>_xll.BQL("NOW US Equity", "CF_PROCDS_FROM_INVSTMNTS/1M", "FPR=2021Y", "FPT=A", "FA_ACT_EST_DATA=E, EST_SOURCE=CRC", "ACT_EST_MAPPING=PRECISE", "FS=MRC", "CURRENCY=USD", "XLFILL=b")</f>
        <v/>
      </c>
      <c r="AW220" s="6" t="str">
        <f>_xll.BQL("NOW US Equity", "CF_PROCDS_FROM_INVSTMNTS/1M", "FPR=2021Y", "FPT=A", "FA_ACT_EST_DATA=E, EST_SOURCE=SCB", "ACT_EST_MAPPING=PRECISE", "FS=MRC", "CURRENCY=USD", "XLFILL=b")</f>
        <v>#N/A Requesting Data...</v>
      </c>
    </row>
    <row r="221" spans="1:49" x14ac:dyDescent="0.55000000000000004">
      <c r="A221" s="5" t="s">
        <v>405</v>
      </c>
      <c r="B221" s="2" t="s">
        <v>406</v>
      </c>
      <c r="C221" s="2" t="s">
        <v>407</v>
      </c>
      <c r="D221" s="2"/>
      <c r="E221" s="6" t="str">
        <f>_xll.BQL("NOW US Equity", "CB_CF_OTHER_INVESTING_ACTIVITIES/1M", "FPR=2021Y", "FPT=A", "FA_ACT_EST_DATA=E", "ACT_EST_MAPPING=PRECISE", "FS=MRC", "CURRENCY=USD", "XLFILL=b")</f>
        <v>#N/A Requesting Data...</v>
      </c>
      <c r="F221" s="6" t="str">
        <f>_xll.BQL("NOW US Equity", "CONTRIBUTOR_STATS(CB_CF_OTHER_INVESTING_ACTIVITIES, MIN)/1M", "FPR=2021Y", "FPT=A", "FA_ACT_EST_DATA=E", "ACT_EST_MAPPING=PRECISE", "FS=MRC", "CURRENCY=USD", "XLFILL=b")</f>
        <v>#N/A Requesting Data...</v>
      </c>
      <c r="G221" s="6" t="str">
        <f>_xll.BQL("NOW US Equity", "CONTRIBUTOR_STATS(CB_CF_OTHER_INVESTING_ACTIVITIES, MAX)/1M", "FPR=2021Y", "FPT=A", "FA_ACT_EST_DATA=E", "ACT_EST_MAPPING=PRECISE", "FS=MRC", "CURRENCY=USD", "XLFILL=b")</f>
        <v>#N/A Requesting Data...</v>
      </c>
      <c r="H221" s="6" t="str">
        <f>_xll.BQL("NOW US Equity", "CONTRIBUTOR_STATS(CB_CF_OTHER_INVESTING_ACTIVITIES, STD)/1M", "FPR=2021Y", "FPT=A", "FA_ACT_EST_DATA=E", "ACT_EST_MAPPING=PRECISE", "FS=MRC", "CURRENCY=USD", "XLFILL=b")</f>
        <v>#N/A Requesting Data...</v>
      </c>
      <c r="I221" s="6" t="str">
        <f>_xll.BQL("NOW US Equity", "CONTRIBUTOR_STATS(CB_CF_OTHER_INVESTING_ACTIVITIES, MEDIAN)/1M", "FPR=2021Y", "FPT=A", "FA_ACT_EST_DATA=E", "ACT_EST_MAPPING=PRECISE", "FS=MRC", "CURRENCY=USD", "XLFILL=b")</f>
        <v>#N/A Requesting Data...</v>
      </c>
      <c r="J221" s="6" t="str">
        <f>_xll.BQL("NOW US Equity", "CB_CF_OTHER_INVESTING_ACTIVITIES/1M", "FPR=2021Y", "FPT=A", "FA_ACT_EST_DATA=E, EST_SOURCE=CMPY", "ACT_EST_MAPPING=PRECISE", "FS=MRC", "CURRENCY=USD", "XLFILL=b")</f>
        <v>#N/A Requesting Data...</v>
      </c>
      <c r="K221" s="6" t="str">
        <f>_xll.BQL("NOW US Equity", "CB_CF_OTHER_INVESTING_ACTIVITIES/1M", "FPR=2021Y", "FPT=A", "FA_ACT_EST_DATA=E, EST_SOURCE=JPM", "ACT_EST_MAPPING=PRECISE", "FS=MRC", "CURRENCY=USD", "XLFILL=b")</f>
        <v>#N/A Requesting Data...</v>
      </c>
      <c r="L221" s="6" t="str">
        <f>_xll.BQL("NOW US Equity", "CB_CF_OTHER_INVESTING_ACTIVITIES/1M", "FPR=2021Y", "FPT=A", "FA_ACT_EST_DATA=E, EST_SOURCE=WBL", "ACT_EST_MAPPING=PRECISE", "FS=MRC", "CURRENCY=USD", "XLFILL=b")</f>
        <v>#N/A Requesting Data...</v>
      </c>
      <c r="M221" s="6" t="str">
        <f>_xll.BQL("NOW US Equity", "CB_CF_OTHER_INVESTING_ACTIVITIES/1M", "FPR=2021Y", "FPT=A", "FA_ACT_EST_DATA=E, EST_SOURCE=KEY", "ACT_EST_MAPPING=PRECISE", "FS=MRC", "CURRENCY=USD", "XLFILL=b")</f>
        <v>#N/A Requesting Data...</v>
      </c>
      <c r="N221" s="6" t="str">
        <f>_xll.BQL("NOW US Equity", "CB_CF_OTHER_INVESTING_ACTIVITIES/1M", "FPR=2021Y", "FPT=A", "FA_ACT_EST_DATA=E, EST_SOURCE=BMO", "ACT_EST_MAPPING=PRECISE", "FS=MRC", "CURRENCY=USD", "XLFILL=b")</f>
        <v>#N/A Requesting Data...</v>
      </c>
      <c r="O221" s="6" t="str">
        <f>_xll.BQL("NOW US Equity", "CB_CF_OTHER_INVESTING_ACTIVITIES/1M", "FPR=2021Y", "FPT=A", "FA_ACT_EST_DATA=E, EST_SOURCE=OPY", "ACT_EST_MAPPING=PRECISE", "FS=MRC", "CURRENCY=USD", "XLFILL=b")</f>
        <v>#N/A Requesting Data...</v>
      </c>
      <c r="P221" s="6" t="str">
        <f>_xll.BQL("NOW US Equity", "CB_CF_OTHER_INVESTING_ACTIVITIES/1M", "FPR=2021Y", "FPT=A", "FA_ACT_EST_DATA=E, EST_SOURCE=BCA", "ACT_EST_MAPPING=PRECISE", "FS=MRC", "CURRENCY=USD", "XLFILL=b")</f>
        <v>#N/A Requesting Data...</v>
      </c>
      <c r="Q221" s="6" t="str">
        <f>_xll.BQL("NOW US Equity", "CB_CF_OTHER_INVESTING_ACTIVITIES/1M", "FPR=2021Y", "FPT=A", "FA_ACT_EST_DATA=E, EST_SOURCE=RHR", "ACT_EST_MAPPING=PRECISE", "FS=MRC", "CURRENCY=USD", "XLFILL=b")</f>
        <v>#N/A Requesting Data...</v>
      </c>
      <c r="R221" s="6" t="str">
        <f>_xll.BQL("NOW US Equity", "CB_CF_OTHER_INVESTING_ACTIVITIES/1M", "FPR=2021Y", "FPT=A", "FA_ACT_EST_DATA=E, EST_SOURCE=SNR", "ACT_EST_MAPPING=PRECISE", "FS=MRC", "CURRENCY=USD", "XLFILL=b")</f>
        <v>#N/A Requesting Data...</v>
      </c>
      <c r="S221" s="6" t="str">
        <f>_xll.BQL("NOW US Equity", "CB_CF_OTHER_INVESTING_ACTIVITIES/1M", "FPR=2021Y", "FPT=A", "FA_ACT_EST_DATA=E, EST_SOURCE=MSV", "ACT_EST_MAPPING=PRECISE", "FS=MRC", "CURRENCY=USD", "XLFILL=b")</f>
        <v>#N/A Requesting Data...</v>
      </c>
      <c r="T221" s="6" t="str">
        <f>_xll.BQL("NOW US Equity", "CB_CF_OTHER_INVESTING_ACTIVITIES/1M", "FPR=2021Y", "FPT=A", "FA_ACT_EST_DATA=E, EST_SOURCE=CAN", "ACT_EST_MAPPING=PRECISE", "FS=MRC", "CURRENCY=USD", "XLFILL=b")</f>
        <v>#N/A Requesting Data...</v>
      </c>
      <c r="U221" s="6" t="str">
        <f>_xll.BQL("NOW US Equity", "CB_CF_OTHER_INVESTING_ACTIVITIES/1M", "FPR=2021Y", "FPT=A", "FA_ACT_EST_DATA=E, EST_SOURCE=JMP", "ACT_EST_MAPPING=PRECISE", "FS=MRC", "CURRENCY=USD", "XLFILL=b")</f>
        <v>#N/A Requesting Data...</v>
      </c>
      <c r="V221" s="6" t="str">
        <f>_xll.BQL("NOW US Equity", "CB_CF_OTHER_INVESTING_ACTIVITIES/1M", "FPR=2021Y", "FPT=A", "FA_ACT_EST_DATA=E, EST_SOURCE=NDH", "ACT_EST_MAPPING=PRECISE", "FS=MRC", "CURRENCY=USD", "XLFILL=b")</f>
        <v>#N/A Requesting Data...</v>
      </c>
      <c r="W221" s="6" t="str">
        <f>_xll.BQL("NOW US Equity", "CB_CF_OTHER_INVESTING_ACTIVITIES/1M", "FPR=2021Y", "FPT=A", "FA_ACT_EST_DATA=E, EST_SOURCE=ZXS", "ACT_EST_MAPPING=PRECISE", "FS=MRC", "CURRENCY=USD", "XLFILL=b")</f>
        <v>#N/A Requesting Data...</v>
      </c>
      <c r="X221" s="6" t="str">
        <f>_xll.BQL("NOW US Equity", "CB_CF_OTHER_INVESTING_ACTIVITIES/1M", "FPR=2021Y", "FPT=A", "FA_ACT_EST_DATA=E, EST_SOURCE=CWN", "ACT_EST_MAPPING=PRECISE", "FS=MRC", "CURRENCY=USD", "XLFILL=b")</f>
        <v>#N/A Requesting Data...</v>
      </c>
      <c r="Y221" s="6" t="str">
        <f>_xll.BQL("NOW US Equity", "CB_CF_OTHER_INVESTING_ACTIVITIES/1M", "FPR=2021Y", "FPT=A", "FA_ACT_EST_DATA=E, EST_SOURCE=DBG", "ACT_EST_MAPPING=PRECISE", "FS=MRC", "CURRENCY=USD", "XLFILL=b")</f>
        <v>#N/A Requesting Data...</v>
      </c>
      <c r="Z221" s="6" t="str">
        <f>_xll.BQL("NOW US Equity", "CB_CF_OTHER_INVESTING_ACTIVITIES/1M", "FPR=2021Y", "FPT=A", "FA_ACT_EST_DATA=E, EST_SOURCE=UBS", "ACT_EST_MAPPING=PRECISE", "FS=MRC", "CURRENCY=USD", "XLFILL=b")</f>
        <v>#N/A Requesting Data...</v>
      </c>
      <c r="AA221" s="6" t="str">
        <f>_xll.BQL("NOW US Equity", "CB_CF_OTHER_INVESTING_ACTIVITIES/1M", "FPR=2021Y", "FPT=A", "FA_ACT_EST_DATA=E, EST_SOURCE=RBC", "ACT_EST_MAPPING=PRECISE", "FS=MRC", "CURRENCY=USD", "XLFILL=b")</f>
        <v>#N/A Requesting Data...</v>
      </c>
      <c r="AB221" s="6" t="str">
        <f>_xll.BQL("NOW US Equity", "CB_CF_OTHER_INVESTING_ACTIVITIES/1M", "FPR=2021Y", "FPT=A", "FA_ACT_EST_DATA=E, EST_SOURCE=EVR", "ACT_EST_MAPPING=PRECISE", "FS=MRC", "CURRENCY=USD", "XLFILL=b")</f>
        <v>#N/A Requesting Data...</v>
      </c>
      <c r="AC221" s="6" t="str">
        <f>_xll.BQL("NOW US Equity", "CB_CF_OTHER_INVESTING_ACTIVITIES/1M", "FPR=2021Y", "FPT=A", "FA_ACT_EST_DATA=E, EST_SOURCE=BNS", "ACT_EST_MAPPING=PRECISE", "FS=MRC", "CURRENCY=USD", "XLFILL=b")</f>
        <v>#N/A Requesting Data...</v>
      </c>
      <c r="AD221" s="6" t="str">
        <f>_xll.BQL("NOW US Equity", "CB_CF_OTHER_INVESTING_ACTIVITIES/1M", "FPR=2021Y", "FPT=A", "FA_ACT_EST_DATA=E, EST_SOURCE=BAM", "ACT_EST_MAPPING=PRECISE", "FS=MRC", "CURRENCY=USD", "XLFILL=b")</f>
        <v>#N/A Requesting Data...</v>
      </c>
      <c r="AE221" s="6" t="str">
        <f>_xll.BQL("NOW US Equity", "CB_CF_OTHER_INVESTING_ACTIVITIES/1M", "FPR=2021Y", "FPT=A", "FA_ACT_EST_DATA=E, EST_SOURCE=GSR", "ACT_EST_MAPPING=PRECISE", "FS=MRC", "CURRENCY=USD", "XLFILL=b")</f>
        <v>#N/A Requesting Data...</v>
      </c>
      <c r="AF221" s="6" t="str">
        <f>_xll.BQL("NOW US Equity", "CB_CF_OTHER_INVESTING_ACTIVITIES/1M", "FPR=2021Y", "FPT=A", "FA_ACT_EST_DATA=E, EST_SOURCE=FBC", "ACT_EST_MAPPING=PRECISE", "FS=MRC", "CURRENCY=USD", "XLFILL=b")</f>
        <v>#N/A Requesting Data...</v>
      </c>
      <c r="AG221" s="6" t="str">
        <f>_xll.BQL("NOW US Equity", "CB_CF_OTHER_INVESTING_ACTIVITIES/1M", "FPR=2021Y", "FPT=A", "FA_ACT_EST_DATA=E, EST_SOURCE=MAC", "ACT_EST_MAPPING=PRECISE", "FS=MRC", "CURRENCY=USD", "XLFILL=b")</f>
        <v>#N/A Requesting Data...</v>
      </c>
      <c r="AH221" s="6" t="str">
        <f>_xll.BQL("NOW US Equity", "CB_CF_OTHER_INVESTING_ACTIVITIES/1M", "FPR=2021Y", "FPT=A", "FA_ACT_EST_DATA=E, EST_SOURCE=PSG", "ACT_EST_MAPPING=PRECISE", "FS=MRC", "CURRENCY=USD", "XLFILL=b")</f>
        <v>#N/A Requesting Data...</v>
      </c>
      <c r="AI221" s="6" t="str">
        <f>_xll.BQL("NOW US Equity", "CB_CF_OTHER_INVESTING_ACTIVITIES/1M", "FPR=2021Y", "FPT=A", "FA_ACT_EST_DATA=E, EST_SOURCE=MSR", "ACT_EST_MAPPING=PRECISE", "FS=MRC", "CURRENCY=USD", "XLFILL=b")</f>
        <v>#N/A Requesting Data...</v>
      </c>
      <c r="AJ221" s="6" t="str">
        <f>_xll.BQL("NOW US Equity", "CB_CF_OTHER_INVESTING_ACTIVITIES/1M", "FPR=2021Y", "FPT=A", "FA_ACT_EST_DATA=E, EST_SOURCE=JEF", "ACT_EST_MAPPING=PRECISE", "FS=MRC", "CURRENCY=USD", "XLFILL=b")</f>
        <v>#N/A Requesting Data...</v>
      </c>
      <c r="AK221" s="6" t="str">
        <f>_xll.BQL("NOW US Equity", "CB_CF_OTHER_INVESTING_ACTIVITIES/1M", "FPR=2021Y", "FPT=A", "FA_ACT_EST_DATA=E, EST_SOURCE=TTC", "ACT_EST_MAPPING=PRECISE", "FS=MRC", "CURRENCY=USD", "XLFILL=b")</f>
        <v>#N/A Requesting Data...</v>
      </c>
      <c r="AL221" s="6" t="str">
        <f>_xll.BQL("NOW US Equity", "CB_CF_OTHER_INVESTING_ACTIVITIES/1M", "FPR=2021Y", "FPT=A", "FA_ACT_EST_DATA=E, EST_SOURCE=RWB", "ACT_EST_MAPPING=PRECISE", "FS=MRC", "CURRENCY=USD", "XLFILL=b")</f>
        <v>#N/A Requesting Data...</v>
      </c>
      <c r="AM221" s="6" t="str">
        <f>_xll.BQL("NOW US Equity", "CB_CF_OTHER_INVESTING_ACTIVITIES/1M", "FPR=2021Y", "FPT=A", "FA_ACT_EST_DATA=E, EST_SOURCE=DZB", "ACT_EST_MAPPING=PRECISE", "FS=MRC", "CURRENCY=USD", "XLFILL=b")</f>
        <v>#N/A Requesting Data...</v>
      </c>
      <c r="AN221" s="6" t="str">
        <f>_xll.BQL("NOW US Equity", "CB_CF_OTHER_INVESTING_ACTIVITIES/1M", "FPR=2021Y", "FPT=A", "FA_ACT_EST_DATA=E, EST_SOURCE=DWI", "ACT_EST_MAPPING=PRECISE", "FS=MRC", "CURRENCY=USD", "XLFILL=b")</f>
        <v>#N/A Requesting Data...</v>
      </c>
      <c r="AO221" s="6" t="str">
        <f>_xll.BQL("NOW US Equity", "CB_CF_OTHER_INVESTING_ACTIVITIES/1M", "FPR=2021Y", "FPT=A", "FA_ACT_EST_DATA=E, EST_SOURCE=ARG", "ACT_EST_MAPPING=PRECISE", "FS=MRC", "CURRENCY=USD", "XLFILL=b")</f>
        <v>#N/A Requesting Data...</v>
      </c>
      <c r="AP221" s="6" t="str">
        <f>_xll.BQL("NOW US Equity", "CB_CF_OTHER_INVESTING_ACTIVITIES/1M", "FPR=2021Y", "FPT=A", "FA_ACT_EST_DATA=E, EST_SOURCE=CTI", "ACT_EST_MAPPING=PRECISE", "FS=MRC", "CURRENCY=USD", "XLFILL=b")</f>
        <v>#N/A Requesting Data...</v>
      </c>
      <c r="AQ221" s="6" t="str">
        <f>_xll.BQL("NOW US Equity", "CB_CF_OTHER_INVESTING_ACTIVITIES/1M", "FPR=2021Y", "FPT=A", "FA_ACT_EST_DATA=E, EST_SOURCE=WFT", "ACT_EST_MAPPING=PRECISE", "FS=MRC", "CURRENCY=USD", "XLFILL=b")</f>
        <v>#N/A Requesting Data...</v>
      </c>
      <c r="AR221" s="6" t="str">
        <f>_xll.BQL("NOW US Equity", "CB_CF_OTHER_INVESTING_ACTIVITIES/1M", "FPR=2021Y", "FPT=A", "FA_ACT_EST_DATA=E, EST_SOURCE=ARE", "ACT_EST_MAPPING=PRECISE", "FS=MRC", "CURRENCY=USD", "XLFILL=b")</f>
        <v>#N/A Requesting Data...</v>
      </c>
      <c r="AS221" s="6" t="str">
        <f>_xll.BQL("NOW US Equity", "CB_CF_OTHER_INVESTING_ACTIVITIES/1M", "FPR=2021Y", "FPT=A", "FA_ACT_EST_DATA=E, EST_SOURCE=PJE", "ACT_EST_MAPPING=PRECISE", "FS=MRC", "CURRENCY=USD", "XLFILL=b")</f>
        <v>#N/A Requesting Data...</v>
      </c>
      <c r="AT221" s="6" t="str">
        <f>_xll.BQL("NOW US Equity", "CB_CF_OTHER_INVESTING_ACTIVITIES/1M", "FPR=2021Y", "FPT=A", "FA_ACT_EST_DATA=E, EST_SOURCE=MZS", "ACT_EST_MAPPING=PRECISE", "FS=MRC", "CURRENCY=USD", "XLFILL=b")</f>
        <v>#N/A Requesting Data...</v>
      </c>
      <c r="AU221" s="6" t="str">
        <f>_xll.BQL("NOW US Equity", "CB_CF_OTHER_INVESTING_ACTIVITIES/1M", "FPR=2021Y", "FPT=A", "FA_ACT_EST_DATA=E, EST_SOURCE=SUM", "ACT_EST_MAPPING=PRECISE", "FS=MRC", "CURRENCY=USD", "XLFILL=b")</f>
        <v>#N/A Requesting Data...</v>
      </c>
      <c r="AV221" s="6" t="str">
        <f>_xll.BQL("NOW US Equity", "CB_CF_OTHER_INVESTING_ACTIVITIES/1M", "FPR=2021Y", "FPT=A", "FA_ACT_EST_DATA=E, EST_SOURCE=CRC", "ACT_EST_MAPPING=PRECISE", "FS=MRC", "CURRENCY=USD", "XLFILL=b")</f>
        <v>#N/A Requesting Data...</v>
      </c>
      <c r="AW221" s="6" t="str">
        <f>_xll.BQL("NOW US Equity", "CB_CF_OTHER_INVESTING_ACTIVITIES/1M", "FPR=2021Y", "FPT=A", "FA_ACT_EST_DATA=E, EST_SOURCE=SCB", "ACT_EST_MAPPING=PRECISE", "FS=MRC", "CURRENCY=USD", "XLFILL=b")</f>
        <v>#N/A Requesting Data...</v>
      </c>
    </row>
    <row r="222" spans="1:49" x14ac:dyDescent="0.55000000000000004">
      <c r="A222" s="5" t="s">
        <v>408</v>
      </c>
      <c r="B222" s="2" t="s">
        <v>409</v>
      </c>
      <c r="C222" s="2" t="s">
        <v>410</v>
      </c>
      <c r="D222" s="2"/>
      <c r="E222" s="6" t="str">
        <f>_xll.BQL("NOW US Equity", "CF_CASH_FROM_INV_ACT/1M", "FPR=2021Y", "FPT=A", "FA_ACT_EST_DATA=E", "ACT_EST_MAPPING=PRECISE", "FS=MRC", "CURRENCY=USD", "XLFILL=b")</f>
        <v>#N/A Requesting Data...</v>
      </c>
      <c r="F222" s="6" t="str">
        <f>_xll.BQL("NOW US Equity", "CONTRIBUTOR_STATS(CF_CASH_FROM_INV_ACT, MIN)/1M", "FPR=2021Y", "FPT=A", "FA_ACT_EST_DATA=E", "ACT_EST_MAPPING=PRECISE", "FS=MRC", "CURRENCY=USD", "XLFILL=b")</f>
        <v>#N/A Requesting Data...</v>
      </c>
      <c r="G222" s="6" t="str">
        <f>_xll.BQL("NOW US Equity", "CONTRIBUTOR_STATS(CF_CASH_FROM_INV_ACT, MAX)/1M", "FPR=2021Y", "FPT=A", "FA_ACT_EST_DATA=E", "ACT_EST_MAPPING=PRECISE", "FS=MRC", "CURRENCY=USD", "XLFILL=b")</f>
        <v>#N/A Requesting Data...</v>
      </c>
      <c r="H222" s="6" t="str">
        <f>_xll.BQL("NOW US Equity", "CONTRIBUTOR_STATS(CF_CASH_FROM_INV_ACT, STD)/1M", "FPR=2021Y", "FPT=A", "FA_ACT_EST_DATA=E", "ACT_EST_MAPPING=PRECISE", "FS=MRC", "CURRENCY=USD", "XLFILL=b")</f>
        <v>#N/A Requesting Data...</v>
      </c>
      <c r="I222" s="6" t="str">
        <f>_xll.BQL("NOW US Equity", "CONTRIBUTOR_STATS(CF_CASH_FROM_INV_ACT, MEDIAN)/1M", "FPR=2021Y", "FPT=A", "FA_ACT_EST_DATA=E", "ACT_EST_MAPPING=PRECISE", "FS=MRC", "CURRENCY=USD", "XLFILL=b")</f>
        <v>#N/A Requesting Data...</v>
      </c>
      <c r="J222" s="6" t="str">
        <f>_xll.BQL("NOW US Equity", "CF_CASH_FROM_INV_ACT/1M", "FPR=2021Y", "FPT=A", "FA_ACT_EST_DATA=E, EST_SOURCE=CMPY", "ACT_EST_MAPPING=PRECISE", "FS=MRC", "CURRENCY=USD", "XLFILL=b")</f>
        <v>#N/A Requesting Data...</v>
      </c>
      <c r="K222" s="6" t="str">
        <f>_xll.BQL("NOW US Equity", "CF_CASH_FROM_INV_ACT/1M", "FPR=2021Y", "FPT=A", "FA_ACT_EST_DATA=E, EST_SOURCE=JPM", "ACT_EST_MAPPING=PRECISE", "FS=MRC", "CURRENCY=USD", "XLFILL=b")</f>
        <v>#N/A Requesting Data...</v>
      </c>
      <c r="L222" s="6" t="str">
        <f>_xll.BQL("NOW US Equity", "CF_CASH_FROM_INV_ACT/1M", "FPR=2021Y", "FPT=A", "FA_ACT_EST_DATA=E, EST_SOURCE=WBL", "ACT_EST_MAPPING=PRECISE", "FS=MRC", "CURRENCY=USD", "XLFILL=b")</f>
        <v>#N/A Requesting Data...</v>
      </c>
      <c r="M222" s="6" t="str">
        <f>_xll.BQL("NOW US Equity", "CF_CASH_FROM_INV_ACT/1M", "FPR=2021Y", "FPT=A", "FA_ACT_EST_DATA=E, EST_SOURCE=KEY", "ACT_EST_MAPPING=PRECISE", "FS=MRC", "CURRENCY=USD", "XLFILL=b")</f>
        <v>#N/A Requesting Data...</v>
      </c>
      <c r="N222" s="6" t="str">
        <f>_xll.BQL("NOW US Equity", "CF_CASH_FROM_INV_ACT/1M", "FPR=2021Y", "FPT=A", "FA_ACT_EST_DATA=E, EST_SOURCE=BMO", "ACT_EST_MAPPING=PRECISE", "FS=MRC", "CURRENCY=USD", "XLFILL=b")</f>
        <v>#N/A Requesting Data...</v>
      </c>
      <c r="O222" s="6" t="str">
        <f>_xll.BQL("NOW US Equity", "CF_CASH_FROM_INV_ACT/1M", "FPR=2021Y", "FPT=A", "FA_ACT_EST_DATA=E, EST_SOURCE=OPY", "ACT_EST_MAPPING=PRECISE", "FS=MRC", "CURRENCY=USD", "XLFILL=b")</f>
        <v>#N/A Requesting Data...</v>
      </c>
      <c r="P222" s="6" t="str">
        <f>_xll.BQL("NOW US Equity", "CF_CASH_FROM_INV_ACT/1M", "FPR=2021Y", "FPT=A", "FA_ACT_EST_DATA=E, EST_SOURCE=BCA", "ACT_EST_MAPPING=PRECISE", "FS=MRC", "CURRENCY=USD", "XLFILL=b")</f>
        <v>#N/A Requesting Data...</v>
      </c>
      <c r="Q222" s="6" t="str">
        <f>_xll.BQL("NOW US Equity", "CF_CASH_FROM_INV_ACT/1M", "FPR=2021Y", "FPT=A", "FA_ACT_EST_DATA=E, EST_SOURCE=RHR", "ACT_EST_MAPPING=PRECISE", "FS=MRC", "CURRENCY=USD", "XLFILL=b")</f>
        <v>#N/A Requesting Data...</v>
      </c>
      <c r="R222" s="6" t="str">
        <f>_xll.BQL("NOW US Equity", "CF_CASH_FROM_INV_ACT/1M", "FPR=2021Y", "FPT=A", "FA_ACT_EST_DATA=E, EST_SOURCE=SNR", "ACT_EST_MAPPING=PRECISE", "FS=MRC", "CURRENCY=USD", "XLFILL=b")</f>
        <v>#N/A Requesting Data...</v>
      </c>
      <c r="S222" s="6" t="str">
        <f>_xll.BQL("NOW US Equity", "CF_CASH_FROM_INV_ACT/1M", "FPR=2021Y", "FPT=A", "FA_ACT_EST_DATA=E, EST_SOURCE=MSV", "ACT_EST_MAPPING=PRECISE", "FS=MRC", "CURRENCY=USD", "XLFILL=b")</f>
        <v>#N/A Requesting Data...</v>
      </c>
      <c r="T222" s="6" t="str">
        <f>_xll.BQL("NOW US Equity", "CF_CASH_FROM_INV_ACT/1M", "FPR=2021Y", "FPT=A", "FA_ACT_EST_DATA=E, EST_SOURCE=CAN", "ACT_EST_MAPPING=PRECISE", "FS=MRC", "CURRENCY=USD", "XLFILL=b")</f>
        <v>#N/A Requesting Data...</v>
      </c>
      <c r="U222" s="6" t="str">
        <f>_xll.BQL("NOW US Equity", "CF_CASH_FROM_INV_ACT/1M", "FPR=2021Y", "FPT=A", "FA_ACT_EST_DATA=E, EST_SOURCE=JMP", "ACT_EST_MAPPING=PRECISE", "FS=MRC", "CURRENCY=USD", "XLFILL=b")</f>
        <v>#N/A Requesting Data...</v>
      </c>
      <c r="V222" s="6" t="str">
        <f>_xll.BQL("NOW US Equity", "CF_CASH_FROM_INV_ACT/1M", "FPR=2021Y", "FPT=A", "FA_ACT_EST_DATA=E, EST_SOURCE=NDH", "ACT_EST_MAPPING=PRECISE", "FS=MRC", "CURRENCY=USD", "XLFILL=b")</f>
        <v>#N/A Requesting Data...</v>
      </c>
      <c r="W222" s="6" t="str">
        <f>_xll.BQL("NOW US Equity", "CF_CASH_FROM_INV_ACT/1M", "FPR=2021Y", "FPT=A", "FA_ACT_EST_DATA=E, EST_SOURCE=ZXS", "ACT_EST_MAPPING=PRECISE", "FS=MRC", "CURRENCY=USD", "XLFILL=b")</f>
        <v>#N/A Requesting Data...</v>
      </c>
      <c r="X222" s="6" t="str">
        <f>_xll.BQL("NOW US Equity", "CF_CASH_FROM_INV_ACT/1M", "FPR=2021Y", "FPT=A", "FA_ACT_EST_DATA=E, EST_SOURCE=CWN", "ACT_EST_MAPPING=PRECISE", "FS=MRC", "CURRENCY=USD", "XLFILL=b")</f>
        <v>#N/A Requesting Data...</v>
      </c>
      <c r="Y222" s="6" t="str">
        <f>_xll.BQL("NOW US Equity", "CF_CASH_FROM_INV_ACT/1M", "FPR=2021Y", "FPT=A", "FA_ACT_EST_DATA=E, EST_SOURCE=DBG", "ACT_EST_MAPPING=PRECISE", "FS=MRC", "CURRENCY=USD", "XLFILL=b")</f>
        <v>#N/A Requesting Data...</v>
      </c>
      <c r="Z222" s="6" t="str">
        <f>_xll.BQL("NOW US Equity", "CF_CASH_FROM_INV_ACT/1M", "FPR=2021Y", "FPT=A", "FA_ACT_EST_DATA=E, EST_SOURCE=UBS", "ACT_EST_MAPPING=PRECISE", "FS=MRC", "CURRENCY=USD", "XLFILL=b")</f>
        <v>#N/A Requesting Data...</v>
      </c>
      <c r="AA222" s="6" t="str">
        <f>_xll.BQL("NOW US Equity", "CF_CASH_FROM_INV_ACT/1M", "FPR=2021Y", "FPT=A", "FA_ACT_EST_DATA=E, EST_SOURCE=RBC", "ACT_EST_MAPPING=PRECISE", "FS=MRC", "CURRENCY=USD", "XLFILL=b")</f>
        <v>#N/A Requesting Data...</v>
      </c>
      <c r="AB222" s="6" t="str">
        <f>_xll.BQL("NOW US Equity", "CF_CASH_FROM_INV_ACT/1M", "FPR=2021Y", "FPT=A", "FA_ACT_EST_DATA=E, EST_SOURCE=EVR", "ACT_EST_MAPPING=PRECISE", "FS=MRC", "CURRENCY=USD", "XLFILL=b")</f>
        <v>#N/A Requesting Data...</v>
      </c>
      <c r="AC222" s="6" t="str">
        <f>_xll.BQL("NOW US Equity", "CF_CASH_FROM_INV_ACT/1M", "FPR=2021Y", "FPT=A", "FA_ACT_EST_DATA=E, EST_SOURCE=BNS", "ACT_EST_MAPPING=PRECISE", "FS=MRC", "CURRENCY=USD", "XLFILL=b")</f>
        <v>#N/A Requesting Data...</v>
      </c>
      <c r="AD222" s="6" t="str">
        <f>_xll.BQL("NOW US Equity", "CF_CASH_FROM_INV_ACT/1M", "FPR=2021Y", "FPT=A", "FA_ACT_EST_DATA=E, EST_SOURCE=BAM", "ACT_EST_MAPPING=PRECISE", "FS=MRC", "CURRENCY=USD", "XLFILL=b")</f>
        <v>#N/A Requesting Data...</v>
      </c>
      <c r="AE222" s="6" t="str">
        <f>_xll.BQL("NOW US Equity", "CF_CASH_FROM_INV_ACT/1M", "FPR=2021Y", "FPT=A", "FA_ACT_EST_DATA=E, EST_SOURCE=GSR", "ACT_EST_MAPPING=PRECISE", "FS=MRC", "CURRENCY=USD", "XLFILL=b")</f>
        <v>#N/A Requesting Data...</v>
      </c>
      <c r="AF222" s="6" t="str">
        <f>_xll.BQL("NOW US Equity", "CF_CASH_FROM_INV_ACT/1M", "FPR=2021Y", "FPT=A", "FA_ACT_EST_DATA=E, EST_SOURCE=FBC", "ACT_EST_MAPPING=PRECISE", "FS=MRC", "CURRENCY=USD", "XLFILL=b")</f>
        <v>#N/A Requesting Data...</v>
      </c>
      <c r="AG222" s="6" t="str">
        <f>_xll.BQL("NOW US Equity", "CF_CASH_FROM_INV_ACT/1M", "FPR=2021Y", "FPT=A", "FA_ACT_EST_DATA=E, EST_SOURCE=MAC", "ACT_EST_MAPPING=PRECISE", "FS=MRC", "CURRENCY=USD", "XLFILL=b")</f>
        <v>#N/A Requesting Data...</v>
      </c>
      <c r="AH222" s="6" t="str">
        <f>_xll.BQL("NOW US Equity", "CF_CASH_FROM_INV_ACT/1M", "FPR=2021Y", "FPT=A", "FA_ACT_EST_DATA=E, EST_SOURCE=PSG", "ACT_EST_MAPPING=PRECISE", "FS=MRC", "CURRENCY=USD", "XLFILL=b")</f>
        <v>#N/A Requesting Data...</v>
      </c>
      <c r="AI222" s="6" t="str">
        <f>_xll.BQL("NOW US Equity", "CF_CASH_FROM_INV_ACT/1M", "FPR=2021Y", "FPT=A", "FA_ACT_EST_DATA=E, EST_SOURCE=MSR", "ACT_EST_MAPPING=PRECISE", "FS=MRC", "CURRENCY=USD", "XLFILL=b")</f>
        <v>#N/A Requesting Data...</v>
      </c>
      <c r="AJ222" s="6" t="str">
        <f>_xll.BQL("NOW US Equity", "CF_CASH_FROM_INV_ACT/1M", "FPR=2021Y", "FPT=A", "FA_ACT_EST_DATA=E, EST_SOURCE=JEF", "ACT_EST_MAPPING=PRECISE", "FS=MRC", "CURRENCY=USD", "XLFILL=b")</f>
        <v>#N/A Requesting Data...</v>
      </c>
      <c r="AK222" s="6" t="str">
        <f>_xll.BQL("NOW US Equity", "CF_CASH_FROM_INV_ACT/1M", "FPR=2021Y", "FPT=A", "FA_ACT_EST_DATA=E, EST_SOURCE=TTC", "ACT_EST_MAPPING=PRECISE", "FS=MRC", "CURRENCY=USD", "XLFILL=b")</f>
        <v>#N/A Requesting Data...</v>
      </c>
      <c r="AL222" s="6" t="str">
        <f>_xll.BQL("NOW US Equity", "CF_CASH_FROM_INV_ACT/1M", "FPR=2021Y", "FPT=A", "FA_ACT_EST_DATA=E, EST_SOURCE=RWB", "ACT_EST_MAPPING=PRECISE", "FS=MRC", "CURRENCY=USD", "XLFILL=b")</f>
        <v>#N/A Requesting Data...</v>
      </c>
      <c r="AM222" s="6" t="str">
        <f>_xll.BQL("NOW US Equity", "CF_CASH_FROM_INV_ACT/1M", "FPR=2021Y", "FPT=A", "FA_ACT_EST_DATA=E, EST_SOURCE=DZB", "ACT_EST_MAPPING=PRECISE", "FS=MRC", "CURRENCY=USD", "XLFILL=b")</f>
        <v>#N/A Requesting Data...</v>
      </c>
      <c r="AN222" s="6" t="str">
        <f>_xll.BQL("NOW US Equity", "CF_CASH_FROM_INV_ACT/1M", "FPR=2021Y", "FPT=A", "FA_ACT_EST_DATA=E, EST_SOURCE=DWI", "ACT_EST_MAPPING=PRECISE", "FS=MRC", "CURRENCY=USD", "XLFILL=b")</f>
        <v>#N/A Requesting Data...</v>
      </c>
      <c r="AO222" s="6" t="str">
        <f>_xll.BQL("NOW US Equity", "CF_CASH_FROM_INV_ACT/1M", "FPR=2021Y", "FPT=A", "FA_ACT_EST_DATA=E, EST_SOURCE=ARG", "ACT_EST_MAPPING=PRECISE", "FS=MRC", "CURRENCY=USD", "XLFILL=b")</f>
        <v>#N/A Requesting Data...</v>
      </c>
      <c r="AP222" s="6" t="str">
        <f>_xll.BQL("NOW US Equity", "CF_CASH_FROM_INV_ACT/1M", "FPR=2021Y", "FPT=A", "FA_ACT_EST_DATA=E, EST_SOURCE=CTI", "ACT_EST_MAPPING=PRECISE", "FS=MRC", "CURRENCY=USD", "XLFILL=b")</f>
        <v>#N/A Requesting Data...</v>
      </c>
      <c r="AQ222" s="6" t="str">
        <f>_xll.BQL("NOW US Equity", "CF_CASH_FROM_INV_ACT/1M", "FPR=2021Y", "FPT=A", "FA_ACT_EST_DATA=E, EST_SOURCE=WFT", "ACT_EST_MAPPING=PRECISE", "FS=MRC", "CURRENCY=USD", "XLFILL=b")</f>
        <v>#N/A Requesting Data...</v>
      </c>
      <c r="AR222" s="6" t="str">
        <f>_xll.BQL("NOW US Equity", "CF_CASH_FROM_INV_ACT/1M", "FPR=2021Y", "FPT=A", "FA_ACT_EST_DATA=E, EST_SOURCE=ARE", "ACT_EST_MAPPING=PRECISE", "FS=MRC", "CURRENCY=USD", "XLFILL=b")</f>
        <v>#N/A Requesting Data...</v>
      </c>
      <c r="AS222" s="6" t="str">
        <f>_xll.BQL("NOW US Equity", "CF_CASH_FROM_INV_ACT/1M", "FPR=2021Y", "FPT=A", "FA_ACT_EST_DATA=E, EST_SOURCE=PJE", "ACT_EST_MAPPING=PRECISE", "FS=MRC", "CURRENCY=USD", "XLFILL=b")</f>
        <v>#N/A Requesting Data...</v>
      </c>
      <c r="AT222" s="6" t="str">
        <f>_xll.BQL("NOW US Equity", "CF_CASH_FROM_INV_ACT/1M", "FPR=2021Y", "FPT=A", "FA_ACT_EST_DATA=E, EST_SOURCE=MZS", "ACT_EST_MAPPING=PRECISE", "FS=MRC", "CURRENCY=USD", "XLFILL=b")</f>
        <v>#N/A Requesting Data...</v>
      </c>
      <c r="AU222" s="6" t="str">
        <f>_xll.BQL("NOW US Equity", "CF_CASH_FROM_INV_ACT/1M", "FPR=2021Y", "FPT=A", "FA_ACT_EST_DATA=E, EST_SOURCE=SUM", "ACT_EST_MAPPING=PRECISE", "FS=MRC", "CURRENCY=USD", "XLFILL=b")</f>
        <v>#N/A Requesting Data...</v>
      </c>
      <c r="AV222" s="6" t="str">
        <f>_xll.BQL("NOW US Equity", "CF_CASH_FROM_INV_ACT/1M", "FPR=2021Y", "FPT=A", "FA_ACT_EST_DATA=E, EST_SOURCE=CRC", "ACT_EST_MAPPING=PRECISE", "FS=MRC", "CURRENCY=USD", "XLFILL=b")</f>
        <v>#N/A Requesting Data...</v>
      </c>
      <c r="AW222" s="6" t="str">
        <f>_xll.BQL("NOW US Equity", "CF_CASH_FROM_INV_ACT/1M", "FPR=2021Y", "FPT=A", "FA_ACT_EST_DATA=E, EST_SOURCE=SCB", "ACT_EST_MAPPING=PRECISE", "FS=MRC", "CURRENCY=USD", "XLFILL=b")</f>
        <v>#N/A Requesting Data...</v>
      </c>
    </row>
    <row r="223" spans="1:49" x14ac:dyDescent="0.55000000000000004">
      <c r="A223" s="5" t="s">
        <v>23</v>
      </c>
      <c r="B223" s="2"/>
      <c r="C223" s="2"/>
      <c r="D223" s="2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</row>
    <row r="224" spans="1:49" x14ac:dyDescent="0.55000000000000004">
      <c r="A224" s="5" t="s">
        <v>411</v>
      </c>
      <c r="B224" s="2"/>
      <c r="C224" s="2" t="s">
        <v>412</v>
      </c>
      <c r="D224" s="2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</row>
    <row r="225" spans="1:49" x14ac:dyDescent="0.55000000000000004">
      <c r="A225" s="5" t="s">
        <v>413</v>
      </c>
      <c r="B225" s="2" t="s">
        <v>414</v>
      </c>
      <c r="C225" s="2" t="s">
        <v>415</v>
      </c>
      <c r="D225" s="2"/>
      <c r="E225" s="6">
        <f>_xll.BQL("NOW US Equity", "CF_INCR_CAP_STOCK/1M", "FPR=2021Y", "FPT=A", "FA_ACT_EST_DATA=E", "ACT_EST_MAPPING=PRECISE", "FS=MRC", "CURRENCY=USD", "XLFILL=b")</f>
        <v>174.84517857142856</v>
      </c>
      <c r="F225" s="6" t="str">
        <f>_xll.BQL("NOW US Equity", "CONTRIBUTOR_STATS(CF_INCR_CAP_STOCK, MIN)/1M", "FPR=2021Y", "FPT=A", "FA_ACT_EST_DATA=E", "ACT_EST_MAPPING=PRECISE", "FS=MRC", "CURRENCY=USD", "XLFILL=b")</f>
        <v>#N/A Requesting Data...</v>
      </c>
      <c r="G225" s="6" t="str">
        <f>_xll.BQL("NOW US Equity", "CONTRIBUTOR_STATS(CF_INCR_CAP_STOCK, MAX)/1M", "FPR=2021Y", "FPT=A", "FA_ACT_EST_DATA=E", "ACT_EST_MAPPING=PRECISE", "FS=MRC", "CURRENCY=USD", "XLFILL=b")</f>
        <v>#N/A Requesting Data...</v>
      </c>
      <c r="H225" s="6">
        <f>_xll.BQL("NOW US Equity", "CONTRIBUTOR_STATS(CF_INCR_CAP_STOCK, STD)/1M", "FPR=2021Y", "FPT=A", "FA_ACT_EST_DATA=E", "ACT_EST_MAPPING=PRECISE", "FS=MRC", "CURRENCY=USD", "XLFILL=b")</f>
        <v>21.176041619651158</v>
      </c>
      <c r="I225" s="6" t="str">
        <f>_xll.BQL("NOW US Equity", "CONTRIBUTOR_STATS(CF_INCR_CAP_STOCK, MEDIAN)/1M", "FPR=2021Y", "FPT=A", "FA_ACT_EST_DATA=E", "ACT_EST_MAPPING=PRECISE", "FS=MRC", "CURRENCY=USD", "XLFILL=b")</f>
        <v>#N/A Requesting Data...</v>
      </c>
      <c r="J225" s="6" t="str">
        <f>_xll.BQL("NOW US Equity", "CF_INCR_CAP_STOCK/1M", "FPR=2021Y", "FPT=A", "FA_ACT_EST_DATA=E, EST_SOURCE=CMPY", "ACT_EST_MAPPING=PRECISE", "FS=MRC", "CURRENCY=USD", "XLFILL=b")</f>
        <v>#N/A Requesting Data...</v>
      </c>
      <c r="K225" s="6" t="str">
        <f>_xll.BQL("NOW US Equity", "CF_INCR_CAP_STOCK/1M", "FPR=2021Y", "FPT=A", "FA_ACT_EST_DATA=E, EST_SOURCE=JPM", "ACT_EST_MAPPING=PRECISE", "FS=MRC", "CURRENCY=USD", "XLFILL=b")</f>
        <v>#N/A Requesting Data...</v>
      </c>
      <c r="L225" s="6" t="str">
        <f>_xll.BQL("NOW US Equity", "CF_INCR_CAP_STOCK/1M", "FPR=2021Y", "FPT=A", "FA_ACT_EST_DATA=E, EST_SOURCE=WBL", "ACT_EST_MAPPING=PRECISE", "FS=MRC", "CURRENCY=USD", "XLFILL=b")</f>
        <v>#N/A Requesting Data...</v>
      </c>
      <c r="M225" s="6" t="str">
        <f>_xll.BQL("NOW US Equity", "CF_INCR_CAP_STOCK/1M", "FPR=2021Y", "FPT=A", "FA_ACT_EST_DATA=E, EST_SOURCE=KEY", "ACT_EST_MAPPING=PRECISE", "FS=MRC", "CURRENCY=USD", "XLFILL=b")</f>
        <v>#N/A Requesting Data...</v>
      </c>
      <c r="N225" s="6" t="str">
        <f>_xll.BQL("NOW US Equity", "CF_INCR_CAP_STOCK/1M", "FPR=2021Y", "FPT=A", "FA_ACT_EST_DATA=E, EST_SOURCE=BMO", "ACT_EST_MAPPING=PRECISE", "FS=MRC", "CURRENCY=USD", "XLFILL=b")</f>
        <v>#N/A Requesting Data...</v>
      </c>
      <c r="O225" s="6" t="str">
        <f>_xll.BQL("NOW US Equity", "CF_INCR_CAP_STOCK/1M", "FPR=2021Y", "FPT=A", "FA_ACT_EST_DATA=E, EST_SOURCE=OPY", "ACT_EST_MAPPING=PRECISE", "FS=MRC", "CURRENCY=USD", "XLFILL=b")</f>
        <v>#N/A Requesting Data...</v>
      </c>
      <c r="P225" s="6" t="str">
        <f>_xll.BQL("NOW US Equity", "CF_INCR_CAP_STOCK/1M", "FPR=2021Y", "FPT=A", "FA_ACT_EST_DATA=E, EST_SOURCE=BCA", "ACT_EST_MAPPING=PRECISE", "FS=MRC", "CURRENCY=USD", "XLFILL=b")</f>
        <v>#N/A Requesting Data...</v>
      </c>
      <c r="Q225" s="6" t="str">
        <f>_xll.BQL("NOW US Equity", "CF_INCR_CAP_STOCK/1M", "FPR=2021Y", "FPT=A", "FA_ACT_EST_DATA=E, EST_SOURCE=RHR", "ACT_EST_MAPPING=PRECISE", "FS=MRC", "CURRENCY=USD", "XLFILL=b")</f>
        <v>#N/A Requesting Data...</v>
      </c>
      <c r="R225" s="6" t="str">
        <f>_xll.BQL("NOW US Equity", "CF_INCR_CAP_STOCK/1M", "FPR=2021Y", "FPT=A", "FA_ACT_EST_DATA=E, EST_SOURCE=SNR", "ACT_EST_MAPPING=PRECISE", "FS=MRC", "CURRENCY=USD", "XLFILL=b")</f>
        <v>#N/A Requesting Data...</v>
      </c>
      <c r="S225" s="6" t="str">
        <f>_xll.BQL("NOW US Equity", "CF_INCR_CAP_STOCK/1M", "FPR=2021Y", "FPT=A", "FA_ACT_EST_DATA=E, EST_SOURCE=MSV", "ACT_EST_MAPPING=PRECISE", "FS=MRC", "CURRENCY=USD", "XLFILL=b")</f>
        <v>#N/A Requesting Data...</v>
      </c>
      <c r="T225" s="6" t="str">
        <f>_xll.BQL("NOW US Equity", "CF_INCR_CAP_STOCK/1M", "FPR=2021Y", "FPT=A", "FA_ACT_EST_DATA=E, EST_SOURCE=CAN", "ACT_EST_MAPPING=PRECISE", "FS=MRC", "CURRENCY=USD", "XLFILL=b")</f>
        <v>#N/A Requesting Data...</v>
      </c>
      <c r="U225" s="6" t="str">
        <f>_xll.BQL("NOW US Equity", "CF_INCR_CAP_STOCK/1M", "FPR=2021Y", "FPT=A", "FA_ACT_EST_DATA=E, EST_SOURCE=JMP", "ACT_EST_MAPPING=PRECISE", "FS=MRC", "CURRENCY=USD", "XLFILL=b")</f>
        <v>#N/A Requesting Data...</v>
      </c>
      <c r="V225" s="6" t="str">
        <f>_xll.BQL("NOW US Equity", "CF_INCR_CAP_STOCK/1M", "FPR=2021Y", "FPT=A", "FA_ACT_EST_DATA=E, EST_SOURCE=NDH", "ACT_EST_MAPPING=PRECISE", "FS=MRC", "CURRENCY=USD", "XLFILL=b")</f>
        <v>#N/A Requesting Data...</v>
      </c>
      <c r="W225" s="6" t="str">
        <f>_xll.BQL("NOW US Equity", "CF_INCR_CAP_STOCK/1M", "FPR=2021Y", "FPT=A", "FA_ACT_EST_DATA=E, EST_SOURCE=ZXS", "ACT_EST_MAPPING=PRECISE", "FS=MRC", "CURRENCY=USD", "XLFILL=b")</f>
        <v>#N/A Requesting Data...</v>
      </c>
      <c r="X225" s="6" t="str">
        <f>_xll.BQL("NOW US Equity", "CF_INCR_CAP_STOCK/1M", "FPR=2021Y", "FPT=A", "FA_ACT_EST_DATA=E, EST_SOURCE=CWN", "ACT_EST_MAPPING=PRECISE", "FS=MRC", "CURRENCY=USD", "XLFILL=b")</f>
        <v>#N/A Requesting Data...</v>
      </c>
      <c r="Y225" s="6" t="str">
        <f>_xll.BQL("NOW US Equity", "CF_INCR_CAP_STOCK/1M", "FPR=2021Y", "FPT=A", "FA_ACT_EST_DATA=E, EST_SOURCE=DBG", "ACT_EST_MAPPING=PRECISE", "FS=MRC", "CURRENCY=USD", "XLFILL=b")</f>
        <v>#N/A Requesting Data...</v>
      </c>
      <c r="Z225" s="6" t="str">
        <f>_xll.BQL("NOW US Equity", "CF_INCR_CAP_STOCK/1M", "FPR=2021Y", "FPT=A", "FA_ACT_EST_DATA=E, EST_SOURCE=UBS", "ACT_EST_MAPPING=PRECISE", "FS=MRC", "CURRENCY=USD", "XLFILL=b")</f>
        <v>#N/A Requesting Data...</v>
      </c>
      <c r="AA225" s="6" t="str">
        <f>_xll.BQL("NOW US Equity", "CF_INCR_CAP_STOCK/1M", "FPR=2021Y", "FPT=A", "FA_ACT_EST_DATA=E, EST_SOURCE=RBC", "ACT_EST_MAPPING=PRECISE", "FS=MRC", "CURRENCY=USD", "XLFILL=b")</f>
        <v>#N/A Requesting Data...</v>
      </c>
      <c r="AB225" s="6" t="str">
        <f>_xll.BQL("NOW US Equity", "CF_INCR_CAP_STOCK/1M", "FPR=2021Y", "FPT=A", "FA_ACT_EST_DATA=E, EST_SOURCE=EVR", "ACT_EST_MAPPING=PRECISE", "FS=MRC", "CURRENCY=USD", "XLFILL=b")</f>
        <v>#N/A Requesting Data...</v>
      </c>
      <c r="AC225" s="6" t="str">
        <f>_xll.BQL("NOW US Equity", "CF_INCR_CAP_STOCK/1M", "FPR=2021Y", "FPT=A", "FA_ACT_EST_DATA=E, EST_SOURCE=BNS", "ACT_EST_MAPPING=PRECISE", "FS=MRC", "CURRENCY=USD", "XLFILL=b")</f>
        <v>#N/A Requesting Data...</v>
      </c>
      <c r="AD225" s="6" t="str">
        <f>_xll.BQL("NOW US Equity", "CF_INCR_CAP_STOCK/1M", "FPR=2021Y", "FPT=A", "FA_ACT_EST_DATA=E, EST_SOURCE=BAM", "ACT_EST_MAPPING=PRECISE", "FS=MRC", "CURRENCY=USD", "XLFILL=b")</f>
        <v>#N/A Requesting Data...</v>
      </c>
      <c r="AE225" s="6" t="str">
        <f>_xll.BQL("NOW US Equity", "CF_INCR_CAP_STOCK/1M", "FPR=2021Y", "FPT=A", "FA_ACT_EST_DATA=E, EST_SOURCE=GSR", "ACT_EST_MAPPING=PRECISE", "FS=MRC", "CURRENCY=USD", "XLFILL=b")</f>
        <v>#N/A Requesting Data...</v>
      </c>
      <c r="AF225" s="6" t="str">
        <f>_xll.BQL("NOW US Equity", "CF_INCR_CAP_STOCK/1M", "FPR=2021Y", "FPT=A", "FA_ACT_EST_DATA=E, EST_SOURCE=FBC", "ACT_EST_MAPPING=PRECISE", "FS=MRC", "CURRENCY=USD", "XLFILL=b")</f>
        <v>#N/A Requesting Data...</v>
      </c>
      <c r="AG225" s="6" t="str">
        <f>_xll.BQL("NOW US Equity", "CF_INCR_CAP_STOCK/1M", "FPR=2021Y", "FPT=A", "FA_ACT_EST_DATA=E, EST_SOURCE=MAC", "ACT_EST_MAPPING=PRECISE", "FS=MRC", "CURRENCY=USD", "XLFILL=b")</f>
        <v>#N/A Requesting Data...</v>
      </c>
      <c r="AH225" s="6" t="str">
        <f>_xll.BQL("NOW US Equity", "CF_INCR_CAP_STOCK/1M", "FPR=2021Y", "FPT=A", "FA_ACT_EST_DATA=E, EST_SOURCE=PSG", "ACT_EST_MAPPING=PRECISE", "FS=MRC", "CURRENCY=USD", "XLFILL=b")</f>
        <v>#N/A Requesting Data...</v>
      </c>
      <c r="AI225" s="6" t="str">
        <f>_xll.BQL("NOW US Equity", "CF_INCR_CAP_STOCK/1M", "FPR=2021Y", "FPT=A", "FA_ACT_EST_DATA=E, EST_SOURCE=MSR", "ACT_EST_MAPPING=PRECISE", "FS=MRC", "CURRENCY=USD", "XLFILL=b")</f>
        <v>#N/A Requesting Data...</v>
      </c>
      <c r="AJ225" s="6" t="str">
        <f>_xll.BQL("NOW US Equity", "CF_INCR_CAP_STOCK/1M", "FPR=2021Y", "FPT=A", "FA_ACT_EST_DATA=E, EST_SOURCE=JEF", "ACT_EST_MAPPING=PRECISE", "FS=MRC", "CURRENCY=USD", "XLFILL=b")</f>
        <v>#N/A Requesting Data...</v>
      </c>
      <c r="AK225" s="6" t="str">
        <f>_xll.BQL("NOW US Equity", "CF_INCR_CAP_STOCK/1M", "FPR=2021Y", "FPT=A", "FA_ACT_EST_DATA=E, EST_SOURCE=TTC", "ACT_EST_MAPPING=PRECISE", "FS=MRC", "CURRENCY=USD", "XLFILL=b")</f>
        <v>#N/A Requesting Data...</v>
      </c>
      <c r="AL225" s="6" t="str">
        <f>_xll.BQL("NOW US Equity", "CF_INCR_CAP_STOCK/1M", "FPR=2021Y", "FPT=A", "FA_ACT_EST_DATA=E, EST_SOURCE=RWB", "ACT_EST_MAPPING=PRECISE", "FS=MRC", "CURRENCY=USD", "XLFILL=b")</f>
        <v>#N/A Requesting Data...</v>
      </c>
      <c r="AM225" s="6" t="str">
        <f>_xll.BQL("NOW US Equity", "CF_INCR_CAP_STOCK/1M", "FPR=2021Y", "FPT=A", "FA_ACT_EST_DATA=E, EST_SOURCE=DZB", "ACT_EST_MAPPING=PRECISE", "FS=MRC", "CURRENCY=USD", "XLFILL=b")</f>
        <v>#N/A Requesting Data...</v>
      </c>
      <c r="AN225" s="6" t="str">
        <f>_xll.BQL("NOW US Equity", "CF_INCR_CAP_STOCK/1M", "FPR=2021Y", "FPT=A", "FA_ACT_EST_DATA=E, EST_SOURCE=DWI", "ACT_EST_MAPPING=PRECISE", "FS=MRC", "CURRENCY=USD", "XLFILL=b")</f>
        <v>#N/A Requesting Data...</v>
      </c>
      <c r="AO225" s="6" t="str">
        <f>_xll.BQL("NOW US Equity", "CF_INCR_CAP_STOCK/1M", "FPR=2021Y", "FPT=A", "FA_ACT_EST_DATA=E, EST_SOURCE=ARG", "ACT_EST_MAPPING=PRECISE", "FS=MRC", "CURRENCY=USD", "XLFILL=b")</f>
        <v>#N/A Requesting Data...</v>
      </c>
      <c r="AP225" s="6" t="str">
        <f>_xll.BQL("NOW US Equity", "CF_INCR_CAP_STOCK/1M", "FPR=2021Y", "FPT=A", "FA_ACT_EST_DATA=E, EST_SOURCE=CTI", "ACT_EST_MAPPING=PRECISE", "FS=MRC", "CURRENCY=USD", "XLFILL=b")</f>
        <v>#N/A Requesting Data...</v>
      </c>
      <c r="AQ225" s="6" t="str">
        <f>_xll.BQL("NOW US Equity", "CF_INCR_CAP_STOCK/1M", "FPR=2021Y", "FPT=A", "FA_ACT_EST_DATA=E, EST_SOURCE=WFT", "ACT_EST_MAPPING=PRECISE", "FS=MRC", "CURRENCY=USD", "XLFILL=b")</f>
        <v>#N/A Requesting Data...</v>
      </c>
      <c r="AR225" s="6" t="str">
        <f>_xll.BQL("NOW US Equity", "CF_INCR_CAP_STOCK/1M", "FPR=2021Y", "FPT=A", "FA_ACT_EST_DATA=E, EST_SOURCE=ARE", "ACT_EST_MAPPING=PRECISE", "FS=MRC", "CURRENCY=USD", "XLFILL=b")</f>
        <v>#N/A Requesting Data...</v>
      </c>
      <c r="AS225" s="6" t="str">
        <f>_xll.BQL("NOW US Equity", "CF_INCR_CAP_STOCK/1M", "FPR=2021Y", "FPT=A", "FA_ACT_EST_DATA=E, EST_SOURCE=PJE", "ACT_EST_MAPPING=PRECISE", "FS=MRC", "CURRENCY=USD", "XLFILL=b")</f>
        <v>#N/A Requesting Data...</v>
      </c>
      <c r="AT225" s="6" t="str">
        <f>_xll.BQL("NOW US Equity", "CF_INCR_CAP_STOCK/1M", "FPR=2021Y", "FPT=A", "FA_ACT_EST_DATA=E, EST_SOURCE=MZS", "ACT_EST_MAPPING=PRECISE", "FS=MRC", "CURRENCY=USD", "XLFILL=b")</f>
        <v>#N/A Requesting Data...</v>
      </c>
      <c r="AU225" s="6" t="str">
        <f>_xll.BQL("NOW US Equity", "CF_INCR_CAP_STOCK/1M", "FPR=2021Y", "FPT=A", "FA_ACT_EST_DATA=E, EST_SOURCE=SUM", "ACT_EST_MAPPING=PRECISE", "FS=MRC", "CURRENCY=USD", "XLFILL=b")</f>
        <v>#N/A Requesting Data...</v>
      </c>
      <c r="AV225" s="6" t="str">
        <f>_xll.BQL("NOW US Equity", "CF_INCR_CAP_STOCK/1M", "FPR=2021Y", "FPT=A", "FA_ACT_EST_DATA=E, EST_SOURCE=CRC", "ACT_EST_MAPPING=PRECISE", "FS=MRC", "CURRENCY=USD", "XLFILL=b")</f>
        <v>#N/A Requesting Data...</v>
      </c>
      <c r="AW225" s="6" t="str">
        <f>_xll.BQL("NOW US Equity", "CF_INCR_CAP_STOCK/1M", "FPR=2021Y", "FPT=A", "FA_ACT_EST_DATA=E, EST_SOURCE=SCB", "ACT_EST_MAPPING=PRECISE", "FS=MRC", "CURRENCY=USD", "XLFILL=b")</f>
        <v>#N/A Requesting Data...</v>
      </c>
    </row>
    <row r="226" spans="1:49" x14ac:dyDescent="0.55000000000000004">
      <c r="A226" s="5" t="s">
        <v>416</v>
      </c>
      <c r="B226" s="2" t="s">
        <v>417</v>
      </c>
      <c r="C226" s="2" t="s">
        <v>418</v>
      </c>
      <c r="D226" s="2"/>
      <c r="E226" s="6" t="str">
        <f>_xll.BQL("NOW US Equity", "CF_OTHER_FINANCING_ACT_EXCL_FX/1M", "FPR=2021Y", "FPT=A", "FA_ACT_EST_DATA=E", "ACT_EST_MAPPING=PRECISE", "FS=MRC", "CURRENCY=USD", "XLFILL=b")</f>
        <v>#N/A Requesting Data...</v>
      </c>
      <c r="F226" s="6" t="str">
        <f>_xll.BQL("NOW US Equity", "CONTRIBUTOR_STATS(CF_OTHER_FINANCING_ACT_EXCL_FX, MIN)/1M", "FPR=2021Y", "FPT=A", "FA_ACT_EST_DATA=E", "ACT_EST_MAPPING=PRECISE", "FS=MRC", "CURRENCY=USD", "XLFILL=b")</f>
        <v>#N/A Requesting Data...</v>
      </c>
      <c r="G226" s="6" t="str">
        <f>_xll.BQL("NOW US Equity", "CONTRIBUTOR_STATS(CF_OTHER_FINANCING_ACT_EXCL_FX, MAX)/1M", "FPR=2021Y", "FPT=A", "FA_ACT_EST_DATA=E", "ACT_EST_MAPPING=PRECISE", "FS=MRC", "CURRENCY=USD", "XLFILL=b")</f>
        <v>#N/A Requesting Data...</v>
      </c>
      <c r="H226" s="6" t="str">
        <f>_xll.BQL("NOW US Equity", "CONTRIBUTOR_STATS(CF_OTHER_FINANCING_ACT_EXCL_FX, STD)/1M", "FPR=2021Y", "FPT=A", "FA_ACT_EST_DATA=E", "ACT_EST_MAPPING=PRECISE", "FS=MRC", "CURRENCY=USD", "XLFILL=b")</f>
        <v>#N/A Requesting Data...</v>
      </c>
      <c r="I226" s="6">
        <f>_xll.BQL("NOW US Equity", "CONTRIBUTOR_STATS(CF_OTHER_FINANCING_ACT_EXCL_FX, MEDIAN)/1M", "FPR=2021Y", "FPT=A", "FA_ACT_EST_DATA=E", "ACT_EST_MAPPING=PRECISE", "FS=MRC", "CURRENCY=USD", "XLFILL=b")</f>
        <v>-457</v>
      </c>
      <c r="J226" s="6" t="str">
        <f>_xll.BQL("NOW US Equity", "CF_OTHER_FINANCING_ACT_EXCL_FX/1M", "FPR=2021Y", "FPT=A", "FA_ACT_EST_DATA=E, EST_SOURCE=CMPY", "ACT_EST_MAPPING=PRECISE", "FS=MRC", "CURRENCY=USD", "XLFILL=b")</f>
        <v>#N/A Requesting Data...</v>
      </c>
      <c r="K226" s="6" t="str">
        <f>_xll.BQL("NOW US Equity", "CF_OTHER_FINANCING_ACT_EXCL_FX/1M", "FPR=2021Y", "FPT=A", "FA_ACT_EST_DATA=E, EST_SOURCE=JPM", "ACT_EST_MAPPING=PRECISE", "FS=MRC", "CURRENCY=USD", "XLFILL=b")</f>
        <v>#N/A Requesting Data...</v>
      </c>
      <c r="L226" s="6" t="str">
        <f>_xll.BQL("NOW US Equity", "CF_OTHER_FINANCING_ACT_EXCL_FX/1M", "FPR=2021Y", "FPT=A", "FA_ACT_EST_DATA=E, EST_SOURCE=WBL", "ACT_EST_MAPPING=PRECISE", "FS=MRC", "CURRENCY=USD", "XLFILL=b")</f>
        <v>#N/A Requesting Data...</v>
      </c>
      <c r="M226" s="6" t="str">
        <f>_xll.BQL("NOW US Equity", "CF_OTHER_FINANCING_ACT_EXCL_FX/1M", "FPR=2021Y", "FPT=A", "FA_ACT_EST_DATA=E, EST_SOURCE=KEY", "ACT_EST_MAPPING=PRECISE", "FS=MRC", "CURRENCY=USD", "XLFILL=b")</f>
        <v>#N/A Requesting Data...</v>
      </c>
      <c r="N226" s="6" t="str">
        <f>_xll.BQL("NOW US Equity", "CF_OTHER_FINANCING_ACT_EXCL_FX/1M", "FPR=2021Y", "FPT=A", "FA_ACT_EST_DATA=E, EST_SOURCE=BMO", "ACT_EST_MAPPING=PRECISE", "FS=MRC", "CURRENCY=USD", "XLFILL=b")</f>
        <v>#N/A Requesting Data...</v>
      </c>
      <c r="O226" s="6" t="str">
        <f>_xll.BQL("NOW US Equity", "CF_OTHER_FINANCING_ACT_EXCL_FX/1M", "FPR=2021Y", "FPT=A", "FA_ACT_EST_DATA=E, EST_SOURCE=OPY", "ACT_EST_MAPPING=PRECISE", "FS=MRC", "CURRENCY=USD", "XLFILL=b")</f>
        <v>#N/A Requesting Data...</v>
      </c>
      <c r="P226" s="6" t="str">
        <f>_xll.BQL("NOW US Equity", "CF_OTHER_FINANCING_ACT_EXCL_FX/1M", "FPR=2021Y", "FPT=A", "FA_ACT_EST_DATA=E, EST_SOURCE=BCA", "ACT_EST_MAPPING=PRECISE", "FS=MRC", "CURRENCY=USD", "XLFILL=b")</f>
        <v>#N/A Requesting Data...</v>
      </c>
      <c r="Q226" s="6" t="str">
        <f>_xll.BQL("NOW US Equity", "CF_OTHER_FINANCING_ACT_EXCL_FX/1M", "FPR=2021Y", "FPT=A", "FA_ACT_EST_DATA=E, EST_SOURCE=RHR", "ACT_EST_MAPPING=PRECISE", "FS=MRC", "CURRENCY=USD", "XLFILL=b")</f>
        <v>#N/A Requesting Data...</v>
      </c>
      <c r="R226" s="6" t="str">
        <f>_xll.BQL("NOW US Equity", "CF_OTHER_FINANCING_ACT_EXCL_FX/1M", "FPR=2021Y", "FPT=A", "FA_ACT_EST_DATA=E, EST_SOURCE=SNR", "ACT_EST_MAPPING=PRECISE", "FS=MRC", "CURRENCY=USD", "XLFILL=b")</f>
        <v>#N/A Requesting Data...</v>
      </c>
      <c r="S226" s="6" t="str">
        <f>_xll.BQL("NOW US Equity", "CF_OTHER_FINANCING_ACT_EXCL_FX/1M", "FPR=2021Y", "FPT=A", "FA_ACT_EST_DATA=E, EST_SOURCE=MSV", "ACT_EST_MAPPING=PRECISE", "FS=MRC", "CURRENCY=USD", "XLFILL=b")</f>
        <v>#N/A Requesting Data...</v>
      </c>
      <c r="T226" s="6" t="str">
        <f>_xll.BQL("NOW US Equity", "CF_OTHER_FINANCING_ACT_EXCL_FX/1M", "FPR=2021Y", "FPT=A", "FA_ACT_EST_DATA=E, EST_SOURCE=CAN", "ACT_EST_MAPPING=PRECISE", "FS=MRC", "CURRENCY=USD", "XLFILL=b")</f>
        <v>#N/A Requesting Data...</v>
      </c>
      <c r="U226" s="6" t="str">
        <f>_xll.BQL("NOW US Equity", "CF_OTHER_FINANCING_ACT_EXCL_FX/1M", "FPR=2021Y", "FPT=A", "FA_ACT_EST_DATA=E, EST_SOURCE=JMP", "ACT_EST_MAPPING=PRECISE", "FS=MRC", "CURRENCY=USD", "XLFILL=b")</f>
        <v>#N/A Requesting Data...</v>
      </c>
      <c r="V226" s="6" t="str">
        <f>_xll.BQL("NOW US Equity", "CF_OTHER_FINANCING_ACT_EXCL_FX/1M", "FPR=2021Y", "FPT=A", "FA_ACT_EST_DATA=E, EST_SOURCE=NDH", "ACT_EST_MAPPING=PRECISE", "FS=MRC", "CURRENCY=USD", "XLFILL=b")</f>
        <v>#N/A Requesting Data...</v>
      </c>
      <c r="W226" s="6" t="str">
        <f>_xll.BQL("NOW US Equity", "CF_OTHER_FINANCING_ACT_EXCL_FX/1M", "FPR=2021Y", "FPT=A", "FA_ACT_EST_DATA=E, EST_SOURCE=ZXS", "ACT_EST_MAPPING=PRECISE", "FS=MRC", "CURRENCY=USD", "XLFILL=b")</f>
        <v>#N/A Requesting Data...</v>
      </c>
      <c r="X226" s="6" t="str">
        <f>_xll.BQL("NOW US Equity", "CF_OTHER_FINANCING_ACT_EXCL_FX/1M", "FPR=2021Y", "FPT=A", "FA_ACT_EST_DATA=E, EST_SOURCE=CWN", "ACT_EST_MAPPING=PRECISE", "FS=MRC", "CURRENCY=USD", "XLFILL=b")</f>
        <v>#N/A Requesting Data...</v>
      </c>
      <c r="Y226" s="6" t="str">
        <f>_xll.BQL("NOW US Equity", "CF_OTHER_FINANCING_ACT_EXCL_FX/1M", "FPR=2021Y", "FPT=A", "FA_ACT_EST_DATA=E, EST_SOURCE=DBG", "ACT_EST_MAPPING=PRECISE", "FS=MRC", "CURRENCY=USD", "XLFILL=b")</f>
        <v>#N/A Requesting Data...</v>
      </c>
      <c r="Z226" s="6" t="str">
        <f>_xll.BQL("NOW US Equity", "CF_OTHER_FINANCING_ACT_EXCL_FX/1M", "FPR=2021Y", "FPT=A", "FA_ACT_EST_DATA=E, EST_SOURCE=UBS", "ACT_EST_MAPPING=PRECISE", "FS=MRC", "CURRENCY=USD", "XLFILL=b")</f>
        <v>#N/A Requesting Data...</v>
      </c>
      <c r="AA226" s="6" t="str">
        <f>_xll.BQL("NOW US Equity", "CF_OTHER_FINANCING_ACT_EXCL_FX/1M", "FPR=2021Y", "FPT=A", "FA_ACT_EST_DATA=E, EST_SOURCE=RBC", "ACT_EST_MAPPING=PRECISE", "FS=MRC", "CURRENCY=USD", "XLFILL=b")</f>
        <v>#N/A Requesting Data...</v>
      </c>
      <c r="AB226" s="6" t="str">
        <f>_xll.BQL("NOW US Equity", "CF_OTHER_FINANCING_ACT_EXCL_FX/1M", "FPR=2021Y", "FPT=A", "FA_ACT_EST_DATA=E, EST_SOURCE=EVR", "ACT_EST_MAPPING=PRECISE", "FS=MRC", "CURRENCY=USD", "XLFILL=b")</f>
        <v>#N/A Requesting Data...</v>
      </c>
      <c r="AC226" s="6" t="str">
        <f>_xll.BQL("NOW US Equity", "CF_OTHER_FINANCING_ACT_EXCL_FX/1M", "FPR=2021Y", "FPT=A", "FA_ACT_EST_DATA=E, EST_SOURCE=BNS", "ACT_EST_MAPPING=PRECISE", "FS=MRC", "CURRENCY=USD", "XLFILL=b")</f>
        <v>#N/A Requesting Data...</v>
      </c>
      <c r="AD226" s="6" t="str">
        <f>_xll.BQL("NOW US Equity", "CF_OTHER_FINANCING_ACT_EXCL_FX/1M", "FPR=2021Y", "FPT=A", "FA_ACT_EST_DATA=E, EST_SOURCE=BAM", "ACT_EST_MAPPING=PRECISE", "FS=MRC", "CURRENCY=USD", "XLFILL=b")</f>
        <v>#N/A Requesting Data...</v>
      </c>
      <c r="AE226" s="6" t="str">
        <f>_xll.BQL("NOW US Equity", "CF_OTHER_FINANCING_ACT_EXCL_FX/1M", "FPR=2021Y", "FPT=A", "FA_ACT_EST_DATA=E, EST_SOURCE=GSR", "ACT_EST_MAPPING=PRECISE", "FS=MRC", "CURRENCY=USD", "XLFILL=b")</f>
        <v>#N/A Requesting Data...</v>
      </c>
      <c r="AF226" s="6" t="str">
        <f>_xll.BQL("NOW US Equity", "CF_OTHER_FINANCING_ACT_EXCL_FX/1M", "FPR=2021Y", "FPT=A", "FA_ACT_EST_DATA=E, EST_SOURCE=FBC", "ACT_EST_MAPPING=PRECISE", "FS=MRC", "CURRENCY=USD", "XLFILL=b")</f>
        <v>#N/A Requesting Data...</v>
      </c>
      <c r="AG226" s="6" t="str">
        <f>_xll.BQL("NOW US Equity", "CF_OTHER_FINANCING_ACT_EXCL_FX/1M", "FPR=2021Y", "FPT=A", "FA_ACT_EST_DATA=E, EST_SOURCE=MAC", "ACT_EST_MAPPING=PRECISE", "FS=MRC", "CURRENCY=USD", "XLFILL=b")</f>
        <v>#N/A Requesting Data...</v>
      </c>
      <c r="AH226" s="6" t="str">
        <f>_xll.BQL("NOW US Equity", "CF_OTHER_FINANCING_ACT_EXCL_FX/1M", "FPR=2021Y", "FPT=A", "FA_ACT_EST_DATA=E, EST_SOURCE=PSG", "ACT_EST_MAPPING=PRECISE", "FS=MRC", "CURRENCY=USD", "XLFILL=b")</f>
        <v>#N/A Requesting Data...</v>
      </c>
      <c r="AI226" s="6" t="str">
        <f>_xll.BQL("NOW US Equity", "CF_OTHER_FINANCING_ACT_EXCL_FX/1M", "FPR=2021Y", "FPT=A", "FA_ACT_EST_DATA=E, EST_SOURCE=MSR", "ACT_EST_MAPPING=PRECISE", "FS=MRC", "CURRENCY=USD", "XLFILL=b")</f>
        <v>#N/A Requesting Data...</v>
      </c>
      <c r="AJ226" s="6" t="str">
        <f>_xll.BQL("NOW US Equity", "CF_OTHER_FINANCING_ACT_EXCL_FX/1M", "FPR=2021Y", "FPT=A", "FA_ACT_EST_DATA=E, EST_SOURCE=JEF", "ACT_EST_MAPPING=PRECISE", "FS=MRC", "CURRENCY=USD", "XLFILL=b")</f>
        <v>#N/A Requesting Data...</v>
      </c>
      <c r="AK226" s="6" t="str">
        <f>_xll.BQL("NOW US Equity", "CF_OTHER_FINANCING_ACT_EXCL_FX/1M", "FPR=2021Y", "FPT=A", "FA_ACT_EST_DATA=E, EST_SOURCE=TTC", "ACT_EST_MAPPING=PRECISE", "FS=MRC", "CURRENCY=USD", "XLFILL=b")</f>
        <v>#N/A Requesting Data...</v>
      </c>
      <c r="AL226" s="6" t="str">
        <f>_xll.BQL("NOW US Equity", "CF_OTHER_FINANCING_ACT_EXCL_FX/1M", "FPR=2021Y", "FPT=A", "FA_ACT_EST_DATA=E, EST_SOURCE=RWB", "ACT_EST_MAPPING=PRECISE", "FS=MRC", "CURRENCY=USD", "XLFILL=b")</f>
        <v>#N/A Requesting Data...</v>
      </c>
      <c r="AM226" s="6" t="str">
        <f>_xll.BQL("NOW US Equity", "CF_OTHER_FINANCING_ACT_EXCL_FX/1M", "FPR=2021Y", "FPT=A", "FA_ACT_EST_DATA=E, EST_SOURCE=DZB", "ACT_EST_MAPPING=PRECISE", "FS=MRC", "CURRENCY=USD", "XLFILL=b")</f>
        <v>#N/A Requesting Data...</v>
      </c>
      <c r="AN226" s="6" t="str">
        <f>_xll.BQL("NOW US Equity", "CF_OTHER_FINANCING_ACT_EXCL_FX/1M", "FPR=2021Y", "FPT=A", "FA_ACT_EST_DATA=E, EST_SOURCE=DWI", "ACT_EST_MAPPING=PRECISE", "FS=MRC", "CURRENCY=USD", "XLFILL=b")</f>
        <v>#N/A Requesting Data...</v>
      </c>
      <c r="AO226" s="6" t="str">
        <f>_xll.BQL("NOW US Equity", "CF_OTHER_FINANCING_ACT_EXCL_FX/1M", "FPR=2021Y", "FPT=A", "FA_ACT_EST_DATA=E, EST_SOURCE=ARG", "ACT_EST_MAPPING=PRECISE", "FS=MRC", "CURRENCY=USD", "XLFILL=b")</f>
        <v>#N/A Requesting Data...</v>
      </c>
      <c r="AP226" s="6" t="str">
        <f>_xll.BQL("NOW US Equity", "CF_OTHER_FINANCING_ACT_EXCL_FX/1M", "FPR=2021Y", "FPT=A", "FA_ACT_EST_DATA=E, EST_SOURCE=CTI", "ACT_EST_MAPPING=PRECISE", "FS=MRC", "CURRENCY=USD", "XLFILL=b")</f>
        <v>#N/A Requesting Data...</v>
      </c>
      <c r="AQ226" s="6" t="str">
        <f>_xll.BQL("NOW US Equity", "CF_OTHER_FINANCING_ACT_EXCL_FX/1M", "FPR=2021Y", "FPT=A", "FA_ACT_EST_DATA=E, EST_SOURCE=WFT", "ACT_EST_MAPPING=PRECISE", "FS=MRC", "CURRENCY=USD", "XLFILL=b")</f>
        <v>#N/A Requesting Data...</v>
      </c>
      <c r="AR226" s="6" t="str">
        <f>_xll.BQL("NOW US Equity", "CF_OTHER_FINANCING_ACT_EXCL_FX/1M", "FPR=2021Y", "FPT=A", "FA_ACT_EST_DATA=E, EST_SOURCE=ARE", "ACT_EST_MAPPING=PRECISE", "FS=MRC", "CURRENCY=USD", "XLFILL=b")</f>
        <v>#N/A Requesting Data...</v>
      </c>
      <c r="AS226" s="6" t="str">
        <f>_xll.BQL("NOW US Equity", "CF_OTHER_FINANCING_ACT_EXCL_FX/1M", "FPR=2021Y", "FPT=A", "FA_ACT_EST_DATA=E, EST_SOURCE=PJE", "ACT_EST_MAPPING=PRECISE", "FS=MRC", "CURRENCY=USD", "XLFILL=b")</f>
        <v>#N/A Requesting Data...</v>
      </c>
      <c r="AT226" s="6" t="str">
        <f>_xll.BQL("NOW US Equity", "CF_OTHER_FINANCING_ACT_EXCL_FX/1M", "FPR=2021Y", "FPT=A", "FA_ACT_EST_DATA=E, EST_SOURCE=MZS", "ACT_EST_MAPPING=PRECISE", "FS=MRC", "CURRENCY=USD", "XLFILL=b")</f>
        <v>#N/A Requesting Data...</v>
      </c>
      <c r="AU226" s="6" t="str">
        <f>_xll.BQL("NOW US Equity", "CF_OTHER_FINANCING_ACT_EXCL_FX/1M", "FPR=2021Y", "FPT=A", "FA_ACT_EST_DATA=E, EST_SOURCE=SUM", "ACT_EST_MAPPING=PRECISE", "FS=MRC", "CURRENCY=USD", "XLFILL=b")</f>
        <v>#N/A Requesting Data...</v>
      </c>
      <c r="AV226" s="6" t="str">
        <f>_xll.BQL("NOW US Equity", "CF_OTHER_FINANCING_ACT_EXCL_FX/1M", "FPR=2021Y", "FPT=A", "FA_ACT_EST_DATA=E, EST_SOURCE=CRC", "ACT_EST_MAPPING=PRECISE", "FS=MRC", "CURRENCY=USD", "XLFILL=b")</f>
        <v>#N/A Requesting Data...</v>
      </c>
      <c r="AW226" s="6" t="str">
        <f>_xll.BQL("NOW US Equity", "CF_OTHER_FINANCING_ACT_EXCL_FX/1M", "FPR=2021Y", "FPT=A", "FA_ACT_EST_DATA=E, EST_SOURCE=SCB", "ACT_EST_MAPPING=PRECISE", "FS=MRC", "CURRENCY=USD", "XLFILL=b")</f>
        <v>#N/A Requesting Data...</v>
      </c>
    </row>
    <row r="227" spans="1:49" x14ac:dyDescent="0.55000000000000004">
      <c r="A227" s="5" t="s">
        <v>419</v>
      </c>
      <c r="B227" s="2" t="s">
        <v>420</v>
      </c>
      <c r="C227" s="2" t="s">
        <v>421</v>
      </c>
      <c r="D227" s="2"/>
      <c r="E227" s="6" t="str">
        <f>_xll.BQL("NOW US Equity", "CF_NET_CSH_PROV_BY_FINANCING_ACT/1M", "FPR=2021Y", "FPT=A", "FA_ACT_EST_DATA=E", "ACT_EST_MAPPING=PRECISE", "FS=MRC", "CURRENCY=USD", "XLFILL=b")</f>
        <v>#N/A Requesting Data...</v>
      </c>
      <c r="F227" s="6" t="str">
        <f>_xll.BQL("NOW US Equity", "CONTRIBUTOR_STATS(CF_NET_CSH_PROV_BY_FINANCING_ACT, MIN)/1M", "FPR=2021Y", "FPT=A", "FA_ACT_EST_DATA=E", "ACT_EST_MAPPING=PRECISE", "FS=MRC", "CURRENCY=USD", "XLFILL=b")</f>
        <v>#N/A Requesting Data...</v>
      </c>
      <c r="G227" s="6" t="str">
        <f>_xll.BQL("NOW US Equity", "CONTRIBUTOR_STATS(CF_NET_CSH_PROV_BY_FINANCING_ACT, MAX)/1M", "FPR=2021Y", "FPT=A", "FA_ACT_EST_DATA=E", "ACT_EST_MAPPING=PRECISE", "FS=MRC", "CURRENCY=USD", "XLFILL=b")</f>
        <v>#N/A Requesting Data...</v>
      </c>
      <c r="H227" s="6" t="str">
        <f>_xll.BQL("NOW US Equity", "CONTRIBUTOR_STATS(CF_NET_CSH_PROV_BY_FINANCING_ACT, STD)/1M", "FPR=2021Y", "FPT=A", "FA_ACT_EST_DATA=E", "ACT_EST_MAPPING=PRECISE", "FS=MRC", "CURRENCY=USD", "XLFILL=b")</f>
        <v>#N/A Requesting Data...</v>
      </c>
      <c r="I227" s="6" t="str">
        <f>_xll.BQL("NOW US Equity", "CONTRIBUTOR_STATS(CF_NET_CSH_PROV_BY_FINANCING_ACT, MEDIAN)/1M", "FPR=2021Y", "FPT=A", "FA_ACT_EST_DATA=E", "ACT_EST_MAPPING=PRECISE", "FS=MRC", "CURRENCY=USD", "XLFILL=b")</f>
        <v>#N/A Requesting Data...</v>
      </c>
      <c r="J227" s="6" t="str">
        <f>_xll.BQL("NOW US Equity", "CF_NET_CSH_PROV_BY_FINANCING_ACT/1M", "FPR=2021Y", "FPT=A", "FA_ACT_EST_DATA=E, EST_SOURCE=CMPY", "ACT_EST_MAPPING=PRECISE", "FS=MRC", "CURRENCY=USD", "XLFILL=b")</f>
        <v>#N/A Requesting Data...</v>
      </c>
      <c r="K227" s="6" t="str">
        <f>_xll.BQL("NOW US Equity", "CF_NET_CSH_PROV_BY_FINANCING_ACT/1M", "FPR=2021Y", "FPT=A", "FA_ACT_EST_DATA=E, EST_SOURCE=JPM", "ACT_EST_MAPPING=PRECISE", "FS=MRC", "CURRENCY=USD", "XLFILL=b")</f>
        <v>#N/A Requesting Data...</v>
      </c>
      <c r="L227" s="6" t="str">
        <f>_xll.BQL("NOW US Equity", "CF_NET_CSH_PROV_BY_FINANCING_ACT/1M", "FPR=2021Y", "FPT=A", "FA_ACT_EST_DATA=E, EST_SOURCE=WBL", "ACT_EST_MAPPING=PRECISE", "FS=MRC", "CURRENCY=USD", "XLFILL=b")</f>
        <v>#N/A Requesting Data...</v>
      </c>
      <c r="M227" s="6" t="str">
        <f>_xll.BQL("NOW US Equity", "CF_NET_CSH_PROV_BY_FINANCING_ACT/1M", "FPR=2021Y", "FPT=A", "FA_ACT_EST_DATA=E, EST_SOURCE=KEY", "ACT_EST_MAPPING=PRECISE", "FS=MRC", "CURRENCY=USD", "XLFILL=b")</f>
        <v>#N/A Requesting Data...</v>
      </c>
      <c r="N227" s="6" t="str">
        <f>_xll.BQL("NOW US Equity", "CF_NET_CSH_PROV_BY_FINANCING_ACT/1M", "FPR=2021Y", "FPT=A", "FA_ACT_EST_DATA=E, EST_SOURCE=BMO", "ACT_EST_MAPPING=PRECISE", "FS=MRC", "CURRENCY=USD", "XLFILL=b")</f>
        <v>#N/A Requesting Data...</v>
      </c>
      <c r="O227" s="6" t="str">
        <f>_xll.BQL("NOW US Equity", "CF_NET_CSH_PROV_BY_FINANCING_ACT/1M", "FPR=2021Y", "FPT=A", "FA_ACT_EST_DATA=E, EST_SOURCE=OPY", "ACT_EST_MAPPING=PRECISE", "FS=MRC", "CURRENCY=USD", "XLFILL=b")</f>
        <v>#N/A Requesting Data...</v>
      </c>
      <c r="P227" s="6" t="str">
        <f>_xll.BQL("NOW US Equity", "CF_NET_CSH_PROV_BY_FINANCING_ACT/1M", "FPR=2021Y", "FPT=A", "FA_ACT_EST_DATA=E, EST_SOURCE=BCA", "ACT_EST_MAPPING=PRECISE", "FS=MRC", "CURRENCY=USD", "XLFILL=b")</f>
        <v>#N/A Requesting Data...</v>
      </c>
      <c r="Q227" s="6" t="str">
        <f>_xll.BQL("NOW US Equity", "CF_NET_CSH_PROV_BY_FINANCING_ACT/1M", "FPR=2021Y", "FPT=A", "FA_ACT_EST_DATA=E, EST_SOURCE=RHR", "ACT_EST_MAPPING=PRECISE", "FS=MRC", "CURRENCY=USD", "XLFILL=b")</f>
        <v>#N/A Requesting Data...</v>
      </c>
      <c r="R227" s="6" t="str">
        <f>_xll.BQL("NOW US Equity", "CF_NET_CSH_PROV_BY_FINANCING_ACT/1M", "FPR=2021Y", "FPT=A", "FA_ACT_EST_DATA=E, EST_SOURCE=SNR", "ACT_EST_MAPPING=PRECISE", "FS=MRC", "CURRENCY=USD", "XLFILL=b")</f>
        <v>#N/A Requesting Data...</v>
      </c>
      <c r="S227" s="6" t="str">
        <f>_xll.BQL("NOW US Equity", "CF_NET_CSH_PROV_BY_FINANCING_ACT/1M", "FPR=2021Y", "FPT=A", "FA_ACT_EST_DATA=E, EST_SOURCE=MSV", "ACT_EST_MAPPING=PRECISE", "FS=MRC", "CURRENCY=USD", "XLFILL=b")</f>
        <v>#N/A Requesting Data...</v>
      </c>
      <c r="T227" s="6" t="str">
        <f>_xll.BQL("NOW US Equity", "CF_NET_CSH_PROV_BY_FINANCING_ACT/1M", "FPR=2021Y", "FPT=A", "FA_ACT_EST_DATA=E, EST_SOURCE=CAN", "ACT_EST_MAPPING=PRECISE", "FS=MRC", "CURRENCY=USD", "XLFILL=b")</f>
        <v>#N/A Requesting Data...</v>
      </c>
      <c r="U227" s="6" t="str">
        <f>_xll.BQL("NOW US Equity", "CF_NET_CSH_PROV_BY_FINANCING_ACT/1M", "FPR=2021Y", "FPT=A", "FA_ACT_EST_DATA=E, EST_SOURCE=JMP", "ACT_EST_MAPPING=PRECISE", "FS=MRC", "CURRENCY=USD", "XLFILL=b")</f>
        <v>#N/A Requesting Data...</v>
      </c>
      <c r="V227" s="6" t="str">
        <f>_xll.BQL("NOW US Equity", "CF_NET_CSH_PROV_BY_FINANCING_ACT/1M", "FPR=2021Y", "FPT=A", "FA_ACT_EST_DATA=E, EST_SOURCE=NDH", "ACT_EST_MAPPING=PRECISE", "FS=MRC", "CURRENCY=USD", "XLFILL=b")</f>
        <v>#N/A Requesting Data...</v>
      </c>
      <c r="W227" s="6" t="str">
        <f>_xll.BQL("NOW US Equity", "CF_NET_CSH_PROV_BY_FINANCING_ACT/1M", "FPR=2021Y", "FPT=A", "FA_ACT_EST_DATA=E, EST_SOURCE=ZXS", "ACT_EST_MAPPING=PRECISE", "FS=MRC", "CURRENCY=USD", "XLFILL=b")</f>
        <v>#N/A Requesting Data...</v>
      </c>
      <c r="X227" s="6" t="str">
        <f>_xll.BQL("NOW US Equity", "CF_NET_CSH_PROV_BY_FINANCING_ACT/1M", "FPR=2021Y", "FPT=A", "FA_ACT_EST_DATA=E, EST_SOURCE=CWN", "ACT_EST_MAPPING=PRECISE", "FS=MRC", "CURRENCY=USD", "XLFILL=b")</f>
        <v>#N/A Requesting Data...</v>
      </c>
      <c r="Y227" s="6" t="str">
        <f>_xll.BQL("NOW US Equity", "CF_NET_CSH_PROV_BY_FINANCING_ACT/1M", "FPR=2021Y", "FPT=A", "FA_ACT_EST_DATA=E, EST_SOURCE=DBG", "ACT_EST_MAPPING=PRECISE", "FS=MRC", "CURRENCY=USD", "XLFILL=b")</f>
        <v>#N/A Requesting Data...</v>
      </c>
      <c r="Z227" s="6" t="str">
        <f>_xll.BQL("NOW US Equity", "CF_NET_CSH_PROV_BY_FINANCING_ACT/1M", "FPR=2021Y", "FPT=A", "FA_ACT_EST_DATA=E, EST_SOURCE=UBS", "ACT_EST_MAPPING=PRECISE", "FS=MRC", "CURRENCY=USD", "XLFILL=b")</f>
        <v>#N/A Requesting Data...</v>
      </c>
      <c r="AA227" s="6" t="str">
        <f>_xll.BQL("NOW US Equity", "CF_NET_CSH_PROV_BY_FINANCING_ACT/1M", "FPR=2021Y", "FPT=A", "FA_ACT_EST_DATA=E, EST_SOURCE=RBC", "ACT_EST_MAPPING=PRECISE", "FS=MRC", "CURRENCY=USD", "XLFILL=b")</f>
        <v>#N/A Requesting Data...</v>
      </c>
      <c r="AB227" s="6" t="str">
        <f>_xll.BQL("NOW US Equity", "CF_NET_CSH_PROV_BY_FINANCING_ACT/1M", "FPR=2021Y", "FPT=A", "FA_ACT_EST_DATA=E, EST_SOURCE=EVR", "ACT_EST_MAPPING=PRECISE", "FS=MRC", "CURRENCY=USD", "XLFILL=b")</f>
        <v>#N/A Requesting Data...</v>
      </c>
      <c r="AC227" s="6" t="str">
        <f>_xll.BQL("NOW US Equity", "CF_NET_CSH_PROV_BY_FINANCING_ACT/1M", "FPR=2021Y", "FPT=A", "FA_ACT_EST_DATA=E, EST_SOURCE=BNS", "ACT_EST_MAPPING=PRECISE", "FS=MRC", "CURRENCY=USD", "XLFILL=b")</f>
        <v>#N/A Requesting Data...</v>
      </c>
      <c r="AD227" s="6" t="str">
        <f>_xll.BQL("NOW US Equity", "CF_NET_CSH_PROV_BY_FINANCING_ACT/1M", "FPR=2021Y", "FPT=A", "FA_ACT_EST_DATA=E, EST_SOURCE=BAM", "ACT_EST_MAPPING=PRECISE", "FS=MRC", "CURRENCY=USD", "XLFILL=b")</f>
        <v>#N/A Requesting Data...</v>
      </c>
      <c r="AE227" s="6" t="str">
        <f>_xll.BQL("NOW US Equity", "CF_NET_CSH_PROV_BY_FINANCING_ACT/1M", "FPR=2021Y", "FPT=A", "FA_ACT_EST_DATA=E, EST_SOURCE=GSR", "ACT_EST_MAPPING=PRECISE", "FS=MRC", "CURRENCY=USD", "XLFILL=b")</f>
        <v>#N/A Requesting Data...</v>
      </c>
      <c r="AF227" s="6" t="str">
        <f>_xll.BQL("NOW US Equity", "CF_NET_CSH_PROV_BY_FINANCING_ACT/1M", "FPR=2021Y", "FPT=A", "FA_ACT_EST_DATA=E, EST_SOURCE=FBC", "ACT_EST_MAPPING=PRECISE", "FS=MRC", "CURRENCY=USD", "XLFILL=b")</f>
        <v>#N/A Requesting Data...</v>
      </c>
      <c r="AG227" s="6" t="str">
        <f>_xll.BQL("NOW US Equity", "CF_NET_CSH_PROV_BY_FINANCING_ACT/1M", "FPR=2021Y", "FPT=A", "FA_ACT_EST_DATA=E, EST_SOURCE=MAC", "ACT_EST_MAPPING=PRECISE", "FS=MRC", "CURRENCY=USD", "XLFILL=b")</f>
        <v>#N/A Requesting Data...</v>
      </c>
      <c r="AH227" s="6" t="str">
        <f>_xll.BQL("NOW US Equity", "CF_NET_CSH_PROV_BY_FINANCING_ACT/1M", "FPR=2021Y", "FPT=A", "FA_ACT_EST_DATA=E, EST_SOURCE=PSG", "ACT_EST_MAPPING=PRECISE", "FS=MRC", "CURRENCY=USD", "XLFILL=b")</f>
        <v>#N/A Requesting Data...</v>
      </c>
      <c r="AI227" s="6" t="str">
        <f>_xll.BQL("NOW US Equity", "CF_NET_CSH_PROV_BY_FINANCING_ACT/1M", "FPR=2021Y", "FPT=A", "FA_ACT_EST_DATA=E, EST_SOURCE=MSR", "ACT_EST_MAPPING=PRECISE", "FS=MRC", "CURRENCY=USD", "XLFILL=b")</f>
        <v>#N/A Requesting Data...</v>
      </c>
      <c r="AJ227" s="6" t="str">
        <f>_xll.BQL("NOW US Equity", "CF_NET_CSH_PROV_BY_FINANCING_ACT/1M", "FPR=2021Y", "FPT=A", "FA_ACT_EST_DATA=E, EST_SOURCE=JEF", "ACT_EST_MAPPING=PRECISE", "FS=MRC", "CURRENCY=USD", "XLFILL=b")</f>
        <v>#N/A Requesting Data...</v>
      </c>
      <c r="AK227" s="6" t="str">
        <f>_xll.BQL("NOW US Equity", "CF_NET_CSH_PROV_BY_FINANCING_ACT/1M", "FPR=2021Y", "FPT=A", "FA_ACT_EST_DATA=E, EST_SOURCE=TTC", "ACT_EST_MAPPING=PRECISE", "FS=MRC", "CURRENCY=USD", "XLFILL=b")</f>
        <v>#N/A Requesting Data...</v>
      </c>
      <c r="AL227" s="6" t="str">
        <f>_xll.BQL("NOW US Equity", "CF_NET_CSH_PROV_BY_FINANCING_ACT/1M", "FPR=2021Y", "FPT=A", "FA_ACT_EST_DATA=E, EST_SOURCE=RWB", "ACT_EST_MAPPING=PRECISE", "FS=MRC", "CURRENCY=USD", "XLFILL=b")</f>
        <v>#N/A Requesting Data...</v>
      </c>
      <c r="AM227" s="6" t="str">
        <f>_xll.BQL("NOW US Equity", "CF_NET_CSH_PROV_BY_FINANCING_ACT/1M", "FPR=2021Y", "FPT=A", "FA_ACT_EST_DATA=E, EST_SOURCE=DZB", "ACT_EST_MAPPING=PRECISE", "FS=MRC", "CURRENCY=USD", "XLFILL=b")</f>
        <v>#N/A Requesting Data...</v>
      </c>
      <c r="AN227" s="6" t="str">
        <f>_xll.BQL("NOW US Equity", "CF_NET_CSH_PROV_BY_FINANCING_ACT/1M", "FPR=2021Y", "FPT=A", "FA_ACT_EST_DATA=E, EST_SOURCE=DWI", "ACT_EST_MAPPING=PRECISE", "FS=MRC", "CURRENCY=USD", "XLFILL=b")</f>
        <v>#N/A Requesting Data...</v>
      </c>
      <c r="AO227" s="6" t="str">
        <f>_xll.BQL("NOW US Equity", "CF_NET_CSH_PROV_BY_FINANCING_ACT/1M", "FPR=2021Y", "FPT=A", "FA_ACT_EST_DATA=E, EST_SOURCE=ARG", "ACT_EST_MAPPING=PRECISE", "FS=MRC", "CURRENCY=USD", "XLFILL=b")</f>
        <v>#N/A Requesting Data...</v>
      </c>
      <c r="AP227" s="6" t="str">
        <f>_xll.BQL("NOW US Equity", "CF_NET_CSH_PROV_BY_FINANCING_ACT/1M", "FPR=2021Y", "FPT=A", "FA_ACT_EST_DATA=E, EST_SOURCE=CTI", "ACT_EST_MAPPING=PRECISE", "FS=MRC", "CURRENCY=USD", "XLFILL=b")</f>
        <v>#N/A Requesting Data...</v>
      </c>
      <c r="AQ227" s="6" t="str">
        <f>_xll.BQL("NOW US Equity", "CF_NET_CSH_PROV_BY_FINANCING_ACT/1M", "FPR=2021Y", "FPT=A", "FA_ACT_EST_DATA=E, EST_SOURCE=WFT", "ACT_EST_MAPPING=PRECISE", "FS=MRC", "CURRENCY=USD", "XLFILL=b")</f>
        <v>#N/A Requesting Data...</v>
      </c>
      <c r="AR227" s="6" t="str">
        <f>_xll.BQL("NOW US Equity", "CF_NET_CSH_PROV_BY_FINANCING_ACT/1M", "FPR=2021Y", "FPT=A", "FA_ACT_EST_DATA=E, EST_SOURCE=ARE", "ACT_EST_MAPPING=PRECISE", "FS=MRC", "CURRENCY=USD", "XLFILL=b")</f>
        <v>#N/A Requesting Data...</v>
      </c>
      <c r="AS227" s="6" t="str">
        <f>_xll.BQL("NOW US Equity", "CF_NET_CSH_PROV_BY_FINANCING_ACT/1M", "FPR=2021Y", "FPT=A", "FA_ACT_EST_DATA=E, EST_SOURCE=PJE", "ACT_EST_MAPPING=PRECISE", "FS=MRC", "CURRENCY=USD", "XLFILL=b")</f>
        <v>#N/A Requesting Data...</v>
      </c>
      <c r="AT227" s="6" t="str">
        <f>_xll.BQL("NOW US Equity", "CF_NET_CSH_PROV_BY_FINANCING_ACT/1M", "FPR=2021Y", "FPT=A", "FA_ACT_EST_DATA=E, EST_SOURCE=MZS", "ACT_EST_MAPPING=PRECISE", "FS=MRC", "CURRENCY=USD", "XLFILL=b")</f>
        <v>#N/A Requesting Data...</v>
      </c>
      <c r="AU227" s="6" t="str">
        <f>_xll.BQL("NOW US Equity", "CF_NET_CSH_PROV_BY_FINANCING_ACT/1M", "FPR=2021Y", "FPT=A", "FA_ACT_EST_DATA=E, EST_SOURCE=SUM", "ACT_EST_MAPPING=PRECISE", "FS=MRC", "CURRENCY=USD", "XLFILL=b")</f>
        <v>#N/A Requesting Data...</v>
      </c>
      <c r="AV227" s="6" t="str">
        <f>_xll.BQL("NOW US Equity", "CF_NET_CSH_PROV_BY_FINANCING_ACT/1M", "FPR=2021Y", "FPT=A", "FA_ACT_EST_DATA=E, EST_SOURCE=CRC", "ACT_EST_MAPPING=PRECISE", "FS=MRC", "CURRENCY=USD", "XLFILL=b")</f>
        <v>#N/A Requesting Data...</v>
      </c>
      <c r="AW227" s="6" t="str">
        <f>_xll.BQL("NOW US Equity", "CF_NET_CSH_PROV_BY_FINANCING_ACT/1M", "FPR=2021Y", "FPT=A", "FA_ACT_EST_DATA=E, EST_SOURCE=SCB", "ACT_EST_MAPPING=PRECISE", "FS=MRC", "CURRENCY=USD", "XLFILL=b")</f>
        <v>#N/A Requesting Data...</v>
      </c>
    </row>
    <row r="228" spans="1:49" x14ac:dyDescent="0.55000000000000004">
      <c r="A228" s="5" t="s">
        <v>23</v>
      </c>
      <c r="B228" s="2"/>
      <c r="C228" s="2"/>
      <c r="D228" s="2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</row>
    <row r="229" spans="1:49" x14ac:dyDescent="0.55000000000000004">
      <c r="A229" s="5" t="s">
        <v>340</v>
      </c>
      <c r="B229" s="2"/>
      <c r="C229" s="2" t="s">
        <v>341</v>
      </c>
      <c r="D229" s="2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</row>
    <row r="230" spans="1:49" x14ac:dyDescent="0.55000000000000004">
      <c r="A230" s="5" t="s">
        <v>422</v>
      </c>
      <c r="B230" s="2" t="s">
        <v>423</v>
      </c>
      <c r="C230" s="2" t="s">
        <v>424</v>
      </c>
      <c r="D230" s="2"/>
      <c r="E230" s="6" t="str">
        <f>_xll.BQL("NOW US Equity", "CF_EFFECT_FOREIGN_EXCHANGES/1M", "FPR=2021Y", "FPT=A", "FA_ACT_EST_DATA=E", "ACT_EST_MAPPING=PRECISE", "FS=MRC", "CURRENCY=USD", "XLFILL=b")</f>
        <v>#N/A Requesting Data...</v>
      </c>
      <c r="F230" s="6" t="str">
        <f>_xll.BQL("NOW US Equity", "CONTRIBUTOR_STATS(CF_EFFECT_FOREIGN_EXCHANGES, MIN)/1M", "FPR=2021Y", "FPT=A", "FA_ACT_EST_DATA=E", "ACT_EST_MAPPING=PRECISE", "FS=MRC", "CURRENCY=USD", "XLFILL=b")</f>
        <v>#N/A Requesting Data...</v>
      </c>
      <c r="G230" s="6" t="str">
        <f>_xll.BQL("NOW US Equity", "CONTRIBUTOR_STATS(CF_EFFECT_FOREIGN_EXCHANGES, MAX)/1M", "FPR=2021Y", "FPT=A", "FA_ACT_EST_DATA=E", "ACT_EST_MAPPING=PRECISE", "FS=MRC", "CURRENCY=USD", "XLFILL=b")</f>
        <v>#N/A Requesting Data...</v>
      </c>
      <c r="H230" s="6" t="str">
        <f>_xll.BQL("NOW US Equity", "CONTRIBUTOR_STATS(CF_EFFECT_FOREIGN_EXCHANGES, STD)/1M", "FPR=2021Y", "FPT=A", "FA_ACT_EST_DATA=E", "ACT_EST_MAPPING=PRECISE", "FS=MRC", "CURRENCY=USD", "XLFILL=b")</f>
        <v>#N/A Requesting Data...</v>
      </c>
      <c r="I230" s="6" t="str">
        <f>_xll.BQL("NOW US Equity", "CONTRIBUTOR_STATS(CF_EFFECT_FOREIGN_EXCHANGES, MEDIAN)/1M", "FPR=2021Y", "FPT=A", "FA_ACT_EST_DATA=E", "ACT_EST_MAPPING=PRECISE", "FS=MRC", "CURRENCY=USD", "XLFILL=b")</f>
        <v>#N/A Requesting Data...</v>
      </c>
      <c r="J230" s="6" t="str">
        <f>_xll.BQL("NOW US Equity", "CF_EFFECT_FOREIGN_EXCHANGES/1M", "FPR=2021Y", "FPT=A", "FA_ACT_EST_DATA=E, EST_SOURCE=CMPY", "ACT_EST_MAPPING=PRECISE", "FS=MRC", "CURRENCY=USD", "XLFILL=b")</f>
        <v>#N/A Requesting Data...</v>
      </c>
      <c r="K230" s="6" t="str">
        <f>_xll.BQL("NOW US Equity", "CF_EFFECT_FOREIGN_EXCHANGES/1M", "FPR=2021Y", "FPT=A", "FA_ACT_EST_DATA=E, EST_SOURCE=JPM", "ACT_EST_MAPPING=PRECISE", "FS=MRC", "CURRENCY=USD", "XLFILL=b")</f>
        <v>#N/A Requesting Data...</v>
      </c>
      <c r="L230" s="6" t="str">
        <f>_xll.BQL("NOW US Equity", "CF_EFFECT_FOREIGN_EXCHANGES/1M", "FPR=2021Y", "FPT=A", "FA_ACT_EST_DATA=E, EST_SOURCE=WBL", "ACT_EST_MAPPING=PRECISE", "FS=MRC", "CURRENCY=USD", "XLFILL=b")</f>
        <v>#N/A Requesting Data...</v>
      </c>
      <c r="M230" s="6" t="str">
        <f>_xll.BQL("NOW US Equity", "CF_EFFECT_FOREIGN_EXCHANGES/1M", "FPR=2021Y", "FPT=A", "FA_ACT_EST_DATA=E, EST_SOURCE=KEY", "ACT_EST_MAPPING=PRECISE", "FS=MRC", "CURRENCY=USD", "XLFILL=b")</f>
        <v>#N/A Requesting Data...</v>
      </c>
      <c r="N230" s="6" t="str">
        <f>_xll.BQL("NOW US Equity", "CF_EFFECT_FOREIGN_EXCHANGES/1M", "FPR=2021Y", "FPT=A", "FA_ACT_EST_DATA=E, EST_SOURCE=BMO", "ACT_EST_MAPPING=PRECISE", "FS=MRC", "CURRENCY=USD", "XLFILL=b")</f>
        <v>#N/A Requesting Data...</v>
      </c>
      <c r="O230" s="6" t="str">
        <f>_xll.BQL("NOW US Equity", "CF_EFFECT_FOREIGN_EXCHANGES/1M", "FPR=2021Y", "FPT=A", "FA_ACT_EST_DATA=E, EST_SOURCE=OPY", "ACT_EST_MAPPING=PRECISE", "FS=MRC", "CURRENCY=USD", "XLFILL=b")</f>
        <v>#N/A Requesting Data...</v>
      </c>
      <c r="P230" s="6" t="str">
        <f>_xll.BQL("NOW US Equity", "CF_EFFECT_FOREIGN_EXCHANGES/1M", "FPR=2021Y", "FPT=A", "FA_ACT_EST_DATA=E, EST_SOURCE=BCA", "ACT_EST_MAPPING=PRECISE", "FS=MRC", "CURRENCY=USD", "XLFILL=b")</f>
        <v>#N/A Requesting Data...</v>
      </c>
      <c r="Q230" s="6" t="str">
        <f>_xll.BQL("NOW US Equity", "CF_EFFECT_FOREIGN_EXCHANGES/1M", "FPR=2021Y", "FPT=A", "FA_ACT_EST_DATA=E, EST_SOURCE=RHR", "ACT_EST_MAPPING=PRECISE", "FS=MRC", "CURRENCY=USD", "XLFILL=b")</f>
        <v>#N/A Requesting Data...</v>
      </c>
      <c r="R230" s="6" t="str">
        <f>_xll.BQL("NOW US Equity", "CF_EFFECT_FOREIGN_EXCHANGES/1M", "FPR=2021Y", "FPT=A", "FA_ACT_EST_DATA=E, EST_SOURCE=SNR", "ACT_EST_MAPPING=PRECISE", "FS=MRC", "CURRENCY=USD", "XLFILL=b")</f>
        <v>#N/A Requesting Data...</v>
      </c>
      <c r="S230" s="6" t="str">
        <f>_xll.BQL("NOW US Equity", "CF_EFFECT_FOREIGN_EXCHANGES/1M", "FPR=2021Y", "FPT=A", "FA_ACT_EST_DATA=E, EST_SOURCE=MSV", "ACT_EST_MAPPING=PRECISE", "FS=MRC", "CURRENCY=USD", "XLFILL=b")</f>
        <v>#N/A Requesting Data...</v>
      </c>
      <c r="T230" s="6" t="str">
        <f>_xll.BQL("NOW US Equity", "CF_EFFECT_FOREIGN_EXCHANGES/1M", "FPR=2021Y", "FPT=A", "FA_ACT_EST_DATA=E, EST_SOURCE=CAN", "ACT_EST_MAPPING=PRECISE", "FS=MRC", "CURRENCY=USD", "XLFILL=b")</f>
        <v>#N/A Requesting Data...</v>
      </c>
      <c r="U230" s="6" t="str">
        <f>_xll.BQL("NOW US Equity", "CF_EFFECT_FOREIGN_EXCHANGES/1M", "FPR=2021Y", "FPT=A", "FA_ACT_EST_DATA=E, EST_SOURCE=JMP", "ACT_EST_MAPPING=PRECISE", "FS=MRC", "CURRENCY=USD", "XLFILL=b")</f>
        <v>#N/A Requesting Data...</v>
      </c>
      <c r="V230" s="6" t="str">
        <f>_xll.BQL("NOW US Equity", "CF_EFFECT_FOREIGN_EXCHANGES/1M", "FPR=2021Y", "FPT=A", "FA_ACT_EST_DATA=E, EST_SOURCE=NDH", "ACT_EST_MAPPING=PRECISE", "FS=MRC", "CURRENCY=USD", "XLFILL=b")</f>
        <v>#N/A Requesting Data...</v>
      </c>
      <c r="W230" s="6" t="str">
        <f>_xll.BQL("NOW US Equity", "CF_EFFECT_FOREIGN_EXCHANGES/1M", "FPR=2021Y", "FPT=A", "FA_ACT_EST_DATA=E, EST_SOURCE=ZXS", "ACT_EST_MAPPING=PRECISE", "FS=MRC", "CURRENCY=USD", "XLFILL=b")</f>
        <v>#N/A Requesting Data...</v>
      </c>
      <c r="X230" s="6" t="str">
        <f>_xll.BQL("NOW US Equity", "CF_EFFECT_FOREIGN_EXCHANGES/1M", "FPR=2021Y", "FPT=A", "FA_ACT_EST_DATA=E, EST_SOURCE=CWN", "ACT_EST_MAPPING=PRECISE", "FS=MRC", "CURRENCY=USD", "XLFILL=b")</f>
        <v>#N/A Requesting Data...</v>
      </c>
      <c r="Y230" s="6" t="str">
        <f>_xll.BQL("NOW US Equity", "CF_EFFECT_FOREIGN_EXCHANGES/1M", "FPR=2021Y", "FPT=A", "FA_ACT_EST_DATA=E, EST_SOURCE=DBG", "ACT_EST_MAPPING=PRECISE", "FS=MRC", "CURRENCY=USD", "XLFILL=b")</f>
        <v>#N/A Requesting Data...</v>
      </c>
      <c r="Z230" s="6" t="str">
        <f>_xll.BQL("NOW US Equity", "CF_EFFECT_FOREIGN_EXCHANGES/1M", "FPR=2021Y", "FPT=A", "FA_ACT_EST_DATA=E, EST_SOURCE=UBS", "ACT_EST_MAPPING=PRECISE", "FS=MRC", "CURRENCY=USD", "XLFILL=b")</f>
        <v>#N/A Requesting Data...</v>
      </c>
      <c r="AA230" s="6" t="str">
        <f>_xll.BQL("NOW US Equity", "CF_EFFECT_FOREIGN_EXCHANGES/1M", "FPR=2021Y", "FPT=A", "FA_ACT_EST_DATA=E, EST_SOURCE=RBC", "ACT_EST_MAPPING=PRECISE", "FS=MRC", "CURRENCY=USD", "XLFILL=b")</f>
        <v>#N/A Requesting Data...</v>
      </c>
      <c r="AB230" s="6" t="str">
        <f>_xll.BQL("NOW US Equity", "CF_EFFECT_FOREIGN_EXCHANGES/1M", "FPR=2021Y", "FPT=A", "FA_ACT_EST_DATA=E, EST_SOURCE=EVR", "ACT_EST_MAPPING=PRECISE", "FS=MRC", "CURRENCY=USD", "XLFILL=b")</f>
        <v>#N/A Requesting Data...</v>
      </c>
      <c r="AC230" s="6" t="str">
        <f>_xll.BQL("NOW US Equity", "CF_EFFECT_FOREIGN_EXCHANGES/1M", "FPR=2021Y", "FPT=A", "FA_ACT_EST_DATA=E, EST_SOURCE=BNS", "ACT_EST_MAPPING=PRECISE", "FS=MRC", "CURRENCY=USD", "XLFILL=b")</f>
        <v>#N/A Requesting Data...</v>
      </c>
      <c r="AD230" s="6" t="str">
        <f>_xll.BQL("NOW US Equity", "CF_EFFECT_FOREIGN_EXCHANGES/1M", "FPR=2021Y", "FPT=A", "FA_ACT_EST_DATA=E, EST_SOURCE=BAM", "ACT_EST_MAPPING=PRECISE", "FS=MRC", "CURRENCY=USD", "XLFILL=b")</f>
        <v>#N/A Requesting Data...</v>
      </c>
      <c r="AE230" s="6" t="str">
        <f>_xll.BQL("NOW US Equity", "CF_EFFECT_FOREIGN_EXCHANGES/1M", "FPR=2021Y", "FPT=A", "FA_ACT_EST_DATA=E, EST_SOURCE=GSR", "ACT_EST_MAPPING=PRECISE", "FS=MRC", "CURRENCY=USD", "XLFILL=b")</f>
        <v>#N/A Requesting Data...</v>
      </c>
      <c r="AF230" s="6" t="str">
        <f>_xll.BQL("NOW US Equity", "CF_EFFECT_FOREIGN_EXCHANGES/1M", "FPR=2021Y", "FPT=A", "FA_ACT_EST_DATA=E, EST_SOURCE=FBC", "ACT_EST_MAPPING=PRECISE", "FS=MRC", "CURRENCY=USD", "XLFILL=b")</f>
        <v>#N/A Requesting Data...</v>
      </c>
      <c r="AG230" s="6" t="str">
        <f>_xll.BQL("NOW US Equity", "CF_EFFECT_FOREIGN_EXCHANGES/1M", "FPR=2021Y", "FPT=A", "FA_ACT_EST_DATA=E, EST_SOURCE=MAC", "ACT_EST_MAPPING=PRECISE", "FS=MRC", "CURRENCY=USD", "XLFILL=b")</f>
        <v>#N/A Requesting Data...</v>
      </c>
      <c r="AH230" s="6" t="str">
        <f>_xll.BQL("NOW US Equity", "CF_EFFECT_FOREIGN_EXCHANGES/1M", "FPR=2021Y", "FPT=A", "FA_ACT_EST_DATA=E, EST_SOURCE=PSG", "ACT_EST_MAPPING=PRECISE", "FS=MRC", "CURRENCY=USD", "XLFILL=b")</f>
        <v>#N/A Requesting Data...</v>
      </c>
      <c r="AI230" s="6" t="str">
        <f>_xll.BQL("NOW US Equity", "CF_EFFECT_FOREIGN_EXCHANGES/1M", "FPR=2021Y", "FPT=A", "FA_ACT_EST_DATA=E, EST_SOURCE=MSR", "ACT_EST_MAPPING=PRECISE", "FS=MRC", "CURRENCY=USD", "XLFILL=b")</f>
        <v>#N/A Requesting Data...</v>
      </c>
      <c r="AJ230" s="6" t="str">
        <f>_xll.BQL("NOW US Equity", "CF_EFFECT_FOREIGN_EXCHANGES/1M", "FPR=2021Y", "FPT=A", "FA_ACT_EST_DATA=E, EST_SOURCE=JEF", "ACT_EST_MAPPING=PRECISE", "FS=MRC", "CURRENCY=USD", "XLFILL=b")</f>
        <v>#N/A Requesting Data...</v>
      </c>
      <c r="AK230" s="6" t="str">
        <f>_xll.BQL("NOW US Equity", "CF_EFFECT_FOREIGN_EXCHANGES/1M", "FPR=2021Y", "FPT=A", "FA_ACT_EST_DATA=E, EST_SOURCE=TTC", "ACT_EST_MAPPING=PRECISE", "FS=MRC", "CURRENCY=USD", "XLFILL=b")</f>
        <v>#N/A Requesting Data...</v>
      </c>
      <c r="AL230" s="6" t="str">
        <f>_xll.BQL("NOW US Equity", "CF_EFFECT_FOREIGN_EXCHANGES/1M", "FPR=2021Y", "FPT=A", "FA_ACT_EST_DATA=E, EST_SOURCE=RWB", "ACT_EST_MAPPING=PRECISE", "FS=MRC", "CURRENCY=USD", "XLFILL=b")</f>
        <v>#N/A Requesting Data...</v>
      </c>
      <c r="AM230" s="6" t="str">
        <f>_xll.BQL("NOW US Equity", "CF_EFFECT_FOREIGN_EXCHANGES/1M", "FPR=2021Y", "FPT=A", "FA_ACT_EST_DATA=E, EST_SOURCE=DZB", "ACT_EST_MAPPING=PRECISE", "FS=MRC", "CURRENCY=USD", "XLFILL=b")</f>
        <v>#N/A Requesting Data...</v>
      </c>
      <c r="AN230" s="6" t="str">
        <f>_xll.BQL("NOW US Equity", "CF_EFFECT_FOREIGN_EXCHANGES/1M", "FPR=2021Y", "FPT=A", "FA_ACT_EST_DATA=E, EST_SOURCE=DWI", "ACT_EST_MAPPING=PRECISE", "FS=MRC", "CURRENCY=USD", "XLFILL=b")</f>
        <v>#N/A Requesting Data...</v>
      </c>
      <c r="AO230" s="6" t="str">
        <f>_xll.BQL("NOW US Equity", "CF_EFFECT_FOREIGN_EXCHANGES/1M", "FPR=2021Y", "FPT=A", "FA_ACT_EST_DATA=E, EST_SOURCE=ARG", "ACT_EST_MAPPING=PRECISE", "FS=MRC", "CURRENCY=USD", "XLFILL=b")</f>
        <v>#N/A Requesting Data...</v>
      </c>
      <c r="AP230" s="6" t="str">
        <f>_xll.BQL("NOW US Equity", "CF_EFFECT_FOREIGN_EXCHANGES/1M", "FPR=2021Y", "FPT=A", "FA_ACT_EST_DATA=E, EST_SOURCE=CTI", "ACT_EST_MAPPING=PRECISE", "FS=MRC", "CURRENCY=USD", "XLFILL=b")</f>
        <v>#N/A Requesting Data...</v>
      </c>
      <c r="AQ230" s="6" t="str">
        <f>_xll.BQL("NOW US Equity", "CF_EFFECT_FOREIGN_EXCHANGES/1M", "FPR=2021Y", "FPT=A", "FA_ACT_EST_DATA=E, EST_SOURCE=WFT", "ACT_EST_MAPPING=PRECISE", "FS=MRC", "CURRENCY=USD", "XLFILL=b")</f>
        <v>#N/A Requesting Data...</v>
      </c>
      <c r="AR230" s="6" t="str">
        <f>_xll.BQL("NOW US Equity", "CF_EFFECT_FOREIGN_EXCHANGES/1M", "FPR=2021Y", "FPT=A", "FA_ACT_EST_DATA=E, EST_SOURCE=ARE", "ACT_EST_MAPPING=PRECISE", "FS=MRC", "CURRENCY=USD", "XLFILL=b")</f>
        <v>#N/A Requesting Data...</v>
      </c>
      <c r="AS230" s="6" t="str">
        <f>_xll.BQL("NOW US Equity", "CF_EFFECT_FOREIGN_EXCHANGES/1M", "FPR=2021Y", "FPT=A", "FA_ACT_EST_DATA=E, EST_SOURCE=PJE", "ACT_EST_MAPPING=PRECISE", "FS=MRC", "CURRENCY=USD", "XLFILL=b")</f>
        <v>#N/A Requesting Data...</v>
      </c>
      <c r="AT230" s="6" t="str">
        <f>_xll.BQL("NOW US Equity", "CF_EFFECT_FOREIGN_EXCHANGES/1M", "FPR=2021Y", "FPT=A", "FA_ACT_EST_DATA=E, EST_SOURCE=MZS", "ACT_EST_MAPPING=PRECISE", "FS=MRC", "CURRENCY=USD", "XLFILL=b")</f>
        <v>#N/A Requesting Data...</v>
      </c>
      <c r="AU230" s="6" t="str">
        <f>_xll.BQL("NOW US Equity", "CF_EFFECT_FOREIGN_EXCHANGES/1M", "FPR=2021Y", "FPT=A", "FA_ACT_EST_DATA=E, EST_SOURCE=SUM", "ACT_EST_MAPPING=PRECISE", "FS=MRC", "CURRENCY=USD", "XLFILL=b")</f>
        <v>#N/A Requesting Data...</v>
      </c>
      <c r="AV230" s="6" t="str">
        <f>_xll.BQL("NOW US Equity", "CF_EFFECT_FOREIGN_EXCHANGES/1M", "FPR=2021Y", "FPT=A", "FA_ACT_EST_DATA=E, EST_SOURCE=CRC", "ACT_EST_MAPPING=PRECISE", "FS=MRC", "CURRENCY=USD", "XLFILL=b")</f>
        <v>#N/A Requesting Data...</v>
      </c>
      <c r="AW230" s="6" t="str">
        <f>_xll.BQL("NOW US Equity", "CF_EFFECT_FOREIGN_EXCHANGES/1M", "FPR=2021Y", "FPT=A", "FA_ACT_EST_DATA=E, EST_SOURCE=SCB", "ACT_EST_MAPPING=PRECISE", "FS=MRC", "CURRENCY=USD", "XLFILL=b")</f>
        <v>#N/A Requesting Data...</v>
      </c>
    </row>
    <row r="231" spans="1:49" x14ac:dyDescent="0.55000000000000004">
      <c r="A231" s="5" t="s">
        <v>425</v>
      </c>
      <c r="B231" s="2" t="s">
        <v>426</v>
      </c>
      <c r="C231" s="2" t="s">
        <v>427</v>
      </c>
      <c r="D231" s="2"/>
      <c r="E231" s="6" t="str">
        <f>_xll.BQL("NOW US Equity", "CF_NET_CHNG_CASH/1M", "FPR=2021Y", "FPT=A", "FA_ACT_EST_DATA=E", "ACT_EST_MAPPING=PRECISE", "FS=MRC", "CURRENCY=USD", "XLFILL=b")</f>
        <v>#N/A Requesting Data...</v>
      </c>
      <c r="F231" s="6" t="str">
        <f>_xll.BQL("NOW US Equity", "CONTRIBUTOR_STATS(CF_NET_CHNG_CASH, MIN)/1M", "FPR=2021Y", "FPT=A", "FA_ACT_EST_DATA=E", "ACT_EST_MAPPING=PRECISE", "FS=MRC", "CURRENCY=USD", "XLFILL=b")</f>
        <v>#N/A Requesting Data...</v>
      </c>
      <c r="G231" s="6" t="str">
        <f>_xll.BQL("NOW US Equity", "CONTRIBUTOR_STATS(CF_NET_CHNG_CASH, MAX)/1M", "FPR=2021Y", "FPT=A", "FA_ACT_EST_DATA=E", "ACT_EST_MAPPING=PRECISE", "FS=MRC", "CURRENCY=USD", "XLFILL=b")</f>
        <v>#N/A Requesting Data...</v>
      </c>
      <c r="H231" s="6" t="str">
        <f>_xll.BQL("NOW US Equity", "CONTRIBUTOR_STATS(CF_NET_CHNG_CASH, STD)/1M", "FPR=2021Y", "FPT=A", "FA_ACT_EST_DATA=E", "ACT_EST_MAPPING=PRECISE", "FS=MRC", "CURRENCY=USD", "XLFILL=b")</f>
        <v>#N/A Requesting Data...</v>
      </c>
      <c r="I231" s="6" t="str">
        <f>_xll.BQL("NOW US Equity", "CONTRIBUTOR_STATS(CF_NET_CHNG_CASH, MEDIAN)/1M", "FPR=2021Y", "FPT=A", "FA_ACT_EST_DATA=E", "ACT_EST_MAPPING=PRECISE", "FS=MRC", "CURRENCY=USD", "XLFILL=b")</f>
        <v>#N/A Requesting Data...</v>
      </c>
      <c r="J231" s="6" t="str">
        <f>_xll.BQL("NOW US Equity", "CF_NET_CHNG_CASH/1M", "FPR=2021Y", "FPT=A", "FA_ACT_EST_DATA=E, EST_SOURCE=CMPY", "ACT_EST_MAPPING=PRECISE", "FS=MRC", "CURRENCY=USD", "XLFILL=b")</f>
        <v>#N/A Requesting Data...</v>
      </c>
      <c r="K231" s="6" t="str">
        <f>_xll.BQL("NOW US Equity", "CF_NET_CHNG_CASH/1M", "FPR=2021Y", "FPT=A", "FA_ACT_EST_DATA=E, EST_SOURCE=JPM", "ACT_EST_MAPPING=PRECISE", "FS=MRC", "CURRENCY=USD", "XLFILL=b")</f>
        <v>#N/A Requesting Data...</v>
      </c>
      <c r="L231" s="6" t="str">
        <f>_xll.BQL("NOW US Equity", "CF_NET_CHNG_CASH/1M", "FPR=2021Y", "FPT=A", "FA_ACT_EST_DATA=E, EST_SOURCE=WBL", "ACT_EST_MAPPING=PRECISE", "FS=MRC", "CURRENCY=USD", "XLFILL=b")</f>
        <v>#N/A Requesting Data...</v>
      </c>
      <c r="M231" s="6" t="str">
        <f>_xll.BQL("NOW US Equity", "CF_NET_CHNG_CASH/1M", "FPR=2021Y", "FPT=A", "FA_ACT_EST_DATA=E, EST_SOURCE=KEY", "ACT_EST_MAPPING=PRECISE", "FS=MRC", "CURRENCY=USD", "XLFILL=b")</f>
        <v>#N/A Requesting Data...</v>
      </c>
      <c r="N231" s="6" t="str">
        <f>_xll.BQL("NOW US Equity", "CF_NET_CHNG_CASH/1M", "FPR=2021Y", "FPT=A", "FA_ACT_EST_DATA=E, EST_SOURCE=BMO", "ACT_EST_MAPPING=PRECISE", "FS=MRC", "CURRENCY=USD", "XLFILL=b")</f>
        <v/>
      </c>
      <c r="O231" s="6" t="str">
        <f>_xll.BQL("NOW US Equity", "CF_NET_CHNG_CASH/1M", "FPR=2021Y", "FPT=A", "FA_ACT_EST_DATA=E, EST_SOURCE=OPY", "ACT_EST_MAPPING=PRECISE", "FS=MRC", "CURRENCY=USD", "XLFILL=b")</f>
        <v>#N/A Requesting Data...</v>
      </c>
      <c r="P231" s="6" t="str">
        <f>_xll.BQL("NOW US Equity", "CF_NET_CHNG_CASH/1M", "FPR=2021Y", "FPT=A", "FA_ACT_EST_DATA=E, EST_SOURCE=BCA", "ACT_EST_MAPPING=PRECISE", "FS=MRC", "CURRENCY=USD", "XLFILL=b")</f>
        <v>#N/A Requesting Data...</v>
      </c>
      <c r="Q231" s="6" t="str">
        <f>_xll.BQL("NOW US Equity", "CF_NET_CHNG_CASH/1M", "FPR=2021Y", "FPT=A", "FA_ACT_EST_DATA=E, EST_SOURCE=RHR", "ACT_EST_MAPPING=PRECISE", "FS=MRC", "CURRENCY=USD", "XLFILL=b")</f>
        <v>#N/A Requesting Data...</v>
      </c>
      <c r="R231" s="6" t="str">
        <f>_xll.BQL("NOW US Equity", "CF_NET_CHNG_CASH/1M", "FPR=2021Y", "FPT=A", "FA_ACT_EST_DATA=E, EST_SOURCE=SNR", "ACT_EST_MAPPING=PRECISE", "FS=MRC", "CURRENCY=USD", "XLFILL=b")</f>
        <v/>
      </c>
      <c r="S231" s="6" t="str">
        <f>_xll.BQL("NOW US Equity", "CF_NET_CHNG_CASH/1M", "FPR=2021Y", "FPT=A", "FA_ACT_EST_DATA=E, EST_SOURCE=MSV", "ACT_EST_MAPPING=PRECISE", "FS=MRC", "CURRENCY=USD", "XLFILL=b")</f>
        <v>#N/A Requesting Data...</v>
      </c>
      <c r="T231" s="6" t="str">
        <f>_xll.BQL("NOW US Equity", "CF_NET_CHNG_CASH/1M", "FPR=2021Y", "FPT=A", "FA_ACT_EST_DATA=E, EST_SOURCE=CAN", "ACT_EST_MAPPING=PRECISE", "FS=MRC", "CURRENCY=USD", "XLFILL=b")</f>
        <v>#N/A Requesting Data...</v>
      </c>
      <c r="U231" s="6" t="str">
        <f>_xll.BQL("NOW US Equity", "CF_NET_CHNG_CASH/1M", "FPR=2021Y", "FPT=A", "FA_ACT_EST_DATA=E, EST_SOURCE=JMP", "ACT_EST_MAPPING=PRECISE", "FS=MRC", "CURRENCY=USD", "XLFILL=b")</f>
        <v/>
      </c>
      <c r="V231" s="6" t="str">
        <f>_xll.BQL("NOW US Equity", "CF_NET_CHNG_CASH/1M", "FPR=2021Y", "FPT=A", "FA_ACT_EST_DATA=E, EST_SOURCE=NDH", "ACT_EST_MAPPING=PRECISE", "FS=MRC", "CURRENCY=USD", "XLFILL=b")</f>
        <v>#N/A Requesting Data...</v>
      </c>
      <c r="W231" s="6" t="str">
        <f>_xll.BQL("NOW US Equity", "CF_NET_CHNG_CASH/1M", "FPR=2021Y", "FPT=A", "FA_ACT_EST_DATA=E, EST_SOURCE=ZXS", "ACT_EST_MAPPING=PRECISE", "FS=MRC", "CURRENCY=USD", "XLFILL=b")</f>
        <v>#N/A Requesting Data...</v>
      </c>
      <c r="X231" s="6" t="str">
        <f>_xll.BQL("NOW US Equity", "CF_NET_CHNG_CASH/1M", "FPR=2021Y", "FPT=A", "FA_ACT_EST_DATA=E, EST_SOURCE=CWN", "ACT_EST_MAPPING=PRECISE", "FS=MRC", "CURRENCY=USD", "XLFILL=b")</f>
        <v>#N/A Requesting Data...</v>
      </c>
      <c r="Y231" s="6" t="str">
        <f>_xll.BQL("NOW US Equity", "CF_NET_CHNG_CASH/1M", "FPR=2021Y", "FPT=A", "FA_ACT_EST_DATA=E, EST_SOURCE=DBG", "ACT_EST_MAPPING=PRECISE", "FS=MRC", "CURRENCY=USD", "XLFILL=b")</f>
        <v>#N/A Requesting Data...</v>
      </c>
      <c r="Z231" s="6" t="str">
        <f>_xll.BQL("NOW US Equity", "CF_NET_CHNG_CASH/1M", "FPR=2021Y", "FPT=A", "FA_ACT_EST_DATA=E, EST_SOURCE=UBS", "ACT_EST_MAPPING=PRECISE", "FS=MRC", "CURRENCY=USD", "XLFILL=b")</f>
        <v>#N/A Requesting Data...</v>
      </c>
      <c r="AA231" s="6" t="str">
        <f>_xll.BQL("NOW US Equity", "CF_NET_CHNG_CASH/1M", "FPR=2021Y", "FPT=A", "FA_ACT_EST_DATA=E, EST_SOURCE=RBC", "ACT_EST_MAPPING=PRECISE", "FS=MRC", "CURRENCY=USD", "XLFILL=b")</f>
        <v>#N/A Requesting Data...</v>
      </c>
      <c r="AB231" s="6" t="str">
        <f>_xll.BQL("NOW US Equity", "CF_NET_CHNG_CASH/1M", "FPR=2021Y", "FPT=A", "FA_ACT_EST_DATA=E, EST_SOURCE=EVR", "ACT_EST_MAPPING=PRECISE", "FS=MRC", "CURRENCY=USD", "XLFILL=b")</f>
        <v>#N/A Requesting Data...</v>
      </c>
      <c r="AC231" s="6" t="str">
        <f>_xll.BQL("NOW US Equity", "CF_NET_CHNG_CASH/1M", "FPR=2021Y", "FPT=A", "FA_ACT_EST_DATA=E, EST_SOURCE=BNS", "ACT_EST_MAPPING=PRECISE", "FS=MRC", "CURRENCY=USD", "XLFILL=b")</f>
        <v/>
      </c>
      <c r="AD231" s="6" t="str">
        <f>_xll.BQL("NOW US Equity", "CF_NET_CHNG_CASH/1M", "FPR=2021Y", "FPT=A", "FA_ACT_EST_DATA=E, EST_SOURCE=BAM", "ACT_EST_MAPPING=PRECISE", "FS=MRC", "CURRENCY=USD", "XLFILL=b")</f>
        <v>#N/A Requesting Data...</v>
      </c>
      <c r="AE231" s="6" t="str">
        <f>_xll.BQL("NOW US Equity", "CF_NET_CHNG_CASH/1M", "FPR=2021Y", "FPT=A", "FA_ACT_EST_DATA=E, EST_SOURCE=GSR", "ACT_EST_MAPPING=PRECISE", "FS=MRC", "CURRENCY=USD", "XLFILL=b")</f>
        <v>#N/A Requesting Data...</v>
      </c>
      <c r="AF231" s="6" t="str">
        <f>_xll.BQL("NOW US Equity", "CF_NET_CHNG_CASH/1M", "FPR=2021Y", "FPT=A", "FA_ACT_EST_DATA=E, EST_SOURCE=FBC", "ACT_EST_MAPPING=PRECISE", "FS=MRC", "CURRENCY=USD", "XLFILL=b")</f>
        <v>#N/A Requesting Data...</v>
      </c>
      <c r="AG231" s="6" t="str">
        <f>_xll.BQL("NOW US Equity", "CF_NET_CHNG_CASH/1M", "FPR=2021Y", "FPT=A", "FA_ACT_EST_DATA=E, EST_SOURCE=MAC", "ACT_EST_MAPPING=PRECISE", "FS=MRC", "CURRENCY=USD", "XLFILL=b")</f>
        <v>#N/A Requesting Data...</v>
      </c>
      <c r="AH231" s="6" t="str">
        <f>_xll.BQL("NOW US Equity", "CF_NET_CHNG_CASH/1M", "FPR=2021Y", "FPT=A", "FA_ACT_EST_DATA=E, EST_SOURCE=PSG", "ACT_EST_MAPPING=PRECISE", "FS=MRC", "CURRENCY=USD", "XLFILL=b")</f>
        <v>#N/A Requesting Data...</v>
      </c>
      <c r="AI231" s="6" t="str">
        <f>_xll.BQL("NOW US Equity", "CF_NET_CHNG_CASH/1M", "FPR=2021Y", "FPT=A", "FA_ACT_EST_DATA=E, EST_SOURCE=MSR", "ACT_EST_MAPPING=PRECISE", "FS=MRC", "CURRENCY=USD", "XLFILL=b")</f>
        <v>#N/A Requesting Data...</v>
      </c>
      <c r="AJ231" s="6" t="str">
        <f>_xll.BQL("NOW US Equity", "CF_NET_CHNG_CASH/1M", "FPR=2021Y", "FPT=A", "FA_ACT_EST_DATA=E, EST_SOURCE=JEF", "ACT_EST_MAPPING=PRECISE", "FS=MRC", "CURRENCY=USD", "XLFILL=b")</f>
        <v>#N/A Requesting Data...</v>
      </c>
      <c r="AK231" s="6" t="str">
        <f>_xll.BQL("NOW US Equity", "CF_NET_CHNG_CASH/1M", "FPR=2021Y", "FPT=A", "FA_ACT_EST_DATA=E, EST_SOURCE=TTC", "ACT_EST_MAPPING=PRECISE", "FS=MRC", "CURRENCY=USD", "XLFILL=b")</f>
        <v>#N/A Requesting Data...</v>
      </c>
      <c r="AL231" s="6" t="str">
        <f>_xll.BQL("NOW US Equity", "CF_NET_CHNG_CASH/1M", "FPR=2021Y", "FPT=A", "FA_ACT_EST_DATA=E, EST_SOURCE=RWB", "ACT_EST_MAPPING=PRECISE", "FS=MRC", "CURRENCY=USD", "XLFILL=b")</f>
        <v>#N/A Requesting Data...</v>
      </c>
      <c r="AM231" s="6" t="str">
        <f>_xll.BQL("NOW US Equity", "CF_NET_CHNG_CASH/1M", "FPR=2021Y", "FPT=A", "FA_ACT_EST_DATA=E, EST_SOURCE=DZB", "ACT_EST_MAPPING=PRECISE", "FS=MRC", "CURRENCY=USD", "XLFILL=b")</f>
        <v>#N/A Requesting Data...</v>
      </c>
      <c r="AN231" s="6" t="str">
        <f>_xll.BQL("NOW US Equity", "CF_NET_CHNG_CASH/1M", "FPR=2021Y", "FPT=A", "FA_ACT_EST_DATA=E, EST_SOURCE=DWI", "ACT_EST_MAPPING=PRECISE", "FS=MRC", "CURRENCY=USD", "XLFILL=b")</f>
        <v>#N/A Requesting Data...</v>
      </c>
      <c r="AO231" s="6" t="str">
        <f>_xll.BQL("NOW US Equity", "CF_NET_CHNG_CASH/1M", "FPR=2021Y", "FPT=A", "FA_ACT_EST_DATA=E, EST_SOURCE=ARG", "ACT_EST_MAPPING=PRECISE", "FS=MRC", "CURRENCY=USD", "XLFILL=b")</f>
        <v>#N/A Requesting Data...</v>
      </c>
      <c r="AP231" s="6" t="str">
        <f>_xll.BQL("NOW US Equity", "CF_NET_CHNG_CASH/1M", "FPR=2021Y", "FPT=A", "FA_ACT_EST_DATA=E, EST_SOURCE=CTI", "ACT_EST_MAPPING=PRECISE", "FS=MRC", "CURRENCY=USD", "XLFILL=b")</f>
        <v>#N/A Requesting Data...</v>
      </c>
      <c r="AQ231" s="6" t="str">
        <f>_xll.BQL("NOW US Equity", "CF_NET_CHNG_CASH/1M", "FPR=2021Y", "FPT=A", "FA_ACT_EST_DATA=E, EST_SOURCE=WFT", "ACT_EST_MAPPING=PRECISE", "FS=MRC", "CURRENCY=USD", "XLFILL=b")</f>
        <v>#N/A Requesting Data...</v>
      </c>
      <c r="AR231" s="6" t="str">
        <f>_xll.BQL("NOW US Equity", "CF_NET_CHNG_CASH/1M", "FPR=2021Y", "FPT=A", "FA_ACT_EST_DATA=E, EST_SOURCE=ARE", "ACT_EST_MAPPING=PRECISE", "FS=MRC", "CURRENCY=USD", "XLFILL=b")</f>
        <v>#N/A Requesting Data...</v>
      </c>
      <c r="AS231" s="6" t="str">
        <f>_xll.BQL("NOW US Equity", "CF_NET_CHNG_CASH/1M", "FPR=2021Y", "FPT=A", "FA_ACT_EST_DATA=E, EST_SOURCE=PJE", "ACT_EST_MAPPING=PRECISE", "FS=MRC", "CURRENCY=USD", "XLFILL=b")</f>
        <v/>
      </c>
      <c r="AT231" s="6" t="str">
        <f>_xll.BQL("NOW US Equity", "CF_NET_CHNG_CASH/1M", "FPR=2021Y", "FPT=A", "FA_ACT_EST_DATA=E, EST_SOURCE=MZS", "ACT_EST_MAPPING=PRECISE", "FS=MRC", "CURRENCY=USD", "XLFILL=b")</f>
        <v>#N/A Requesting Data...</v>
      </c>
      <c r="AU231" s="6" t="str">
        <f>_xll.BQL("NOW US Equity", "CF_NET_CHNG_CASH/1M", "FPR=2021Y", "FPT=A", "FA_ACT_EST_DATA=E, EST_SOURCE=SUM", "ACT_EST_MAPPING=PRECISE", "FS=MRC", "CURRENCY=USD", "XLFILL=b")</f>
        <v>#N/A Requesting Data...</v>
      </c>
      <c r="AV231" s="6" t="str">
        <f>_xll.BQL("NOW US Equity", "CF_NET_CHNG_CASH/1M", "FPR=2021Y", "FPT=A", "FA_ACT_EST_DATA=E, EST_SOURCE=CRC", "ACT_EST_MAPPING=PRECISE", "FS=MRC", "CURRENCY=USD", "XLFILL=b")</f>
        <v>#N/A Requesting Data...</v>
      </c>
      <c r="AW231" s="6" t="str">
        <f>_xll.BQL("NOW US Equity", "CF_NET_CHNG_CASH/1M", "FPR=2021Y", "FPT=A", "FA_ACT_EST_DATA=E, EST_SOURCE=SCB", "ACT_EST_MAPPING=PRECISE", "FS=MRC", "CURRENCY=USD", "XLFILL=b")</f>
        <v>#N/A Requesting Data...</v>
      </c>
    </row>
    <row r="232" spans="1:49" x14ac:dyDescent="0.55000000000000004">
      <c r="A232" s="5" t="s">
        <v>428</v>
      </c>
      <c r="B232" s="2" t="s">
        <v>429</v>
      </c>
      <c r="C232" s="2" t="s">
        <v>430</v>
      </c>
      <c r="D232" s="2"/>
      <c r="E232" s="6" t="str">
        <f>_xll.BQL("NOW US Equity", "CF_CASH_AND_CASH_EQUIV_BEG_BAL/1M", "FPR=2021Y", "FPT=A", "FA_ACT_EST_DATA=E", "ACT_EST_MAPPING=PRECISE", "FS=MRC", "CURRENCY=USD", "XLFILL=b")</f>
        <v>#N/A Requesting Data...</v>
      </c>
      <c r="F232" s="6" t="str">
        <f>_xll.BQL("NOW US Equity", "CONTRIBUTOR_STATS(CF_CASH_AND_CASH_EQUIV_BEG_BAL, MIN)/1M", "FPR=2021Y", "FPT=A", "FA_ACT_EST_DATA=E", "ACT_EST_MAPPING=PRECISE", "FS=MRC", "CURRENCY=USD", "XLFILL=b")</f>
        <v>#N/A Requesting Data...</v>
      </c>
      <c r="G232" s="6" t="str">
        <f>_xll.BQL("NOW US Equity", "CONTRIBUTOR_STATS(CF_CASH_AND_CASH_EQUIV_BEG_BAL, MAX)/1M", "FPR=2021Y", "FPT=A", "FA_ACT_EST_DATA=E", "ACT_EST_MAPPING=PRECISE", "FS=MRC", "CURRENCY=USD", "XLFILL=b")</f>
        <v>#N/A Requesting Data...</v>
      </c>
      <c r="H232" s="6" t="str">
        <f>_xll.BQL("NOW US Equity", "CONTRIBUTOR_STATS(CF_CASH_AND_CASH_EQUIV_BEG_BAL, STD)/1M", "FPR=2021Y", "FPT=A", "FA_ACT_EST_DATA=E", "ACT_EST_MAPPING=PRECISE", "FS=MRC", "CURRENCY=USD", "XLFILL=b")</f>
        <v>#N/A Requesting Data...</v>
      </c>
      <c r="I232" s="6" t="str">
        <f>_xll.BQL("NOW US Equity", "CONTRIBUTOR_STATS(CF_CASH_AND_CASH_EQUIV_BEG_BAL, MEDIAN)/1M", "FPR=2021Y", "FPT=A", "FA_ACT_EST_DATA=E", "ACT_EST_MAPPING=PRECISE", "FS=MRC", "CURRENCY=USD", "XLFILL=b")</f>
        <v>#N/A Requesting Data...</v>
      </c>
      <c r="J232" s="6" t="str">
        <f>_xll.BQL("NOW US Equity", "CF_CASH_AND_CASH_EQUIV_BEG_BAL/1M", "FPR=2021Y", "FPT=A", "FA_ACT_EST_DATA=E, EST_SOURCE=CMPY", "ACT_EST_MAPPING=PRECISE", "FS=MRC", "CURRENCY=USD", "XLFILL=b")</f>
        <v>#N/A Requesting Data...</v>
      </c>
      <c r="K232" s="6" t="str">
        <f>_xll.BQL("NOW US Equity", "CF_CASH_AND_CASH_EQUIV_BEG_BAL/1M", "FPR=2021Y", "FPT=A", "FA_ACT_EST_DATA=E, EST_SOURCE=JPM", "ACT_EST_MAPPING=PRECISE", "FS=MRC", "CURRENCY=USD", "XLFILL=b")</f>
        <v>#N/A Requesting Data...</v>
      </c>
      <c r="L232" s="6" t="str">
        <f>_xll.BQL("NOW US Equity", "CF_CASH_AND_CASH_EQUIV_BEG_BAL/1M", "FPR=2021Y", "FPT=A", "FA_ACT_EST_DATA=E, EST_SOURCE=WBL", "ACT_EST_MAPPING=PRECISE", "FS=MRC", "CURRENCY=USD", "XLFILL=b")</f>
        <v>#N/A Requesting Data...</v>
      </c>
      <c r="M232" s="6" t="str">
        <f>_xll.BQL("NOW US Equity", "CF_CASH_AND_CASH_EQUIV_BEG_BAL/1M", "FPR=2021Y", "FPT=A", "FA_ACT_EST_DATA=E, EST_SOURCE=KEY", "ACT_EST_MAPPING=PRECISE", "FS=MRC", "CURRENCY=USD", "XLFILL=b")</f>
        <v>#N/A Requesting Data...</v>
      </c>
      <c r="N232" s="6" t="str">
        <f>_xll.BQL("NOW US Equity", "CF_CASH_AND_CASH_EQUIV_BEG_BAL/1M", "FPR=2021Y", "FPT=A", "FA_ACT_EST_DATA=E, EST_SOURCE=BMO", "ACT_EST_MAPPING=PRECISE", "FS=MRC", "CURRENCY=USD", "XLFILL=b")</f>
        <v>#N/A Requesting Data...</v>
      </c>
      <c r="O232" s="6" t="str">
        <f>_xll.BQL("NOW US Equity", "CF_CASH_AND_CASH_EQUIV_BEG_BAL/1M", "FPR=2021Y", "FPT=A", "FA_ACT_EST_DATA=E, EST_SOURCE=OPY", "ACT_EST_MAPPING=PRECISE", "FS=MRC", "CURRENCY=USD", "XLFILL=b")</f>
        <v>#N/A Requesting Data...</v>
      </c>
      <c r="P232" s="6" t="str">
        <f>_xll.BQL("NOW US Equity", "CF_CASH_AND_CASH_EQUIV_BEG_BAL/1M", "FPR=2021Y", "FPT=A", "FA_ACT_EST_DATA=E, EST_SOURCE=BCA", "ACT_EST_MAPPING=PRECISE", "FS=MRC", "CURRENCY=USD", "XLFILL=b")</f>
        <v>#N/A Requesting Data...</v>
      </c>
      <c r="Q232" s="6" t="str">
        <f>_xll.BQL("NOW US Equity", "CF_CASH_AND_CASH_EQUIV_BEG_BAL/1M", "FPR=2021Y", "FPT=A", "FA_ACT_EST_DATA=E, EST_SOURCE=RHR", "ACT_EST_MAPPING=PRECISE", "FS=MRC", "CURRENCY=USD", "XLFILL=b")</f>
        <v>#N/A Requesting Data...</v>
      </c>
      <c r="R232" s="6" t="str">
        <f>_xll.BQL("NOW US Equity", "CF_CASH_AND_CASH_EQUIV_BEG_BAL/1M", "FPR=2021Y", "FPT=A", "FA_ACT_EST_DATA=E, EST_SOURCE=SNR", "ACT_EST_MAPPING=PRECISE", "FS=MRC", "CURRENCY=USD", "XLFILL=b")</f>
        <v>#N/A Requesting Data...</v>
      </c>
      <c r="S232" s="6" t="str">
        <f>_xll.BQL("NOW US Equity", "CF_CASH_AND_CASH_EQUIV_BEG_BAL/1M", "FPR=2021Y", "FPT=A", "FA_ACT_EST_DATA=E, EST_SOURCE=MSV", "ACT_EST_MAPPING=PRECISE", "FS=MRC", "CURRENCY=USD", "XLFILL=b")</f>
        <v>#N/A Requesting Data...</v>
      </c>
      <c r="T232" s="6" t="str">
        <f>_xll.BQL("NOW US Equity", "CF_CASH_AND_CASH_EQUIV_BEG_BAL/1M", "FPR=2021Y", "FPT=A", "FA_ACT_EST_DATA=E, EST_SOURCE=CAN", "ACT_EST_MAPPING=PRECISE", "FS=MRC", "CURRENCY=USD", "XLFILL=b")</f>
        <v>#N/A Requesting Data...</v>
      </c>
      <c r="U232" s="6" t="str">
        <f>_xll.BQL("NOW US Equity", "CF_CASH_AND_CASH_EQUIV_BEG_BAL/1M", "FPR=2021Y", "FPT=A", "FA_ACT_EST_DATA=E, EST_SOURCE=JMP", "ACT_EST_MAPPING=PRECISE", "FS=MRC", "CURRENCY=USD", "XLFILL=b")</f>
        <v>#N/A Requesting Data...</v>
      </c>
      <c r="V232" s="6" t="str">
        <f>_xll.BQL("NOW US Equity", "CF_CASH_AND_CASH_EQUIV_BEG_BAL/1M", "FPR=2021Y", "FPT=A", "FA_ACT_EST_DATA=E, EST_SOURCE=NDH", "ACT_EST_MAPPING=PRECISE", "FS=MRC", "CURRENCY=USD", "XLFILL=b")</f>
        <v>#N/A Requesting Data...</v>
      </c>
      <c r="W232" s="6" t="str">
        <f>_xll.BQL("NOW US Equity", "CF_CASH_AND_CASH_EQUIV_BEG_BAL/1M", "FPR=2021Y", "FPT=A", "FA_ACT_EST_DATA=E, EST_SOURCE=ZXS", "ACT_EST_MAPPING=PRECISE", "FS=MRC", "CURRENCY=USD", "XLFILL=b")</f>
        <v>#N/A Requesting Data...</v>
      </c>
      <c r="X232" s="6" t="str">
        <f>_xll.BQL("NOW US Equity", "CF_CASH_AND_CASH_EQUIV_BEG_BAL/1M", "FPR=2021Y", "FPT=A", "FA_ACT_EST_DATA=E, EST_SOURCE=CWN", "ACT_EST_MAPPING=PRECISE", "FS=MRC", "CURRENCY=USD", "XLFILL=b")</f>
        <v>#N/A Requesting Data...</v>
      </c>
      <c r="Y232" s="6" t="str">
        <f>_xll.BQL("NOW US Equity", "CF_CASH_AND_CASH_EQUIV_BEG_BAL/1M", "FPR=2021Y", "FPT=A", "FA_ACT_EST_DATA=E, EST_SOURCE=DBG", "ACT_EST_MAPPING=PRECISE", "FS=MRC", "CURRENCY=USD", "XLFILL=b")</f>
        <v>#N/A Requesting Data...</v>
      </c>
      <c r="Z232" s="6" t="str">
        <f>_xll.BQL("NOW US Equity", "CF_CASH_AND_CASH_EQUIV_BEG_BAL/1M", "FPR=2021Y", "FPT=A", "FA_ACT_EST_DATA=E, EST_SOURCE=UBS", "ACT_EST_MAPPING=PRECISE", "FS=MRC", "CURRENCY=USD", "XLFILL=b")</f>
        <v>#N/A Requesting Data...</v>
      </c>
      <c r="AA232" s="6" t="str">
        <f>_xll.BQL("NOW US Equity", "CF_CASH_AND_CASH_EQUIV_BEG_BAL/1M", "FPR=2021Y", "FPT=A", "FA_ACT_EST_DATA=E, EST_SOURCE=RBC", "ACT_EST_MAPPING=PRECISE", "FS=MRC", "CURRENCY=USD", "XLFILL=b")</f>
        <v>#N/A Requesting Data...</v>
      </c>
      <c r="AB232" s="6" t="str">
        <f>_xll.BQL("NOW US Equity", "CF_CASH_AND_CASH_EQUIV_BEG_BAL/1M", "FPR=2021Y", "FPT=A", "FA_ACT_EST_DATA=E, EST_SOURCE=EVR", "ACT_EST_MAPPING=PRECISE", "FS=MRC", "CURRENCY=USD", "XLFILL=b")</f>
        <v>#N/A Requesting Data...</v>
      </c>
      <c r="AC232" s="6" t="str">
        <f>_xll.BQL("NOW US Equity", "CF_CASH_AND_CASH_EQUIV_BEG_BAL/1M", "FPR=2021Y", "FPT=A", "FA_ACT_EST_DATA=E, EST_SOURCE=BNS", "ACT_EST_MAPPING=PRECISE", "FS=MRC", "CURRENCY=USD", "XLFILL=b")</f>
        <v>#N/A Requesting Data...</v>
      </c>
      <c r="AD232" s="6" t="str">
        <f>_xll.BQL("NOW US Equity", "CF_CASH_AND_CASH_EQUIV_BEG_BAL/1M", "FPR=2021Y", "FPT=A", "FA_ACT_EST_DATA=E, EST_SOURCE=BAM", "ACT_EST_MAPPING=PRECISE", "FS=MRC", "CURRENCY=USD", "XLFILL=b")</f>
        <v>#N/A Requesting Data...</v>
      </c>
      <c r="AE232" s="6" t="str">
        <f>_xll.BQL("NOW US Equity", "CF_CASH_AND_CASH_EQUIV_BEG_BAL/1M", "FPR=2021Y", "FPT=A", "FA_ACT_EST_DATA=E, EST_SOURCE=GSR", "ACT_EST_MAPPING=PRECISE", "FS=MRC", "CURRENCY=USD", "XLFILL=b")</f>
        <v>#N/A Requesting Data...</v>
      </c>
      <c r="AF232" s="6" t="str">
        <f>_xll.BQL("NOW US Equity", "CF_CASH_AND_CASH_EQUIV_BEG_BAL/1M", "FPR=2021Y", "FPT=A", "FA_ACT_EST_DATA=E, EST_SOURCE=FBC", "ACT_EST_MAPPING=PRECISE", "FS=MRC", "CURRENCY=USD", "XLFILL=b")</f>
        <v>#N/A Requesting Data...</v>
      </c>
      <c r="AG232" s="6" t="str">
        <f>_xll.BQL("NOW US Equity", "CF_CASH_AND_CASH_EQUIV_BEG_BAL/1M", "FPR=2021Y", "FPT=A", "FA_ACT_EST_DATA=E, EST_SOURCE=MAC", "ACT_EST_MAPPING=PRECISE", "FS=MRC", "CURRENCY=USD", "XLFILL=b")</f>
        <v>#N/A Requesting Data...</v>
      </c>
      <c r="AH232" s="6" t="str">
        <f>_xll.BQL("NOW US Equity", "CF_CASH_AND_CASH_EQUIV_BEG_BAL/1M", "FPR=2021Y", "FPT=A", "FA_ACT_EST_DATA=E, EST_SOURCE=PSG", "ACT_EST_MAPPING=PRECISE", "FS=MRC", "CURRENCY=USD", "XLFILL=b")</f>
        <v>#N/A Requesting Data...</v>
      </c>
      <c r="AI232" s="6" t="str">
        <f>_xll.BQL("NOW US Equity", "CF_CASH_AND_CASH_EQUIV_BEG_BAL/1M", "FPR=2021Y", "FPT=A", "FA_ACT_EST_DATA=E, EST_SOURCE=MSR", "ACT_EST_MAPPING=PRECISE", "FS=MRC", "CURRENCY=USD", "XLFILL=b")</f>
        <v>#N/A Requesting Data...</v>
      </c>
      <c r="AJ232" s="6" t="str">
        <f>_xll.BQL("NOW US Equity", "CF_CASH_AND_CASH_EQUIV_BEG_BAL/1M", "FPR=2021Y", "FPT=A", "FA_ACT_EST_DATA=E, EST_SOURCE=JEF", "ACT_EST_MAPPING=PRECISE", "FS=MRC", "CURRENCY=USD", "XLFILL=b")</f>
        <v>#N/A Requesting Data...</v>
      </c>
      <c r="AK232" s="6" t="str">
        <f>_xll.BQL("NOW US Equity", "CF_CASH_AND_CASH_EQUIV_BEG_BAL/1M", "FPR=2021Y", "FPT=A", "FA_ACT_EST_DATA=E, EST_SOURCE=TTC", "ACT_EST_MAPPING=PRECISE", "FS=MRC", "CURRENCY=USD", "XLFILL=b")</f>
        <v>#N/A Requesting Data...</v>
      </c>
      <c r="AL232" s="6" t="str">
        <f>_xll.BQL("NOW US Equity", "CF_CASH_AND_CASH_EQUIV_BEG_BAL/1M", "FPR=2021Y", "FPT=A", "FA_ACT_EST_DATA=E, EST_SOURCE=RWB", "ACT_EST_MAPPING=PRECISE", "FS=MRC", "CURRENCY=USD", "XLFILL=b")</f>
        <v>#N/A Requesting Data...</v>
      </c>
      <c r="AM232" s="6" t="str">
        <f>_xll.BQL("NOW US Equity", "CF_CASH_AND_CASH_EQUIV_BEG_BAL/1M", "FPR=2021Y", "FPT=A", "FA_ACT_EST_DATA=E, EST_SOURCE=DZB", "ACT_EST_MAPPING=PRECISE", "FS=MRC", "CURRENCY=USD", "XLFILL=b")</f>
        <v>#N/A Requesting Data...</v>
      </c>
      <c r="AN232" s="6" t="str">
        <f>_xll.BQL("NOW US Equity", "CF_CASH_AND_CASH_EQUIV_BEG_BAL/1M", "FPR=2021Y", "FPT=A", "FA_ACT_EST_DATA=E, EST_SOURCE=DWI", "ACT_EST_MAPPING=PRECISE", "FS=MRC", "CURRENCY=USD", "XLFILL=b")</f>
        <v>#N/A Requesting Data...</v>
      </c>
      <c r="AO232" s="6" t="str">
        <f>_xll.BQL("NOW US Equity", "CF_CASH_AND_CASH_EQUIV_BEG_BAL/1M", "FPR=2021Y", "FPT=A", "FA_ACT_EST_DATA=E, EST_SOURCE=ARG", "ACT_EST_MAPPING=PRECISE", "FS=MRC", "CURRENCY=USD", "XLFILL=b")</f>
        <v>#N/A Requesting Data...</v>
      </c>
      <c r="AP232" s="6" t="str">
        <f>_xll.BQL("NOW US Equity", "CF_CASH_AND_CASH_EQUIV_BEG_BAL/1M", "FPR=2021Y", "FPT=A", "FA_ACT_EST_DATA=E, EST_SOURCE=CTI", "ACT_EST_MAPPING=PRECISE", "FS=MRC", "CURRENCY=USD", "XLFILL=b")</f>
        <v>#N/A Requesting Data...</v>
      </c>
      <c r="AQ232" s="6" t="str">
        <f>_xll.BQL("NOW US Equity", "CF_CASH_AND_CASH_EQUIV_BEG_BAL/1M", "FPR=2021Y", "FPT=A", "FA_ACT_EST_DATA=E, EST_SOURCE=WFT", "ACT_EST_MAPPING=PRECISE", "FS=MRC", "CURRENCY=USD", "XLFILL=b")</f>
        <v>#N/A Requesting Data...</v>
      </c>
      <c r="AR232" s="6" t="str">
        <f>_xll.BQL("NOW US Equity", "CF_CASH_AND_CASH_EQUIV_BEG_BAL/1M", "FPR=2021Y", "FPT=A", "FA_ACT_EST_DATA=E, EST_SOURCE=ARE", "ACT_EST_MAPPING=PRECISE", "FS=MRC", "CURRENCY=USD", "XLFILL=b")</f>
        <v>#N/A Requesting Data...</v>
      </c>
      <c r="AS232" s="6" t="str">
        <f>_xll.BQL("NOW US Equity", "CF_CASH_AND_CASH_EQUIV_BEG_BAL/1M", "FPR=2021Y", "FPT=A", "FA_ACT_EST_DATA=E, EST_SOURCE=PJE", "ACT_EST_MAPPING=PRECISE", "FS=MRC", "CURRENCY=USD", "XLFILL=b")</f>
        <v>#N/A Requesting Data...</v>
      </c>
      <c r="AT232" s="6" t="str">
        <f>_xll.BQL("NOW US Equity", "CF_CASH_AND_CASH_EQUIV_BEG_BAL/1M", "FPR=2021Y", "FPT=A", "FA_ACT_EST_DATA=E, EST_SOURCE=MZS", "ACT_EST_MAPPING=PRECISE", "FS=MRC", "CURRENCY=USD", "XLFILL=b")</f>
        <v>#N/A Requesting Data...</v>
      </c>
      <c r="AU232" s="6" t="str">
        <f>_xll.BQL("NOW US Equity", "CF_CASH_AND_CASH_EQUIV_BEG_BAL/1M", "FPR=2021Y", "FPT=A", "FA_ACT_EST_DATA=E, EST_SOURCE=SUM", "ACT_EST_MAPPING=PRECISE", "FS=MRC", "CURRENCY=USD", "XLFILL=b")</f>
        <v>#N/A Requesting Data...</v>
      </c>
      <c r="AV232" s="6" t="str">
        <f>_xll.BQL("NOW US Equity", "CF_CASH_AND_CASH_EQUIV_BEG_BAL/1M", "FPR=2021Y", "FPT=A", "FA_ACT_EST_DATA=E, EST_SOURCE=CRC", "ACT_EST_MAPPING=PRECISE", "FS=MRC", "CURRENCY=USD", "XLFILL=b")</f>
        <v>#N/A Requesting Data...</v>
      </c>
      <c r="AW232" s="6" t="str">
        <f>_xll.BQL("NOW US Equity", "CF_CASH_AND_CASH_EQUIV_BEG_BAL/1M", "FPR=2021Y", "FPT=A", "FA_ACT_EST_DATA=E, EST_SOURCE=SCB", "ACT_EST_MAPPING=PRECISE", "FS=MRC", "CURRENCY=USD", "XLFILL=b")</f>
        <v>#N/A Requesting Data...</v>
      </c>
    </row>
    <row r="233" spans="1:49" x14ac:dyDescent="0.55000000000000004">
      <c r="A233" s="5" t="s">
        <v>431</v>
      </c>
      <c r="B233" s="2" t="s">
        <v>432</v>
      </c>
      <c r="C233" s="2" t="s">
        <v>433</v>
      </c>
      <c r="D233" s="2"/>
      <c r="E233" s="6" t="str">
        <f>_xll.BQL("NOW US Equity", "CF_CASH_AND_CASH_EQUIV_END_BAL/1M", "FPR=2021Y", "FPT=A", "FA_ACT_EST_DATA=E", "ACT_EST_MAPPING=PRECISE", "FS=MRC", "CURRENCY=USD", "XLFILL=b")</f>
        <v>#N/A Requesting Data...</v>
      </c>
      <c r="F233" s="6" t="str">
        <f>_xll.BQL("NOW US Equity", "CONTRIBUTOR_STATS(CF_CASH_AND_CASH_EQUIV_END_BAL, MIN)/1M", "FPR=2021Y", "FPT=A", "FA_ACT_EST_DATA=E", "ACT_EST_MAPPING=PRECISE", "FS=MRC", "CURRENCY=USD", "XLFILL=b")</f>
        <v>#N/A Requesting Data...</v>
      </c>
      <c r="G233" s="6" t="str">
        <f>_xll.BQL("NOW US Equity", "CONTRIBUTOR_STATS(CF_CASH_AND_CASH_EQUIV_END_BAL, MAX)/1M", "FPR=2021Y", "FPT=A", "FA_ACT_EST_DATA=E", "ACT_EST_MAPPING=PRECISE", "FS=MRC", "CURRENCY=USD", "XLFILL=b")</f>
        <v>#N/A Requesting Data...</v>
      </c>
      <c r="H233" s="6" t="str">
        <f>_xll.BQL("NOW US Equity", "CONTRIBUTOR_STATS(CF_CASH_AND_CASH_EQUIV_END_BAL, STD)/1M", "FPR=2021Y", "FPT=A", "FA_ACT_EST_DATA=E", "ACT_EST_MAPPING=PRECISE", "FS=MRC", "CURRENCY=USD", "XLFILL=b")</f>
        <v>#N/A Requesting Data...</v>
      </c>
      <c r="I233" s="6" t="str">
        <f>_xll.BQL("NOW US Equity", "CONTRIBUTOR_STATS(CF_CASH_AND_CASH_EQUIV_END_BAL, MEDIAN)/1M", "FPR=2021Y", "FPT=A", "FA_ACT_EST_DATA=E", "ACT_EST_MAPPING=PRECISE", "FS=MRC", "CURRENCY=USD", "XLFILL=b")</f>
        <v>#N/A Requesting Data...</v>
      </c>
      <c r="J233" s="6" t="str">
        <f>_xll.BQL("NOW US Equity", "CF_CASH_AND_CASH_EQUIV_END_BAL/1M", "FPR=2021Y", "FPT=A", "FA_ACT_EST_DATA=E, EST_SOURCE=CMPY", "ACT_EST_MAPPING=PRECISE", "FS=MRC", "CURRENCY=USD", "XLFILL=b")</f>
        <v>#N/A Requesting Data...</v>
      </c>
      <c r="K233" s="6" t="str">
        <f>_xll.BQL("NOW US Equity", "CF_CASH_AND_CASH_EQUIV_END_BAL/1M", "FPR=2021Y", "FPT=A", "FA_ACT_EST_DATA=E, EST_SOURCE=JPM", "ACT_EST_MAPPING=PRECISE", "FS=MRC", "CURRENCY=USD", "XLFILL=b")</f>
        <v>#N/A Requesting Data...</v>
      </c>
      <c r="L233" s="6" t="str">
        <f>_xll.BQL("NOW US Equity", "CF_CASH_AND_CASH_EQUIV_END_BAL/1M", "FPR=2021Y", "FPT=A", "FA_ACT_EST_DATA=E, EST_SOURCE=WBL", "ACT_EST_MAPPING=PRECISE", "FS=MRC", "CURRENCY=USD", "XLFILL=b")</f>
        <v>#N/A Requesting Data...</v>
      </c>
      <c r="M233" s="6" t="str">
        <f>_xll.BQL("NOW US Equity", "CF_CASH_AND_CASH_EQUIV_END_BAL/1M", "FPR=2021Y", "FPT=A", "FA_ACT_EST_DATA=E, EST_SOURCE=KEY", "ACT_EST_MAPPING=PRECISE", "FS=MRC", "CURRENCY=USD", "XLFILL=b")</f>
        <v>#N/A Requesting Data...</v>
      </c>
      <c r="N233" s="6" t="str">
        <f>_xll.BQL("NOW US Equity", "CF_CASH_AND_CASH_EQUIV_END_BAL/1M", "FPR=2021Y", "FPT=A", "FA_ACT_EST_DATA=E, EST_SOURCE=BMO", "ACT_EST_MAPPING=PRECISE", "FS=MRC", "CURRENCY=USD", "XLFILL=b")</f>
        <v>#N/A Requesting Data...</v>
      </c>
      <c r="O233" s="6" t="str">
        <f>_xll.BQL("NOW US Equity", "CF_CASH_AND_CASH_EQUIV_END_BAL/1M", "FPR=2021Y", "FPT=A", "FA_ACT_EST_DATA=E, EST_SOURCE=OPY", "ACT_EST_MAPPING=PRECISE", "FS=MRC", "CURRENCY=USD", "XLFILL=b")</f>
        <v>#N/A Requesting Data...</v>
      </c>
      <c r="P233" s="6" t="str">
        <f>_xll.BQL("NOW US Equity", "CF_CASH_AND_CASH_EQUIV_END_BAL/1M", "FPR=2021Y", "FPT=A", "FA_ACT_EST_DATA=E, EST_SOURCE=BCA", "ACT_EST_MAPPING=PRECISE", "FS=MRC", "CURRENCY=USD", "XLFILL=b")</f>
        <v>#N/A Requesting Data...</v>
      </c>
      <c r="Q233" s="6" t="str">
        <f>_xll.BQL("NOW US Equity", "CF_CASH_AND_CASH_EQUIV_END_BAL/1M", "FPR=2021Y", "FPT=A", "FA_ACT_EST_DATA=E, EST_SOURCE=RHR", "ACT_EST_MAPPING=PRECISE", "FS=MRC", "CURRENCY=USD", "XLFILL=b")</f>
        <v>#N/A Requesting Data...</v>
      </c>
      <c r="R233" s="6" t="str">
        <f>_xll.BQL("NOW US Equity", "CF_CASH_AND_CASH_EQUIV_END_BAL/1M", "FPR=2021Y", "FPT=A", "FA_ACT_EST_DATA=E, EST_SOURCE=SNR", "ACT_EST_MAPPING=PRECISE", "FS=MRC", "CURRENCY=USD", "XLFILL=b")</f>
        <v>#N/A Requesting Data...</v>
      </c>
      <c r="S233" s="6" t="str">
        <f>_xll.BQL("NOW US Equity", "CF_CASH_AND_CASH_EQUIV_END_BAL/1M", "FPR=2021Y", "FPT=A", "FA_ACT_EST_DATA=E, EST_SOURCE=MSV", "ACT_EST_MAPPING=PRECISE", "FS=MRC", "CURRENCY=USD", "XLFILL=b")</f>
        <v>#N/A Requesting Data...</v>
      </c>
      <c r="T233" s="6" t="str">
        <f>_xll.BQL("NOW US Equity", "CF_CASH_AND_CASH_EQUIV_END_BAL/1M", "FPR=2021Y", "FPT=A", "FA_ACT_EST_DATA=E, EST_SOURCE=CAN", "ACT_EST_MAPPING=PRECISE", "FS=MRC", "CURRENCY=USD", "XLFILL=b")</f>
        <v>#N/A Requesting Data...</v>
      </c>
      <c r="U233" s="6" t="str">
        <f>_xll.BQL("NOW US Equity", "CF_CASH_AND_CASH_EQUIV_END_BAL/1M", "FPR=2021Y", "FPT=A", "FA_ACT_EST_DATA=E, EST_SOURCE=JMP", "ACT_EST_MAPPING=PRECISE", "FS=MRC", "CURRENCY=USD", "XLFILL=b")</f>
        <v>#N/A Requesting Data...</v>
      </c>
      <c r="V233" s="6" t="str">
        <f>_xll.BQL("NOW US Equity", "CF_CASH_AND_CASH_EQUIV_END_BAL/1M", "FPR=2021Y", "FPT=A", "FA_ACT_EST_DATA=E, EST_SOURCE=NDH", "ACT_EST_MAPPING=PRECISE", "FS=MRC", "CURRENCY=USD", "XLFILL=b")</f>
        <v>#N/A Requesting Data...</v>
      </c>
      <c r="W233" s="6" t="str">
        <f>_xll.BQL("NOW US Equity", "CF_CASH_AND_CASH_EQUIV_END_BAL/1M", "FPR=2021Y", "FPT=A", "FA_ACT_EST_DATA=E, EST_SOURCE=ZXS", "ACT_EST_MAPPING=PRECISE", "FS=MRC", "CURRENCY=USD", "XLFILL=b")</f>
        <v>#N/A Requesting Data...</v>
      </c>
      <c r="X233" s="6" t="str">
        <f>_xll.BQL("NOW US Equity", "CF_CASH_AND_CASH_EQUIV_END_BAL/1M", "FPR=2021Y", "FPT=A", "FA_ACT_EST_DATA=E, EST_SOURCE=CWN", "ACT_EST_MAPPING=PRECISE", "FS=MRC", "CURRENCY=USD", "XLFILL=b")</f>
        <v>#N/A Requesting Data...</v>
      </c>
      <c r="Y233" s="6" t="str">
        <f>_xll.BQL("NOW US Equity", "CF_CASH_AND_CASH_EQUIV_END_BAL/1M", "FPR=2021Y", "FPT=A", "FA_ACT_EST_DATA=E, EST_SOURCE=DBG", "ACT_EST_MAPPING=PRECISE", "FS=MRC", "CURRENCY=USD", "XLFILL=b")</f>
        <v>#N/A Requesting Data...</v>
      </c>
      <c r="Z233" s="6" t="str">
        <f>_xll.BQL("NOW US Equity", "CF_CASH_AND_CASH_EQUIV_END_BAL/1M", "FPR=2021Y", "FPT=A", "FA_ACT_EST_DATA=E, EST_SOURCE=UBS", "ACT_EST_MAPPING=PRECISE", "FS=MRC", "CURRENCY=USD", "XLFILL=b")</f>
        <v>#N/A Requesting Data...</v>
      </c>
      <c r="AA233" s="6" t="str">
        <f>_xll.BQL("NOW US Equity", "CF_CASH_AND_CASH_EQUIV_END_BAL/1M", "FPR=2021Y", "FPT=A", "FA_ACT_EST_DATA=E, EST_SOURCE=RBC", "ACT_EST_MAPPING=PRECISE", "FS=MRC", "CURRENCY=USD", "XLFILL=b")</f>
        <v>#N/A Requesting Data...</v>
      </c>
      <c r="AB233" s="6" t="str">
        <f>_xll.BQL("NOW US Equity", "CF_CASH_AND_CASH_EQUIV_END_BAL/1M", "FPR=2021Y", "FPT=A", "FA_ACT_EST_DATA=E, EST_SOURCE=EVR", "ACT_EST_MAPPING=PRECISE", "FS=MRC", "CURRENCY=USD", "XLFILL=b")</f>
        <v>#N/A Requesting Data...</v>
      </c>
      <c r="AC233" s="6" t="str">
        <f>_xll.BQL("NOW US Equity", "CF_CASH_AND_CASH_EQUIV_END_BAL/1M", "FPR=2021Y", "FPT=A", "FA_ACT_EST_DATA=E, EST_SOURCE=BNS", "ACT_EST_MAPPING=PRECISE", "FS=MRC", "CURRENCY=USD", "XLFILL=b")</f>
        <v>#N/A Requesting Data...</v>
      </c>
      <c r="AD233" s="6" t="str">
        <f>_xll.BQL("NOW US Equity", "CF_CASH_AND_CASH_EQUIV_END_BAL/1M", "FPR=2021Y", "FPT=A", "FA_ACT_EST_DATA=E, EST_SOURCE=BAM", "ACT_EST_MAPPING=PRECISE", "FS=MRC", "CURRENCY=USD", "XLFILL=b")</f>
        <v>#N/A Requesting Data...</v>
      </c>
      <c r="AE233" s="6" t="str">
        <f>_xll.BQL("NOW US Equity", "CF_CASH_AND_CASH_EQUIV_END_BAL/1M", "FPR=2021Y", "FPT=A", "FA_ACT_EST_DATA=E, EST_SOURCE=GSR", "ACT_EST_MAPPING=PRECISE", "FS=MRC", "CURRENCY=USD", "XLFILL=b")</f>
        <v>#N/A Requesting Data...</v>
      </c>
      <c r="AF233" s="6" t="str">
        <f>_xll.BQL("NOW US Equity", "CF_CASH_AND_CASH_EQUIV_END_BAL/1M", "FPR=2021Y", "FPT=A", "FA_ACT_EST_DATA=E, EST_SOURCE=FBC", "ACT_EST_MAPPING=PRECISE", "FS=MRC", "CURRENCY=USD", "XLFILL=b")</f>
        <v>#N/A Requesting Data...</v>
      </c>
      <c r="AG233" s="6" t="str">
        <f>_xll.BQL("NOW US Equity", "CF_CASH_AND_CASH_EQUIV_END_BAL/1M", "FPR=2021Y", "FPT=A", "FA_ACT_EST_DATA=E, EST_SOURCE=MAC", "ACT_EST_MAPPING=PRECISE", "FS=MRC", "CURRENCY=USD", "XLFILL=b")</f>
        <v>#N/A Requesting Data...</v>
      </c>
      <c r="AH233" s="6" t="str">
        <f>_xll.BQL("NOW US Equity", "CF_CASH_AND_CASH_EQUIV_END_BAL/1M", "FPR=2021Y", "FPT=A", "FA_ACT_EST_DATA=E, EST_SOURCE=PSG", "ACT_EST_MAPPING=PRECISE", "FS=MRC", "CURRENCY=USD", "XLFILL=b")</f>
        <v>#N/A Requesting Data...</v>
      </c>
      <c r="AI233" s="6" t="str">
        <f>_xll.BQL("NOW US Equity", "CF_CASH_AND_CASH_EQUIV_END_BAL/1M", "FPR=2021Y", "FPT=A", "FA_ACT_EST_DATA=E, EST_SOURCE=MSR", "ACT_EST_MAPPING=PRECISE", "FS=MRC", "CURRENCY=USD", "XLFILL=b")</f>
        <v>#N/A Requesting Data...</v>
      </c>
      <c r="AJ233" s="6" t="str">
        <f>_xll.BQL("NOW US Equity", "CF_CASH_AND_CASH_EQUIV_END_BAL/1M", "FPR=2021Y", "FPT=A", "FA_ACT_EST_DATA=E, EST_SOURCE=JEF", "ACT_EST_MAPPING=PRECISE", "FS=MRC", "CURRENCY=USD", "XLFILL=b")</f>
        <v>#N/A Requesting Data...</v>
      </c>
      <c r="AK233" s="6" t="str">
        <f>_xll.BQL("NOW US Equity", "CF_CASH_AND_CASH_EQUIV_END_BAL/1M", "FPR=2021Y", "FPT=A", "FA_ACT_EST_DATA=E, EST_SOURCE=TTC", "ACT_EST_MAPPING=PRECISE", "FS=MRC", "CURRENCY=USD", "XLFILL=b")</f>
        <v>#N/A Requesting Data...</v>
      </c>
      <c r="AL233" s="6" t="str">
        <f>_xll.BQL("NOW US Equity", "CF_CASH_AND_CASH_EQUIV_END_BAL/1M", "FPR=2021Y", "FPT=A", "FA_ACT_EST_DATA=E, EST_SOURCE=RWB", "ACT_EST_MAPPING=PRECISE", "FS=MRC", "CURRENCY=USD", "XLFILL=b")</f>
        <v>#N/A Requesting Data...</v>
      </c>
      <c r="AM233" s="6" t="str">
        <f>_xll.BQL("NOW US Equity", "CF_CASH_AND_CASH_EQUIV_END_BAL/1M", "FPR=2021Y", "FPT=A", "FA_ACT_EST_DATA=E, EST_SOURCE=DZB", "ACT_EST_MAPPING=PRECISE", "FS=MRC", "CURRENCY=USD", "XLFILL=b")</f>
        <v>#N/A Requesting Data...</v>
      </c>
      <c r="AN233" s="6" t="str">
        <f>_xll.BQL("NOW US Equity", "CF_CASH_AND_CASH_EQUIV_END_BAL/1M", "FPR=2021Y", "FPT=A", "FA_ACT_EST_DATA=E, EST_SOURCE=DWI", "ACT_EST_MAPPING=PRECISE", "FS=MRC", "CURRENCY=USD", "XLFILL=b")</f>
        <v>#N/A Requesting Data...</v>
      </c>
      <c r="AO233" s="6" t="str">
        <f>_xll.BQL("NOW US Equity", "CF_CASH_AND_CASH_EQUIV_END_BAL/1M", "FPR=2021Y", "FPT=A", "FA_ACT_EST_DATA=E, EST_SOURCE=ARG", "ACT_EST_MAPPING=PRECISE", "FS=MRC", "CURRENCY=USD", "XLFILL=b")</f>
        <v>#N/A Requesting Data...</v>
      </c>
      <c r="AP233" s="6" t="str">
        <f>_xll.BQL("NOW US Equity", "CF_CASH_AND_CASH_EQUIV_END_BAL/1M", "FPR=2021Y", "FPT=A", "FA_ACT_EST_DATA=E, EST_SOURCE=CTI", "ACT_EST_MAPPING=PRECISE", "FS=MRC", "CURRENCY=USD", "XLFILL=b")</f>
        <v>#N/A Requesting Data...</v>
      </c>
      <c r="AQ233" s="6" t="str">
        <f>_xll.BQL("NOW US Equity", "CF_CASH_AND_CASH_EQUIV_END_BAL/1M", "FPR=2021Y", "FPT=A", "FA_ACT_EST_DATA=E, EST_SOURCE=WFT", "ACT_EST_MAPPING=PRECISE", "FS=MRC", "CURRENCY=USD", "XLFILL=b")</f>
        <v>#N/A Requesting Data...</v>
      </c>
      <c r="AR233" s="6" t="str">
        <f>_xll.BQL("NOW US Equity", "CF_CASH_AND_CASH_EQUIV_END_BAL/1M", "FPR=2021Y", "FPT=A", "FA_ACT_EST_DATA=E, EST_SOURCE=ARE", "ACT_EST_MAPPING=PRECISE", "FS=MRC", "CURRENCY=USD", "XLFILL=b")</f>
        <v>#N/A Requesting Data...</v>
      </c>
      <c r="AS233" s="6" t="str">
        <f>_xll.BQL("NOW US Equity", "CF_CASH_AND_CASH_EQUIV_END_BAL/1M", "FPR=2021Y", "FPT=A", "FA_ACT_EST_DATA=E, EST_SOURCE=PJE", "ACT_EST_MAPPING=PRECISE", "FS=MRC", "CURRENCY=USD", "XLFILL=b")</f>
        <v>#N/A Requesting Data...</v>
      </c>
      <c r="AT233" s="6" t="str">
        <f>_xll.BQL("NOW US Equity", "CF_CASH_AND_CASH_EQUIV_END_BAL/1M", "FPR=2021Y", "FPT=A", "FA_ACT_EST_DATA=E, EST_SOURCE=MZS", "ACT_EST_MAPPING=PRECISE", "FS=MRC", "CURRENCY=USD", "XLFILL=b")</f>
        <v>#N/A Requesting Data...</v>
      </c>
      <c r="AU233" s="6" t="str">
        <f>_xll.BQL("NOW US Equity", "CF_CASH_AND_CASH_EQUIV_END_BAL/1M", "FPR=2021Y", "FPT=A", "FA_ACT_EST_DATA=E, EST_SOURCE=SUM", "ACT_EST_MAPPING=PRECISE", "FS=MRC", "CURRENCY=USD", "XLFILL=b")</f>
        <v>#N/A Requesting Data...</v>
      </c>
      <c r="AV233" s="6" t="str">
        <f>_xll.BQL("NOW US Equity", "CF_CASH_AND_CASH_EQUIV_END_BAL/1M", "FPR=2021Y", "FPT=A", "FA_ACT_EST_DATA=E, EST_SOURCE=CRC", "ACT_EST_MAPPING=PRECISE", "FS=MRC", "CURRENCY=USD", "XLFILL=b")</f>
        <v>#N/A Requesting Data...</v>
      </c>
      <c r="AW233" s="6" t="str">
        <f>_xll.BQL("NOW US Equity", "CF_CASH_AND_CASH_EQUIV_END_BAL/1M", "FPR=2021Y", "FPT=A", "FA_ACT_EST_DATA=E, EST_SOURCE=SCB", "ACT_EST_MAPPING=PRECISE", "FS=MRC", "CURRENCY=USD", "XLFILL=b")</f>
        <v>#N/A Requesting Data...</v>
      </c>
    </row>
    <row r="234" spans="1:49" x14ac:dyDescent="0.55000000000000004">
      <c r="A234" s="5" t="s">
        <v>342</v>
      </c>
      <c r="B234" s="2"/>
      <c r="C234" s="2"/>
      <c r="D234" s="2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</row>
    <row r="235" spans="1:49" x14ac:dyDescent="0.55000000000000004">
      <c r="A235" s="5" t="s">
        <v>434</v>
      </c>
      <c r="B235" s="2" t="s">
        <v>68</v>
      </c>
      <c r="C235" s="2" t="s">
        <v>69</v>
      </c>
      <c r="D235" s="2"/>
      <c r="E235" s="6" t="str">
        <f>_xll.BQL("NOW US Equity", "CF_FREE_CASH_FLOW_AS_REPORTED/1M", "FPR=2021Y", "FPT=A", "FA_ACT_EST_DATA=E", "ACT_EST_MAPPING=PRECISE", "FS=MRC", "CURRENCY=USD", "XLFILL=b")</f>
        <v>#N/A Requesting Data...</v>
      </c>
      <c r="F235" s="6" t="str">
        <f>_xll.BQL("NOW US Equity", "CONTRIBUTOR_STATS(CF_FREE_CASH_FLOW_AS_REPORTED, MIN)/1M", "FPR=2021Y", "FPT=A", "FA_ACT_EST_DATA=E", "ACT_EST_MAPPING=PRECISE", "FS=MRC", "CURRENCY=USD", "XLFILL=b")</f>
        <v>#N/A Requesting Data...</v>
      </c>
      <c r="G235" s="6" t="str">
        <f>_xll.BQL("NOW US Equity", "CONTRIBUTOR_STATS(CF_FREE_CASH_FLOW_AS_REPORTED, MAX)/1M", "FPR=2021Y", "FPT=A", "FA_ACT_EST_DATA=E", "ACT_EST_MAPPING=PRECISE", "FS=MRC", "CURRENCY=USD", "XLFILL=b")</f>
        <v>#N/A Requesting Data...</v>
      </c>
      <c r="H235" s="6" t="str">
        <f>_xll.BQL("NOW US Equity", "CONTRIBUTOR_STATS(CF_FREE_CASH_FLOW_AS_REPORTED, STD)/1M", "FPR=2021Y", "FPT=A", "FA_ACT_EST_DATA=E", "ACT_EST_MAPPING=PRECISE", "FS=MRC", "CURRENCY=USD", "XLFILL=b")</f>
        <v>#N/A Requesting Data...</v>
      </c>
      <c r="I235" s="6" t="str">
        <f>_xll.BQL("NOW US Equity", "CONTRIBUTOR_STATS(CF_FREE_CASH_FLOW_AS_REPORTED, MEDIAN)/1M", "FPR=2021Y", "FPT=A", "FA_ACT_EST_DATA=E", "ACT_EST_MAPPING=PRECISE", "FS=MRC", "CURRENCY=USD", "XLFILL=b")</f>
        <v>#N/A Requesting Data...</v>
      </c>
      <c r="J235" s="6" t="str">
        <f>_xll.BQL("NOW US Equity", "CF_FREE_CASH_FLOW_AS_REPORTED/1M", "FPR=2021Y", "FPT=A", "FA_ACT_EST_DATA=E, EST_SOURCE=CMPY", "ACT_EST_MAPPING=PRECISE", "FS=MRC", "CURRENCY=USD", "XLFILL=b")</f>
        <v>#N/A Requesting Data...</v>
      </c>
      <c r="K235" s="6" t="str">
        <f>_xll.BQL("NOW US Equity", "CF_FREE_CASH_FLOW_AS_REPORTED/1M", "FPR=2021Y", "FPT=A", "FA_ACT_EST_DATA=E, EST_SOURCE=JPM", "ACT_EST_MAPPING=PRECISE", "FS=MRC", "CURRENCY=USD", "XLFILL=b")</f>
        <v>#N/A Requesting Data...</v>
      </c>
      <c r="L235" s="6" t="str">
        <f>_xll.BQL("NOW US Equity", "CF_FREE_CASH_FLOW_AS_REPORTED/1M", "FPR=2021Y", "FPT=A", "FA_ACT_EST_DATA=E, EST_SOURCE=WBL", "ACT_EST_MAPPING=PRECISE", "FS=MRC", "CURRENCY=USD", "XLFILL=b")</f>
        <v>#N/A Requesting Data...</v>
      </c>
      <c r="M235" s="6" t="str">
        <f>_xll.BQL("NOW US Equity", "CF_FREE_CASH_FLOW_AS_REPORTED/1M", "FPR=2021Y", "FPT=A", "FA_ACT_EST_DATA=E, EST_SOURCE=KEY", "ACT_EST_MAPPING=PRECISE", "FS=MRC", "CURRENCY=USD", "XLFILL=b")</f>
        <v>#N/A Requesting Data...</v>
      </c>
      <c r="N235" s="6" t="str">
        <f>_xll.BQL("NOW US Equity", "CF_FREE_CASH_FLOW_AS_REPORTED/1M", "FPR=2021Y", "FPT=A", "FA_ACT_EST_DATA=E, EST_SOURCE=BMO", "ACT_EST_MAPPING=PRECISE", "FS=MRC", "CURRENCY=USD", "XLFILL=b")</f>
        <v>#N/A Requesting Data...</v>
      </c>
      <c r="O235" s="6" t="str">
        <f>_xll.BQL("NOW US Equity", "CF_FREE_CASH_FLOW_AS_REPORTED/1M", "FPR=2021Y", "FPT=A", "FA_ACT_EST_DATA=E, EST_SOURCE=OPY", "ACT_EST_MAPPING=PRECISE", "FS=MRC", "CURRENCY=USD", "XLFILL=b")</f>
        <v>#N/A Requesting Data...</v>
      </c>
      <c r="P235" s="6" t="str">
        <f>_xll.BQL("NOW US Equity", "CF_FREE_CASH_FLOW_AS_REPORTED/1M", "FPR=2021Y", "FPT=A", "FA_ACT_EST_DATA=E, EST_SOURCE=BCA", "ACT_EST_MAPPING=PRECISE", "FS=MRC", "CURRENCY=USD", "XLFILL=b")</f>
        <v>#N/A Requesting Data...</v>
      </c>
      <c r="Q235" s="6" t="str">
        <f>_xll.BQL("NOW US Equity", "CF_FREE_CASH_FLOW_AS_REPORTED/1M", "FPR=2021Y", "FPT=A", "FA_ACT_EST_DATA=E, EST_SOURCE=RHR", "ACT_EST_MAPPING=PRECISE", "FS=MRC", "CURRENCY=USD", "XLFILL=b")</f>
        <v>#N/A Requesting Data...</v>
      </c>
      <c r="R235" s="6" t="str">
        <f>_xll.BQL("NOW US Equity", "CF_FREE_CASH_FLOW_AS_REPORTED/1M", "FPR=2021Y", "FPT=A", "FA_ACT_EST_DATA=E, EST_SOURCE=SNR", "ACT_EST_MAPPING=PRECISE", "FS=MRC", "CURRENCY=USD", "XLFILL=b")</f>
        <v>#N/A Requesting Data...</v>
      </c>
      <c r="S235" s="6" t="str">
        <f>_xll.BQL("NOW US Equity", "CF_FREE_CASH_FLOW_AS_REPORTED/1M", "FPR=2021Y", "FPT=A", "FA_ACT_EST_DATA=E, EST_SOURCE=MSV", "ACT_EST_MAPPING=PRECISE", "FS=MRC", "CURRENCY=USD", "XLFILL=b")</f>
        <v>#N/A Requesting Data...</v>
      </c>
      <c r="T235" s="6" t="str">
        <f>_xll.BQL("NOW US Equity", "CF_FREE_CASH_FLOW_AS_REPORTED/1M", "FPR=2021Y", "FPT=A", "FA_ACT_EST_DATA=E, EST_SOURCE=CAN", "ACT_EST_MAPPING=PRECISE", "FS=MRC", "CURRENCY=USD", "XLFILL=b")</f>
        <v>#N/A Requesting Data...</v>
      </c>
      <c r="U235" s="6" t="str">
        <f>_xll.BQL("NOW US Equity", "CF_FREE_CASH_FLOW_AS_REPORTED/1M", "FPR=2021Y", "FPT=A", "FA_ACT_EST_DATA=E, EST_SOURCE=JMP", "ACT_EST_MAPPING=PRECISE", "FS=MRC", "CURRENCY=USD", "XLFILL=b")</f>
        <v>#N/A Requesting Data...</v>
      </c>
      <c r="V235" s="6" t="str">
        <f>_xll.BQL("NOW US Equity", "CF_FREE_CASH_FLOW_AS_REPORTED/1M", "FPR=2021Y", "FPT=A", "FA_ACT_EST_DATA=E, EST_SOURCE=NDH", "ACT_EST_MAPPING=PRECISE", "FS=MRC", "CURRENCY=USD", "XLFILL=b")</f>
        <v>#N/A Requesting Data...</v>
      </c>
      <c r="W235" s="6" t="str">
        <f>_xll.BQL("NOW US Equity", "CF_FREE_CASH_FLOW_AS_REPORTED/1M", "FPR=2021Y", "FPT=A", "FA_ACT_EST_DATA=E, EST_SOURCE=ZXS", "ACT_EST_MAPPING=PRECISE", "FS=MRC", "CURRENCY=USD", "XLFILL=b")</f>
        <v>#N/A Requesting Data...</v>
      </c>
      <c r="X235" s="6" t="str">
        <f>_xll.BQL("NOW US Equity", "CF_FREE_CASH_FLOW_AS_REPORTED/1M", "FPR=2021Y", "FPT=A", "FA_ACT_EST_DATA=E, EST_SOURCE=CWN", "ACT_EST_MAPPING=PRECISE", "FS=MRC", "CURRENCY=USD", "XLFILL=b")</f>
        <v>#N/A Requesting Data...</v>
      </c>
      <c r="Y235" s="6" t="str">
        <f>_xll.BQL("NOW US Equity", "CF_FREE_CASH_FLOW_AS_REPORTED/1M", "FPR=2021Y", "FPT=A", "FA_ACT_EST_DATA=E, EST_SOURCE=DBG", "ACT_EST_MAPPING=PRECISE", "FS=MRC", "CURRENCY=USD", "XLFILL=b")</f>
        <v>#N/A Requesting Data...</v>
      </c>
      <c r="Z235" s="6" t="str">
        <f>_xll.BQL("NOW US Equity", "CF_FREE_CASH_FLOW_AS_REPORTED/1M", "FPR=2021Y", "FPT=A", "FA_ACT_EST_DATA=E, EST_SOURCE=UBS", "ACT_EST_MAPPING=PRECISE", "FS=MRC", "CURRENCY=USD", "XLFILL=b")</f>
        <v>#N/A Requesting Data...</v>
      </c>
      <c r="AA235" s="6" t="str">
        <f>_xll.BQL("NOW US Equity", "CF_FREE_CASH_FLOW_AS_REPORTED/1M", "FPR=2021Y", "FPT=A", "FA_ACT_EST_DATA=E, EST_SOURCE=RBC", "ACT_EST_MAPPING=PRECISE", "FS=MRC", "CURRENCY=USD", "XLFILL=b")</f>
        <v>#N/A Requesting Data...</v>
      </c>
      <c r="AB235" s="6" t="str">
        <f>_xll.BQL("NOW US Equity", "CF_FREE_CASH_FLOW_AS_REPORTED/1M", "FPR=2021Y", "FPT=A", "FA_ACT_EST_DATA=E, EST_SOURCE=EVR", "ACT_EST_MAPPING=PRECISE", "FS=MRC", "CURRENCY=USD", "XLFILL=b")</f>
        <v>#N/A Requesting Data...</v>
      </c>
      <c r="AC235" s="6" t="str">
        <f>_xll.BQL("NOW US Equity", "CF_FREE_CASH_FLOW_AS_REPORTED/1M", "FPR=2021Y", "FPT=A", "FA_ACT_EST_DATA=E, EST_SOURCE=BNS", "ACT_EST_MAPPING=PRECISE", "FS=MRC", "CURRENCY=USD", "XLFILL=b")</f>
        <v>#N/A Requesting Data...</v>
      </c>
      <c r="AD235" s="6" t="str">
        <f>_xll.BQL("NOW US Equity", "CF_FREE_CASH_FLOW_AS_REPORTED/1M", "FPR=2021Y", "FPT=A", "FA_ACT_EST_DATA=E, EST_SOURCE=BAM", "ACT_EST_MAPPING=PRECISE", "FS=MRC", "CURRENCY=USD", "XLFILL=b")</f>
        <v>#N/A Requesting Data...</v>
      </c>
      <c r="AE235" s="6" t="str">
        <f>_xll.BQL("NOW US Equity", "CF_FREE_CASH_FLOW_AS_REPORTED/1M", "FPR=2021Y", "FPT=A", "FA_ACT_EST_DATA=E, EST_SOURCE=GSR", "ACT_EST_MAPPING=PRECISE", "FS=MRC", "CURRENCY=USD", "XLFILL=b")</f>
        <v>#N/A Requesting Data...</v>
      </c>
      <c r="AF235" s="6" t="str">
        <f>_xll.BQL("NOW US Equity", "CF_FREE_CASH_FLOW_AS_REPORTED/1M", "FPR=2021Y", "FPT=A", "FA_ACT_EST_DATA=E, EST_SOURCE=FBC", "ACT_EST_MAPPING=PRECISE", "FS=MRC", "CURRENCY=USD", "XLFILL=b")</f>
        <v>#N/A Requesting Data...</v>
      </c>
      <c r="AG235" s="6" t="str">
        <f>_xll.BQL("NOW US Equity", "CF_FREE_CASH_FLOW_AS_REPORTED/1M", "FPR=2021Y", "FPT=A", "FA_ACT_EST_DATA=E, EST_SOURCE=MAC", "ACT_EST_MAPPING=PRECISE", "FS=MRC", "CURRENCY=USD", "XLFILL=b")</f>
        <v>#N/A Requesting Data...</v>
      </c>
      <c r="AH235" s="6" t="str">
        <f>_xll.BQL("NOW US Equity", "CF_FREE_CASH_FLOW_AS_REPORTED/1M", "FPR=2021Y", "FPT=A", "FA_ACT_EST_DATA=E, EST_SOURCE=PSG", "ACT_EST_MAPPING=PRECISE", "FS=MRC", "CURRENCY=USD", "XLFILL=b")</f>
        <v>#N/A Requesting Data...</v>
      </c>
      <c r="AI235" s="6" t="str">
        <f>_xll.BQL("NOW US Equity", "CF_FREE_CASH_FLOW_AS_REPORTED/1M", "FPR=2021Y", "FPT=A", "FA_ACT_EST_DATA=E, EST_SOURCE=MSR", "ACT_EST_MAPPING=PRECISE", "FS=MRC", "CURRENCY=USD", "XLFILL=b")</f>
        <v>#N/A Requesting Data...</v>
      </c>
      <c r="AJ235" s="6" t="str">
        <f>_xll.BQL("NOW US Equity", "CF_FREE_CASH_FLOW_AS_REPORTED/1M", "FPR=2021Y", "FPT=A", "FA_ACT_EST_DATA=E, EST_SOURCE=JEF", "ACT_EST_MAPPING=PRECISE", "FS=MRC", "CURRENCY=USD", "XLFILL=b")</f>
        <v>#N/A Requesting Data...</v>
      </c>
      <c r="AK235" s="6" t="str">
        <f>_xll.BQL("NOW US Equity", "CF_FREE_CASH_FLOW_AS_REPORTED/1M", "FPR=2021Y", "FPT=A", "FA_ACT_EST_DATA=E, EST_SOURCE=TTC", "ACT_EST_MAPPING=PRECISE", "FS=MRC", "CURRENCY=USD", "XLFILL=b")</f>
        <v>#N/A Requesting Data...</v>
      </c>
      <c r="AL235" s="6" t="str">
        <f>_xll.BQL("NOW US Equity", "CF_FREE_CASH_FLOW_AS_REPORTED/1M", "FPR=2021Y", "FPT=A", "FA_ACT_EST_DATA=E, EST_SOURCE=RWB", "ACT_EST_MAPPING=PRECISE", "FS=MRC", "CURRENCY=USD", "XLFILL=b")</f>
        <v>#N/A Requesting Data...</v>
      </c>
      <c r="AM235" s="6" t="str">
        <f>_xll.BQL("NOW US Equity", "CF_FREE_CASH_FLOW_AS_REPORTED/1M", "FPR=2021Y", "FPT=A", "FA_ACT_EST_DATA=E, EST_SOURCE=DZB", "ACT_EST_MAPPING=PRECISE", "FS=MRC", "CURRENCY=USD", "XLFILL=b")</f>
        <v>#N/A Requesting Data...</v>
      </c>
      <c r="AN235" s="6" t="str">
        <f>_xll.BQL("NOW US Equity", "CF_FREE_CASH_FLOW_AS_REPORTED/1M", "FPR=2021Y", "FPT=A", "FA_ACT_EST_DATA=E, EST_SOURCE=DWI", "ACT_EST_MAPPING=PRECISE", "FS=MRC", "CURRENCY=USD", "XLFILL=b")</f>
        <v>#N/A Requesting Data...</v>
      </c>
      <c r="AO235" s="6" t="str">
        <f>_xll.BQL("NOW US Equity", "CF_FREE_CASH_FLOW_AS_REPORTED/1M", "FPR=2021Y", "FPT=A", "FA_ACT_EST_DATA=E, EST_SOURCE=ARG", "ACT_EST_MAPPING=PRECISE", "FS=MRC", "CURRENCY=USD", "XLFILL=b")</f>
        <v>#N/A Requesting Data...</v>
      </c>
      <c r="AP235" s="6" t="str">
        <f>_xll.BQL("NOW US Equity", "CF_FREE_CASH_FLOW_AS_REPORTED/1M", "FPR=2021Y", "FPT=A", "FA_ACT_EST_DATA=E, EST_SOURCE=CTI", "ACT_EST_MAPPING=PRECISE", "FS=MRC", "CURRENCY=USD", "XLFILL=b")</f>
        <v>#N/A Requesting Data...</v>
      </c>
      <c r="AQ235" s="6" t="str">
        <f>_xll.BQL("NOW US Equity", "CF_FREE_CASH_FLOW_AS_REPORTED/1M", "FPR=2021Y", "FPT=A", "FA_ACT_EST_DATA=E, EST_SOURCE=WFT", "ACT_EST_MAPPING=PRECISE", "FS=MRC", "CURRENCY=USD", "XLFILL=b")</f>
        <v>#N/A Requesting Data...</v>
      </c>
      <c r="AR235" s="6" t="str">
        <f>_xll.BQL("NOW US Equity", "CF_FREE_CASH_FLOW_AS_REPORTED/1M", "FPR=2021Y", "FPT=A", "FA_ACT_EST_DATA=E, EST_SOURCE=ARE", "ACT_EST_MAPPING=PRECISE", "FS=MRC", "CURRENCY=USD", "XLFILL=b")</f>
        <v>#N/A Requesting Data...</v>
      </c>
      <c r="AS235" s="6" t="str">
        <f>_xll.BQL("NOW US Equity", "CF_FREE_CASH_FLOW_AS_REPORTED/1M", "FPR=2021Y", "FPT=A", "FA_ACT_EST_DATA=E, EST_SOURCE=PJE", "ACT_EST_MAPPING=PRECISE", "FS=MRC", "CURRENCY=USD", "XLFILL=b")</f>
        <v>#N/A Requesting Data...</v>
      </c>
      <c r="AT235" s="6" t="str">
        <f>_xll.BQL("NOW US Equity", "CF_FREE_CASH_FLOW_AS_REPORTED/1M", "FPR=2021Y", "FPT=A", "FA_ACT_EST_DATA=E, EST_SOURCE=MZS", "ACT_EST_MAPPING=PRECISE", "FS=MRC", "CURRENCY=USD", "XLFILL=b")</f>
        <v>#N/A Requesting Data...</v>
      </c>
      <c r="AU235" s="6" t="str">
        <f>_xll.BQL("NOW US Equity", "CF_FREE_CASH_FLOW_AS_REPORTED/1M", "FPR=2021Y", "FPT=A", "FA_ACT_EST_DATA=E, EST_SOURCE=SUM", "ACT_EST_MAPPING=PRECISE", "FS=MRC", "CURRENCY=USD", "XLFILL=b")</f>
        <v>#N/A Requesting Data...</v>
      </c>
      <c r="AV235" s="6" t="str">
        <f>_xll.BQL("NOW US Equity", "CF_FREE_CASH_FLOW_AS_REPORTED/1M", "FPR=2021Y", "FPT=A", "FA_ACT_EST_DATA=E, EST_SOURCE=CRC", "ACT_EST_MAPPING=PRECISE", "FS=MRC", "CURRENCY=USD", "XLFILL=b")</f>
        <v>#N/A Requesting Data...</v>
      </c>
      <c r="AW235" s="6" t="str">
        <f>_xll.BQL("NOW US Equity", "CF_FREE_CASH_FLOW_AS_REPORTED/1M", "FPR=2021Y", "FPT=A", "FA_ACT_EST_DATA=E, EST_SOURCE=SCB", "ACT_EST_MAPPING=PRECISE", "FS=MRC", "CURRENCY=USD", "XLFILL=b")</f>
        <v>#N/A Requesting Data...</v>
      </c>
    </row>
    <row r="236" spans="1:49" x14ac:dyDescent="0.55000000000000004">
      <c r="A236" s="5" t="s">
        <v>435</v>
      </c>
      <c r="B236" s="2" t="s">
        <v>436</v>
      </c>
      <c r="C236" s="2" t="s">
        <v>437</v>
      </c>
      <c r="D236" s="2"/>
      <c r="E236" s="6" t="str">
        <f>_xll.BQL("NOW US Equity", "FREE_CASH_FLOW_MARGIN", "FPR=2021Y", "FPT=A", "FA_ACT_EST_DATA=E", "ACT_EST_MAPPING=PRECISE", "FS=MRC", "CURRENCY=USD", "XLFILL=b")</f>
        <v>#N/A Requesting Data...</v>
      </c>
      <c r="F236" s="6" t="str">
        <f>_xll.BQL("NOW US Equity", "CONTRIBUTOR_STATS(FREE_CASH_FLOW_MARGIN, MIN)", "FPR=2021Y", "FPT=A", "FA_ACT_EST_DATA=E", "ACT_EST_MAPPING=PRECISE", "FS=MRC", "CURRENCY=USD", "XLFILL=b")</f>
        <v>#N/A Requesting Data...</v>
      </c>
      <c r="G236" s="6" t="str">
        <f>_xll.BQL("NOW US Equity", "CONTRIBUTOR_STATS(FREE_CASH_FLOW_MARGIN, MAX)", "FPR=2021Y", "FPT=A", "FA_ACT_EST_DATA=E", "ACT_EST_MAPPING=PRECISE", "FS=MRC", "CURRENCY=USD", "XLFILL=b")</f>
        <v>#N/A Requesting Data...</v>
      </c>
      <c r="H236" s="6" t="str">
        <f>_xll.BQL("NOW US Equity", "CONTRIBUTOR_STATS(FREE_CASH_FLOW_MARGIN, STD)", "FPR=2021Y", "FPT=A", "FA_ACT_EST_DATA=E", "ACT_EST_MAPPING=PRECISE", "FS=MRC", "CURRENCY=USD", "XLFILL=b")</f>
        <v>#N/A Requesting Data...</v>
      </c>
      <c r="I236" s="6" t="str">
        <f>_xll.BQL("NOW US Equity", "CONTRIBUTOR_STATS(FREE_CASH_FLOW_MARGIN, MEDIAN)", "FPR=2021Y", "FPT=A", "FA_ACT_EST_DATA=E", "ACT_EST_MAPPING=PRECISE", "FS=MRC", "CURRENCY=USD", "XLFILL=b")</f>
        <v>#N/A Requesting Data...</v>
      </c>
      <c r="J236" s="6" t="str">
        <f>_xll.BQL("NOW US Equity", "FREE_CASH_FLOW_MARGIN", "FPR=2021Y", "FPT=A", "FA_ACT_EST_DATA=E, EST_SOURCE=CMPY", "ACT_EST_MAPPING=PRECISE", "FS=MRC", "CURRENCY=USD", "XLFILL=b")</f>
        <v>#N/A Requesting Data...</v>
      </c>
      <c r="K236" s="6" t="str">
        <f>_xll.BQL("NOW US Equity", "FREE_CASH_FLOW_MARGIN", "FPR=2021Y", "FPT=A", "FA_ACT_EST_DATA=E, EST_SOURCE=JPM", "ACT_EST_MAPPING=PRECISE", "FS=MRC", "CURRENCY=USD", "XLFILL=b")</f>
        <v>#N/A Requesting Data...</v>
      </c>
      <c r="L236" s="6" t="str">
        <f>_xll.BQL("NOW US Equity", "FREE_CASH_FLOW_MARGIN", "FPR=2021Y", "FPT=A", "FA_ACT_EST_DATA=E, EST_SOURCE=WBL", "ACT_EST_MAPPING=PRECISE", "FS=MRC", "CURRENCY=USD", "XLFILL=b")</f>
        <v>#N/A Requesting Data...</v>
      </c>
      <c r="M236" s="6" t="str">
        <f>_xll.BQL("NOW US Equity", "FREE_CASH_FLOW_MARGIN", "FPR=2021Y", "FPT=A", "FA_ACT_EST_DATA=E, EST_SOURCE=KEY", "ACT_EST_MAPPING=PRECISE", "FS=MRC", "CURRENCY=USD", "XLFILL=b")</f>
        <v>#N/A Requesting Data...</v>
      </c>
      <c r="N236" s="6" t="str">
        <f>_xll.BQL("NOW US Equity", "FREE_CASH_FLOW_MARGIN", "FPR=2021Y", "FPT=A", "FA_ACT_EST_DATA=E, EST_SOURCE=BMO", "ACT_EST_MAPPING=PRECISE", "FS=MRC", "CURRENCY=USD", "XLFILL=b")</f>
        <v>#N/A Requesting Data...</v>
      </c>
      <c r="O236" s="6" t="str">
        <f>_xll.BQL("NOW US Equity", "FREE_CASH_FLOW_MARGIN", "FPR=2021Y", "FPT=A", "FA_ACT_EST_DATA=E, EST_SOURCE=OPY", "ACT_EST_MAPPING=PRECISE", "FS=MRC", "CURRENCY=USD", "XLFILL=b")</f>
        <v>#N/A Requesting Data...</v>
      </c>
      <c r="P236" s="6" t="str">
        <f>_xll.BQL("NOW US Equity", "FREE_CASH_FLOW_MARGIN", "FPR=2021Y", "FPT=A", "FA_ACT_EST_DATA=E, EST_SOURCE=BCA", "ACT_EST_MAPPING=PRECISE", "FS=MRC", "CURRENCY=USD", "XLFILL=b")</f>
        <v>#N/A Requesting Data...</v>
      </c>
      <c r="Q236" s="6" t="str">
        <f>_xll.BQL("NOW US Equity", "FREE_CASH_FLOW_MARGIN", "FPR=2021Y", "FPT=A", "FA_ACT_EST_DATA=E, EST_SOURCE=RHR", "ACT_EST_MAPPING=PRECISE", "FS=MRC", "CURRENCY=USD", "XLFILL=b")</f>
        <v>#N/A Requesting Data...</v>
      </c>
      <c r="R236" s="6" t="str">
        <f>_xll.BQL("NOW US Equity", "FREE_CASH_FLOW_MARGIN", "FPR=2021Y", "FPT=A", "FA_ACT_EST_DATA=E, EST_SOURCE=SNR", "ACT_EST_MAPPING=PRECISE", "FS=MRC", "CURRENCY=USD", "XLFILL=b")</f>
        <v>#N/A Requesting Data...</v>
      </c>
      <c r="S236" s="6" t="str">
        <f>_xll.BQL("NOW US Equity", "FREE_CASH_FLOW_MARGIN", "FPR=2021Y", "FPT=A", "FA_ACT_EST_DATA=E, EST_SOURCE=MSV", "ACT_EST_MAPPING=PRECISE", "FS=MRC", "CURRENCY=USD", "XLFILL=b")</f>
        <v>#N/A Requesting Data...</v>
      </c>
      <c r="T236" s="6" t="str">
        <f>_xll.BQL("NOW US Equity", "FREE_CASH_FLOW_MARGIN", "FPR=2021Y", "FPT=A", "FA_ACT_EST_DATA=E, EST_SOURCE=CAN", "ACT_EST_MAPPING=PRECISE", "FS=MRC", "CURRENCY=USD", "XLFILL=b")</f>
        <v>#N/A Requesting Data...</v>
      </c>
      <c r="U236" s="6" t="str">
        <f>_xll.BQL("NOW US Equity", "FREE_CASH_FLOW_MARGIN", "FPR=2021Y", "FPT=A", "FA_ACT_EST_DATA=E, EST_SOURCE=JMP", "ACT_EST_MAPPING=PRECISE", "FS=MRC", "CURRENCY=USD", "XLFILL=b")</f>
        <v>#N/A Requesting Data...</v>
      </c>
      <c r="V236" s="6" t="str">
        <f>_xll.BQL("NOW US Equity", "FREE_CASH_FLOW_MARGIN", "FPR=2021Y", "FPT=A", "FA_ACT_EST_DATA=E, EST_SOURCE=NDH", "ACT_EST_MAPPING=PRECISE", "FS=MRC", "CURRENCY=USD", "XLFILL=b")</f>
        <v>#N/A Requesting Data...</v>
      </c>
      <c r="W236" s="6" t="str">
        <f>_xll.BQL("NOW US Equity", "FREE_CASH_FLOW_MARGIN", "FPR=2021Y", "FPT=A", "FA_ACT_EST_DATA=E, EST_SOURCE=ZXS", "ACT_EST_MAPPING=PRECISE", "FS=MRC", "CURRENCY=USD", "XLFILL=b")</f>
        <v>#N/A Requesting Data...</v>
      </c>
      <c r="X236" s="6" t="str">
        <f>_xll.BQL("NOW US Equity", "FREE_CASH_FLOW_MARGIN", "FPR=2021Y", "FPT=A", "FA_ACT_EST_DATA=E, EST_SOURCE=CWN", "ACT_EST_MAPPING=PRECISE", "FS=MRC", "CURRENCY=USD", "XLFILL=b")</f>
        <v>#N/A Requesting Data...</v>
      </c>
      <c r="Y236" s="6" t="str">
        <f>_xll.BQL("NOW US Equity", "FREE_CASH_FLOW_MARGIN", "FPR=2021Y", "FPT=A", "FA_ACT_EST_DATA=E, EST_SOURCE=DBG", "ACT_EST_MAPPING=PRECISE", "FS=MRC", "CURRENCY=USD", "XLFILL=b")</f>
        <v>#N/A Requesting Data...</v>
      </c>
      <c r="Z236" s="6" t="str">
        <f>_xll.BQL("NOW US Equity", "FREE_CASH_FLOW_MARGIN", "FPR=2021Y", "FPT=A", "FA_ACT_EST_DATA=E, EST_SOURCE=UBS", "ACT_EST_MAPPING=PRECISE", "FS=MRC", "CURRENCY=USD", "XLFILL=b")</f>
        <v>#N/A Requesting Data...</v>
      </c>
      <c r="AA236" s="6" t="str">
        <f>_xll.BQL("NOW US Equity", "FREE_CASH_FLOW_MARGIN", "FPR=2021Y", "FPT=A", "FA_ACT_EST_DATA=E, EST_SOURCE=RBC", "ACT_EST_MAPPING=PRECISE", "FS=MRC", "CURRENCY=USD", "XLFILL=b")</f>
        <v>#N/A Requesting Data...</v>
      </c>
      <c r="AB236" s="6" t="str">
        <f>_xll.BQL("NOW US Equity", "FREE_CASH_FLOW_MARGIN", "FPR=2021Y", "FPT=A", "FA_ACT_EST_DATA=E, EST_SOURCE=EVR", "ACT_EST_MAPPING=PRECISE", "FS=MRC", "CURRENCY=USD", "XLFILL=b")</f>
        <v>#N/A Requesting Data...</v>
      </c>
      <c r="AC236" s="6" t="str">
        <f>_xll.BQL("NOW US Equity", "FREE_CASH_FLOW_MARGIN", "FPR=2021Y", "FPT=A", "FA_ACT_EST_DATA=E, EST_SOURCE=BNS", "ACT_EST_MAPPING=PRECISE", "FS=MRC", "CURRENCY=USD", "XLFILL=b")</f>
        <v>#N/A Requesting Data...</v>
      </c>
      <c r="AD236" s="6" t="str">
        <f>_xll.BQL("NOW US Equity", "FREE_CASH_FLOW_MARGIN", "FPR=2021Y", "FPT=A", "FA_ACT_EST_DATA=E, EST_SOURCE=BAM", "ACT_EST_MAPPING=PRECISE", "FS=MRC", "CURRENCY=USD", "XLFILL=b")</f>
        <v>#N/A Requesting Data...</v>
      </c>
      <c r="AE236" s="6" t="str">
        <f>_xll.BQL("NOW US Equity", "FREE_CASH_FLOW_MARGIN", "FPR=2021Y", "FPT=A", "FA_ACT_EST_DATA=E, EST_SOURCE=GSR", "ACT_EST_MAPPING=PRECISE", "FS=MRC", "CURRENCY=USD", "XLFILL=b")</f>
        <v>#N/A Requesting Data...</v>
      </c>
      <c r="AF236" s="6" t="str">
        <f>_xll.BQL("NOW US Equity", "FREE_CASH_FLOW_MARGIN", "FPR=2021Y", "FPT=A", "FA_ACT_EST_DATA=E, EST_SOURCE=FBC", "ACT_EST_MAPPING=PRECISE", "FS=MRC", "CURRENCY=USD", "XLFILL=b")</f>
        <v>#N/A Requesting Data...</v>
      </c>
      <c r="AG236" s="6" t="str">
        <f>_xll.BQL("NOW US Equity", "FREE_CASH_FLOW_MARGIN", "FPR=2021Y", "FPT=A", "FA_ACT_EST_DATA=E, EST_SOURCE=MAC", "ACT_EST_MAPPING=PRECISE", "FS=MRC", "CURRENCY=USD", "XLFILL=b")</f>
        <v>#N/A Requesting Data...</v>
      </c>
      <c r="AH236" s="6" t="str">
        <f>_xll.BQL("NOW US Equity", "FREE_CASH_FLOW_MARGIN", "FPR=2021Y", "FPT=A", "FA_ACT_EST_DATA=E, EST_SOURCE=PSG", "ACT_EST_MAPPING=PRECISE", "FS=MRC", "CURRENCY=USD", "XLFILL=b")</f>
        <v>#N/A Requesting Data...</v>
      </c>
      <c r="AI236" s="6" t="str">
        <f>_xll.BQL("NOW US Equity", "FREE_CASH_FLOW_MARGIN", "FPR=2021Y", "FPT=A", "FA_ACT_EST_DATA=E, EST_SOURCE=MSR", "ACT_EST_MAPPING=PRECISE", "FS=MRC", "CURRENCY=USD", "XLFILL=b")</f>
        <v>#N/A Requesting Data...</v>
      </c>
      <c r="AJ236" s="6" t="str">
        <f>_xll.BQL("NOW US Equity", "FREE_CASH_FLOW_MARGIN", "FPR=2021Y", "FPT=A", "FA_ACT_EST_DATA=E, EST_SOURCE=JEF", "ACT_EST_MAPPING=PRECISE", "FS=MRC", "CURRENCY=USD", "XLFILL=b")</f>
        <v>#N/A Requesting Data...</v>
      </c>
      <c r="AK236" s="6" t="str">
        <f>_xll.BQL("NOW US Equity", "FREE_CASH_FLOW_MARGIN", "FPR=2021Y", "FPT=A", "FA_ACT_EST_DATA=E, EST_SOURCE=TTC", "ACT_EST_MAPPING=PRECISE", "FS=MRC", "CURRENCY=USD", "XLFILL=b")</f>
        <v>#N/A Requesting Data...</v>
      </c>
      <c r="AL236" s="6" t="str">
        <f>_xll.BQL("NOW US Equity", "FREE_CASH_FLOW_MARGIN", "FPR=2021Y", "FPT=A", "FA_ACT_EST_DATA=E, EST_SOURCE=RWB", "ACT_EST_MAPPING=PRECISE", "FS=MRC", "CURRENCY=USD", "XLFILL=b")</f>
        <v>#N/A Requesting Data...</v>
      </c>
      <c r="AM236" s="6" t="str">
        <f>_xll.BQL("NOW US Equity", "FREE_CASH_FLOW_MARGIN", "FPR=2021Y", "FPT=A", "FA_ACT_EST_DATA=E, EST_SOURCE=DZB", "ACT_EST_MAPPING=PRECISE", "FS=MRC", "CURRENCY=USD", "XLFILL=b")</f>
        <v>#N/A Requesting Data...</v>
      </c>
      <c r="AN236" s="6" t="str">
        <f>_xll.BQL("NOW US Equity", "FREE_CASH_FLOW_MARGIN", "FPR=2021Y", "FPT=A", "FA_ACT_EST_DATA=E, EST_SOURCE=DWI", "ACT_EST_MAPPING=PRECISE", "FS=MRC", "CURRENCY=USD", "XLFILL=b")</f>
        <v>#N/A Requesting Data...</v>
      </c>
      <c r="AO236" s="6" t="str">
        <f>_xll.BQL("NOW US Equity", "FREE_CASH_FLOW_MARGIN", "FPR=2021Y", "FPT=A", "FA_ACT_EST_DATA=E, EST_SOURCE=ARG", "ACT_EST_MAPPING=PRECISE", "FS=MRC", "CURRENCY=USD", "XLFILL=b")</f>
        <v>#N/A Requesting Data...</v>
      </c>
      <c r="AP236" s="6" t="str">
        <f>_xll.BQL("NOW US Equity", "FREE_CASH_FLOW_MARGIN", "FPR=2021Y", "FPT=A", "FA_ACT_EST_DATA=E, EST_SOURCE=CTI", "ACT_EST_MAPPING=PRECISE", "FS=MRC", "CURRENCY=USD", "XLFILL=b")</f>
        <v>#N/A Requesting Data...</v>
      </c>
      <c r="AQ236" s="6" t="str">
        <f>_xll.BQL("NOW US Equity", "FREE_CASH_FLOW_MARGIN", "FPR=2021Y", "FPT=A", "FA_ACT_EST_DATA=E, EST_SOURCE=WFT", "ACT_EST_MAPPING=PRECISE", "FS=MRC", "CURRENCY=USD", "XLFILL=b")</f>
        <v>#N/A Requesting Data...</v>
      </c>
      <c r="AR236" s="6" t="str">
        <f>_xll.BQL("NOW US Equity", "FREE_CASH_FLOW_MARGIN", "FPR=2021Y", "FPT=A", "FA_ACT_EST_DATA=E, EST_SOURCE=ARE", "ACT_EST_MAPPING=PRECISE", "FS=MRC", "CURRENCY=USD", "XLFILL=b")</f>
        <v>#N/A Requesting Data...</v>
      </c>
      <c r="AS236" s="6" t="str">
        <f>_xll.BQL("NOW US Equity", "FREE_CASH_FLOW_MARGIN", "FPR=2021Y", "FPT=A", "FA_ACT_EST_DATA=E, EST_SOURCE=PJE", "ACT_EST_MAPPING=PRECISE", "FS=MRC", "CURRENCY=USD", "XLFILL=b")</f>
        <v>#N/A Requesting Data...</v>
      </c>
      <c r="AT236" s="6" t="str">
        <f>_xll.BQL("NOW US Equity", "FREE_CASH_FLOW_MARGIN", "FPR=2021Y", "FPT=A", "FA_ACT_EST_DATA=E, EST_SOURCE=MZS", "ACT_EST_MAPPING=PRECISE", "FS=MRC", "CURRENCY=USD", "XLFILL=b")</f>
        <v>#N/A Requesting Data...</v>
      </c>
      <c r="AU236" s="6" t="str">
        <f>_xll.BQL("NOW US Equity", "FREE_CASH_FLOW_MARGIN", "FPR=2021Y", "FPT=A", "FA_ACT_EST_DATA=E, EST_SOURCE=SUM", "ACT_EST_MAPPING=PRECISE", "FS=MRC", "CURRENCY=USD", "XLFILL=b")</f>
        <v>#N/A Requesting Data...</v>
      </c>
      <c r="AV236" s="6" t="str">
        <f>_xll.BQL("NOW US Equity", "FREE_CASH_FLOW_MARGIN", "FPR=2021Y", "FPT=A", "FA_ACT_EST_DATA=E, EST_SOURCE=CRC", "ACT_EST_MAPPING=PRECISE", "FS=MRC", "CURRENCY=USD", "XLFILL=b")</f>
        <v>#N/A Requesting Data...</v>
      </c>
      <c r="AW236" s="6" t="str">
        <f>_xll.BQL("NOW US Equity", "FREE_CASH_FLOW_MARGIN", "FPR=2021Y", "FPT=A", "FA_ACT_EST_DATA=E, EST_SOURCE=SCB", "ACT_EST_MAPPING=PRECISE", "FS=MRC", "CURRENCY=USD", "XLFILL=b")</f>
        <v>#N/A Requesting Data...</v>
      </c>
    </row>
    <row r="237" spans="1:49" x14ac:dyDescent="0.55000000000000004">
      <c r="A237" s="5" t="s">
        <v>438</v>
      </c>
      <c r="B237" s="2" t="s">
        <v>439</v>
      </c>
      <c r="C237" s="2" t="s">
        <v>440</v>
      </c>
      <c r="D237" s="2"/>
      <c r="E237" s="6" t="str">
        <f>_xll.BQL("NOW US Equity", "FCF_PER_DIL_SHR", "FPR=2021Y", "FPT=A", "FA_ACT_EST_DATA=E", "ACT_EST_MAPPING=PRECISE", "FS=MRC", "CURRENCY=USD", "XLFILL=b")</f>
        <v>#N/A Requesting Data...</v>
      </c>
      <c r="F237" s="6" t="str">
        <f>_xll.BQL("NOW US Equity", "CONTRIBUTOR_STATS(FCF_PER_DIL_SHR, MIN)", "FPR=2021Y", "FPT=A", "FA_ACT_EST_DATA=E", "ACT_EST_MAPPING=PRECISE", "FS=MRC", "CURRENCY=USD", "XLFILL=b")</f>
        <v>#N/A Requesting Data...</v>
      </c>
      <c r="G237" s="6" t="str">
        <f>_xll.BQL("NOW US Equity", "CONTRIBUTOR_STATS(FCF_PER_DIL_SHR, MAX)", "FPR=2021Y", "FPT=A", "FA_ACT_EST_DATA=E", "ACT_EST_MAPPING=PRECISE", "FS=MRC", "CURRENCY=USD", "XLFILL=b")</f>
        <v>#N/A Requesting Data...</v>
      </c>
      <c r="H237" s="6" t="str">
        <f>_xll.BQL("NOW US Equity", "CONTRIBUTOR_STATS(FCF_PER_DIL_SHR, STD)", "FPR=2021Y", "FPT=A", "FA_ACT_EST_DATA=E", "ACT_EST_MAPPING=PRECISE", "FS=MRC", "CURRENCY=USD", "XLFILL=b")</f>
        <v>#N/A Requesting Data...</v>
      </c>
      <c r="I237" s="6" t="str">
        <f>_xll.BQL("NOW US Equity", "CONTRIBUTOR_STATS(FCF_PER_DIL_SHR, MEDIAN)", "FPR=2021Y", "FPT=A", "FA_ACT_EST_DATA=E", "ACT_EST_MAPPING=PRECISE", "FS=MRC", "CURRENCY=USD", "XLFILL=b")</f>
        <v>#N/A Requesting Data...</v>
      </c>
      <c r="J237" s="6" t="str">
        <f>_xll.BQL("NOW US Equity", "FCF_PER_DIL_SHR", "FPR=2021Y", "FPT=A", "FA_ACT_EST_DATA=E, EST_SOURCE=CMPY", "ACT_EST_MAPPING=PRECISE", "FS=MRC", "CURRENCY=USD", "XLFILL=b")</f>
        <v>#N/A Requesting Data...</v>
      </c>
      <c r="K237" s="6" t="str">
        <f>_xll.BQL("NOW US Equity", "FCF_PER_DIL_SHR", "FPR=2021Y", "FPT=A", "FA_ACT_EST_DATA=E, EST_SOURCE=JPM", "ACT_EST_MAPPING=PRECISE", "FS=MRC", "CURRENCY=USD", "XLFILL=b")</f>
        <v>#N/A Requesting Data...</v>
      </c>
      <c r="L237" s="6" t="str">
        <f>_xll.BQL("NOW US Equity", "FCF_PER_DIL_SHR", "FPR=2021Y", "FPT=A", "FA_ACT_EST_DATA=E, EST_SOURCE=WBL", "ACT_EST_MAPPING=PRECISE", "FS=MRC", "CURRENCY=USD", "XLFILL=b")</f>
        <v>#N/A Requesting Data...</v>
      </c>
      <c r="M237" s="6" t="str">
        <f>_xll.BQL("NOW US Equity", "FCF_PER_DIL_SHR", "FPR=2021Y", "FPT=A", "FA_ACT_EST_DATA=E, EST_SOURCE=KEY", "ACT_EST_MAPPING=PRECISE", "FS=MRC", "CURRENCY=USD", "XLFILL=b")</f>
        <v>#N/A Requesting Data...</v>
      </c>
      <c r="N237" s="6" t="str">
        <f>_xll.BQL("NOW US Equity", "FCF_PER_DIL_SHR", "FPR=2021Y", "FPT=A", "FA_ACT_EST_DATA=E, EST_SOURCE=BMO", "ACT_EST_MAPPING=PRECISE", "FS=MRC", "CURRENCY=USD", "XLFILL=b")</f>
        <v>#N/A Requesting Data...</v>
      </c>
      <c r="O237" s="6" t="str">
        <f>_xll.BQL("NOW US Equity", "FCF_PER_DIL_SHR", "FPR=2021Y", "FPT=A", "FA_ACT_EST_DATA=E, EST_SOURCE=OPY", "ACT_EST_MAPPING=PRECISE", "FS=MRC", "CURRENCY=USD", "XLFILL=b")</f>
        <v>#N/A Requesting Data...</v>
      </c>
      <c r="P237" s="6" t="str">
        <f>_xll.BQL("NOW US Equity", "FCF_PER_DIL_SHR", "FPR=2021Y", "FPT=A", "FA_ACT_EST_DATA=E, EST_SOURCE=BCA", "ACT_EST_MAPPING=PRECISE", "FS=MRC", "CURRENCY=USD", "XLFILL=b")</f>
        <v>#N/A Requesting Data...</v>
      </c>
      <c r="Q237" s="6" t="str">
        <f>_xll.BQL("NOW US Equity", "FCF_PER_DIL_SHR", "FPR=2021Y", "FPT=A", "FA_ACT_EST_DATA=E, EST_SOURCE=RHR", "ACT_EST_MAPPING=PRECISE", "FS=MRC", "CURRENCY=USD", "XLFILL=b")</f>
        <v>#N/A Requesting Data...</v>
      </c>
      <c r="R237" s="6" t="str">
        <f>_xll.BQL("NOW US Equity", "FCF_PER_DIL_SHR", "FPR=2021Y", "FPT=A", "FA_ACT_EST_DATA=E, EST_SOURCE=SNR", "ACT_EST_MAPPING=PRECISE", "FS=MRC", "CURRENCY=USD", "XLFILL=b")</f>
        <v>#N/A Requesting Data...</v>
      </c>
      <c r="S237" s="6" t="str">
        <f>_xll.BQL("NOW US Equity", "FCF_PER_DIL_SHR", "FPR=2021Y", "FPT=A", "FA_ACT_EST_DATA=E, EST_SOURCE=MSV", "ACT_EST_MAPPING=PRECISE", "FS=MRC", "CURRENCY=USD", "XLFILL=b")</f>
        <v>#N/A Requesting Data...</v>
      </c>
      <c r="T237" s="6" t="str">
        <f>_xll.BQL("NOW US Equity", "FCF_PER_DIL_SHR", "FPR=2021Y", "FPT=A", "FA_ACT_EST_DATA=E, EST_SOURCE=CAN", "ACT_EST_MAPPING=PRECISE", "FS=MRC", "CURRENCY=USD", "XLFILL=b")</f>
        <v>#N/A Requesting Data...</v>
      </c>
      <c r="U237" s="6" t="str">
        <f>_xll.BQL("NOW US Equity", "FCF_PER_DIL_SHR", "FPR=2021Y", "FPT=A", "FA_ACT_EST_DATA=E, EST_SOURCE=JMP", "ACT_EST_MAPPING=PRECISE", "FS=MRC", "CURRENCY=USD", "XLFILL=b")</f>
        <v>#N/A Requesting Data...</v>
      </c>
      <c r="V237" s="6" t="str">
        <f>_xll.BQL("NOW US Equity", "FCF_PER_DIL_SHR", "FPR=2021Y", "FPT=A", "FA_ACT_EST_DATA=E, EST_SOURCE=NDH", "ACT_EST_MAPPING=PRECISE", "FS=MRC", "CURRENCY=USD", "XLFILL=b")</f>
        <v>#N/A Requesting Data...</v>
      </c>
      <c r="W237" s="6" t="str">
        <f>_xll.BQL("NOW US Equity", "FCF_PER_DIL_SHR", "FPR=2021Y", "FPT=A", "FA_ACT_EST_DATA=E, EST_SOURCE=ZXS", "ACT_EST_MAPPING=PRECISE", "FS=MRC", "CURRENCY=USD", "XLFILL=b")</f>
        <v>#N/A Requesting Data...</v>
      </c>
      <c r="X237" s="6" t="str">
        <f>_xll.BQL("NOW US Equity", "FCF_PER_DIL_SHR", "FPR=2021Y", "FPT=A", "FA_ACT_EST_DATA=E, EST_SOURCE=CWN", "ACT_EST_MAPPING=PRECISE", "FS=MRC", "CURRENCY=USD", "XLFILL=b")</f>
        <v>#N/A Requesting Data...</v>
      </c>
      <c r="Y237" s="6" t="str">
        <f>_xll.BQL("NOW US Equity", "FCF_PER_DIL_SHR", "FPR=2021Y", "FPT=A", "FA_ACT_EST_DATA=E, EST_SOURCE=DBG", "ACT_EST_MAPPING=PRECISE", "FS=MRC", "CURRENCY=USD", "XLFILL=b")</f>
        <v>#N/A Requesting Data...</v>
      </c>
      <c r="Z237" s="6" t="str">
        <f>_xll.BQL("NOW US Equity", "FCF_PER_DIL_SHR", "FPR=2021Y", "FPT=A", "FA_ACT_EST_DATA=E, EST_SOURCE=UBS", "ACT_EST_MAPPING=PRECISE", "FS=MRC", "CURRENCY=USD", "XLFILL=b")</f>
        <v>#N/A Requesting Data...</v>
      </c>
      <c r="AA237" s="6" t="str">
        <f>_xll.BQL("NOW US Equity", "FCF_PER_DIL_SHR", "FPR=2021Y", "FPT=A", "FA_ACT_EST_DATA=E, EST_SOURCE=RBC", "ACT_EST_MAPPING=PRECISE", "FS=MRC", "CURRENCY=USD", "XLFILL=b")</f>
        <v>#N/A Requesting Data...</v>
      </c>
      <c r="AB237" s="6" t="str">
        <f>_xll.BQL("NOW US Equity", "FCF_PER_DIL_SHR", "FPR=2021Y", "FPT=A", "FA_ACT_EST_DATA=E, EST_SOURCE=EVR", "ACT_EST_MAPPING=PRECISE", "FS=MRC", "CURRENCY=USD", "XLFILL=b")</f>
        <v>#N/A Requesting Data...</v>
      </c>
      <c r="AC237" s="6" t="str">
        <f>_xll.BQL("NOW US Equity", "FCF_PER_DIL_SHR", "FPR=2021Y", "FPT=A", "FA_ACT_EST_DATA=E, EST_SOURCE=BNS", "ACT_EST_MAPPING=PRECISE", "FS=MRC", "CURRENCY=USD", "XLFILL=b")</f>
        <v>#N/A Requesting Data...</v>
      </c>
      <c r="AD237" s="6" t="str">
        <f>_xll.BQL("NOW US Equity", "FCF_PER_DIL_SHR", "FPR=2021Y", "FPT=A", "FA_ACT_EST_DATA=E, EST_SOURCE=BAM", "ACT_EST_MAPPING=PRECISE", "FS=MRC", "CURRENCY=USD", "XLFILL=b")</f>
        <v>#N/A Requesting Data...</v>
      </c>
      <c r="AE237" s="6" t="str">
        <f>_xll.BQL("NOW US Equity", "FCF_PER_DIL_SHR", "FPR=2021Y", "FPT=A", "FA_ACT_EST_DATA=E, EST_SOURCE=GSR", "ACT_EST_MAPPING=PRECISE", "FS=MRC", "CURRENCY=USD", "XLFILL=b")</f>
        <v>#N/A Requesting Data...</v>
      </c>
      <c r="AF237" s="6" t="str">
        <f>_xll.BQL("NOW US Equity", "FCF_PER_DIL_SHR", "FPR=2021Y", "FPT=A", "FA_ACT_EST_DATA=E, EST_SOURCE=FBC", "ACT_EST_MAPPING=PRECISE", "FS=MRC", "CURRENCY=USD", "XLFILL=b")</f>
        <v>#N/A Requesting Data...</v>
      </c>
      <c r="AG237" s="6" t="str">
        <f>_xll.BQL("NOW US Equity", "FCF_PER_DIL_SHR", "FPR=2021Y", "FPT=A", "FA_ACT_EST_DATA=E, EST_SOURCE=MAC", "ACT_EST_MAPPING=PRECISE", "FS=MRC", "CURRENCY=USD", "XLFILL=b")</f>
        <v>#N/A Requesting Data...</v>
      </c>
      <c r="AH237" s="6" t="str">
        <f>_xll.BQL("NOW US Equity", "FCF_PER_DIL_SHR", "FPR=2021Y", "FPT=A", "FA_ACT_EST_DATA=E, EST_SOURCE=PSG", "ACT_EST_MAPPING=PRECISE", "FS=MRC", "CURRENCY=USD", "XLFILL=b")</f>
        <v>#N/A Requesting Data...</v>
      </c>
      <c r="AI237" s="6" t="str">
        <f>_xll.BQL("NOW US Equity", "FCF_PER_DIL_SHR", "FPR=2021Y", "FPT=A", "FA_ACT_EST_DATA=E, EST_SOURCE=MSR", "ACT_EST_MAPPING=PRECISE", "FS=MRC", "CURRENCY=USD", "XLFILL=b")</f>
        <v>#N/A Requesting Data...</v>
      </c>
      <c r="AJ237" s="6" t="str">
        <f>_xll.BQL("NOW US Equity", "FCF_PER_DIL_SHR", "FPR=2021Y", "FPT=A", "FA_ACT_EST_DATA=E, EST_SOURCE=JEF", "ACT_EST_MAPPING=PRECISE", "FS=MRC", "CURRENCY=USD", "XLFILL=b")</f>
        <v>#N/A Requesting Data...</v>
      </c>
      <c r="AK237" s="6" t="str">
        <f>_xll.BQL("NOW US Equity", "FCF_PER_DIL_SHR", "FPR=2021Y", "FPT=A", "FA_ACT_EST_DATA=E, EST_SOURCE=TTC", "ACT_EST_MAPPING=PRECISE", "FS=MRC", "CURRENCY=USD", "XLFILL=b")</f>
        <v>#N/A Requesting Data...</v>
      </c>
      <c r="AL237" s="6" t="str">
        <f>_xll.BQL("NOW US Equity", "FCF_PER_DIL_SHR", "FPR=2021Y", "FPT=A", "FA_ACT_EST_DATA=E, EST_SOURCE=RWB", "ACT_EST_MAPPING=PRECISE", "FS=MRC", "CURRENCY=USD", "XLFILL=b")</f>
        <v>#N/A Requesting Data...</v>
      </c>
      <c r="AM237" s="6" t="str">
        <f>_xll.BQL("NOW US Equity", "FCF_PER_DIL_SHR", "FPR=2021Y", "FPT=A", "FA_ACT_EST_DATA=E, EST_SOURCE=DZB", "ACT_EST_MAPPING=PRECISE", "FS=MRC", "CURRENCY=USD", "XLFILL=b")</f>
        <v>#N/A Requesting Data...</v>
      </c>
      <c r="AN237" s="6" t="str">
        <f>_xll.BQL("NOW US Equity", "FCF_PER_DIL_SHR", "FPR=2021Y", "FPT=A", "FA_ACT_EST_DATA=E, EST_SOURCE=DWI", "ACT_EST_MAPPING=PRECISE", "FS=MRC", "CURRENCY=USD", "XLFILL=b")</f>
        <v>#N/A Requesting Data...</v>
      </c>
      <c r="AO237" s="6" t="str">
        <f>_xll.BQL("NOW US Equity", "FCF_PER_DIL_SHR", "FPR=2021Y", "FPT=A", "FA_ACT_EST_DATA=E, EST_SOURCE=ARG", "ACT_EST_MAPPING=PRECISE", "FS=MRC", "CURRENCY=USD", "XLFILL=b")</f>
        <v>#N/A Requesting Data...</v>
      </c>
      <c r="AP237" s="6" t="str">
        <f>_xll.BQL("NOW US Equity", "FCF_PER_DIL_SHR", "FPR=2021Y", "FPT=A", "FA_ACT_EST_DATA=E, EST_SOURCE=CTI", "ACT_EST_MAPPING=PRECISE", "FS=MRC", "CURRENCY=USD", "XLFILL=b")</f>
        <v>#N/A Requesting Data...</v>
      </c>
      <c r="AQ237" s="6" t="str">
        <f>_xll.BQL("NOW US Equity", "FCF_PER_DIL_SHR", "FPR=2021Y", "FPT=A", "FA_ACT_EST_DATA=E, EST_SOURCE=WFT", "ACT_EST_MAPPING=PRECISE", "FS=MRC", "CURRENCY=USD", "XLFILL=b")</f>
        <v>#N/A Requesting Data...</v>
      </c>
      <c r="AR237" s="6" t="str">
        <f>_xll.BQL("NOW US Equity", "FCF_PER_DIL_SHR", "FPR=2021Y", "FPT=A", "FA_ACT_EST_DATA=E, EST_SOURCE=ARE", "ACT_EST_MAPPING=PRECISE", "FS=MRC", "CURRENCY=USD", "XLFILL=b")</f>
        <v>#N/A Requesting Data...</v>
      </c>
      <c r="AS237" s="6" t="str">
        <f>_xll.BQL("NOW US Equity", "FCF_PER_DIL_SHR", "FPR=2021Y", "FPT=A", "FA_ACT_EST_DATA=E, EST_SOURCE=PJE", "ACT_EST_MAPPING=PRECISE", "FS=MRC", "CURRENCY=USD", "XLFILL=b")</f>
        <v>#N/A Requesting Data...</v>
      </c>
      <c r="AT237" s="6" t="str">
        <f>_xll.BQL("NOW US Equity", "FCF_PER_DIL_SHR", "FPR=2021Y", "FPT=A", "FA_ACT_EST_DATA=E, EST_SOURCE=MZS", "ACT_EST_MAPPING=PRECISE", "FS=MRC", "CURRENCY=USD", "XLFILL=b")</f>
        <v>#N/A Requesting Data...</v>
      </c>
      <c r="AU237" s="6" t="str">
        <f>_xll.BQL("NOW US Equity", "FCF_PER_DIL_SHR", "FPR=2021Y", "FPT=A", "FA_ACT_EST_DATA=E, EST_SOURCE=SUM", "ACT_EST_MAPPING=PRECISE", "FS=MRC", "CURRENCY=USD", "XLFILL=b")</f>
        <v>#N/A Requesting Data...</v>
      </c>
      <c r="AV237" s="6" t="str">
        <f>_xll.BQL("NOW US Equity", "FCF_PER_DIL_SHR", "FPR=2021Y", "FPT=A", "FA_ACT_EST_DATA=E, EST_SOURCE=CRC", "ACT_EST_MAPPING=PRECISE", "FS=MRC", "CURRENCY=USD", "XLFILL=b")</f>
        <v>#N/A Requesting Data...</v>
      </c>
      <c r="AW237" s="6" t="str">
        <f>_xll.BQL("NOW US Equity", "FCF_PER_DIL_SHR", "FPR=2021Y", "FPT=A", "FA_ACT_EST_DATA=E, EST_SOURCE=SCB", "ACT_EST_MAPPING=PRECISE", "FS=MRC", "CURRENCY=USD", "XLFILL=b")</f>
        <v>#N/A Requesting Data...</v>
      </c>
    </row>
    <row r="238" spans="1:49" x14ac:dyDescent="0.55000000000000004">
      <c r="A238" s="5" t="s">
        <v>441</v>
      </c>
      <c r="B238" s="2"/>
      <c r="C238" s="2" t="s">
        <v>442</v>
      </c>
      <c r="D238" s="2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</row>
    <row r="239" spans="1:49" x14ac:dyDescent="0.55000000000000004">
      <c r="A239" s="5" t="s">
        <v>443</v>
      </c>
      <c r="B239" s="2" t="s">
        <v>444</v>
      </c>
      <c r="C239" s="2" t="s">
        <v>445</v>
      </c>
      <c r="D239" s="2"/>
      <c r="E239" s="6" t="str">
        <f>_xll.BQL("NOW US Equity", "CFO_TO_SALES", "FPR=2021Y", "FPT=A", "FA_ACT_EST_DATA=E", "ACT_EST_MAPPING=PRECISE", "FS=MRC", "CURRENCY=USD", "XLFILL=b")</f>
        <v>#N/A Requesting Data...</v>
      </c>
      <c r="F239" s="6" t="str">
        <f>_xll.BQL("NOW US Equity", "CONTRIBUTOR_STATS(CFO_TO_SALES, MIN)", "FPR=2021Y", "FPT=A", "FA_ACT_EST_DATA=E", "ACT_EST_MAPPING=PRECISE", "FS=MRC", "CURRENCY=USD", "XLFILL=b")</f>
        <v>#N/A Requesting Data...</v>
      </c>
      <c r="G239" s="6" t="str">
        <f>_xll.BQL("NOW US Equity", "CONTRIBUTOR_STATS(CFO_TO_SALES, MAX)", "FPR=2021Y", "FPT=A", "FA_ACT_EST_DATA=E", "ACT_EST_MAPPING=PRECISE", "FS=MRC", "CURRENCY=USD", "XLFILL=b")</f>
        <v>#N/A Requesting Data...</v>
      </c>
      <c r="H239" s="6" t="str">
        <f>_xll.BQL("NOW US Equity", "CONTRIBUTOR_STATS(CFO_TO_SALES, STD)", "FPR=2021Y", "FPT=A", "FA_ACT_EST_DATA=E", "ACT_EST_MAPPING=PRECISE", "FS=MRC", "CURRENCY=USD", "XLFILL=b")</f>
        <v>#N/A Requesting Data...</v>
      </c>
      <c r="I239" s="6" t="str">
        <f>_xll.BQL("NOW US Equity", "CONTRIBUTOR_STATS(CFO_TO_SALES, MEDIAN)", "FPR=2021Y", "FPT=A", "FA_ACT_EST_DATA=E", "ACT_EST_MAPPING=PRECISE", "FS=MRC", "CURRENCY=USD", "XLFILL=b")</f>
        <v>#N/A Requesting Data...</v>
      </c>
      <c r="J239" s="6" t="str">
        <f>_xll.BQL("NOW US Equity", "CFO_TO_SALES", "FPR=2021Y", "FPT=A", "FA_ACT_EST_DATA=E, EST_SOURCE=CMPY", "ACT_EST_MAPPING=PRECISE", "FS=MRC", "CURRENCY=USD", "XLFILL=b")</f>
        <v>#N/A Requesting Data...</v>
      </c>
      <c r="K239" s="6" t="str">
        <f>_xll.BQL("NOW US Equity", "CFO_TO_SALES", "FPR=2021Y", "FPT=A", "FA_ACT_EST_DATA=E, EST_SOURCE=JPM", "ACT_EST_MAPPING=PRECISE", "FS=MRC", "CURRENCY=USD", "XLFILL=b")</f>
        <v>#N/A Requesting Data...</v>
      </c>
      <c r="L239" s="6" t="str">
        <f>_xll.BQL("NOW US Equity", "CFO_TO_SALES", "FPR=2021Y", "FPT=A", "FA_ACT_EST_DATA=E, EST_SOURCE=WBL", "ACT_EST_MAPPING=PRECISE", "FS=MRC", "CURRENCY=USD", "XLFILL=b")</f>
        <v>#N/A Requesting Data...</v>
      </c>
      <c r="M239" s="6" t="str">
        <f>_xll.BQL("NOW US Equity", "CFO_TO_SALES", "FPR=2021Y", "FPT=A", "FA_ACT_EST_DATA=E, EST_SOURCE=KEY", "ACT_EST_MAPPING=PRECISE", "FS=MRC", "CURRENCY=USD", "XLFILL=b")</f>
        <v>#N/A Requesting Data...</v>
      </c>
      <c r="N239" s="6" t="str">
        <f>_xll.BQL("NOW US Equity", "CFO_TO_SALES", "FPR=2021Y", "FPT=A", "FA_ACT_EST_DATA=E, EST_SOURCE=BMO", "ACT_EST_MAPPING=PRECISE", "FS=MRC", "CURRENCY=USD", "XLFILL=b")</f>
        <v>#N/A Requesting Data...</v>
      </c>
      <c r="O239" s="6" t="str">
        <f>_xll.BQL("NOW US Equity", "CFO_TO_SALES", "FPR=2021Y", "FPT=A", "FA_ACT_EST_DATA=E, EST_SOURCE=OPY", "ACT_EST_MAPPING=PRECISE", "FS=MRC", "CURRENCY=USD", "XLFILL=b")</f>
        <v>#N/A Requesting Data...</v>
      </c>
      <c r="P239" s="6" t="str">
        <f>_xll.BQL("NOW US Equity", "CFO_TO_SALES", "FPR=2021Y", "FPT=A", "FA_ACT_EST_DATA=E, EST_SOURCE=BCA", "ACT_EST_MAPPING=PRECISE", "FS=MRC", "CURRENCY=USD", "XLFILL=b")</f>
        <v>#N/A Requesting Data...</v>
      </c>
      <c r="Q239" s="6" t="str">
        <f>_xll.BQL("NOW US Equity", "CFO_TO_SALES", "FPR=2021Y", "FPT=A", "FA_ACT_EST_DATA=E, EST_SOURCE=RHR", "ACT_EST_MAPPING=PRECISE", "FS=MRC", "CURRENCY=USD", "XLFILL=b")</f>
        <v>#N/A Requesting Data...</v>
      </c>
      <c r="R239" s="6" t="str">
        <f>_xll.BQL("NOW US Equity", "CFO_TO_SALES", "FPR=2021Y", "FPT=A", "FA_ACT_EST_DATA=E, EST_SOURCE=SNR", "ACT_EST_MAPPING=PRECISE", "FS=MRC", "CURRENCY=USD", "XLFILL=b")</f>
        <v>#N/A Requesting Data...</v>
      </c>
      <c r="S239" s="6" t="str">
        <f>_xll.BQL("NOW US Equity", "CFO_TO_SALES", "FPR=2021Y", "FPT=A", "FA_ACT_EST_DATA=E, EST_SOURCE=MSV", "ACT_EST_MAPPING=PRECISE", "FS=MRC", "CURRENCY=USD", "XLFILL=b")</f>
        <v>#N/A Requesting Data...</v>
      </c>
      <c r="T239" s="6" t="str">
        <f>_xll.BQL("NOW US Equity", "CFO_TO_SALES", "FPR=2021Y", "FPT=A", "FA_ACT_EST_DATA=E, EST_SOURCE=CAN", "ACT_EST_MAPPING=PRECISE", "FS=MRC", "CURRENCY=USD", "XLFILL=b")</f>
        <v>#N/A Requesting Data...</v>
      </c>
      <c r="U239" s="6" t="str">
        <f>_xll.BQL("NOW US Equity", "CFO_TO_SALES", "FPR=2021Y", "FPT=A", "FA_ACT_EST_DATA=E, EST_SOURCE=JMP", "ACT_EST_MAPPING=PRECISE", "FS=MRC", "CURRENCY=USD", "XLFILL=b")</f>
        <v>#N/A Requesting Data...</v>
      </c>
      <c r="V239" s="6" t="str">
        <f>_xll.BQL("NOW US Equity", "CFO_TO_SALES", "FPR=2021Y", "FPT=A", "FA_ACT_EST_DATA=E, EST_SOURCE=NDH", "ACT_EST_MAPPING=PRECISE", "FS=MRC", "CURRENCY=USD", "XLFILL=b")</f>
        <v>#N/A Requesting Data...</v>
      </c>
      <c r="W239" s="6" t="str">
        <f>_xll.BQL("NOW US Equity", "CFO_TO_SALES", "FPR=2021Y", "FPT=A", "FA_ACT_EST_DATA=E, EST_SOURCE=ZXS", "ACT_EST_MAPPING=PRECISE", "FS=MRC", "CURRENCY=USD", "XLFILL=b")</f>
        <v>#N/A Requesting Data...</v>
      </c>
      <c r="X239" s="6" t="str">
        <f>_xll.BQL("NOW US Equity", "CFO_TO_SALES", "FPR=2021Y", "FPT=A", "FA_ACT_EST_DATA=E, EST_SOURCE=CWN", "ACT_EST_MAPPING=PRECISE", "FS=MRC", "CURRENCY=USD", "XLFILL=b")</f>
        <v>#N/A Requesting Data...</v>
      </c>
      <c r="Y239" s="6" t="str">
        <f>_xll.BQL("NOW US Equity", "CFO_TO_SALES", "FPR=2021Y", "FPT=A", "FA_ACT_EST_DATA=E, EST_SOURCE=DBG", "ACT_EST_MAPPING=PRECISE", "FS=MRC", "CURRENCY=USD", "XLFILL=b")</f>
        <v>#N/A Requesting Data...</v>
      </c>
      <c r="Z239" s="6" t="str">
        <f>_xll.BQL("NOW US Equity", "CFO_TO_SALES", "FPR=2021Y", "FPT=A", "FA_ACT_EST_DATA=E, EST_SOURCE=UBS", "ACT_EST_MAPPING=PRECISE", "FS=MRC", "CURRENCY=USD", "XLFILL=b")</f>
        <v>#N/A Requesting Data...</v>
      </c>
      <c r="AA239" s="6" t="str">
        <f>_xll.BQL("NOW US Equity", "CFO_TO_SALES", "FPR=2021Y", "FPT=A", "FA_ACT_EST_DATA=E, EST_SOURCE=RBC", "ACT_EST_MAPPING=PRECISE", "FS=MRC", "CURRENCY=USD", "XLFILL=b")</f>
        <v>#N/A Requesting Data...</v>
      </c>
      <c r="AB239" s="6" t="str">
        <f>_xll.BQL("NOW US Equity", "CFO_TO_SALES", "FPR=2021Y", "FPT=A", "FA_ACT_EST_DATA=E, EST_SOURCE=EVR", "ACT_EST_MAPPING=PRECISE", "FS=MRC", "CURRENCY=USD", "XLFILL=b")</f>
        <v>#N/A Requesting Data...</v>
      </c>
      <c r="AC239" s="6" t="str">
        <f>_xll.BQL("NOW US Equity", "CFO_TO_SALES", "FPR=2021Y", "FPT=A", "FA_ACT_EST_DATA=E, EST_SOURCE=BNS", "ACT_EST_MAPPING=PRECISE", "FS=MRC", "CURRENCY=USD", "XLFILL=b")</f>
        <v>#N/A Requesting Data...</v>
      </c>
      <c r="AD239" s="6" t="str">
        <f>_xll.BQL("NOW US Equity", "CFO_TO_SALES", "FPR=2021Y", "FPT=A", "FA_ACT_EST_DATA=E, EST_SOURCE=BAM", "ACT_EST_MAPPING=PRECISE", "FS=MRC", "CURRENCY=USD", "XLFILL=b")</f>
        <v>#N/A Requesting Data...</v>
      </c>
      <c r="AE239" s="6" t="str">
        <f>_xll.BQL("NOW US Equity", "CFO_TO_SALES", "FPR=2021Y", "FPT=A", "FA_ACT_EST_DATA=E, EST_SOURCE=GSR", "ACT_EST_MAPPING=PRECISE", "FS=MRC", "CURRENCY=USD", "XLFILL=b")</f>
        <v>#N/A Requesting Data...</v>
      </c>
      <c r="AF239" s="6" t="str">
        <f>_xll.BQL("NOW US Equity", "CFO_TO_SALES", "FPR=2021Y", "FPT=A", "FA_ACT_EST_DATA=E, EST_SOURCE=FBC", "ACT_EST_MAPPING=PRECISE", "FS=MRC", "CURRENCY=USD", "XLFILL=b")</f>
        <v>#N/A Requesting Data...</v>
      </c>
      <c r="AG239" s="6" t="str">
        <f>_xll.BQL("NOW US Equity", "CFO_TO_SALES", "FPR=2021Y", "FPT=A", "FA_ACT_EST_DATA=E, EST_SOURCE=MAC", "ACT_EST_MAPPING=PRECISE", "FS=MRC", "CURRENCY=USD", "XLFILL=b")</f>
        <v>#N/A Requesting Data...</v>
      </c>
      <c r="AH239" s="6" t="str">
        <f>_xll.BQL("NOW US Equity", "CFO_TO_SALES", "FPR=2021Y", "FPT=A", "FA_ACT_EST_DATA=E, EST_SOURCE=PSG", "ACT_EST_MAPPING=PRECISE", "FS=MRC", "CURRENCY=USD", "XLFILL=b")</f>
        <v>#N/A Requesting Data...</v>
      </c>
      <c r="AI239" s="6" t="str">
        <f>_xll.BQL("NOW US Equity", "CFO_TO_SALES", "FPR=2021Y", "FPT=A", "FA_ACT_EST_DATA=E, EST_SOURCE=MSR", "ACT_EST_MAPPING=PRECISE", "FS=MRC", "CURRENCY=USD", "XLFILL=b")</f>
        <v>#N/A Requesting Data...</v>
      </c>
      <c r="AJ239" s="6" t="str">
        <f>_xll.BQL("NOW US Equity", "CFO_TO_SALES", "FPR=2021Y", "FPT=A", "FA_ACT_EST_DATA=E, EST_SOURCE=JEF", "ACT_EST_MAPPING=PRECISE", "FS=MRC", "CURRENCY=USD", "XLFILL=b")</f>
        <v>#N/A Requesting Data...</v>
      </c>
      <c r="AK239" s="6" t="str">
        <f>_xll.BQL("NOW US Equity", "CFO_TO_SALES", "FPR=2021Y", "FPT=A", "FA_ACT_EST_DATA=E, EST_SOURCE=TTC", "ACT_EST_MAPPING=PRECISE", "FS=MRC", "CURRENCY=USD", "XLFILL=b")</f>
        <v>#N/A Requesting Data...</v>
      </c>
      <c r="AL239" s="6" t="str">
        <f>_xll.BQL("NOW US Equity", "CFO_TO_SALES", "FPR=2021Y", "FPT=A", "FA_ACT_EST_DATA=E, EST_SOURCE=RWB", "ACT_EST_MAPPING=PRECISE", "FS=MRC", "CURRENCY=USD", "XLFILL=b")</f>
        <v>#N/A Requesting Data...</v>
      </c>
      <c r="AM239" s="6" t="str">
        <f>_xll.BQL("NOW US Equity", "CFO_TO_SALES", "FPR=2021Y", "FPT=A", "FA_ACT_EST_DATA=E, EST_SOURCE=DZB", "ACT_EST_MAPPING=PRECISE", "FS=MRC", "CURRENCY=USD", "XLFILL=b")</f>
        <v>#N/A Requesting Data...</v>
      </c>
      <c r="AN239" s="6" t="str">
        <f>_xll.BQL("NOW US Equity", "CFO_TO_SALES", "FPR=2021Y", "FPT=A", "FA_ACT_EST_DATA=E, EST_SOURCE=DWI", "ACT_EST_MAPPING=PRECISE", "FS=MRC", "CURRENCY=USD", "XLFILL=b")</f>
        <v>#N/A Requesting Data...</v>
      </c>
      <c r="AO239" s="6" t="str">
        <f>_xll.BQL("NOW US Equity", "CFO_TO_SALES", "FPR=2021Y", "FPT=A", "FA_ACT_EST_DATA=E, EST_SOURCE=ARG", "ACT_EST_MAPPING=PRECISE", "FS=MRC", "CURRENCY=USD", "XLFILL=b")</f>
        <v>#N/A Requesting Data...</v>
      </c>
      <c r="AP239" s="6" t="str">
        <f>_xll.BQL("NOW US Equity", "CFO_TO_SALES", "FPR=2021Y", "FPT=A", "FA_ACT_EST_DATA=E, EST_SOURCE=CTI", "ACT_EST_MAPPING=PRECISE", "FS=MRC", "CURRENCY=USD", "XLFILL=b")</f>
        <v>#N/A Requesting Data...</v>
      </c>
      <c r="AQ239" s="6" t="str">
        <f>_xll.BQL("NOW US Equity", "CFO_TO_SALES", "FPR=2021Y", "FPT=A", "FA_ACT_EST_DATA=E, EST_SOURCE=WFT", "ACT_EST_MAPPING=PRECISE", "FS=MRC", "CURRENCY=USD", "XLFILL=b")</f>
        <v>#N/A Requesting Data...</v>
      </c>
      <c r="AR239" s="6" t="str">
        <f>_xll.BQL("NOW US Equity", "CFO_TO_SALES", "FPR=2021Y", "FPT=A", "FA_ACT_EST_DATA=E, EST_SOURCE=ARE", "ACT_EST_MAPPING=PRECISE", "FS=MRC", "CURRENCY=USD", "XLFILL=b")</f>
        <v>#N/A Requesting Data...</v>
      </c>
      <c r="AS239" s="6" t="str">
        <f>_xll.BQL("NOW US Equity", "CFO_TO_SALES", "FPR=2021Y", "FPT=A", "FA_ACT_EST_DATA=E, EST_SOURCE=PJE", "ACT_EST_MAPPING=PRECISE", "FS=MRC", "CURRENCY=USD", "XLFILL=b")</f>
        <v>#N/A Requesting Data...</v>
      </c>
      <c r="AT239" s="6" t="str">
        <f>_xll.BQL("NOW US Equity", "CFO_TO_SALES", "FPR=2021Y", "FPT=A", "FA_ACT_EST_DATA=E, EST_SOURCE=MZS", "ACT_EST_MAPPING=PRECISE", "FS=MRC", "CURRENCY=USD", "XLFILL=b")</f>
        <v>#N/A Requesting Data...</v>
      </c>
      <c r="AU239" s="6" t="str">
        <f>_xll.BQL("NOW US Equity", "CFO_TO_SALES", "FPR=2021Y", "FPT=A", "FA_ACT_EST_DATA=E, EST_SOURCE=SUM", "ACT_EST_MAPPING=PRECISE", "FS=MRC", "CURRENCY=USD", "XLFILL=b")</f>
        <v>#N/A Requesting Data...</v>
      </c>
      <c r="AV239" s="6" t="str">
        <f>_xll.BQL("NOW US Equity", "CFO_TO_SALES", "FPR=2021Y", "FPT=A", "FA_ACT_EST_DATA=E, EST_SOURCE=CRC", "ACT_EST_MAPPING=PRECISE", "FS=MRC", "CURRENCY=USD", "XLFILL=b")</f>
        <v>#N/A Requesting Data...</v>
      </c>
      <c r="AW239" s="6" t="str">
        <f>_xll.BQL("NOW US Equity", "CFO_TO_SALES", "FPR=2021Y", "FPT=A", "FA_ACT_EST_DATA=E, EST_SOURCE=SCB", "ACT_EST_MAPPING=PRECISE", "FS=MRC", "CURRENCY=USD", "XLFILL=b")</f>
        <v>#N/A Requesting Data...</v>
      </c>
    </row>
    <row r="240" spans="1:49" x14ac:dyDescent="0.55000000000000004">
      <c r="A240" s="3" t="s">
        <v>446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</sheetData>
  <mergeCells count="2">
    <mergeCell ref="A1:AW1"/>
    <mergeCell ref="A2:AW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Single Period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Xie, Shibin (AllianzGI)</cp:lastModifiedBy>
  <dcterms:created xsi:type="dcterms:W3CDTF">2013-04-03T15:49:21Z</dcterms:created>
  <dcterms:modified xsi:type="dcterms:W3CDTF">2022-01-19T18:56:04Z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1d2ef4-471a-450b-b804-da016b8121de_Enabled">
    <vt:lpwstr>true</vt:lpwstr>
  </property>
  <property fmtid="{D5CDD505-2E9C-101B-9397-08002B2CF9AE}" pid="3" name="MSIP_Label_511d2ef4-471a-450b-b804-da016b8121de_SetDate">
    <vt:lpwstr>2022-01-19T18:56:00Z</vt:lpwstr>
  </property>
  <property fmtid="{D5CDD505-2E9C-101B-9397-08002B2CF9AE}" pid="4" name="MSIP_Label_511d2ef4-471a-450b-b804-da016b8121de_Method">
    <vt:lpwstr>Standard</vt:lpwstr>
  </property>
  <property fmtid="{D5CDD505-2E9C-101B-9397-08002B2CF9AE}" pid="5" name="MSIP_Label_511d2ef4-471a-450b-b804-da016b8121de_Name">
    <vt:lpwstr>511d2ef4-471a-450b-b804-da016b8121de</vt:lpwstr>
  </property>
  <property fmtid="{D5CDD505-2E9C-101B-9397-08002B2CF9AE}" pid="6" name="MSIP_Label_511d2ef4-471a-450b-b804-da016b8121de_SiteId">
    <vt:lpwstr>a1eacbd5-fb0e-46f1-81e3-4965ea8e45bb</vt:lpwstr>
  </property>
  <property fmtid="{D5CDD505-2E9C-101B-9397-08002B2CF9AE}" pid="7" name="MSIP_Label_511d2ef4-471a-450b-b804-da016b8121de_ActionId">
    <vt:lpwstr>238804aa-7a5c-446f-9061-c4f35445fac7</vt:lpwstr>
  </property>
  <property fmtid="{D5CDD505-2E9C-101B-9397-08002B2CF9AE}" pid="8" name="MSIP_Label_511d2ef4-471a-450b-b804-da016b8121de_ContentBits">
    <vt:lpwstr>2</vt:lpwstr>
  </property>
</Properties>
</file>