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\Documents\"/>
    </mc:Choice>
  </mc:AlternateContent>
  <xr:revisionPtr revIDLastSave="0" documentId="13_ncr:1_{0E7A6F77-DBCD-44FD-903F-6084A43DDDF1}" xr6:coauthVersionLast="46" xr6:coauthVersionMax="46" xr10:uidLastSave="{00000000-0000-0000-0000-000000000000}"/>
  <bookViews>
    <workbookView xWindow="8955" yWindow="2850" windowWidth="9600" windowHeight="7185" firstSheet="3" activeTab="3" xr2:uid="{9D9E5F89-4412-4993-A406-752E5EBB9C18}"/>
  </bookViews>
  <sheets>
    <sheet name="Payroll" sheetId="1" r:id="rId1"/>
    <sheet name="Gradebook" sheetId="2" r:id="rId2"/>
    <sheet name="Decision Factors" sheetId="3" r:id="rId3"/>
    <sheet name="Sales PivotTable" sheetId="5" r:id="rId4"/>
    <sheet name="Sales Report" sheetId="4" r:id="rId5"/>
    <sheet name="Car PivotTable" sheetId="8" r:id="rId6"/>
    <sheet name="Car Inventory" sheetId="6" r:id="rId7"/>
    <sheet name="Loan Payment" sheetId="9" r:id="rId8"/>
    <sheet name="School Supplies" sheetId="10" r:id="rId9"/>
  </sheets>
  <definedNames>
    <definedName name="_xlnm._FilterDatabase" localSheetId="4" hidden="1">'Sales Report'!$A$1:$K$172</definedName>
  </definedNames>
  <calcPr calcId="191029"/>
  <pivotCaches>
    <pivotCache cacheId="2" r:id="rId10"/>
    <pivotCache cacheId="16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10" l="1"/>
  <c r="I19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G4" i="10"/>
  <c r="H4" i="10"/>
  <c r="G5" i="10"/>
  <c r="H5" i="10"/>
  <c r="G6" i="10"/>
  <c r="H6" i="10"/>
  <c r="G7" i="10"/>
  <c r="H7" i="10"/>
  <c r="G8" i="10"/>
  <c r="H8" i="10"/>
  <c r="G9" i="10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G16" i="10"/>
  <c r="H16" i="10"/>
  <c r="G17" i="10"/>
  <c r="H17" i="10"/>
  <c r="H3" i="10"/>
  <c r="G19" i="10"/>
  <c r="G3" i="10"/>
  <c r="C18" i="10" a="1"/>
  <c r="C18" i="10"/>
  <c r="D18" i="10" a="1"/>
  <c r="D18" i="10"/>
  <c r="B18" i="10" a="1"/>
  <c r="B18" i="10"/>
  <c r="E3" i="9"/>
  <c r="F3" i="9"/>
  <c r="G3" i="9" s="1"/>
  <c r="E4" i="9"/>
  <c r="F4" i="9" s="1"/>
  <c r="G4" i="9" s="1"/>
  <c r="E5" i="9"/>
  <c r="F5" i="9"/>
  <c r="G5" i="9" s="1"/>
  <c r="E2" i="9"/>
  <c r="F2" i="9" s="1"/>
  <c r="G2" i="9" s="1"/>
  <c r="M31" i="6"/>
  <c r="M20" i="6"/>
  <c r="M33" i="6"/>
  <c r="M36" i="6"/>
  <c r="M27" i="6"/>
  <c r="M18" i="6"/>
  <c r="M32" i="6"/>
  <c r="M22" i="6"/>
  <c r="M23" i="6"/>
  <c r="M48" i="6"/>
  <c r="M37" i="6"/>
  <c r="M52" i="6"/>
  <c r="M46" i="6"/>
  <c r="M47" i="6"/>
  <c r="M50" i="6"/>
  <c r="M35" i="6"/>
  <c r="M13" i="6"/>
  <c r="M8" i="6"/>
  <c r="M2" i="6"/>
  <c r="M5" i="6"/>
  <c r="M4" i="6"/>
  <c r="M16" i="6"/>
  <c r="M7" i="6"/>
  <c r="M21" i="6"/>
  <c r="M6" i="6"/>
  <c r="M44" i="6"/>
  <c r="M25" i="6"/>
  <c r="M45" i="6"/>
  <c r="M10" i="6"/>
  <c r="M17" i="6"/>
  <c r="M49" i="6"/>
  <c r="M28" i="6"/>
  <c r="M29" i="6"/>
  <c r="M41" i="6"/>
  <c r="M51" i="6"/>
  <c r="M11" i="6"/>
  <c r="M15" i="6"/>
  <c r="M24" i="6"/>
  <c r="M19" i="6"/>
  <c r="M53" i="6"/>
  <c r="M9" i="6"/>
  <c r="M30" i="6"/>
  <c r="M39" i="6"/>
  <c r="M14" i="6"/>
  <c r="M12" i="6"/>
  <c r="M3" i="6"/>
  <c r="M26" i="6"/>
  <c r="M34" i="6"/>
  <c r="M43" i="6"/>
  <c r="M42" i="6"/>
  <c r="M38" i="6"/>
  <c r="M40" i="6"/>
  <c r="F31" i="6"/>
  <c r="G31" i="6" s="1"/>
  <c r="I31" i="6" s="1"/>
  <c r="F20" i="6"/>
  <c r="G20" i="6" s="1"/>
  <c r="I20" i="6" s="1"/>
  <c r="F33" i="6"/>
  <c r="G33" i="6" s="1"/>
  <c r="I33" i="6" s="1"/>
  <c r="F36" i="6"/>
  <c r="G36" i="6" s="1"/>
  <c r="I36" i="6" s="1"/>
  <c r="F27" i="6"/>
  <c r="G27" i="6" s="1"/>
  <c r="I27" i="6" s="1"/>
  <c r="F18" i="6"/>
  <c r="G18" i="6" s="1"/>
  <c r="I18" i="6" s="1"/>
  <c r="F32" i="6"/>
  <c r="G32" i="6" s="1"/>
  <c r="I32" i="6" s="1"/>
  <c r="F22" i="6"/>
  <c r="G22" i="6" s="1"/>
  <c r="I22" i="6" s="1"/>
  <c r="F23" i="6"/>
  <c r="G23" i="6" s="1"/>
  <c r="I23" i="6" s="1"/>
  <c r="F48" i="6"/>
  <c r="G48" i="6" s="1"/>
  <c r="I48" i="6" s="1"/>
  <c r="F37" i="6"/>
  <c r="G37" i="6" s="1"/>
  <c r="I37" i="6" s="1"/>
  <c r="F52" i="6"/>
  <c r="G52" i="6" s="1"/>
  <c r="I52" i="6" s="1"/>
  <c r="F46" i="6"/>
  <c r="G46" i="6" s="1"/>
  <c r="I46" i="6" s="1"/>
  <c r="F47" i="6"/>
  <c r="G47" i="6" s="1"/>
  <c r="I47" i="6" s="1"/>
  <c r="F50" i="6"/>
  <c r="G50" i="6" s="1"/>
  <c r="I50" i="6" s="1"/>
  <c r="F35" i="6"/>
  <c r="G35" i="6" s="1"/>
  <c r="I35" i="6" s="1"/>
  <c r="F13" i="6"/>
  <c r="G13" i="6" s="1"/>
  <c r="I13" i="6" s="1"/>
  <c r="F8" i="6"/>
  <c r="G8" i="6" s="1"/>
  <c r="I8" i="6" s="1"/>
  <c r="F2" i="6"/>
  <c r="G2" i="6" s="1"/>
  <c r="I2" i="6" s="1"/>
  <c r="F5" i="6"/>
  <c r="G5" i="6" s="1"/>
  <c r="I5" i="6" s="1"/>
  <c r="F4" i="6"/>
  <c r="G4" i="6" s="1"/>
  <c r="I4" i="6" s="1"/>
  <c r="F16" i="6"/>
  <c r="G16" i="6" s="1"/>
  <c r="I16" i="6" s="1"/>
  <c r="F7" i="6"/>
  <c r="G7" i="6" s="1"/>
  <c r="I7" i="6" s="1"/>
  <c r="F21" i="6"/>
  <c r="G21" i="6" s="1"/>
  <c r="I21" i="6" s="1"/>
  <c r="F6" i="6"/>
  <c r="G6" i="6" s="1"/>
  <c r="I6" i="6" s="1"/>
  <c r="F44" i="6"/>
  <c r="G44" i="6" s="1"/>
  <c r="I44" i="6" s="1"/>
  <c r="F25" i="6"/>
  <c r="G25" i="6" s="1"/>
  <c r="I25" i="6" s="1"/>
  <c r="F45" i="6"/>
  <c r="G45" i="6" s="1"/>
  <c r="I45" i="6" s="1"/>
  <c r="F10" i="6"/>
  <c r="G10" i="6" s="1"/>
  <c r="I10" i="6" s="1"/>
  <c r="F17" i="6"/>
  <c r="G17" i="6" s="1"/>
  <c r="I17" i="6" s="1"/>
  <c r="F49" i="6"/>
  <c r="G49" i="6" s="1"/>
  <c r="I49" i="6" s="1"/>
  <c r="F28" i="6"/>
  <c r="G28" i="6" s="1"/>
  <c r="I28" i="6" s="1"/>
  <c r="F29" i="6"/>
  <c r="G29" i="6" s="1"/>
  <c r="I29" i="6" s="1"/>
  <c r="F41" i="6"/>
  <c r="G41" i="6" s="1"/>
  <c r="I41" i="6" s="1"/>
  <c r="F51" i="6"/>
  <c r="G51" i="6" s="1"/>
  <c r="I51" i="6" s="1"/>
  <c r="F11" i="6"/>
  <c r="G11" i="6" s="1"/>
  <c r="I11" i="6" s="1"/>
  <c r="F15" i="6"/>
  <c r="G15" i="6" s="1"/>
  <c r="I15" i="6" s="1"/>
  <c r="F24" i="6"/>
  <c r="G24" i="6" s="1"/>
  <c r="I24" i="6" s="1"/>
  <c r="F19" i="6"/>
  <c r="G19" i="6" s="1"/>
  <c r="I19" i="6" s="1"/>
  <c r="F53" i="6"/>
  <c r="G53" i="6" s="1"/>
  <c r="I53" i="6" s="1"/>
  <c r="F9" i="6"/>
  <c r="G9" i="6" s="1"/>
  <c r="I9" i="6" s="1"/>
  <c r="F30" i="6"/>
  <c r="G30" i="6" s="1"/>
  <c r="I30" i="6" s="1"/>
  <c r="F39" i="6"/>
  <c r="G39" i="6" s="1"/>
  <c r="I39" i="6" s="1"/>
  <c r="F14" i="6"/>
  <c r="G14" i="6" s="1"/>
  <c r="I14" i="6" s="1"/>
  <c r="F12" i="6"/>
  <c r="G12" i="6" s="1"/>
  <c r="I12" i="6" s="1"/>
  <c r="F3" i="6"/>
  <c r="G3" i="6" s="1"/>
  <c r="I3" i="6" s="1"/>
  <c r="F26" i="6"/>
  <c r="G26" i="6" s="1"/>
  <c r="I26" i="6" s="1"/>
  <c r="F34" i="6"/>
  <c r="G34" i="6" s="1"/>
  <c r="I34" i="6" s="1"/>
  <c r="F43" i="6"/>
  <c r="G43" i="6" s="1"/>
  <c r="I43" i="6" s="1"/>
  <c r="F42" i="6"/>
  <c r="G42" i="6" s="1"/>
  <c r="I42" i="6" s="1"/>
  <c r="F38" i="6"/>
  <c r="G38" i="6" s="1"/>
  <c r="I38" i="6" s="1"/>
  <c r="F40" i="6"/>
  <c r="G40" i="6" s="1"/>
  <c r="I40" i="6" s="1"/>
  <c r="D31" i="6"/>
  <c r="D20" i="6"/>
  <c r="D33" i="6"/>
  <c r="D36" i="6"/>
  <c r="D27" i="6"/>
  <c r="D18" i="6"/>
  <c r="D32" i="6"/>
  <c r="D22" i="6"/>
  <c r="D23" i="6"/>
  <c r="D48" i="6"/>
  <c r="D37" i="6"/>
  <c r="D52" i="6"/>
  <c r="D46" i="6"/>
  <c r="D47" i="6"/>
  <c r="D50" i="6"/>
  <c r="D35" i="6"/>
  <c r="D13" i="6"/>
  <c r="D8" i="6"/>
  <c r="D2" i="6"/>
  <c r="D5" i="6"/>
  <c r="D4" i="6"/>
  <c r="D16" i="6"/>
  <c r="D7" i="6"/>
  <c r="D21" i="6"/>
  <c r="D6" i="6"/>
  <c r="D44" i="6"/>
  <c r="D25" i="6"/>
  <c r="D45" i="6"/>
  <c r="D10" i="6"/>
  <c r="D17" i="6"/>
  <c r="D49" i="6"/>
  <c r="D28" i="6"/>
  <c r="D29" i="6"/>
  <c r="D41" i="6"/>
  <c r="D51" i="6"/>
  <c r="D11" i="6"/>
  <c r="D15" i="6"/>
  <c r="D24" i="6"/>
  <c r="D19" i="6"/>
  <c r="D53" i="6"/>
  <c r="D9" i="6"/>
  <c r="D30" i="6"/>
  <c r="D39" i="6"/>
  <c r="D14" i="6"/>
  <c r="D12" i="6"/>
  <c r="D3" i="6"/>
  <c r="D26" i="6"/>
  <c r="D34" i="6"/>
  <c r="D43" i="6"/>
  <c r="D42" i="6"/>
  <c r="D38" i="6"/>
  <c r="D40" i="6"/>
  <c r="B31" i="6"/>
  <c r="N31" i="6" s="1"/>
  <c r="B20" i="6"/>
  <c r="N20" i="6" s="1"/>
  <c r="B33" i="6"/>
  <c r="N33" i="6" s="1"/>
  <c r="B36" i="6"/>
  <c r="N36" i="6" s="1"/>
  <c r="B27" i="6"/>
  <c r="N27" i="6" s="1"/>
  <c r="B18" i="6"/>
  <c r="N18" i="6" s="1"/>
  <c r="B32" i="6"/>
  <c r="N32" i="6" s="1"/>
  <c r="B22" i="6"/>
  <c r="N22" i="6" s="1"/>
  <c r="B23" i="6"/>
  <c r="N23" i="6" s="1"/>
  <c r="B48" i="6"/>
  <c r="N48" i="6" s="1"/>
  <c r="B37" i="6"/>
  <c r="N37" i="6" s="1"/>
  <c r="B52" i="6"/>
  <c r="N52" i="6" s="1"/>
  <c r="B46" i="6"/>
  <c r="N46" i="6" s="1"/>
  <c r="B47" i="6"/>
  <c r="N47" i="6" s="1"/>
  <c r="B50" i="6"/>
  <c r="N50" i="6" s="1"/>
  <c r="B35" i="6"/>
  <c r="N35" i="6" s="1"/>
  <c r="B13" i="6"/>
  <c r="N13" i="6" s="1"/>
  <c r="B8" i="6"/>
  <c r="N8" i="6" s="1"/>
  <c r="B2" i="6"/>
  <c r="N2" i="6" s="1"/>
  <c r="B5" i="6"/>
  <c r="N5" i="6" s="1"/>
  <c r="B4" i="6"/>
  <c r="N4" i="6" s="1"/>
  <c r="B16" i="6"/>
  <c r="N16" i="6" s="1"/>
  <c r="B7" i="6"/>
  <c r="N7" i="6" s="1"/>
  <c r="B21" i="6"/>
  <c r="N21" i="6" s="1"/>
  <c r="B6" i="6"/>
  <c r="N6" i="6" s="1"/>
  <c r="B44" i="6"/>
  <c r="N44" i="6" s="1"/>
  <c r="B25" i="6"/>
  <c r="N25" i="6" s="1"/>
  <c r="B45" i="6"/>
  <c r="N45" i="6" s="1"/>
  <c r="B10" i="6"/>
  <c r="N10" i="6" s="1"/>
  <c r="B17" i="6"/>
  <c r="N17" i="6" s="1"/>
  <c r="B49" i="6"/>
  <c r="N49" i="6" s="1"/>
  <c r="B28" i="6"/>
  <c r="N28" i="6" s="1"/>
  <c r="B29" i="6"/>
  <c r="N29" i="6" s="1"/>
  <c r="B41" i="6"/>
  <c r="N41" i="6" s="1"/>
  <c r="B51" i="6"/>
  <c r="N51" i="6" s="1"/>
  <c r="B11" i="6"/>
  <c r="N11" i="6" s="1"/>
  <c r="B15" i="6"/>
  <c r="N15" i="6" s="1"/>
  <c r="B24" i="6"/>
  <c r="N24" i="6" s="1"/>
  <c r="B19" i="6"/>
  <c r="N19" i="6" s="1"/>
  <c r="B53" i="6"/>
  <c r="N53" i="6" s="1"/>
  <c r="B9" i="6"/>
  <c r="N9" i="6" s="1"/>
  <c r="B30" i="6"/>
  <c r="N30" i="6" s="1"/>
  <c r="B39" i="6"/>
  <c r="N39" i="6" s="1"/>
  <c r="B14" i="6"/>
  <c r="N14" i="6" s="1"/>
  <c r="B12" i="6"/>
  <c r="N12" i="6" s="1"/>
  <c r="B3" i="6"/>
  <c r="N3" i="6" s="1"/>
  <c r="B26" i="6"/>
  <c r="N26" i="6" s="1"/>
  <c r="B34" i="6"/>
  <c r="N34" i="6" s="1"/>
  <c r="B43" i="6"/>
  <c r="N43" i="6" s="1"/>
  <c r="B42" i="6"/>
  <c r="N42" i="6" s="1"/>
  <c r="B38" i="6"/>
  <c r="N38" i="6" s="1"/>
  <c r="B40" i="6"/>
  <c r="N40" i="6" s="1"/>
  <c r="F176" i="4"/>
  <c r="F175" i="4"/>
  <c r="F174" i="4"/>
  <c r="G3" i="4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H56" i="4" s="1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G79" i="4"/>
  <c r="H79" i="4" s="1"/>
  <c r="G80" i="4"/>
  <c r="H80" i="4" s="1"/>
  <c r="G81" i="4"/>
  <c r="H81" i="4" s="1"/>
  <c r="G82" i="4"/>
  <c r="H82" i="4" s="1"/>
  <c r="G83" i="4"/>
  <c r="H83" i="4" s="1"/>
  <c r="G84" i="4"/>
  <c r="H84" i="4" s="1"/>
  <c r="G85" i="4"/>
  <c r="H85" i="4" s="1"/>
  <c r="G86" i="4"/>
  <c r="H86" i="4" s="1"/>
  <c r="G87" i="4"/>
  <c r="H87" i="4" s="1"/>
  <c r="G88" i="4"/>
  <c r="H88" i="4"/>
  <c r="G89" i="4"/>
  <c r="H89" i="4"/>
  <c r="G90" i="4"/>
  <c r="H90" i="4"/>
  <c r="G91" i="4"/>
  <c r="H91" i="4"/>
  <c r="G92" i="4"/>
  <c r="H92" i="4"/>
  <c r="G93" i="4"/>
  <c r="H93" i="4"/>
  <c r="G94" i="4"/>
  <c r="H94" i="4"/>
  <c r="G95" i="4"/>
  <c r="H95" i="4"/>
  <c r="G96" i="4"/>
  <c r="H96" i="4"/>
  <c r="G97" i="4"/>
  <c r="H97" i="4"/>
  <c r="G98" i="4"/>
  <c r="H98" i="4"/>
  <c r="G99" i="4"/>
  <c r="H99" i="4"/>
  <c r="G100" i="4"/>
  <c r="H100" i="4"/>
  <c r="G101" i="4"/>
  <c r="H101" i="4"/>
  <c r="G102" i="4"/>
  <c r="H102" i="4"/>
  <c r="G103" i="4"/>
  <c r="H103" i="4"/>
  <c r="G104" i="4"/>
  <c r="H104" i="4"/>
  <c r="G105" i="4"/>
  <c r="H105" i="4"/>
  <c r="G106" i="4"/>
  <c r="H106" i="4"/>
  <c r="G107" i="4"/>
  <c r="H107" i="4"/>
  <c r="G108" i="4"/>
  <c r="H108" i="4"/>
  <c r="G109" i="4"/>
  <c r="H109" i="4"/>
  <c r="G110" i="4"/>
  <c r="H110" i="4"/>
  <c r="G111" i="4"/>
  <c r="H111" i="4"/>
  <c r="G112" i="4"/>
  <c r="H112" i="4"/>
  <c r="G113" i="4"/>
  <c r="H113" i="4"/>
  <c r="G114" i="4"/>
  <c r="H114" i="4"/>
  <c r="G115" i="4"/>
  <c r="H115" i="4"/>
  <c r="G116" i="4"/>
  <c r="H116" i="4"/>
  <c r="G117" i="4"/>
  <c r="H117" i="4"/>
  <c r="G118" i="4"/>
  <c r="H118" i="4"/>
  <c r="G119" i="4"/>
  <c r="H119" i="4"/>
  <c r="G120" i="4"/>
  <c r="H120" i="4"/>
  <c r="G121" i="4"/>
  <c r="H121" i="4"/>
  <c r="G122" i="4"/>
  <c r="H122" i="4"/>
  <c r="G123" i="4"/>
  <c r="H123" i="4"/>
  <c r="G124" i="4"/>
  <c r="H124" i="4"/>
  <c r="G125" i="4"/>
  <c r="H125" i="4"/>
  <c r="G126" i="4"/>
  <c r="H126" i="4"/>
  <c r="G127" i="4"/>
  <c r="H127" i="4"/>
  <c r="G128" i="4"/>
  <c r="H128" i="4"/>
  <c r="G129" i="4"/>
  <c r="H129" i="4"/>
  <c r="G130" i="4"/>
  <c r="H130" i="4"/>
  <c r="G131" i="4"/>
  <c r="H131" i="4"/>
  <c r="G132" i="4"/>
  <c r="H132" i="4"/>
  <c r="G133" i="4"/>
  <c r="H133" i="4"/>
  <c r="G134" i="4"/>
  <c r="H134" i="4"/>
  <c r="G135" i="4"/>
  <c r="H135" i="4"/>
  <c r="G136" i="4"/>
  <c r="H136" i="4"/>
  <c r="G137" i="4"/>
  <c r="H137" i="4"/>
  <c r="G138" i="4"/>
  <c r="H138" i="4"/>
  <c r="G139" i="4"/>
  <c r="H139" i="4"/>
  <c r="G140" i="4"/>
  <c r="H140" i="4"/>
  <c r="G141" i="4"/>
  <c r="H141" i="4"/>
  <c r="G142" i="4"/>
  <c r="H142" i="4"/>
  <c r="G143" i="4"/>
  <c r="H143" i="4"/>
  <c r="G144" i="4"/>
  <c r="H144" i="4"/>
  <c r="G145" i="4"/>
  <c r="H145" i="4"/>
  <c r="G146" i="4"/>
  <c r="H146" i="4"/>
  <c r="G147" i="4"/>
  <c r="H147" i="4"/>
  <c r="G148" i="4"/>
  <c r="H148" i="4"/>
  <c r="G149" i="4"/>
  <c r="H149" i="4"/>
  <c r="G150" i="4"/>
  <c r="H150" i="4"/>
  <c r="G151" i="4"/>
  <c r="H151" i="4"/>
  <c r="G152" i="4"/>
  <c r="H152" i="4"/>
  <c r="G153" i="4"/>
  <c r="H153" i="4"/>
  <c r="G154" i="4"/>
  <c r="H154" i="4"/>
  <c r="G155" i="4"/>
  <c r="H155" i="4"/>
  <c r="G156" i="4"/>
  <c r="H156" i="4"/>
  <c r="G157" i="4"/>
  <c r="H157" i="4"/>
  <c r="G158" i="4"/>
  <c r="H158" i="4"/>
  <c r="G159" i="4"/>
  <c r="H159" i="4"/>
  <c r="G160" i="4"/>
  <c r="H160" i="4"/>
  <c r="G161" i="4"/>
  <c r="H161" i="4"/>
  <c r="G162" i="4"/>
  <c r="H162" i="4"/>
  <c r="G163" i="4"/>
  <c r="H163" i="4"/>
  <c r="G164" i="4"/>
  <c r="H164" i="4"/>
  <c r="G165" i="4"/>
  <c r="H165" i="4"/>
  <c r="G166" i="4"/>
  <c r="H166" i="4"/>
  <c r="G167" i="4"/>
  <c r="H167" i="4"/>
  <c r="G168" i="4"/>
  <c r="H168" i="4"/>
  <c r="G169" i="4"/>
  <c r="H169" i="4"/>
  <c r="G170" i="4"/>
  <c r="H170" i="4"/>
  <c r="G171" i="4"/>
  <c r="H171" i="4"/>
  <c r="G172" i="4"/>
  <c r="H172" i="4"/>
  <c r="G2" i="4"/>
  <c r="H2" i="4" s="1"/>
  <c r="L6" i="3"/>
  <c r="L7" i="3"/>
  <c r="L8" i="3"/>
  <c r="L9" i="3"/>
  <c r="L5" i="3"/>
  <c r="K9" i="3"/>
  <c r="K8" i="3"/>
  <c r="K7" i="3"/>
  <c r="K6" i="3"/>
  <c r="K5" i="3"/>
  <c r="I9" i="3"/>
  <c r="I8" i="3"/>
  <c r="I7" i="3"/>
  <c r="I6" i="3"/>
  <c r="I5" i="3"/>
  <c r="G9" i="3"/>
  <c r="G8" i="3"/>
  <c r="G7" i="3"/>
  <c r="G6" i="3"/>
  <c r="G5" i="3"/>
  <c r="E6" i="3"/>
  <c r="E7" i="3"/>
  <c r="E8" i="3"/>
  <c r="E9" i="3"/>
  <c r="E5" i="3"/>
  <c r="C6" i="3"/>
  <c r="C7" i="3"/>
  <c r="C8" i="3"/>
  <c r="C9" i="3"/>
  <c r="C5" i="3"/>
  <c r="J4" i="2"/>
  <c r="I22" i="2"/>
  <c r="J22" i="2"/>
  <c r="K22" i="2"/>
  <c r="I23" i="2"/>
  <c r="J23" i="2"/>
  <c r="K23" i="2"/>
  <c r="I24" i="2"/>
  <c r="J24" i="2"/>
  <c r="K24" i="2"/>
  <c r="H23" i="2"/>
  <c r="H24" i="2"/>
  <c r="H22" i="2"/>
  <c r="D22" i="2"/>
  <c r="E22" i="2"/>
  <c r="F22" i="2"/>
  <c r="D23" i="2"/>
  <c r="E23" i="2"/>
  <c r="F23" i="2"/>
  <c r="D24" i="2"/>
  <c r="E24" i="2"/>
  <c r="F24" i="2"/>
  <c r="C24" i="2"/>
  <c r="C23" i="2"/>
  <c r="C22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4" i="2"/>
  <c r="I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4" i="2"/>
  <c r="AD25" i="1"/>
  <c r="AD24" i="1"/>
  <c r="AD23" i="1"/>
  <c r="AD22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4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Y4" i="1"/>
  <c r="Z4" i="1"/>
  <c r="AA4" i="1"/>
  <c r="AB4" i="1"/>
  <c r="Y5" i="1"/>
  <c r="Z5" i="1"/>
  <c r="AA5" i="1"/>
  <c r="AB5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18" i="1"/>
  <c r="Y19" i="1"/>
  <c r="Z19" i="1"/>
  <c r="AA19" i="1"/>
  <c r="AB19" i="1"/>
  <c r="Y20" i="1"/>
  <c r="Z20" i="1"/>
  <c r="AA20" i="1"/>
  <c r="AB20" i="1"/>
  <c r="Z3" i="1"/>
  <c r="AA3" i="1"/>
  <c r="AB3" i="1" s="1"/>
  <c r="Y3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S5" i="1"/>
  <c r="S6" i="1"/>
  <c r="S7" i="1"/>
  <c r="S8" i="1"/>
  <c r="S9" i="1"/>
  <c r="S10" i="1"/>
  <c r="S11" i="1"/>
  <c r="S12" i="1"/>
  <c r="X12" i="1" s="1"/>
  <c r="S13" i="1"/>
  <c r="S14" i="1"/>
  <c r="S15" i="1"/>
  <c r="S16" i="1"/>
  <c r="S17" i="1"/>
  <c r="S18" i="1"/>
  <c r="S19" i="1"/>
  <c r="S20" i="1"/>
  <c r="S4" i="1"/>
  <c r="U3" i="1"/>
  <c r="V3" i="1"/>
  <c r="W3" i="1" s="1"/>
  <c r="T3" i="1"/>
  <c r="R4" i="1"/>
  <c r="O4" i="1"/>
  <c r="P4" i="1"/>
  <c r="Q4" i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N5" i="1"/>
  <c r="N6" i="1"/>
  <c r="N7" i="1"/>
  <c r="N8" i="1"/>
  <c r="X8" i="1" s="1"/>
  <c r="N9" i="1"/>
  <c r="N10" i="1"/>
  <c r="N11" i="1"/>
  <c r="N12" i="1"/>
  <c r="N13" i="1"/>
  <c r="N14" i="1"/>
  <c r="N15" i="1"/>
  <c r="N16" i="1"/>
  <c r="X16" i="1" s="1"/>
  <c r="N17" i="1"/>
  <c r="N18" i="1"/>
  <c r="N19" i="1"/>
  <c r="N20" i="1"/>
  <c r="N4" i="1"/>
  <c r="O3" i="1"/>
  <c r="P3" i="1" s="1"/>
  <c r="Q3" i="1" s="1"/>
  <c r="R3" i="1" s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3" i="1"/>
  <c r="K3" i="1" s="1"/>
  <c r="L3" i="1" s="1"/>
  <c r="M3" i="1" s="1"/>
  <c r="E3" i="1"/>
  <c r="F3" i="1" s="1"/>
  <c r="G3" i="1" s="1"/>
  <c r="H3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D25" i="1"/>
  <c r="D23" i="1"/>
  <c r="D24" i="1"/>
  <c r="D22" i="1"/>
  <c r="C24" i="1"/>
  <c r="C23" i="1"/>
  <c r="C22" i="1"/>
  <c r="X20" i="1"/>
  <c r="X18" i="1" l="1"/>
  <c r="X14" i="1"/>
  <c r="X10" i="1"/>
  <c r="X6" i="1"/>
  <c r="X4" i="1"/>
  <c r="X19" i="1"/>
  <c r="X17" i="1"/>
  <c r="X15" i="1"/>
  <c r="X13" i="1"/>
  <c r="X11" i="1"/>
  <c r="X9" i="1"/>
  <c r="X7" i="1"/>
  <c r="X5" i="1"/>
  <c r="N23" i="1"/>
  <c r="N25" i="1"/>
  <c r="N24" i="1"/>
  <c r="N22" i="1"/>
  <c r="C48" i="6"/>
  <c r="C9" i="6"/>
  <c r="C37" i="6"/>
  <c r="C27" i="6"/>
  <c r="C20" i="6"/>
  <c r="C14" i="6"/>
  <c r="C12" i="6"/>
  <c r="C52" i="6"/>
  <c r="C22" i="6"/>
  <c r="C26" i="6"/>
  <c r="C32" i="6"/>
  <c r="C30" i="6"/>
  <c r="C36" i="6"/>
  <c r="C3" i="6"/>
  <c r="C18" i="6"/>
  <c r="C33" i="6"/>
  <c r="C40" i="6"/>
  <c r="C31" i="6"/>
  <c r="C23" i="6"/>
  <c r="C39" i="6"/>
  <c r="C46" i="6"/>
  <c r="C8" i="6"/>
  <c r="C50" i="6"/>
  <c r="C35" i="6"/>
  <c r="C47" i="6"/>
  <c r="C13" i="6"/>
  <c r="C28" i="6"/>
  <c r="C51" i="6"/>
  <c r="C53" i="6"/>
  <c r="C17" i="6"/>
  <c r="C41" i="6"/>
  <c r="C19" i="6"/>
  <c r="C24" i="6"/>
  <c r="C11" i="6"/>
  <c r="C10" i="6"/>
  <c r="C29" i="6"/>
  <c r="C15" i="6"/>
  <c r="C49" i="6"/>
  <c r="E7" i="6"/>
  <c r="E29" i="6"/>
  <c r="E17" i="6"/>
  <c r="E3" i="6"/>
  <c r="E14" i="6"/>
  <c r="E5" i="6"/>
  <c r="E10" i="6"/>
  <c r="E12" i="6"/>
  <c r="E16" i="6"/>
  <c r="E4" i="6"/>
  <c r="E28" i="6"/>
  <c r="E49" i="6"/>
  <c r="E26" i="6"/>
  <c r="E2" i="6"/>
  <c r="E41" i="6"/>
  <c r="E45" i="6"/>
  <c r="E51" i="6"/>
  <c r="C6" i="6"/>
  <c r="C4" i="6"/>
  <c r="C7" i="6"/>
  <c r="C21" i="6"/>
  <c r="C5" i="6"/>
  <c r="C2" i="6"/>
  <c r="C25" i="6"/>
  <c r="C16" i="6"/>
  <c r="C45" i="6"/>
  <c r="C44" i="6"/>
  <c r="C42" i="6"/>
  <c r="C38" i="6"/>
  <c r="C43" i="6"/>
  <c r="C34" i="6"/>
  <c r="E11" i="6"/>
  <c r="E15" i="6"/>
  <c r="E13" i="6"/>
  <c r="E19" i="6"/>
  <c r="E35" i="6"/>
  <c r="E9" i="6"/>
  <c r="E24" i="6"/>
  <c r="E30" i="6"/>
  <c r="E39" i="6"/>
  <c r="E53" i="6"/>
  <c r="E8" i="6"/>
  <c r="E42" i="6"/>
  <c r="E50" i="6"/>
  <c r="E21" i="6"/>
  <c r="E6" i="6"/>
  <c r="E34" i="6"/>
  <c r="E44" i="6"/>
  <c r="E25" i="6"/>
  <c r="E38" i="6"/>
  <c r="E43" i="6"/>
  <c r="E47" i="6"/>
  <c r="E46" i="6"/>
  <c r="E40" i="6"/>
  <c r="E20" i="6"/>
  <c r="E36" i="6"/>
  <c r="E33" i="6"/>
  <c r="E52" i="6"/>
  <c r="E31" i="6"/>
  <c r="E22" i="6"/>
  <c r="E23" i="6"/>
  <c r="E27" i="6"/>
  <c r="E37" i="6"/>
  <c r="E32" i="6"/>
  <c r="E48" i="6"/>
  <c r="E18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AF9B22-AF55-4F3A-B64F-7672E1D39420}" keepAlive="1" name="Query - car inventory" description="Connection to the 'car inventory' query in the workbook." type="5" refreshedVersion="6" background="1">
    <dbPr connection="Provider=Microsoft.Mashup.OleDb.1;Data Source=$Workbook$;Location=&quot;car inventory&quot;;Extended Properties=&quot;&quot;" command="SELECT * FROM [car invento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<sst xmlns="http://schemas.openxmlformats.org/spreadsheetml/2006/main" count="1388" uniqueCount="266">
  <si>
    <t>Employee Payroll</t>
  </si>
  <si>
    <t>Last Name</t>
  </si>
  <si>
    <t>First Name</t>
  </si>
  <si>
    <t>Hourly Wage</t>
  </si>
  <si>
    <t>Hours Worked</t>
  </si>
  <si>
    <t>Pay</t>
  </si>
  <si>
    <t>Kern</t>
  </si>
  <si>
    <t>Jon</t>
  </si>
  <si>
    <t>Howard</t>
  </si>
  <si>
    <t>Glenda</t>
  </si>
  <si>
    <t>Ron</t>
  </si>
  <si>
    <t>Hernandez</t>
  </si>
  <si>
    <t>Wendy</t>
  </si>
  <si>
    <t>O'Donald</t>
  </si>
  <si>
    <t>Smith</t>
  </si>
  <si>
    <t>Paul</t>
  </si>
  <si>
    <t>Baker</t>
  </si>
  <si>
    <t>Tom</t>
  </si>
  <si>
    <t>Velinda</t>
  </si>
  <si>
    <t>Nancy</t>
  </si>
  <si>
    <t>Camehan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</si>
  <si>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</si>
  <si>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</si>
  <si>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</si>
  <si>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</si>
  <si>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</si>
  <si>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</si>
  <si>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</si>
  <si>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</si>
  <si>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</si>
  <si>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</si>
  <si>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</si>
  <si>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Norman</t>
  </si>
  <si>
    <t>Bill</t>
  </si>
  <si>
    <t>Mann</t>
  </si>
  <si>
    <t>Trent</t>
  </si>
  <si>
    <t>Underhill</t>
  </si>
  <si>
    <t>Genesis</t>
  </si>
  <si>
    <t>Engleheart</t>
  </si>
  <si>
    <t>Chandra</t>
  </si>
  <si>
    <t>Max</t>
  </si>
  <si>
    <t>Min</t>
  </si>
  <si>
    <t>Average</t>
  </si>
  <si>
    <t>Total</t>
  </si>
  <si>
    <t>Xavier Meyer</t>
  </si>
  <si>
    <t>Overtime Hours</t>
  </si>
  <si>
    <t>Overtime Bonus</t>
  </si>
  <si>
    <t>January Pay</t>
  </si>
  <si>
    <t>Gradebook</t>
  </si>
  <si>
    <t>Safety Test</t>
  </si>
  <si>
    <t>Company Philosophy Test</t>
  </si>
  <si>
    <t>Financial Skills Test</t>
  </si>
  <si>
    <t>Drug Test</t>
  </si>
  <si>
    <t>Points Possible</t>
  </si>
  <si>
    <t>Fire Employee?</t>
  </si>
  <si>
    <t>Job</t>
  </si>
  <si>
    <t>McDonalds Manager</t>
  </si>
  <si>
    <t>Doctor</t>
  </si>
  <si>
    <t>NFL</t>
  </si>
  <si>
    <t>Engineer</t>
  </si>
  <si>
    <t>Truck Driver</t>
  </si>
  <si>
    <t>Career Decision</t>
  </si>
  <si>
    <t>Job Market</t>
  </si>
  <si>
    <t>Enjoyment</t>
  </si>
  <si>
    <t>My Talent</t>
  </si>
  <si>
    <t>Schooling</t>
  </si>
  <si>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</si>
  <si>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</si>
  <si>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</si>
  <si>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</si>
  <si>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</si>
  <si>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</si>
  <si>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</si>
  <si>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Sale Location</t>
  </si>
  <si>
    <t>Jan</t>
  </si>
  <si>
    <t>Pool Cover</t>
  </si>
  <si>
    <t>NM</t>
  </si>
  <si>
    <t>Net</t>
  </si>
  <si>
    <t>CA</t>
  </si>
  <si>
    <t>8 ft Hose</t>
  </si>
  <si>
    <t>AZ</t>
  </si>
  <si>
    <t>Water Pump</t>
  </si>
  <si>
    <t>Chlorine Test Kit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</si>
  <si>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</si>
  <si>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</si>
  <si>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</si>
  <si>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</si>
  <si>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</si>
  <si>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</si>
  <si>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</si>
  <si>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</si>
  <si>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</si>
  <si>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</si>
  <si>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</si>
  <si>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</si>
  <si>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</si>
  <si>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</si>
  <si>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</si>
  <si>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</si>
  <si>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</si>
  <si>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</si>
  <si>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</si>
  <si>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Chalie</t>
  </si>
  <si>
    <t>Barns</t>
  </si>
  <si>
    <t>Juan</t>
  </si>
  <si>
    <t>Doug</t>
  </si>
  <si>
    <t>Hellen</t>
  </si>
  <si>
    <t>Johnson</t>
  </si>
  <si>
    <t>Commision 10% for items less than $50. 20% for items more than $50</t>
  </si>
  <si>
    <t>Sum of all items</t>
  </si>
  <si>
    <t>Sum of items valued at more than $50</t>
  </si>
  <si>
    <t>Sum of items valued at $50 or less</t>
  </si>
  <si>
    <t>Sum of Sale Price</t>
  </si>
  <si>
    <t>Row Labels</t>
  </si>
  <si>
    <t>Grand Total</t>
  </si>
  <si>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</si>
  <si>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</si>
  <si>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</si>
  <si>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</si>
  <si>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</si>
  <si>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</si>
  <si>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</si>
  <si>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</si>
  <si>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</si>
  <si>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</si>
  <si>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</si>
  <si>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</si>
  <si>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</si>
  <si>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</si>
  <si>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</si>
  <si>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/>
  </si>
  <si>
    <t>Black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</si>
  <si>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</si>
  <si>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</si>
  <si>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</si>
  <si>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</si>
  <si>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</si>
  <si>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</si>
  <si>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</si>
  <si>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</si>
  <si>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</si>
  <si>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</si>
  <si>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</si>
  <si>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</si>
  <si>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</si>
  <si>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</si>
  <si>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</si>
  <si>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</si>
  <si>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</si>
  <si>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</si>
  <si>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</si>
  <si>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</si>
  <si>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</si>
  <si>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</si>
  <si>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</si>
  <si>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</si>
  <si>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</si>
  <si>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</si>
  <si>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</si>
  <si>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</si>
  <si>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</si>
  <si>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</si>
  <si>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</si>
  <si>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</si>
  <si>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</si>
  <si>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</si>
  <si>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</si>
  <si>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</si>
  <si>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</si>
  <si>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</si>
  <si>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</si>
  <si>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</si>
  <si>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</si>
  <si>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</si>
  <si>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</si>
  <si>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</si>
  <si>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</si>
  <si>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</si>
  <si>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</si>
  <si>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</si>
  <si>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</si>
  <si>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</si>
  <si>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</si>
  <si>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</si>
  <si>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</si>
  <si>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</si>
  <si>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</si>
  <si>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</si>
  <si>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</si>
  <si>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</si>
  <si>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</si>
  <si>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</si>
  <si>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</si>
  <si>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</si>
  <si>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</si>
  <si>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</si>
  <si>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</si>
  <si>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</si>
  <si>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</si>
  <si>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</si>
  <si>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</si>
  <si>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</si>
  <si>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</si>
  <si>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</si>
  <si>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</si>
  <si>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Hundai</t>
  </si>
  <si>
    <t>Toyota</t>
  </si>
  <si>
    <t>Honda</t>
  </si>
  <si>
    <t>General Motors</t>
  </si>
  <si>
    <t>Ford</t>
  </si>
  <si>
    <t>Sum of Miles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</si>
  <si>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</si>
  <si>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</si>
  <si>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</si>
  <si>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</si>
  <si>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</si>
  <si>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</si>
  <si>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</si>
  <si>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</si>
  <si>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</si>
  <si>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</si>
  <si>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SIV</t>
  </si>
  <si>
    <t>Camry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</si>
  <si>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</si>
  <si>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</si>
  <si>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</si>
  <si>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</si>
  <si>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</si>
  <si>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</si>
  <si>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</si>
  <si>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</si>
  <si>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</si>
  <si>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Silverado</t>
  </si>
  <si>
    <t>HO01ODY040</t>
  </si>
  <si>
    <t>FD06FCS006</t>
  </si>
  <si>
    <t>HO05ODY037</t>
  </si>
  <si>
    <t>GM09CMR014</t>
  </si>
  <si>
    <t>Principal</t>
  </si>
  <si>
    <t>Interest Rate</t>
  </si>
  <si>
    <t>Months</t>
  </si>
  <si>
    <t>Interest Paid</t>
  </si>
  <si>
    <t>Total Loan Paid</t>
  </si>
  <si>
    <t>Monthly Payment</t>
  </si>
  <si>
    <t>Loan A</t>
  </si>
  <si>
    <t>Loan B</t>
  </si>
  <si>
    <t>Loan C</t>
  </si>
  <si>
    <t>Loan D</t>
  </si>
  <si>
    <t>Dollar Trap</t>
  </si>
  <si>
    <t>Office Repo</t>
  </si>
  <si>
    <t>Ballpoint Pen</t>
  </si>
  <si>
    <t>TI-35 Calculator</t>
  </si>
  <si>
    <t>100 page notebook</t>
  </si>
  <si>
    <t>8 oz Glue</t>
  </si>
  <si>
    <t>Clear Tape</t>
  </si>
  <si>
    <t>Eraser</t>
  </si>
  <si>
    <t>10 No. 2 Pencils</t>
  </si>
  <si>
    <t>2 inch binder</t>
  </si>
  <si>
    <t>USB Stick 5gb</t>
  </si>
  <si>
    <t>8 Color Markers</t>
  </si>
  <si>
    <t>Stapler</t>
  </si>
  <si>
    <t>Planner book</t>
  </si>
  <si>
    <t>Protractor</t>
  </si>
  <si>
    <t>Compass</t>
  </si>
  <si>
    <t>Liquid Paper</t>
  </si>
  <si>
    <t>Susan</t>
  </si>
  <si>
    <t>WaltMart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</si>
</sst>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0.0"/>
    <numFmt numFmtId="173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</cellStyleXfs>
  <cellXfs count="33">
    <xf numFmtId="0" fontId="0" fillId="0" borderId="0" xfId="0"/>
    <xf numFmtId="44" fontId="0" fillId="0" borderId="0" xfId="2" applyFont="1"/>
    <xf numFmtId="44" fontId="0" fillId="0" borderId="0" xfId="0" applyNumberFormat="1"/>
    <xf numFmtId="0" fontId="0" fillId="0" borderId="0" xfId="2" applyNumberFormat="1" applyFont="1"/>
    <xf numFmtId="172" fontId="0" fillId="0" borderId="0" xfId="2" applyNumberFormat="1" applyFont="1"/>
    <xf numFmtId="0" fontId="0" fillId="0" borderId="0" xfId="0" applyNumberFormat="1"/>
    <xf numFmtId="16" fontId="0" fillId="2" borderId="0" xfId="0" applyNumberFormat="1" applyFill="1"/>
    <xf numFmtId="0" fontId="0" fillId="2" borderId="0" xfId="0" applyNumberFormat="1" applyFill="1"/>
    <xf numFmtId="16" fontId="0" fillId="3" borderId="0" xfId="0" applyNumberFormat="1" applyFill="1"/>
    <xf numFmtId="0" fontId="0" fillId="3" borderId="0" xfId="0" applyNumberFormat="1" applyFill="1"/>
    <xf numFmtId="16" fontId="0" fillId="4" borderId="0" xfId="0" applyNumberFormat="1" applyFill="1"/>
    <xf numFmtId="44" fontId="0" fillId="4" borderId="0" xfId="0" applyNumberFormat="1" applyFill="1"/>
    <xf numFmtId="16" fontId="0" fillId="5" borderId="0" xfId="0" applyNumberFormat="1" applyFill="1"/>
    <xf numFmtId="44" fontId="0" fillId="5" borderId="0" xfId="0" applyNumberFormat="1" applyFill="1"/>
    <xf numFmtId="16" fontId="0" fillId="6" borderId="0" xfId="0" applyNumberFormat="1" applyFill="1"/>
    <xf numFmtId="44" fontId="0" fillId="6" borderId="0" xfId="0" applyNumberFormat="1" applyFill="1"/>
    <xf numFmtId="0" fontId="0" fillId="0" borderId="0" xfId="0" applyAlignment="1">
      <alignment textRotation="90"/>
    </xf>
    <xf numFmtId="9" fontId="0" fillId="0" borderId="0" xfId="3" applyFont="1"/>
    <xf numFmtId="9" fontId="0" fillId="0" borderId="0" xfId="0" applyNumberFormat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43" fontId="0" fillId="0" borderId="0" xfId="1" applyFont="1"/>
    <xf numFmtId="0" fontId="0" fillId="0" borderId="0" xfId="0" applyAlignment="1">
      <alignment horizontal="left"/>
    </xf>
    <xf numFmtId="0" fontId="0" fillId="0" borderId="0" xfId="0" pivotButton="1"/>
    <xf numFmtId="44" fontId="2" fillId="0" borderId="0" xfId="2" applyFont="1"/>
    <xf numFmtId="44" fontId="2" fillId="0" borderId="0" xfId="2" applyFont="1" applyAlignment="1">
      <alignment wrapText="1"/>
    </xf>
    <xf numFmtId="0" fontId="2" fillId="0" borderId="0" xfId="4" applyAlignment="1">
      <alignment wrapText="1"/>
    </xf>
    <xf numFmtId="0" fontId="2" fillId="0" borderId="0" xfId="4"/>
    <xf numFmtId="14" fontId="2" fillId="0" borderId="0" xfId="5" applyNumberFormat="1" applyFont="1"/>
    <xf numFmtId="173" fontId="2" fillId="0" borderId="0" xfId="5" applyNumberFormat="1" applyFont="1"/>
  </cellXfs>
  <cellStyles count="6">
    <cellStyle name="Comma" xfId="1" builtinId="3"/>
    <cellStyle name="Comma 2" xfId="5" xr:uid="{E96488E3-B362-4187-86F5-A1F950F421DB}"/>
    <cellStyle name="Currency" xfId="2" builtinId="4"/>
    <cellStyle name="Normal" xfId="0" builtinId="0"/>
    <cellStyle name="Normal 2" xfId="4" xr:uid="{2D993E74-8151-4C5F-B23D-3F749CB2AF03}"/>
    <cellStyle name="Percent" xfId="3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</a:t>
            </a:r>
            <a:r>
              <a:rPr lang="en-US" baseline="0"/>
              <a:t>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Gradebook!$A$4:$A$20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Camehan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Gradebook!$C$4:$C$20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D-444C-9BDD-CC8C9610D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6925200"/>
        <c:axId val="726927280"/>
      </c:barChart>
      <c:catAx>
        <c:axId val="7269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927280"/>
        <c:crosses val="autoZero"/>
        <c:auto val="1"/>
        <c:lblAlgn val="ctr"/>
        <c:lblOffset val="100"/>
        <c:noMultiLvlLbl val="0"/>
      </c:catAx>
      <c:valAx>
        <c:axId val="7269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92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Gradebook!$A$4:$A$20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Camehan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Gradebook!$D$4:$D$20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5E-42BC-BEBF-54AB7F15F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123024"/>
        <c:axId val="640130928"/>
      </c:barChart>
      <c:catAx>
        <c:axId val="64012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30928"/>
        <c:crosses val="autoZero"/>
        <c:auto val="1"/>
        <c:lblAlgn val="ctr"/>
        <c:lblOffset val="100"/>
        <c:noMultiLvlLbl val="0"/>
      </c:catAx>
      <c:valAx>
        <c:axId val="64013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2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 Skills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Gradebook!$A$4:$A$20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Camehan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Gradebook!$E$4:$E$20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FC-49DB-8B04-D4609974E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781376"/>
        <c:axId val="631521888"/>
      </c:barChart>
      <c:catAx>
        <c:axId val="58078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21888"/>
        <c:crosses val="autoZero"/>
        <c:auto val="1"/>
        <c:lblAlgn val="ctr"/>
        <c:lblOffset val="100"/>
        <c:noMultiLvlLbl val="0"/>
      </c:catAx>
      <c:valAx>
        <c:axId val="63152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78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[Payroll_project.xlsx]Sales PivotTable!PivotTable1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'Sales PivotTable'!$B$3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PivotTable'!$A$4:$A$8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'Sales PivotTable'!$B$4:$B$8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9-47F6-B6A9-0C3B17F82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[Payroll_project.xlsx]Car PivotTable!PivotTable6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'Car PivotTable'!$B$3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'Car PivotTable'!$A$4:$A$21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'Car PivotTable'!$B$4:$B$21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C-42C5-8EF3-CB4E0AB51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5662256"/>
        <c:axId val="855669328"/>
      </c:barChart>
      <c:catAx>
        <c:axId val="85566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669328"/>
        <c:crosses val="autoZero"/>
        <c:auto val="1"/>
        <c:lblAlgn val="ctr"/>
        <c:lblOffset val="100"/>
        <c:noMultiLvlLbl val="0"/>
      </c:catAx>
      <c:valAx>
        <c:axId val="85566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66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Inventory'!$G$2:$G$53</c:f>
              <c:numCache>
                <c:formatCode>General</c:formatCode>
                <c:ptCount val="52"/>
                <c:pt idx="0">
                  <c:v>25</c:v>
                </c:pt>
                <c:pt idx="1">
                  <c:v>17</c:v>
                </c:pt>
                <c:pt idx="2">
                  <c:v>21</c:v>
                </c:pt>
                <c:pt idx="3">
                  <c:v>23</c:v>
                </c:pt>
                <c:pt idx="4">
                  <c:v>18</c:v>
                </c:pt>
                <c:pt idx="5">
                  <c:v>12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16</c:v>
                </c:pt>
                <c:pt idx="10">
                  <c:v>21</c:v>
                </c:pt>
                <c:pt idx="11">
                  <c:v>23</c:v>
                </c:pt>
                <c:pt idx="12">
                  <c:v>22</c:v>
                </c:pt>
                <c:pt idx="13">
                  <c:v>14</c:v>
                </c:pt>
                <c:pt idx="14">
                  <c:v>19</c:v>
                </c:pt>
                <c:pt idx="15">
                  <c:v>20</c:v>
                </c:pt>
                <c:pt idx="16">
                  <c:v>15</c:v>
                </c:pt>
                <c:pt idx="17">
                  <c:v>20</c:v>
                </c:pt>
                <c:pt idx="18">
                  <c:v>13</c:v>
                </c:pt>
                <c:pt idx="19">
                  <c:v>19</c:v>
                </c:pt>
                <c:pt idx="20">
                  <c:v>8</c:v>
                </c:pt>
                <c:pt idx="21">
                  <c:v>8</c:v>
                </c:pt>
                <c:pt idx="22">
                  <c:v>13</c:v>
                </c:pt>
                <c:pt idx="23">
                  <c:v>9</c:v>
                </c:pt>
                <c:pt idx="24">
                  <c:v>17</c:v>
                </c:pt>
                <c:pt idx="25">
                  <c:v>15</c:v>
                </c:pt>
                <c:pt idx="26">
                  <c:v>11</c:v>
                </c:pt>
                <c:pt idx="27">
                  <c:v>10</c:v>
                </c:pt>
                <c:pt idx="28">
                  <c:v>14</c:v>
                </c:pt>
                <c:pt idx="29">
                  <c:v>15</c:v>
                </c:pt>
                <c:pt idx="30">
                  <c:v>12</c:v>
                </c:pt>
                <c:pt idx="31">
                  <c:v>13</c:v>
                </c:pt>
                <c:pt idx="32">
                  <c:v>10</c:v>
                </c:pt>
                <c:pt idx="33">
                  <c:v>11</c:v>
                </c:pt>
                <c:pt idx="34">
                  <c:v>13</c:v>
                </c:pt>
                <c:pt idx="35">
                  <c:v>8</c:v>
                </c:pt>
                <c:pt idx="36">
                  <c:v>8</c:v>
                </c:pt>
                <c:pt idx="37">
                  <c:v>10</c:v>
                </c:pt>
                <c:pt idx="38">
                  <c:v>15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7</c:v>
                </c:pt>
                <c:pt idx="43">
                  <c:v>9</c:v>
                </c:pt>
                <c:pt idx="44">
                  <c:v>12</c:v>
                </c:pt>
                <c:pt idx="45">
                  <c:v>9</c:v>
                </c:pt>
                <c:pt idx="46">
                  <c:v>9</c:v>
                </c:pt>
                <c:pt idx="47">
                  <c:v>11</c:v>
                </c:pt>
                <c:pt idx="48">
                  <c:v>7</c:v>
                </c:pt>
                <c:pt idx="49">
                  <c:v>8</c:v>
                </c:pt>
                <c:pt idx="50">
                  <c:v>8</c:v>
                </c:pt>
                <c:pt idx="51">
                  <c:v>7</c:v>
                </c:pt>
              </c:numCache>
            </c:numRef>
          </c:xVal>
          <c:yVal>
            <c:numRef>
              <c:f>'Car Inventory'!$H$2:$H$53</c:f>
              <c:numCache>
                <c:formatCode>_(* #,##0.00_);_(* \(#,##0.00\);_(* "-"??_);_(@_)</c:formatCode>
                <c:ptCount val="52"/>
                <c:pt idx="0">
                  <c:v>114660.6</c:v>
                </c:pt>
                <c:pt idx="1">
                  <c:v>72527.199999999997</c:v>
                </c:pt>
                <c:pt idx="2">
                  <c:v>85928</c:v>
                </c:pt>
                <c:pt idx="3">
                  <c:v>93382.6</c:v>
                </c:pt>
                <c:pt idx="4">
                  <c:v>73444.399999999994</c:v>
                </c:pt>
                <c:pt idx="5">
                  <c:v>48114.2</c:v>
                </c:pt>
                <c:pt idx="6">
                  <c:v>80685.8</c:v>
                </c:pt>
                <c:pt idx="7">
                  <c:v>64542</c:v>
                </c:pt>
                <c:pt idx="8">
                  <c:v>82374</c:v>
                </c:pt>
                <c:pt idx="9">
                  <c:v>60389.5</c:v>
                </c:pt>
                <c:pt idx="10">
                  <c:v>77243.100000000006</c:v>
                </c:pt>
                <c:pt idx="11">
                  <c:v>83162.7</c:v>
                </c:pt>
                <c:pt idx="12">
                  <c:v>79420.600000000006</c:v>
                </c:pt>
                <c:pt idx="13">
                  <c:v>50854.1</c:v>
                </c:pt>
                <c:pt idx="14">
                  <c:v>67829.100000000006</c:v>
                </c:pt>
                <c:pt idx="15">
                  <c:v>69891.899999999994</c:v>
                </c:pt>
                <c:pt idx="16">
                  <c:v>52229.5</c:v>
                </c:pt>
                <c:pt idx="17">
                  <c:v>68658.899999999994</c:v>
                </c:pt>
                <c:pt idx="18">
                  <c:v>44946.5</c:v>
                </c:pt>
                <c:pt idx="19">
                  <c:v>64467.4</c:v>
                </c:pt>
                <c:pt idx="20">
                  <c:v>27637.1</c:v>
                </c:pt>
                <c:pt idx="21">
                  <c:v>27534.799999999999</c:v>
                </c:pt>
                <c:pt idx="22">
                  <c:v>42504.6</c:v>
                </c:pt>
                <c:pt idx="23">
                  <c:v>29601.9</c:v>
                </c:pt>
                <c:pt idx="24">
                  <c:v>52699.4</c:v>
                </c:pt>
                <c:pt idx="25">
                  <c:v>46311.4</c:v>
                </c:pt>
                <c:pt idx="26">
                  <c:v>33477.199999999997</c:v>
                </c:pt>
                <c:pt idx="27">
                  <c:v>30555.3</c:v>
                </c:pt>
                <c:pt idx="28">
                  <c:v>42074.2</c:v>
                </c:pt>
                <c:pt idx="29">
                  <c:v>44974.8</c:v>
                </c:pt>
                <c:pt idx="30">
                  <c:v>35137</c:v>
                </c:pt>
                <c:pt idx="31">
                  <c:v>37558.800000000003</c:v>
                </c:pt>
                <c:pt idx="32">
                  <c:v>29102.3</c:v>
                </c:pt>
                <c:pt idx="33">
                  <c:v>31144.400000000001</c:v>
                </c:pt>
                <c:pt idx="34">
                  <c:v>36438.5</c:v>
                </c:pt>
                <c:pt idx="35">
                  <c:v>22521.599999999999</c:v>
                </c:pt>
                <c:pt idx="36">
                  <c:v>22188.5</c:v>
                </c:pt>
                <c:pt idx="37">
                  <c:v>27394.2</c:v>
                </c:pt>
                <c:pt idx="38">
                  <c:v>40326.800000000003</c:v>
                </c:pt>
                <c:pt idx="39">
                  <c:v>24513.200000000001</c:v>
                </c:pt>
                <c:pt idx="40">
                  <c:v>20223.900000000001</c:v>
                </c:pt>
                <c:pt idx="41">
                  <c:v>22282</c:v>
                </c:pt>
                <c:pt idx="42">
                  <c:v>17556.3</c:v>
                </c:pt>
                <c:pt idx="43">
                  <c:v>22128.2</c:v>
                </c:pt>
                <c:pt idx="44">
                  <c:v>28464.799999999999</c:v>
                </c:pt>
                <c:pt idx="45">
                  <c:v>19421.099999999999</c:v>
                </c:pt>
                <c:pt idx="46">
                  <c:v>19341.7</c:v>
                </c:pt>
                <c:pt idx="47">
                  <c:v>22573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C7-4AF7-9488-1F3BDEF60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690960"/>
        <c:axId val="855691376"/>
      </c:scatterChart>
      <c:valAx>
        <c:axId val="85569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of the Car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691376"/>
        <c:crosses val="autoZero"/>
        <c:crossBetween val="midCat"/>
      </c:valAx>
      <c:valAx>
        <c:axId val="85569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</a:t>
                </a:r>
                <a:r>
                  <a:rPr lang="en-US" baseline="0"/>
                  <a:t> Driven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69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Payments for $10K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'Loan Payment'!$C$2:$C$5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'Loan Payment'!$G$2:$G$5</c:f>
              <c:numCache>
                <c:formatCode>_("$"* #,##0.00_);_("$"* \(#,##0.00\);_("$"* "-"??_);_(@_)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8-4B73-9B52-12B480FA4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4734112"/>
        <c:axId val="924732448"/>
      </c:barChart>
      <c:catAx>
        <c:axId val="92473411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732448"/>
        <c:crosses val="autoZero"/>
        <c:auto val="1"/>
        <c:lblAlgn val="ctr"/>
        <c:lblOffset val="100"/>
        <c:noMultiLvlLbl val="0"/>
      </c:catAx>
      <c:valAx>
        <c:axId val="92473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73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Susan's 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'School Supplies'!$G$2</c:f>
              <c:strCache>
                <c:ptCount val="1"/>
                <c:pt idx="0">
                  <c:v>WaltMart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'School Supplies'!$G$3:$G$17</c:f>
              <c:numCache>
                <c:formatCode>_("$"* #,##0.00_);_("$"* \(#,##0.00\);_("$"* "-"??_);_(@_)</c:formatCode>
                <c:ptCount val="15"/>
                <c:pt idx="0">
                  <c:v>1.5</c:v>
                </c:pt>
                <c:pt idx="1">
                  <c:v>28</c:v>
                </c:pt>
                <c:pt idx="2">
                  <c:v>12.6</c:v>
                </c:pt>
                <c:pt idx="3">
                  <c:v>1.2</c:v>
                </c:pt>
                <c:pt idx="4">
                  <c:v>4.8</c:v>
                </c:pt>
                <c:pt idx="5">
                  <c:v>1.8</c:v>
                </c:pt>
                <c:pt idx="6">
                  <c:v>0.99</c:v>
                </c:pt>
                <c:pt idx="7">
                  <c:v>5</c:v>
                </c:pt>
                <c:pt idx="8">
                  <c:v>9.5</c:v>
                </c:pt>
                <c:pt idx="9">
                  <c:v>4.55</c:v>
                </c:pt>
                <c:pt idx="10">
                  <c:v>4.2</c:v>
                </c:pt>
                <c:pt idx="11">
                  <c:v>3.9</c:v>
                </c:pt>
                <c:pt idx="12">
                  <c:v>1</c:v>
                </c:pt>
                <c:pt idx="13">
                  <c:v>1.75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20-40EF-BA23-24CCAEED38A7}"/>
            </c:ext>
          </c:extLst>
        </c:ser>
        <c:ser>
          <c:idx val="2"/>
          <c:order val="2"/>
          <c:tx>
            <c:strRef>
              <c:f>'School Supplies'!$H$2</c:f>
              <c:strCache>
                <c:ptCount val="1"/>
                <c:pt idx="0">
                  <c:v>Dollar Trap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'School Supplies'!$H$3:$H$17</c:f>
              <c:numCache>
                <c:formatCode>_("$"* #,##0.00_);_("$"* \(#,##0.00\);_("$"* "-"??_);_(@_)</c:formatCode>
                <c:ptCount val="15"/>
                <c:pt idx="0">
                  <c:v>1.2000000000000002</c:v>
                </c:pt>
                <c:pt idx="1">
                  <c:v>33</c:v>
                </c:pt>
                <c:pt idx="2">
                  <c:v>7</c:v>
                </c:pt>
                <c:pt idx="3">
                  <c:v>0.8</c:v>
                </c:pt>
                <c:pt idx="4">
                  <c:v>2.8</c:v>
                </c:pt>
                <c:pt idx="5">
                  <c:v>0.4</c:v>
                </c:pt>
                <c:pt idx="6">
                  <c:v>0.59</c:v>
                </c:pt>
                <c:pt idx="7">
                  <c:v>13</c:v>
                </c:pt>
                <c:pt idx="8">
                  <c:v>14</c:v>
                </c:pt>
                <c:pt idx="9">
                  <c:v>2.5499999999999998</c:v>
                </c:pt>
                <c:pt idx="10">
                  <c:v>2.2000000000000002</c:v>
                </c:pt>
                <c:pt idx="11">
                  <c:v>5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20-40EF-BA23-24CCAEED38A7}"/>
            </c:ext>
          </c:extLst>
        </c:ser>
        <c:ser>
          <c:idx val="3"/>
          <c:order val="3"/>
          <c:tx>
            <c:strRef>
              <c:f>'School Supplies'!$I$2</c:f>
              <c:strCache>
                <c:ptCount val="1"/>
                <c:pt idx="0">
                  <c:v>Office Repo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'School Supplies'!$I$3:$I$17</c:f>
              <c:numCache>
                <c:formatCode>_("$"* #,##0.00_);_("$"* \(#,##0.00\);_("$"* "-"??_);_(@_)</c:formatCode>
                <c:ptCount val="15"/>
                <c:pt idx="0">
                  <c:v>3</c:v>
                </c:pt>
                <c:pt idx="1">
                  <c:v>31</c:v>
                </c:pt>
                <c:pt idx="2">
                  <c:v>14</c:v>
                </c:pt>
                <c:pt idx="3">
                  <c:v>1.5</c:v>
                </c:pt>
                <c:pt idx="4">
                  <c:v>4.8</c:v>
                </c:pt>
                <c:pt idx="5">
                  <c:v>1.6</c:v>
                </c:pt>
                <c:pt idx="6">
                  <c:v>2.59</c:v>
                </c:pt>
                <c:pt idx="7">
                  <c:v>8.6</c:v>
                </c:pt>
                <c:pt idx="8">
                  <c:v>13</c:v>
                </c:pt>
                <c:pt idx="9">
                  <c:v>6</c:v>
                </c:pt>
                <c:pt idx="10">
                  <c:v>3</c:v>
                </c:pt>
                <c:pt idx="11">
                  <c:v>8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20-40EF-BA23-24CCAEED3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5928304"/>
        <c:axId val="20059395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'School Supplies'!$F$2</c15:sqref>
                        </c15:formulaRef>
                      </c:ext>
                    </c:extLst>
                    <c:strCache>
                      <c:ptCount val="1"/>
                      <c:pt idx="0">
                        <c:v>Susan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'School Supplies'!$F$3:$F$17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3</c:v>
                      </c:pt>
                      <c:pt idx="1">
                        <c:v>1</c:v>
                      </c:pt>
                      <c:pt idx="2">
                        <c:v>7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1</c:v>
                      </c:pt>
                      <c:pt idx="7">
                        <c:v>4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B20-40EF-BA23-24CCAEED38A7}"/>
                  </c:ext>
                </c:extLst>
              </c15:ser>
            </c15:filteredBarSeries>
          </c:ext>
        </c:extLst>
      </c:barChart>
      <c:catAx>
        <c:axId val="2005928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939536"/>
        <c:crosses val="autoZero"/>
        <c:auto val="1"/>
        <c:lblAlgn val="ctr"/>
        <c:lblOffset val="100"/>
        <c:noMultiLvlLbl val="0"/>
      </c:catAx>
      <c:valAx>
        <c:axId val="200593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92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7937</xdr:colOff>
      <xdr:row>1</xdr:row>
      <xdr:rowOff>17462</xdr:rowOff>
    </xdr:from>
    <xdr:to>
      <xdr:col>21</xdr:col>
      <xdr:colOff>357187</xdr:colOff>
      <xdr:row>15</xdr:row>
      <xdr:rowOff>93662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295154-2DA0-46D7-A857-ED1566FDC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66674</xdr:colOff>
      <xdr:row>16</xdr:row>
      <xdr:rowOff>0</xdr:rowOff>
    </xdr:from>
    <xdr:to>
      <xdr:col>21</xdr:col>
      <xdr:colOff>371474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5BAF43-3937-4C25-B4BF-93E765A52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66674</xdr:colOff>
      <xdr:row>30</xdr:row>
      <xdr:rowOff>152400</xdr:rowOff>
    </xdr:from>
    <xdr:to>
      <xdr:col>21</xdr:col>
      <xdr:colOff>371474</xdr:colOff>
      <xdr:row>45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EEA6A0-5E0E-466D-ACB7-1F803D1D7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66676</xdr:colOff>
      <xdr:row>2</xdr:row>
      <xdr:rowOff>9526</xdr:rowOff>
    </xdr:from>
    <xdr:to>
      <xdr:col>7</xdr:col>
      <xdr:colOff>438156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DDDCBB-F271-4FA7-849B-BE533EA3F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19056</xdr:colOff>
      <xdr:row>2</xdr:row>
      <xdr:rowOff>4762</xdr:rowOff>
    </xdr:from>
    <xdr:to>
      <xdr:col>9</xdr:col>
      <xdr:colOff>323856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1888D2-A2BC-480A-8AB3-A26E6F2D2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</xdr:colOff>
      <xdr:row>1</xdr:row>
      <xdr:rowOff>14287</xdr:rowOff>
    </xdr:from>
    <xdr:to>
      <xdr:col>21</xdr:col>
      <xdr:colOff>328612</xdr:colOff>
      <xdr:row>15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A76B63-F364-47A5-8819-4779A143A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14287</xdr:rowOff>
    </xdr:from>
    <xdr:to>
      <xdr:col>6</xdr:col>
      <xdr:colOff>66675</xdr:colOff>
      <xdr:row>19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174D0C-841B-46CF-8A15-CF8E831AA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</xdr:colOff>
      <xdr:row>0</xdr:row>
      <xdr:rowOff>185737</xdr:rowOff>
    </xdr:from>
    <xdr:to>
      <xdr:col>16</xdr:col>
      <xdr:colOff>338137</xdr:colOff>
      <xdr:row>15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2246BC9-7D57-46B8-BC8F-67A94949D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avierXavion Meyer" refreshedDate="44257.739556018518" createdVersion="6" refreshedVersion="6" minRefreshableVersion="3" recordCount="171" xr:uid="{01CBC73D-53AF-4B6F-8059-6710411063A6}">
  <cacheSource type="worksheet">
    <worksheetSource ref="A1:K172" sheet="Sales Report"/>
  </cacheSource>
  <cacheFields count="11">
    <cacheField name="Month" numFmtId="14">
      <sharedItems/>
    </cacheField>
    <cacheField name="Transaction Number" numFmtId="173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/>
    </cacheField>
    <cacheField name="Commision 10% for items less than $50. 20% for items more than $50" numFmtId="4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avierXavion Meyer" refreshedDate="44258.979296990743" createdVersion="6" refreshedVersion="6" minRefreshableVersion="3" recordCount="52" xr:uid="{8F619081-08D2-49AA-B467-B1EBBCE20113}">
  <cacheSource type="worksheet">
    <worksheetSource ref="A1:N67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7" maxValue="25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94.4133333333333" maxValue="4496.4941176470593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Chrysler"/>
    <s v="MTG"/>
    <s v="Mustang"/>
    <s v="06"/>
    <n v="15"/>
    <n v="40326.800000000003"/>
    <n v="2601.7290322580648"/>
    <s v="Black"/>
    <x v="0"/>
    <n v="50000"/>
    <s v="Y"/>
    <s v="FDMTG06BLA001"/>
  </r>
  <r>
    <s v="FD06MTG002"/>
    <s v="FD"/>
    <s v="Chrysler"/>
    <s v="MTG"/>
    <s v="Mustang"/>
    <s v="06"/>
    <n v="15"/>
    <n v="44974.8"/>
    <n v="2901.6000000000004"/>
    <s v="White"/>
    <x v="1"/>
    <n v="50000"/>
    <s v="Y"/>
    <s v="FDMTG06WHI002"/>
  </r>
  <r>
    <s v="FD08MTG003"/>
    <s v="FD"/>
    <s v="Chrysler"/>
    <s v="MTG"/>
    <s v="Mustang"/>
    <s v="08"/>
    <n v="13"/>
    <n v="44946.5"/>
    <n v="3329.3703703703704"/>
    <s v="Green"/>
    <x v="2"/>
    <n v="50000"/>
    <s v="Y"/>
    <s v="FDMTG08GRE003"/>
  </r>
  <r>
    <s v="FD08MTG004"/>
    <s v="FD"/>
    <s v="Chrysler"/>
    <s v="MTG"/>
    <s v="Mustang"/>
    <s v="08"/>
    <n v="13"/>
    <n v="37558.800000000003"/>
    <n v="2782.1333333333337"/>
    <s v="Black"/>
    <x v="3"/>
    <n v="50000"/>
    <s v="Y"/>
    <s v="FDMTG08BLA004"/>
  </r>
  <r>
    <s v="FD08MTG005"/>
    <s v="FD"/>
    <s v="Chrysler"/>
    <s v="MTG"/>
    <s v="Mustang"/>
    <s v="08"/>
    <n v="13"/>
    <n v="36438.5"/>
    <n v="2699.1481481481483"/>
    <s v="White"/>
    <x v="0"/>
    <n v="50000"/>
    <s v="Y"/>
    <s v="FDMTG08WHI005"/>
  </r>
  <r>
    <s v="FD06FCS006"/>
    <s v="FD"/>
    <s v="Chrysler"/>
    <s v="FCS"/>
    <s v="Focus"/>
    <s v="06"/>
    <n v="15"/>
    <n v="46311.4"/>
    <n v="2987.8322580645163"/>
    <s v="Green"/>
    <x v="4"/>
    <n v="75000"/>
    <s v="Y"/>
    <s v="FDFCS06GRE006"/>
  </r>
  <r>
    <s v="FD06FCS007"/>
    <s v="FD"/>
    <s v="Chrysler"/>
    <s v="FCS"/>
    <s v="Focus"/>
    <s v="06"/>
    <n v="15"/>
    <n v="52229.5"/>
    <n v="3369.6451612903224"/>
    <s v="Green"/>
    <x v="2"/>
    <n v="75000"/>
    <s v="Y"/>
    <s v="FDFCS06GRE007"/>
  </r>
  <r>
    <s v="FD09FCS008"/>
    <s v="FD"/>
    <s v="Chrysler"/>
    <s v="FCS"/>
    <s v="Focus"/>
    <s v="09"/>
    <n v="12"/>
    <n v="35137"/>
    <n v="2810.96"/>
    <s v="Black"/>
    <x v="5"/>
    <n v="75000"/>
    <s v="Y"/>
    <s v="FDFCS09BLA008"/>
  </r>
  <r>
    <s v="FD13FCS009"/>
    <s v="FD"/>
    <s v="Chrysler"/>
    <s v="FCS"/>
    <s v="Focus"/>
    <s v="13"/>
    <n v="8"/>
    <n v="27637.1"/>
    <n v="3251.4235294117643"/>
    <s v="Black"/>
    <x v="0"/>
    <n v="75000"/>
    <s v="Y"/>
    <s v="FDFCS13BLA009"/>
  </r>
  <r>
    <s v="FD13FCS010"/>
    <s v="FD"/>
    <s v="Chrysler"/>
    <s v="FCS"/>
    <s v="Focus"/>
    <s v="13"/>
    <n v="8"/>
    <n v="27534.799999999999"/>
    <n v="3239.3882352941177"/>
    <s v="White"/>
    <x v="6"/>
    <n v="75000"/>
    <s v="Y"/>
    <s v="FDFCS13WHI010"/>
  </r>
  <r>
    <s v="FD12FCS011"/>
    <s v="FD"/>
    <s v="Chrysler"/>
    <s v="FCS"/>
    <s v="Focus"/>
    <s v="12"/>
    <n v="9"/>
    <n v="19341.7"/>
    <n v="2035.9684210526316"/>
    <s v="White"/>
    <x v="7"/>
    <n v="75000"/>
    <s v="Y"/>
    <s v="FDFCS12WHI011"/>
  </r>
  <r>
    <s v="FD13FCS012"/>
    <s v="FD"/>
    <s v="Chrysler"/>
    <s v="FCS"/>
    <s v="Focus"/>
    <s v="13"/>
    <n v="8"/>
    <n v="22521.599999999999"/>
    <n v="2649.6"/>
    <s v="Black"/>
    <x v="8"/>
    <n v="75000"/>
    <s v="Y"/>
    <s v="FDFCS13BLA012"/>
  </r>
  <r>
    <s v="FD13FCS013"/>
    <s v="FD"/>
    <s v="Chrysler"/>
    <s v="FCS"/>
    <s v="Focus"/>
    <s v="13"/>
    <n v="8"/>
    <n v="13682.9"/>
    <n v="1609.7529411764706"/>
    <s v="Black"/>
    <x v="9"/>
    <n v="75000"/>
    <s v="Y"/>
    <s v="FDFCS13BLA013"/>
  </r>
  <r>
    <s v="GM09CMR014"/>
    <s v="GM"/>
    <s v="Chrysler"/>
    <s v="CMR"/>
    <s v="Camero"/>
    <s v="09"/>
    <n v="12"/>
    <n v="28464.799999999999"/>
    <n v="2277.1839999999997"/>
    <s v="White"/>
    <x v="10"/>
    <n v="100000"/>
    <s v="Y"/>
    <s v="GMCMR09WHI014"/>
  </r>
  <r>
    <s v="GM12CMR015"/>
    <s v="GM"/>
    <s v="Chrysler"/>
    <s v="CMR"/>
    <s v="Camero"/>
    <s v="12"/>
    <n v="9"/>
    <n v="19421.099999999999"/>
    <n v="2044.3263157894735"/>
    <s v="Black"/>
    <x v="11"/>
    <n v="100000"/>
    <s v="Y"/>
    <s v="GMCMR12BLA015"/>
  </r>
  <r>
    <s v="GM14CMR016"/>
    <s v="GM"/>
    <s v="Chrysler"/>
    <s v="CMR"/>
    <s v="Camero"/>
    <s v="14"/>
    <n v="7"/>
    <n v="14289.6"/>
    <n v="1905.28"/>
    <s v="White"/>
    <x v="12"/>
    <n v="100000"/>
    <s v="Y"/>
    <s v="GMCMR14WHI016"/>
  </r>
  <r>
    <s v="GM10SLV017"/>
    <s v="GM"/>
    <s v="Chrysler"/>
    <s v="SLV"/>
    <s v="Silverado"/>
    <s v="10"/>
    <n v="11"/>
    <n v="31144.400000000001"/>
    <n v="2708.2086956521739"/>
    <s v="Black"/>
    <x v="13"/>
    <n v="100000"/>
    <s v="Y"/>
    <s v="GMSLV10BLA017"/>
  </r>
  <r>
    <s v="GM98SLV018"/>
    <s v="GM"/>
    <s v="Chrysler"/>
    <s v="SLV"/>
    <s v="Silverado"/>
    <s v="98"/>
    <n v="23"/>
    <n v="83162.7"/>
    <n v="3538.8382978723403"/>
    <s v="Black"/>
    <x v="10"/>
    <n v="100000"/>
    <s v="Y"/>
    <s v="GMSLV98BLA018"/>
  </r>
  <r>
    <s v="GM00SLV019"/>
    <s v="GM"/>
    <s v="Chrysler"/>
    <s v="SLV"/>
    <s v="Silverado"/>
    <s v="00"/>
    <n v="21"/>
    <n v="80685.8"/>
    <n v="3752.8279069767445"/>
    <s v="Blue"/>
    <x v="8"/>
    <n v="100000"/>
    <s v="Y"/>
    <s v="GMSLV00BLU019"/>
  </r>
  <r>
    <s v="TY96CAM020"/>
    <s v="TY"/>
    <s v="Ford"/>
    <s v="CAM"/>
    <s v="Camry"/>
    <s v="96"/>
    <n v="25"/>
    <n v="114660.6"/>
    <n v="4496.4941176470593"/>
    <s v="Green"/>
    <x v="14"/>
    <n v="100000"/>
    <s v="Not Covered"/>
    <s v="TYCAM96GRE020"/>
  </r>
  <r>
    <s v="TY98CAM021"/>
    <s v="TY"/>
    <s v="Ford"/>
    <s v="CAM"/>
    <s v="Camry"/>
    <s v="98"/>
    <n v="23"/>
    <n v="93382.6"/>
    <n v="3973.7276595744684"/>
    <s v="Black"/>
    <x v="15"/>
    <n v="100000"/>
    <s v="Y"/>
    <s v="TYCAM98BLA021"/>
  </r>
  <r>
    <s v="TY00CAM022"/>
    <s v="TY"/>
    <s v="Ford"/>
    <s v="CAM"/>
    <s v="Camry"/>
    <s v="00"/>
    <n v="21"/>
    <n v="85928"/>
    <n v="3996.6511627906975"/>
    <s v="Green"/>
    <x v="4"/>
    <n v="100000"/>
    <s v="Y"/>
    <s v="TYCAM00GRE022"/>
  </r>
  <r>
    <s v="TY02CAM023"/>
    <s v="TY"/>
    <s v="Ford"/>
    <s v="CAM"/>
    <s v="Camry"/>
    <s v="02"/>
    <n v="19"/>
    <n v="67829.100000000006"/>
    <n v="3478.4153846153849"/>
    <s v="Black"/>
    <x v="0"/>
    <n v="100000"/>
    <s v="Y"/>
    <s v="TYCAM02BLA023"/>
  </r>
  <r>
    <s v="TY09CAM024"/>
    <s v="TY"/>
    <s v="Ford"/>
    <s v="CAM"/>
    <s v="Camry"/>
    <s v="09"/>
    <n v="12"/>
    <n v="48114.2"/>
    <n v="3849.136"/>
    <s v="White"/>
    <x v="5"/>
    <n v="100000"/>
    <s v="Y"/>
    <s v="TYCAM09WHI024"/>
  </r>
  <r>
    <s v="TY02COR025"/>
    <s v="TY"/>
    <s v="Ford"/>
    <s v="COR"/>
    <s v="Corola"/>
    <s v="02"/>
    <n v="19"/>
    <n v="64467.4"/>
    <n v="3306.020512820513"/>
    <s v="Red"/>
    <x v="16"/>
    <n v="100000"/>
    <s v="Y"/>
    <s v="TYCOR02RED025"/>
  </r>
  <r>
    <s v="TY03COR026"/>
    <s v="TY"/>
    <s v="Ford"/>
    <s v="COR"/>
    <s v="Corola"/>
    <s v="03"/>
    <n v="18"/>
    <n v="73444.399999999994"/>
    <n v="3969.9675675675671"/>
    <s v="Black"/>
    <x v="16"/>
    <n v="100000"/>
    <s v="Y"/>
    <s v="TYCOR03BLA026"/>
  </r>
  <r>
    <s v="TY14COR027"/>
    <s v="TY"/>
    <s v="Ford"/>
    <s v="COR"/>
    <s v="Corola"/>
    <s v="14"/>
    <n v="7"/>
    <n v="17556.3"/>
    <n v="2340.8399999999997"/>
    <s v="Blue"/>
    <x v="6"/>
    <n v="100000"/>
    <s v="Y"/>
    <s v="TYCOR14BLU027"/>
  </r>
  <r>
    <s v="TY12COR028"/>
    <s v="TY"/>
    <s v="Ford"/>
    <s v="COR"/>
    <s v="Corola"/>
    <s v="12"/>
    <n v="9"/>
    <n v="29601.9"/>
    <n v="3115.9894736842107"/>
    <s v="Black"/>
    <x v="10"/>
    <n v="100000"/>
    <s v="Y"/>
    <s v="TYCOR12BLA028"/>
  </r>
  <r>
    <s v="TY12CAM029"/>
    <s v="TY"/>
    <s v="Ford"/>
    <s v="CAM"/>
    <s v="Camry"/>
    <s v="12"/>
    <n v="9"/>
    <n v="22128.2"/>
    <n v="2329.2842105263157"/>
    <s v="Blue"/>
    <x v="14"/>
    <n v="100000"/>
    <s v="Y"/>
    <s v="TYCAM12BLU029"/>
  </r>
  <r>
    <s v="HO99CIV030"/>
    <s v="HO"/>
    <s v="Honda"/>
    <s v="CIV"/>
    <s v="Civic"/>
    <s v="99"/>
    <n v="22"/>
    <n v="82374"/>
    <n v="3661.0666666666666"/>
    <s v="White"/>
    <x v="9"/>
    <n v="75000"/>
    <s v="Not Covered"/>
    <s v="HOCIV99WHI030"/>
  </r>
  <r>
    <s v="HO01CIV031"/>
    <s v="HO"/>
    <s v="Honda"/>
    <s v="CIV"/>
    <s v="Civic"/>
    <s v="01"/>
    <n v="20"/>
    <n v="69891.899999999994"/>
    <n v="3409.3609756097558"/>
    <s v="Blue"/>
    <x v="3"/>
    <n v="75000"/>
    <s v="Y"/>
    <s v="HOCIV01BLU031"/>
  </r>
  <r>
    <s v="HO10CIV032"/>
    <s v="HO"/>
    <s v="Honda"/>
    <s v="CIV"/>
    <s v="Civic"/>
    <s v="10"/>
    <n v="11"/>
    <n v="22573"/>
    <n v="1962.8695652173913"/>
    <s v="Blue"/>
    <x v="12"/>
    <n v="75000"/>
    <s v="Y"/>
    <s v="HOCIV10BLU032"/>
  </r>
  <r>
    <s v="HO10CIV033"/>
    <s v="HO"/>
    <s v="Honda"/>
    <s v="CIV"/>
    <s v="Civic"/>
    <s v="10"/>
    <n v="11"/>
    <n v="33477.199999999997"/>
    <n v="2911.0608695652172"/>
    <s v="Black"/>
    <x v="15"/>
    <n v="75000"/>
    <s v="Y"/>
    <s v="HOCIV10BLA033"/>
  </r>
  <r>
    <s v="HO11CIV034"/>
    <s v="HO"/>
    <s v="Honda"/>
    <s v="CIV"/>
    <s v="Civic"/>
    <s v="11"/>
    <n v="10"/>
    <n v="30555.3"/>
    <n v="2910.0285714285715"/>
    <s v="Black"/>
    <x v="2"/>
    <n v="75000"/>
    <s v="Y"/>
    <s v="HOCIV11BLA034"/>
  </r>
  <r>
    <s v="HO12CIV035"/>
    <s v="HO"/>
    <s v="Honda"/>
    <s v="CIV"/>
    <s v="Civic"/>
    <s v="12"/>
    <n v="9"/>
    <n v="24513.200000000001"/>
    <n v="2580.3368421052633"/>
    <s v="Black"/>
    <x v="13"/>
    <n v="75000"/>
    <s v="Y"/>
    <s v="HOCIV12BLA035"/>
  </r>
  <r>
    <s v="HO13CIV036"/>
    <s v="HO"/>
    <s v="Honda"/>
    <s v="CIV"/>
    <s v="Civic"/>
    <s v="13"/>
    <n v="8"/>
    <n v="13867.6"/>
    <n v="1631.4823529411765"/>
    <s v="Black"/>
    <x v="14"/>
    <n v="75000"/>
    <s v="Y"/>
    <s v="HOCIV13BLA036"/>
  </r>
  <r>
    <s v="HO05ODY037"/>
    <s v="HO"/>
    <s v="Honda"/>
    <s v="ODY"/>
    <s v="Odyssey"/>
    <s v="05"/>
    <n v="16"/>
    <n v="60389.5"/>
    <n v="3659.969696969697"/>
    <s v="White"/>
    <x v="5"/>
    <n v="100000"/>
    <s v="Y"/>
    <s v="HOODY05WHI037"/>
  </r>
  <r>
    <s v="HO07ODY038"/>
    <s v="HO"/>
    <s v="Honda"/>
    <s v="ODY"/>
    <s v="Odyssey"/>
    <s v="07"/>
    <n v="14"/>
    <n v="50854.1"/>
    <n v="3507.1793103448276"/>
    <s v="Black"/>
    <x v="15"/>
    <n v="100000"/>
    <s v="Y"/>
    <s v="HOODY07BLA038"/>
  </r>
  <r>
    <s v="HO08ODY039"/>
    <s v="HO"/>
    <s v="Honda"/>
    <s v="ODY"/>
    <s v="Odyssey"/>
    <s v="08"/>
    <n v="13"/>
    <n v="42504.6"/>
    <n v="3148.4888888888886"/>
    <s v="White"/>
    <x v="9"/>
    <n v="100000"/>
    <s v="Y"/>
    <s v="HOODY08WHI039"/>
  </r>
  <r>
    <s v="HO01ODY040"/>
    <s v="HO"/>
    <s v="Honda"/>
    <s v="ODY"/>
    <s v="Odyssey"/>
    <s v="01"/>
    <n v="20"/>
    <n v="68658.899999999994"/>
    <n v="3349.2146341463413"/>
    <s v="Black"/>
    <x v="0"/>
    <n v="100000"/>
    <s v="Y"/>
    <s v="HOODY01BLA040"/>
  </r>
  <r>
    <s v="HO14ODY041"/>
    <s v="HO"/>
    <s v="Honda"/>
    <s v="ODY"/>
    <s v="Odyssey"/>
    <s v="14"/>
    <n v="7"/>
    <n v="3708.1"/>
    <n v="494.4133333333333"/>
    <s v="Black"/>
    <x v="1"/>
    <n v="100000"/>
    <s v="Y"/>
    <s v="HOODY14BLA041"/>
  </r>
  <r>
    <s v="CR04PTC042"/>
    <s v="CR"/>
    <s v="Chrysler"/>
    <s v="PTC"/>
    <s v="PT Cruiser"/>
    <s v="04"/>
    <n v="17"/>
    <n v="64542"/>
    <n v="3688.1142857142859"/>
    <s v="Blue"/>
    <x v="0"/>
    <n v="75000"/>
    <s v="Y"/>
    <s v="CRPTC04BLU042"/>
  </r>
  <r>
    <s v="CR07PTC043"/>
    <s v="CR"/>
    <s v="Chrysler"/>
    <s v="PTC"/>
    <s v="PT Cruiser"/>
    <s v="07"/>
    <n v="14"/>
    <n v="42074.2"/>
    <n v="2901.6689655172413"/>
    <s v="Green"/>
    <x v="16"/>
    <n v="75000"/>
    <s v="Y"/>
    <s v="CRPTC07GRE043"/>
  </r>
  <r>
    <s v="CR11PTC044"/>
    <s v="CR"/>
    <s v="Chrysler"/>
    <s v="PTC"/>
    <s v="PT Cruiser"/>
    <s v="11"/>
    <n v="10"/>
    <n v="27394.2"/>
    <n v="2608.9714285714285"/>
    <s v="Black"/>
    <x v="8"/>
    <n v="75000"/>
    <s v="Y"/>
    <s v="CRPTC11BLA044"/>
  </r>
  <r>
    <s v="CR99CAR045"/>
    <s v="CR"/>
    <s v="Chrysler"/>
    <s v="CAR"/>
    <s v="Caravan"/>
    <s v="99"/>
    <n v="22"/>
    <n v="79420.600000000006"/>
    <n v="3529.8044444444449"/>
    <s v="Green"/>
    <x v="13"/>
    <n v="75000"/>
    <s v="Not Covered"/>
    <s v="CRCAR99GRE045"/>
  </r>
  <r>
    <s v="CR00CAR046"/>
    <s v="CR"/>
    <s v="Chrysler"/>
    <s v="CAR"/>
    <s v="Caravan"/>
    <s v="00"/>
    <n v="21"/>
    <n v="77243.100000000006"/>
    <n v="3592.7023255813956"/>
    <s v="Black"/>
    <x v="3"/>
    <n v="75000"/>
    <s v="Not Covered"/>
    <s v="CRCAR00BLA046"/>
  </r>
  <r>
    <s v="CR04CAR047"/>
    <s v="CR"/>
    <s v="Chrysler"/>
    <s v="CAR"/>
    <s v="Caravan"/>
    <s v="04"/>
    <n v="17"/>
    <n v="72527.199999999997"/>
    <n v="4144.4114285714286"/>
    <s v="White"/>
    <x v="11"/>
    <n v="75000"/>
    <s v="Y"/>
    <s v="CRCAR04WHI047"/>
  </r>
  <r>
    <s v="CR04CAR048"/>
    <s v="CR"/>
    <s v="Chrysler"/>
    <s v="CAR"/>
    <s v="Caravan"/>
    <s v="04"/>
    <n v="17"/>
    <n v="52699.4"/>
    <n v="3011.3942857142856"/>
    <s v="Red"/>
    <x v="11"/>
    <n v="75000"/>
    <s v="Y"/>
    <s v="CRCAR04RED048"/>
  </r>
  <r>
    <s v="HY11ELA049"/>
    <s v="HY"/>
    <s v="Hundai"/>
    <s v="ELA"/>
    <s v="Elantra"/>
    <s v="11"/>
    <n v="10"/>
    <n v="29102.3"/>
    <n v="2771.6476190476192"/>
    <s v="Black"/>
    <x v="12"/>
    <n v="100000"/>
    <s v="Y"/>
    <s v="HYELA11BLA049"/>
  </r>
  <r>
    <s v="HY12ELA050"/>
    <s v="HY"/>
    <s v="Hundai"/>
    <s v="ELA"/>
    <s v="Elantra"/>
    <s v="12"/>
    <n v="9"/>
    <n v="22282"/>
    <n v="2345.4736842105262"/>
    <s v="Blue"/>
    <x v="1"/>
    <n v="100000"/>
    <s v="Y"/>
    <s v="HYELA12BLU050"/>
  </r>
  <r>
    <s v="HY13ELA051"/>
    <s v="HY"/>
    <s v="Hundai"/>
    <s v="ELA"/>
    <s v="Elantra"/>
    <s v="13"/>
    <n v="8"/>
    <n v="20223.900000000001"/>
    <n v="2379.2823529411767"/>
    <s v="Black"/>
    <x v="6"/>
    <n v="100000"/>
    <s v="Y"/>
    <s v="HYELA13BLA051"/>
  </r>
  <r>
    <s v="HY13ELA052"/>
    <s v="HY"/>
    <s v="Hundai"/>
    <s v="ELA"/>
    <s v="Elantra"/>
    <s v="13"/>
    <n v="8"/>
    <n v="22188.5"/>
    <n v="2610.4117647058824"/>
    <s v="Blue"/>
    <x v="4"/>
    <n v="100000"/>
    <s v="Y"/>
    <s v="HYELA13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58C5EB-82B7-4030-A080-2F9D6A4FA36B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8" firstHeaderRow="1" firstDataRow="1" firstDataCol="1"/>
  <pivotFields count="11">
    <pivotField showAll="0"/>
    <pivotField numFmtId="173" showAll="0"/>
    <pivotField showAll="0"/>
    <pivotField showAll="0"/>
    <pivotField numFmtId="44" showAll="0"/>
    <pivotField dataField="1" numFmtId="44" showAll="0"/>
    <pivotField numFmtId="44" showAll="0"/>
    <pivotField numFmtId="4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44"/>
  </dataFields>
  <formats count="1">
    <format dxfId="14">
      <pivotArea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5D4999-BC50-498C-8FFB-B0B6A794D8A3}" name="PivotTable6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E44E9-B8C5-4148-BA9D-48D47FFC7FCA}" name="car_inventory" displayName="car_inventory" ref="A1:N66" totalsRowShown="0">
  <sortState xmlns:xlrd2="http://schemas.microsoft.com/office/spreadsheetml/2017/richdata2" ref="A2:N66">
    <sortCondition ref="F56:F66"/>
  </sortState>
  <tableColumns count="14">
    <tableColumn id="1" xr3:uid="{2A9A8C17-C0B6-4573-BF97-6D82C6AD0A51}" name="Car ID" dataDxfId="13"/>
    <tableColumn id="2" xr3:uid="{E21078F4-62DB-4A9C-B00D-AB3D01C8F0A6}" name="Make" dataDxfId="12"/>
    <tableColumn id="3" xr3:uid="{E7705FC6-B055-4F70-A057-783DCAF57FA3}" name="Make (Full Name)" dataDxfId="11"/>
    <tableColumn id="4" xr3:uid="{7DB67683-B4CD-4935-B9EB-506FDE39AED9}" name="Model" dataDxfId="10"/>
    <tableColumn id="5" xr3:uid="{1E3DF1C5-C223-4DC7-8AC5-2C018B05DC4A}" name="Model (Full Name)" dataDxfId="9"/>
    <tableColumn id="6" xr3:uid="{41D8702B-9BB4-4A8B-A072-BC8A6DDD9E4C}" name="Manufacture Year" dataDxfId="8"/>
    <tableColumn id="7" xr3:uid="{0CFE9976-9AE2-4CF5-BA7A-3E18588BF2F5}" name="Age" dataDxfId="7"/>
    <tableColumn id="8" xr3:uid="{A083C0EE-4775-4857-B705-C416127C9F9B}" name="Miles" dataCellStyle="Comma"/>
    <tableColumn id="9" xr3:uid="{618273E4-0D73-4D6A-8C30-08B275F9ED83}" name="Miles / Year" dataCellStyle="Comma"/>
    <tableColumn id="10" xr3:uid="{AEB58B1C-E53E-4F74-A657-86100347DB02}" name="Color" dataDxfId="6"/>
    <tableColumn id="11" xr3:uid="{443C2C48-3C45-4AE4-A65D-88999209A9C6}" name="Driver" dataDxfId="5"/>
    <tableColumn id="12" xr3:uid="{845D6D4C-23A3-415F-9A47-5C5E63A33602}" name="Warantee Miles"/>
    <tableColumn id="13" xr3:uid="{C2CFAF0C-D6B5-4F8F-A759-19CFFB411BFE}" name="Covered?" dataDxfId="4"/>
    <tableColumn id="14" xr3:uid="{65F1DB8B-16E0-4010-8A02-EDC982771280}" name="New Car ID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D7C4-1E66-4ED4-8885-8E7F00D59026}">
  <sheetPr>
    <pageSetUpPr fitToPage="1"/>
  </sheetPr>
  <dimension ref="A1:AD25"/>
  <sheetViews>
    <sheetView topLeftCell="J1" zoomScale="84" zoomScaleNormal="84" workbookViewId="0">
      <selection activeCell="N4" sqref="N4"/>
    </sheetView>
  </sheetViews>
  <sheetFormatPr defaultRowHeight="15"/>
  <cols>
    <col min="1" max="1" width="11.42578125" customWidth="1"/>
    <col min="2" max="2" width="10.5703125" bestFit="1" customWidth="1"/>
    <col min="3" max="3" width="14.28515625" style="1" bestFit="1" customWidth="1"/>
    <col min="4" max="4" width="13.7109375" style="5" bestFit="1" customWidth="1"/>
    <col min="5" max="8" width="13.7109375" style="5" customWidth="1"/>
    <col min="9" max="9" width="15.140625" style="5" bestFit="1" customWidth="1"/>
    <col min="10" max="13" width="15.140625" style="5" customWidth="1"/>
    <col min="14" max="18" width="12.28515625" customWidth="1"/>
    <col min="19" max="19" width="15.42578125" bestFit="1" customWidth="1"/>
    <col min="20" max="23" width="15.42578125" customWidth="1"/>
    <col min="24" max="26" width="11.7109375" bestFit="1" customWidth="1"/>
    <col min="27" max="27" width="10.7109375" bestFit="1" customWidth="1"/>
    <col min="28" max="28" width="11.7109375" bestFit="1" customWidth="1"/>
    <col min="30" max="30" width="11.7109375" bestFit="1" customWidth="1"/>
  </cols>
  <sheetData>
    <row r="1" spans="1:30">
      <c r="A1" t="s">
        <v>0</v>
      </c>
      <c r="C1" s="1" t="s">
        <v>44</v>
      </c>
    </row>
    <row r="2" spans="1:30">
      <c r="D2" s="5" t="s">
        <v>4</v>
      </c>
      <c r="I2" s="5" t="s">
        <v>45</v>
      </c>
      <c r="N2" t="s">
        <v>5</v>
      </c>
      <c r="S2" t="s">
        <v>46</v>
      </c>
      <c r="X2" t="s">
        <v>43</v>
      </c>
      <c r="AD2" t="s">
        <v>47</v>
      </c>
    </row>
    <row r="3" spans="1:30">
      <c r="A3" t="s">
        <v>1</v>
      </c>
      <c r="B3" t="s">
        <v>2</v>
      </c>
      <c r="C3" s="1" t="s">
        <v>3</v>
      </c>
      <c r="D3" s="6">
        <v>44197</v>
      </c>
      <c r="E3" s="6">
        <f xml:space="preserve"> D3 + 7</f>
        <v>44204</v>
      </c>
      <c r="F3" s="6">
        <f t="shared" ref="F3:H3" si="0" xml:space="preserve"> E3 + 7</f>
        <v>44211</v>
      </c>
      <c r="G3" s="6">
        <f t="shared" si="0"/>
        <v>44218</v>
      </c>
      <c r="H3" s="6">
        <f t="shared" si="0"/>
        <v>44225</v>
      </c>
      <c r="I3" s="8">
        <v>44197</v>
      </c>
      <c r="J3" s="8">
        <f>I3+7</f>
        <v>44204</v>
      </c>
      <c r="K3" s="8">
        <f t="shared" ref="K3:M3" si="1">J3+7</f>
        <v>44211</v>
      </c>
      <c r="L3" s="8">
        <f t="shared" si="1"/>
        <v>44218</v>
      </c>
      <c r="M3" s="8">
        <f t="shared" si="1"/>
        <v>44225</v>
      </c>
      <c r="N3" s="10">
        <v>44197</v>
      </c>
      <c r="O3" s="10">
        <f xml:space="preserve"> N3 + 7</f>
        <v>44204</v>
      </c>
      <c r="P3" s="10">
        <f t="shared" ref="P3:R3" si="2" xml:space="preserve"> O3 + 7</f>
        <v>44211</v>
      </c>
      <c r="Q3" s="10">
        <f t="shared" si="2"/>
        <v>44218</v>
      </c>
      <c r="R3" s="10">
        <f t="shared" si="2"/>
        <v>44225</v>
      </c>
      <c r="S3" s="12">
        <v>44197</v>
      </c>
      <c r="T3" s="12">
        <f xml:space="preserve"> S3+7</f>
        <v>44204</v>
      </c>
      <c r="U3" s="12">
        <f t="shared" ref="U3:W3" si="3" xml:space="preserve"> T3+7</f>
        <v>44211</v>
      </c>
      <c r="V3" s="12">
        <f t="shared" si="3"/>
        <v>44218</v>
      </c>
      <c r="W3" s="12">
        <f t="shared" si="3"/>
        <v>44225</v>
      </c>
      <c r="X3" s="14">
        <v>44197</v>
      </c>
      <c r="Y3" s="14">
        <f xml:space="preserve"> X3+7</f>
        <v>44204</v>
      </c>
      <c r="Z3" s="14">
        <f t="shared" ref="Z3:AB3" si="4" xml:space="preserve"> Y3+7</f>
        <v>44211</v>
      </c>
      <c r="AA3" s="14">
        <f t="shared" si="4"/>
        <v>44218</v>
      </c>
      <c r="AB3" s="14">
        <f t="shared" si="4"/>
        <v>44225</v>
      </c>
    </row>
    <row r="4" spans="1:30">
      <c r="A4" t="s">
        <v>6</v>
      </c>
      <c r="B4" t="s">
        <v>7</v>
      </c>
      <c r="C4" s="1">
        <v>15.9</v>
      </c>
      <c r="D4" s="7">
        <v>41</v>
      </c>
      <c r="E4" s="7">
        <v>42</v>
      </c>
      <c r="F4" s="7">
        <v>39</v>
      </c>
      <c r="G4" s="7">
        <v>30</v>
      </c>
      <c r="H4" s="7">
        <v>46</v>
      </c>
      <c r="I4" s="9">
        <f xml:space="preserve"> IF(D4&gt;40, D4-40,0)</f>
        <v>1</v>
      </c>
      <c r="J4" s="9">
        <f t="shared" ref="J4:M19" si="5" xml:space="preserve"> IF(E4&gt;40, E4-40,0)</f>
        <v>2</v>
      </c>
      <c r="K4" s="9">
        <f t="shared" si="5"/>
        <v>0</v>
      </c>
      <c r="L4" s="9">
        <f t="shared" si="5"/>
        <v>0</v>
      </c>
      <c r="M4" s="9">
        <f t="shared" si="5"/>
        <v>6</v>
      </c>
      <c r="N4" s="11">
        <f xml:space="preserve"> $C4*D4</f>
        <v>651.9</v>
      </c>
      <c r="O4" s="11">
        <f t="shared" ref="O4:R19" si="6" xml:space="preserve"> $C4*E4</f>
        <v>667.80000000000007</v>
      </c>
      <c r="P4" s="11">
        <f t="shared" si="6"/>
        <v>620.1</v>
      </c>
      <c r="Q4" s="11">
        <f t="shared" si="6"/>
        <v>477</v>
      </c>
      <c r="R4" s="11">
        <f xml:space="preserve"> $C4*H4</f>
        <v>731.4</v>
      </c>
      <c r="S4" s="13">
        <f xml:space="preserve"> 0.5*$C4*I4</f>
        <v>7.95</v>
      </c>
      <c r="T4" s="13">
        <f t="shared" ref="T4:W19" si="7" xml:space="preserve"> 0.5*$C4*J4</f>
        <v>15.9</v>
      </c>
      <c r="U4" s="13">
        <f t="shared" si="7"/>
        <v>0</v>
      </c>
      <c r="V4" s="13">
        <f t="shared" si="7"/>
        <v>0</v>
      </c>
      <c r="W4" s="13">
        <f t="shared" si="7"/>
        <v>47.7</v>
      </c>
      <c r="X4" s="15">
        <f xml:space="preserve"> N4 + S4</f>
        <v>659.85</v>
      </c>
      <c r="Y4" s="15">
        <f t="shared" ref="Y4:AB19" si="8" xml:space="preserve"> O4 + T4</f>
        <v>683.7</v>
      </c>
      <c r="Z4" s="15">
        <f t="shared" si="8"/>
        <v>620.1</v>
      </c>
      <c r="AA4" s="15">
        <f t="shared" si="8"/>
        <v>477</v>
      </c>
      <c r="AB4" s="15">
        <f t="shared" si="8"/>
        <v>779.1</v>
      </c>
      <c r="AD4" s="2">
        <f xml:space="preserve"> SUM(X4:AB4)</f>
        <v>3219.75</v>
      </c>
    </row>
    <row r="5" spans="1:30">
      <c r="A5" t="s">
        <v>8</v>
      </c>
      <c r="B5" t="s">
        <v>9</v>
      </c>
      <c r="C5" s="1">
        <v>10</v>
      </c>
      <c r="D5" s="7">
        <v>42</v>
      </c>
      <c r="E5" s="7">
        <v>41</v>
      </c>
      <c r="F5" s="7">
        <v>40</v>
      </c>
      <c r="G5" s="7">
        <v>38</v>
      </c>
      <c r="H5" s="7">
        <v>44</v>
      </c>
      <c r="I5" s="9">
        <f xml:space="preserve"> IF(D5&gt;40, D5-40,0)</f>
        <v>2</v>
      </c>
      <c r="J5" s="9">
        <f t="shared" si="5"/>
        <v>1</v>
      </c>
      <c r="K5" s="9">
        <f t="shared" si="5"/>
        <v>0</v>
      </c>
      <c r="L5" s="9">
        <f t="shared" si="5"/>
        <v>0</v>
      </c>
      <c r="M5" s="9">
        <f t="shared" si="5"/>
        <v>4</v>
      </c>
      <c r="N5" s="11">
        <f t="shared" ref="N5:N20" si="9" xml:space="preserve"> $C5*D5</f>
        <v>420</v>
      </c>
      <c r="O5" s="11">
        <f t="shared" si="6"/>
        <v>410</v>
      </c>
      <c r="P5" s="11">
        <f t="shared" si="6"/>
        <v>400</v>
      </c>
      <c r="Q5" s="11">
        <f t="shared" si="6"/>
        <v>380</v>
      </c>
      <c r="R5" s="11">
        <f t="shared" si="6"/>
        <v>440</v>
      </c>
      <c r="S5" s="13">
        <f t="shared" ref="S5:S20" si="10" xml:space="preserve"> 0.5*$C5*I5</f>
        <v>10</v>
      </c>
      <c r="T5" s="13">
        <f t="shared" si="7"/>
        <v>5</v>
      </c>
      <c r="U5" s="13">
        <f t="shared" si="7"/>
        <v>0</v>
      </c>
      <c r="V5" s="13">
        <f t="shared" si="7"/>
        <v>0</v>
      </c>
      <c r="W5" s="13">
        <f t="shared" si="7"/>
        <v>20</v>
      </c>
      <c r="X5" s="15">
        <f t="shared" ref="X5:X20" si="11" xml:space="preserve"> N5 + S5</f>
        <v>430</v>
      </c>
      <c r="Y5" s="15">
        <f t="shared" si="8"/>
        <v>415</v>
      </c>
      <c r="Z5" s="15">
        <f t="shared" si="8"/>
        <v>400</v>
      </c>
      <c r="AA5" s="15">
        <f t="shared" si="8"/>
        <v>380</v>
      </c>
      <c r="AB5" s="15">
        <f t="shared" si="8"/>
        <v>460</v>
      </c>
      <c r="AD5" s="2">
        <f t="shared" ref="AD5:AD20" si="12" xml:space="preserve"> SUM(X5:AB5)</f>
        <v>2085</v>
      </c>
    </row>
    <row r="6" spans="1:30">
      <c r="A6" t="s">
        <v>13</v>
      </c>
      <c r="B6" t="s">
        <v>10</v>
      </c>
      <c r="C6" s="1">
        <v>22.1</v>
      </c>
      <c r="D6" s="7">
        <v>49</v>
      </c>
      <c r="E6" s="7">
        <v>40</v>
      </c>
      <c r="F6" s="7">
        <v>33</v>
      </c>
      <c r="G6" s="7">
        <v>20</v>
      </c>
      <c r="H6" s="7">
        <v>18</v>
      </c>
      <c r="I6" s="9">
        <f xml:space="preserve"> IF(D6&gt;40, D6-40,0)</f>
        <v>9</v>
      </c>
      <c r="J6" s="9">
        <f t="shared" si="5"/>
        <v>0</v>
      </c>
      <c r="K6" s="9">
        <f t="shared" si="5"/>
        <v>0</v>
      </c>
      <c r="L6" s="9">
        <f t="shared" si="5"/>
        <v>0</v>
      </c>
      <c r="M6" s="9">
        <f t="shared" si="5"/>
        <v>0</v>
      </c>
      <c r="N6" s="11">
        <f t="shared" si="9"/>
        <v>1082.9000000000001</v>
      </c>
      <c r="O6" s="11">
        <f t="shared" si="6"/>
        <v>884</v>
      </c>
      <c r="P6" s="11">
        <f t="shared" si="6"/>
        <v>729.30000000000007</v>
      </c>
      <c r="Q6" s="11">
        <f t="shared" si="6"/>
        <v>442</v>
      </c>
      <c r="R6" s="11">
        <f t="shared" si="6"/>
        <v>397.8</v>
      </c>
      <c r="S6" s="13">
        <f t="shared" si="10"/>
        <v>99.45</v>
      </c>
      <c r="T6" s="13">
        <f t="shared" si="7"/>
        <v>0</v>
      </c>
      <c r="U6" s="13">
        <f t="shared" si="7"/>
        <v>0</v>
      </c>
      <c r="V6" s="13">
        <f t="shared" si="7"/>
        <v>0</v>
      </c>
      <c r="W6" s="13">
        <f t="shared" si="7"/>
        <v>0</v>
      </c>
      <c r="X6" s="15">
        <f t="shared" si="11"/>
        <v>1182.3500000000001</v>
      </c>
      <c r="Y6" s="15">
        <f t="shared" si="8"/>
        <v>884</v>
      </c>
      <c r="Z6" s="15">
        <f t="shared" si="8"/>
        <v>729.30000000000007</v>
      </c>
      <c r="AA6" s="15">
        <f t="shared" si="8"/>
        <v>442</v>
      </c>
      <c r="AB6" s="15">
        <f t="shared" si="8"/>
        <v>397.8</v>
      </c>
      <c r="AD6" s="2">
        <f t="shared" si="12"/>
        <v>3635.4500000000007</v>
      </c>
    </row>
    <row r="7" spans="1:30">
      <c r="A7" t="s">
        <v>11</v>
      </c>
      <c r="B7" t="s">
        <v>12</v>
      </c>
      <c r="C7" s="1">
        <v>19.100000000000001</v>
      </c>
      <c r="D7" s="7">
        <v>41</v>
      </c>
      <c r="E7" s="7">
        <v>50</v>
      </c>
      <c r="F7" s="7">
        <v>47</v>
      </c>
      <c r="G7" s="7">
        <v>30</v>
      </c>
      <c r="H7" s="7">
        <v>39</v>
      </c>
      <c r="I7" s="9">
        <f xml:space="preserve"> IF(D7&gt;40, D7-40,0)</f>
        <v>1</v>
      </c>
      <c r="J7" s="9">
        <f t="shared" si="5"/>
        <v>10</v>
      </c>
      <c r="K7" s="9">
        <f t="shared" si="5"/>
        <v>7</v>
      </c>
      <c r="L7" s="9">
        <f t="shared" si="5"/>
        <v>0</v>
      </c>
      <c r="M7" s="9">
        <f t="shared" si="5"/>
        <v>0</v>
      </c>
      <c r="N7" s="11">
        <f t="shared" si="9"/>
        <v>783.1</v>
      </c>
      <c r="O7" s="11">
        <f t="shared" si="6"/>
        <v>955.00000000000011</v>
      </c>
      <c r="P7" s="11">
        <f t="shared" si="6"/>
        <v>897.7</v>
      </c>
      <c r="Q7" s="11">
        <f t="shared" si="6"/>
        <v>573</v>
      </c>
      <c r="R7" s="11">
        <f t="shared" si="6"/>
        <v>744.90000000000009</v>
      </c>
      <c r="S7" s="13">
        <f t="shared" si="10"/>
        <v>9.5500000000000007</v>
      </c>
      <c r="T7" s="13">
        <f t="shared" si="7"/>
        <v>95.5</v>
      </c>
      <c r="U7" s="13">
        <f t="shared" si="7"/>
        <v>66.850000000000009</v>
      </c>
      <c r="V7" s="13">
        <f t="shared" si="7"/>
        <v>0</v>
      </c>
      <c r="W7" s="13">
        <f t="shared" si="7"/>
        <v>0</v>
      </c>
      <c r="X7" s="15">
        <f t="shared" si="11"/>
        <v>792.65</v>
      </c>
      <c r="Y7" s="15">
        <f t="shared" si="8"/>
        <v>1050.5</v>
      </c>
      <c r="Z7" s="15">
        <f t="shared" si="8"/>
        <v>964.55000000000007</v>
      </c>
      <c r="AA7" s="15">
        <f t="shared" si="8"/>
        <v>573</v>
      </c>
      <c r="AB7" s="15">
        <f t="shared" si="8"/>
        <v>744.90000000000009</v>
      </c>
      <c r="AD7" s="2">
        <f t="shared" si="12"/>
        <v>4125.6000000000004</v>
      </c>
    </row>
    <row r="8" spans="1:30">
      <c r="A8" t="s">
        <v>14</v>
      </c>
      <c r="B8" t="s">
        <v>15</v>
      </c>
      <c r="C8" s="1">
        <v>6.9</v>
      </c>
      <c r="D8" s="7">
        <v>39</v>
      </c>
      <c r="E8" s="7">
        <v>52</v>
      </c>
      <c r="F8" s="7">
        <v>42</v>
      </c>
      <c r="G8" s="7">
        <v>40</v>
      </c>
      <c r="H8" s="7">
        <v>40</v>
      </c>
      <c r="I8" s="9">
        <f xml:space="preserve"> IF(D8&gt;40, D8-40,0)</f>
        <v>0</v>
      </c>
      <c r="J8" s="9">
        <f t="shared" si="5"/>
        <v>12</v>
      </c>
      <c r="K8" s="9">
        <f t="shared" si="5"/>
        <v>2</v>
      </c>
      <c r="L8" s="9">
        <f t="shared" si="5"/>
        <v>0</v>
      </c>
      <c r="M8" s="9">
        <f t="shared" si="5"/>
        <v>0</v>
      </c>
      <c r="N8" s="11">
        <f t="shared" si="9"/>
        <v>269.10000000000002</v>
      </c>
      <c r="O8" s="11">
        <f t="shared" si="6"/>
        <v>358.8</v>
      </c>
      <c r="P8" s="11">
        <f t="shared" si="6"/>
        <v>289.8</v>
      </c>
      <c r="Q8" s="11">
        <f t="shared" si="6"/>
        <v>276</v>
      </c>
      <c r="R8" s="11">
        <f t="shared" si="6"/>
        <v>276</v>
      </c>
      <c r="S8" s="13">
        <f t="shared" si="10"/>
        <v>0</v>
      </c>
      <c r="T8" s="13">
        <f t="shared" si="7"/>
        <v>41.400000000000006</v>
      </c>
      <c r="U8" s="13">
        <f t="shared" si="7"/>
        <v>6.9</v>
      </c>
      <c r="V8" s="13">
        <f t="shared" si="7"/>
        <v>0</v>
      </c>
      <c r="W8" s="13">
        <f t="shared" si="7"/>
        <v>0</v>
      </c>
      <c r="X8" s="15">
        <f t="shared" si="11"/>
        <v>269.10000000000002</v>
      </c>
      <c r="Y8" s="15">
        <f t="shared" si="8"/>
        <v>400.20000000000005</v>
      </c>
      <c r="Z8" s="15">
        <f t="shared" si="8"/>
        <v>296.7</v>
      </c>
      <c r="AA8" s="15">
        <f t="shared" si="8"/>
        <v>276</v>
      </c>
      <c r="AB8" s="15">
        <f t="shared" si="8"/>
        <v>276</v>
      </c>
      <c r="AD8" s="2">
        <f t="shared" si="12"/>
        <v>1518</v>
      </c>
    </row>
    <row r="9" spans="1:30">
      <c r="A9" t="s">
        <v>16</v>
      </c>
      <c r="B9" t="s">
        <v>17</v>
      </c>
      <c r="C9" s="1">
        <v>14.2</v>
      </c>
      <c r="D9" s="7">
        <v>44</v>
      </c>
      <c r="E9" s="7">
        <v>51</v>
      </c>
      <c r="F9" s="7">
        <v>42</v>
      </c>
      <c r="G9" s="7">
        <v>40</v>
      </c>
      <c r="H9" s="7">
        <v>20</v>
      </c>
      <c r="I9" s="9">
        <f xml:space="preserve"> IF(D9&gt;40, D9-40,0)</f>
        <v>4</v>
      </c>
      <c r="J9" s="9">
        <f t="shared" si="5"/>
        <v>11</v>
      </c>
      <c r="K9" s="9">
        <f t="shared" si="5"/>
        <v>2</v>
      </c>
      <c r="L9" s="9">
        <f t="shared" si="5"/>
        <v>0</v>
      </c>
      <c r="M9" s="9">
        <f t="shared" si="5"/>
        <v>0</v>
      </c>
      <c r="N9" s="11">
        <f t="shared" si="9"/>
        <v>624.79999999999995</v>
      </c>
      <c r="O9" s="11">
        <f t="shared" si="6"/>
        <v>724.19999999999993</v>
      </c>
      <c r="P9" s="11">
        <f t="shared" si="6"/>
        <v>596.4</v>
      </c>
      <c r="Q9" s="11">
        <f t="shared" si="6"/>
        <v>568</v>
      </c>
      <c r="R9" s="11">
        <f t="shared" si="6"/>
        <v>284</v>
      </c>
      <c r="S9" s="13">
        <f t="shared" si="10"/>
        <v>28.4</v>
      </c>
      <c r="T9" s="13">
        <f t="shared" si="7"/>
        <v>78.099999999999994</v>
      </c>
      <c r="U9" s="13">
        <f t="shared" si="7"/>
        <v>14.2</v>
      </c>
      <c r="V9" s="13">
        <f t="shared" si="7"/>
        <v>0</v>
      </c>
      <c r="W9" s="13">
        <f t="shared" si="7"/>
        <v>0</v>
      </c>
      <c r="X9" s="15">
        <f t="shared" si="11"/>
        <v>653.19999999999993</v>
      </c>
      <c r="Y9" s="15">
        <f t="shared" si="8"/>
        <v>802.3</v>
      </c>
      <c r="Z9" s="15">
        <f t="shared" si="8"/>
        <v>610.6</v>
      </c>
      <c r="AA9" s="15">
        <f t="shared" si="8"/>
        <v>568</v>
      </c>
      <c r="AB9" s="15">
        <f t="shared" si="8"/>
        <v>284</v>
      </c>
      <c r="AD9" s="2">
        <f t="shared" si="12"/>
        <v>2918.1</v>
      </c>
    </row>
    <row r="10" spans="1:30">
      <c r="A10" t="s">
        <v>18</v>
      </c>
      <c r="B10" t="s">
        <v>19</v>
      </c>
      <c r="C10" s="1">
        <v>18</v>
      </c>
      <c r="D10" s="7">
        <v>55</v>
      </c>
      <c r="E10" s="7">
        <v>60</v>
      </c>
      <c r="F10" s="7">
        <v>45</v>
      </c>
      <c r="G10" s="7">
        <v>40</v>
      </c>
      <c r="H10" s="7">
        <v>49</v>
      </c>
      <c r="I10" s="9">
        <f xml:space="preserve"> IF(D10&gt;40, D10-40,0)</f>
        <v>15</v>
      </c>
      <c r="J10" s="9">
        <f t="shared" si="5"/>
        <v>20</v>
      </c>
      <c r="K10" s="9">
        <f t="shared" si="5"/>
        <v>5</v>
      </c>
      <c r="L10" s="9">
        <f t="shared" si="5"/>
        <v>0</v>
      </c>
      <c r="M10" s="9">
        <f t="shared" si="5"/>
        <v>9</v>
      </c>
      <c r="N10" s="11">
        <f t="shared" si="9"/>
        <v>990</v>
      </c>
      <c r="O10" s="11">
        <f t="shared" si="6"/>
        <v>1080</v>
      </c>
      <c r="P10" s="11">
        <f t="shared" si="6"/>
        <v>810</v>
      </c>
      <c r="Q10" s="11">
        <f t="shared" si="6"/>
        <v>720</v>
      </c>
      <c r="R10" s="11">
        <f t="shared" si="6"/>
        <v>882</v>
      </c>
      <c r="S10" s="13">
        <f t="shared" si="10"/>
        <v>135</v>
      </c>
      <c r="T10" s="13">
        <f t="shared" si="7"/>
        <v>180</v>
      </c>
      <c r="U10" s="13">
        <f t="shared" si="7"/>
        <v>45</v>
      </c>
      <c r="V10" s="13">
        <f t="shared" si="7"/>
        <v>0</v>
      </c>
      <c r="W10" s="13">
        <f t="shared" si="7"/>
        <v>81</v>
      </c>
      <c r="X10" s="15">
        <f t="shared" si="11"/>
        <v>1125</v>
      </c>
      <c r="Y10" s="15">
        <f t="shared" si="8"/>
        <v>1260</v>
      </c>
      <c r="Z10" s="15">
        <f t="shared" si="8"/>
        <v>855</v>
      </c>
      <c r="AA10" s="15">
        <f t="shared" si="8"/>
        <v>720</v>
      </c>
      <c r="AB10" s="15">
        <f t="shared" si="8"/>
        <v>963</v>
      </c>
      <c r="AD10" s="2">
        <f t="shared" si="12"/>
        <v>4923</v>
      </c>
    </row>
    <row r="11" spans="1:30">
      <c r="A11" t="s">
        <v>20</v>
      </c>
      <c r="B11" t="s">
        <v>21</v>
      </c>
      <c r="C11" s="1">
        <v>17.5</v>
      </c>
      <c r="D11" s="7">
        <v>33</v>
      </c>
      <c r="E11" s="7">
        <v>22</v>
      </c>
      <c r="F11" s="7">
        <v>54</v>
      </c>
      <c r="G11" s="7">
        <v>40</v>
      </c>
      <c r="H11" s="7">
        <v>20</v>
      </c>
      <c r="I11" s="9">
        <f xml:space="preserve"> IF(D11&gt;40, D11-40,0)</f>
        <v>0</v>
      </c>
      <c r="J11" s="9">
        <f t="shared" si="5"/>
        <v>0</v>
      </c>
      <c r="K11" s="9">
        <f t="shared" si="5"/>
        <v>14</v>
      </c>
      <c r="L11" s="9">
        <f t="shared" si="5"/>
        <v>0</v>
      </c>
      <c r="M11" s="9">
        <f t="shared" si="5"/>
        <v>0</v>
      </c>
      <c r="N11" s="11">
        <f t="shared" si="9"/>
        <v>577.5</v>
      </c>
      <c r="O11" s="11">
        <f t="shared" si="6"/>
        <v>385</v>
      </c>
      <c r="P11" s="11">
        <f t="shared" si="6"/>
        <v>945</v>
      </c>
      <c r="Q11" s="11">
        <f t="shared" si="6"/>
        <v>700</v>
      </c>
      <c r="R11" s="11">
        <f t="shared" si="6"/>
        <v>350</v>
      </c>
      <c r="S11" s="13">
        <f t="shared" si="10"/>
        <v>0</v>
      </c>
      <c r="T11" s="13">
        <f t="shared" si="7"/>
        <v>0</v>
      </c>
      <c r="U11" s="13">
        <f t="shared" si="7"/>
        <v>122.5</v>
      </c>
      <c r="V11" s="13">
        <f t="shared" si="7"/>
        <v>0</v>
      </c>
      <c r="W11" s="13">
        <f t="shared" si="7"/>
        <v>0</v>
      </c>
      <c r="X11" s="15">
        <f t="shared" si="11"/>
        <v>577.5</v>
      </c>
      <c r="Y11" s="15">
        <f t="shared" si="8"/>
        <v>385</v>
      </c>
      <c r="Z11" s="15">
        <f t="shared" si="8"/>
        <v>1067.5</v>
      </c>
      <c r="AA11" s="15">
        <f t="shared" si="8"/>
        <v>700</v>
      </c>
      <c r="AB11" s="15">
        <f t="shared" si="8"/>
        <v>350</v>
      </c>
      <c r="AD11" s="2">
        <f t="shared" si="12"/>
        <v>3080</v>
      </c>
    </row>
    <row r="12" spans="1:30">
      <c r="A12" t="s">
        <v>22</v>
      </c>
      <c r="B12" t="s">
        <v>23</v>
      </c>
      <c r="C12" s="1">
        <v>14.7</v>
      </c>
      <c r="D12" s="7">
        <v>29</v>
      </c>
      <c r="E12" s="7">
        <v>40</v>
      </c>
      <c r="F12" s="7">
        <v>42</v>
      </c>
      <c r="G12" s="7">
        <v>40</v>
      </c>
      <c r="H12" s="7">
        <v>40</v>
      </c>
      <c r="I12" s="9">
        <f xml:space="preserve"> IF(D12&gt;40, D12-40,0)</f>
        <v>0</v>
      </c>
      <c r="J12" s="9">
        <f t="shared" si="5"/>
        <v>0</v>
      </c>
      <c r="K12" s="9">
        <f t="shared" si="5"/>
        <v>2</v>
      </c>
      <c r="L12" s="9">
        <f t="shared" si="5"/>
        <v>0</v>
      </c>
      <c r="M12" s="9">
        <f t="shared" si="5"/>
        <v>0</v>
      </c>
      <c r="N12" s="11">
        <f t="shared" si="9"/>
        <v>426.29999999999995</v>
      </c>
      <c r="O12" s="11">
        <f t="shared" si="6"/>
        <v>588</v>
      </c>
      <c r="P12" s="11">
        <f t="shared" si="6"/>
        <v>617.4</v>
      </c>
      <c r="Q12" s="11">
        <f t="shared" si="6"/>
        <v>588</v>
      </c>
      <c r="R12" s="11">
        <f t="shared" si="6"/>
        <v>588</v>
      </c>
      <c r="S12" s="13">
        <f t="shared" si="10"/>
        <v>0</v>
      </c>
      <c r="T12" s="13">
        <f t="shared" si="7"/>
        <v>0</v>
      </c>
      <c r="U12" s="13">
        <f t="shared" si="7"/>
        <v>14.7</v>
      </c>
      <c r="V12" s="13">
        <f t="shared" si="7"/>
        <v>0</v>
      </c>
      <c r="W12" s="13">
        <f t="shared" si="7"/>
        <v>0</v>
      </c>
      <c r="X12" s="15">
        <f t="shared" si="11"/>
        <v>426.29999999999995</v>
      </c>
      <c r="Y12" s="15">
        <f t="shared" si="8"/>
        <v>588</v>
      </c>
      <c r="Z12" s="15">
        <f t="shared" si="8"/>
        <v>632.1</v>
      </c>
      <c r="AA12" s="15">
        <f t="shared" si="8"/>
        <v>588</v>
      </c>
      <c r="AB12" s="15">
        <f t="shared" si="8"/>
        <v>588</v>
      </c>
      <c r="AD12" s="2">
        <f t="shared" si="12"/>
        <v>2822.4</v>
      </c>
    </row>
    <row r="13" spans="1:30">
      <c r="A13" t="s">
        <v>24</v>
      </c>
      <c r="B13" t="s">
        <v>25</v>
      </c>
      <c r="C13" s="1">
        <v>13.9</v>
      </c>
      <c r="D13" s="7">
        <v>40</v>
      </c>
      <c r="E13" s="7">
        <v>40</v>
      </c>
      <c r="F13" s="7">
        <v>42</v>
      </c>
      <c r="G13" s="7">
        <v>40</v>
      </c>
      <c r="H13" s="7">
        <v>40</v>
      </c>
      <c r="I13" s="9">
        <f xml:space="preserve"> IF(D13&gt;40, D13-40,0)</f>
        <v>0</v>
      </c>
      <c r="J13" s="9">
        <f t="shared" si="5"/>
        <v>0</v>
      </c>
      <c r="K13" s="9">
        <f t="shared" si="5"/>
        <v>2</v>
      </c>
      <c r="L13" s="9">
        <f t="shared" si="5"/>
        <v>0</v>
      </c>
      <c r="M13" s="9">
        <f t="shared" si="5"/>
        <v>0</v>
      </c>
      <c r="N13" s="11">
        <f t="shared" si="9"/>
        <v>556</v>
      </c>
      <c r="O13" s="11">
        <f t="shared" si="6"/>
        <v>556</v>
      </c>
      <c r="P13" s="11">
        <f t="shared" si="6"/>
        <v>583.80000000000007</v>
      </c>
      <c r="Q13" s="11">
        <f t="shared" si="6"/>
        <v>556</v>
      </c>
      <c r="R13" s="11">
        <f t="shared" si="6"/>
        <v>556</v>
      </c>
      <c r="S13" s="13">
        <f t="shared" si="10"/>
        <v>0</v>
      </c>
      <c r="T13" s="13">
        <f t="shared" si="7"/>
        <v>0</v>
      </c>
      <c r="U13" s="13">
        <f t="shared" si="7"/>
        <v>13.9</v>
      </c>
      <c r="V13" s="13">
        <f t="shared" si="7"/>
        <v>0</v>
      </c>
      <c r="W13" s="13">
        <f t="shared" si="7"/>
        <v>0</v>
      </c>
      <c r="X13" s="15">
        <f t="shared" si="11"/>
        <v>556</v>
      </c>
      <c r="Y13" s="15">
        <f t="shared" si="8"/>
        <v>556</v>
      </c>
      <c r="Z13" s="15">
        <f t="shared" si="8"/>
        <v>597.70000000000005</v>
      </c>
      <c r="AA13" s="15">
        <f t="shared" si="8"/>
        <v>556</v>
      </c>
      <c r="AB13" s="15">
        <f t="shared" si="8"/>
        <v>556</v>
      </c>
      <c r="AD13" s="2">
        <f t="shared" si="12"/>
        <v>2821.7</v>
      </c>
    </row>
    <row r="14" spans="1:30">
      <c r="A14" t="s">
        <v>26</v>
      </c>
      <c r="B14" t="s">
        <v>27</v>
      </c>
      <c r="C14" s="1">
        <v>11.2</v>
      </c>
      <c r="D14" s="7">
        <v>40</v>
      </c>
      <c r="E14" s="7">
        <v>40</v>
      </c>
      <c r="F14" s="7">
        <v>42</v>
      </c>
      <c r="G14" s="7">
        <v>39</v>
      </c>
      <c r="H14" s="7">
        <v>40</v>
      </c>
      <c r="I14" s="9">
        <f xml:space="preserve"> IF(D14&gt;40, D14-40,0)</f>
        <v>0</v>
      </c>
      <c r="J14" s="9">
        <f t="shared" si="5"/>
        <v>0</v>
      </c>
      <c r="K14" s="9">
        <f t="shared" si="5"/>
        <v>2</v>
      </c>
      <c r="L14" s="9">
        <f t="shared" si="5"/>
        <v>0</v>
      </c>
      <c r="M14" s="9">
        <f t="shared" si="5"/>
        <v>0</v>
      </c>
      <c r="N14" s="11">
        <f t="shared" si="9"/>
        <v>448</v>
      </c>
      <c r="O14" s="11">
        <f t="shared" si="6"/>
        <v>448</v>
      </c>
      <c r="P14" s="11">
        <f t="shared" si="6"/>
        <v>470.4</v>
      </c>
      <c r="Q14" s="11">
        <f t="shared" si="6"/>
        <v>436.79999999999995</v>
      </c>
      <c r="R14" s="11">
        <f t="shared" si="6"/>
        <v>448</v>
      </c>
      <c r="S14" s="13">
        <f t="shared" si="10"/>
        <v>0</v>
      </c>
      <c r="T14" s="13">
        <f t="shared" si="7"/>
        <v>0</v>
      </c>
      <c r="U14" s="13">
        <f t="shared" si="7"/>
        <v>11.2</v>
      </c>
      <c r="V14" s="13">
        <f t="shared" si="7"/>
        <v>0</v>
      </c>
      <c r="W14" s="13">
        <f t="shared" si="7"/>
        <v>0</v>
      </c>
      <c r="X14" s="15">
        <f t="shared" si="11"/>
        <v>448</v>
      </c>
      <c r="Y14" s="15">
        <f t="shared" si="8"/>
        <v>448</v>
      </c>
      <c r="Z14" s="15">
        <f t="shared" si="8"/>
        <v>481.59999999999997</v>
      </c>
      <c r="AA14" s="15">
        <f t="shared" si="8"/>
        <v>436.79999999999995</v>
      </c>
      <c r="AB14" s="15">
        <f t="shared" si="8"/>
        <v>448</v>
      </c>
      <c r="AD14" s="2">
        <f t="shared" si="12"/>
        <v>2262.3999999999996</v>
      </c>
    </row>
    <row r="15" spans="1:30">
      <c r="A15" t="s">
        <v>28</v>
      </c>
      <c r="B15" t="s">
        <v>29</v>
      </c>
      <c r="C15" s="1">
        <v>10.1</v>
      </c>
      <c r="D15" s="7">
        <v>40</v>
      </c>
      <c r="E15" s="7">
        <v>40</v>
      </c>
      <c r="F15" s="7">
        <v>41</v>
      </c>
      <c r="G15" s="7">
        <v>42</v>
      </c>
      <c r="H15" s="7">
        <v>40</v>
      </c>
      <c r="I15" s="9">
        <f xml:space="preserve"> IF(D15&gt;40, D15-40,0)</f>
        <v>0</v>
      </c>
      <c r="J15" s="9">
        <f t="shared" si="5"/>
        <v>0</v>
      </c>
      <c r="K15" s="9">
        <f t="shared" si="5"/>
        <v>1</v>
      </c>
      <c r="L15" s="9">
        <f t="shared" si="5"/>
        <v>2</v>
      </c>
      <c r="M15" s="9">
        <f t="shared" si="5"/>
        <v>0</v>
      </c>
      <c r="N15" s="11">
        <f t="shared" si="9"/>
        <v>404</v>
      </c>
      <c r="O15" s="11">
        <f t="shared" si="6"/>
        <v>404</v>
      </c>
      <c r="P15" s="11">
        <f t="shared" si="6"/>
        <v>414.09999999999997</v>
      </c>
      <c r="Q15" s="11">
        <f t="shared" si="6"/>
        <v>424.2</v>
      </c>
      <c r="R15" s="11">
        <f t="shared" si="6"/>
        <v>404</v>
      </c>
      <c r="S15" s="13">
        <f t="shared" si="10"/>
        <v>0</v>
      </c>
      <c r="T15" s="13">
        <f t="shared" si="7"/>
        <v>0</v>
      </c>
      <c r="U15" s="13">
        <f t="shared" si="7"/>
        <v>5.05</v>
      </c>
      <c r="V15" s="13">
        <f t="shared" si="7"/>
        <v>10.1</v>
      </c>
      <c r="W15" s="13">
        <f t="shared" si="7"/>
        <v>0</v>
      </c>
      <c r="X15" s="15">
        <f t="shared" si="11"/>
        <v>404</v>
      </c>
      <c r="Y15" s="15">
        <f t="shared" si="8"/>
        <v>404</v>
      </c>
      <c r="Z15" s="15">
        <f t="shared" si="8"/>
        <v>419.15</v>
      </c>
      <c r="AA15" s="15">
        <f t="shared" si="8"/>
        <v>434.3</v>
      </c>
      <c r="AB15" s="15">
        <f t="shared" si="8"/>
        <v>404</v>
      </c>
      <c r="AD15" s="2">
        <f t="shared" si="12"/>
        <v>2065.4499999999998</v>
      </c>
    </row>
    <row r="16" spans="1:30">
      <c r="A16" t="s">
        <v>30</v>
      </c>
      <c r="B16" t="s">
        <v>31</v>
      </c>
      <c r="C16" s="1">
        <v>9</v>
      </c>
      <c r="D16" s="7">
        <v>42</v>
      </c>
      <c r="E16" s="7">
        <v>42</v>
      </c>
      <c r="F16" s="7">
        <v>39</v>
      </c>
      <c r="G16" s="7">
        <v>42</v>
      </c>
      <c r="H16" s="7">
        <v>40</v>
      </c>
      <c r="I16" s="9">
        <f xml:space="preserve"> IF(D16&gt;40, D16-40,0)</f>
        <v>2</v>
      </c>
      <c r="J16" s="9">
        <f t="shared" si="5"/>
        <v>2</v>
      </c>
      <c r="K16" s="9">
        <f t="shared" si="5"/>
        <v>0</v>
      </c>
      <c r="L16" s="9">
        <f t="shared" si="5"/>
        <v>2</v>
      </c>
      <c r="M16" s="9">
        <f t="shared" si="5"/>
        <v>0</v>
      </c>
      <c r="N16" s="11">
        <f t="shared" si="9"/>
        <v>378</v>
      </c>
      <c r="O16" s="11">
        <f t="shared" si="6"/>
        <v>378</v>
      </c>
      <c r="P16" s="11">
        <f t="shared" si="6"/>
        <v>351</v>
      </c>
      <c r="Q16" s="11">
        <f t="shared" si="6"/>
        <v>378</v>
      </c>
      <c r="R16" s="11">
        <f t="shared" si="6"/>
        <v>360</v>
      </c>
      <c r="S16" s="13">
        <f t="shared" si="10"/>
        <v>9</v>
      </c>
      <c r="T16" s="13">
        <f t="shared" si="7"/>
        <v>9</v>
      </c>
      <c r="U16" s="13">
        <f t="shared" si="7"/>
        <v>0</v>
      </c>
      <c r="V16" s="13">
        <f t="shared" si="7"/>
        <v>9</v>
      </c>
      <c r="W16" s="13">
        <f t="shared" si="7"/>
        <v>0</v>
      </c>
      <c r="X16" s="15">
        <f t="shared" si="11"/>
        <v>387</v>
      </c>
      <c r="Y16" s="15">
        <f t="shared" si="8"/>
        <v>387</v>
      </c>
      <c r="Z16" s="15">
        <f t="shared" si="8"/>
        <v>351</v>
      </c>
      <c r="AA16" s="15">
        <f t="shared" si="8"/>
        <v>387</v>
      </c>
      <c r="AB16" s="15">
        <f t="shared" si="8"/>
        <v>360</v>
      </c>
      <c r="AD16" s="2">
        <f t="shared" si="12"/>
        <v>1872</v>
      </c>
    </row>
    <row r="17" spans="1:30">
      <c r="A17" t="s">
        <v>38</v>
      </c>
      <c r="B17" t="s">
        <v>39</v>
      </c>
      <c r="C17" s="1">
        <v>8.44</v>
      </c>
      <c r="D17" s="7">
        <v>40</v>
      </c>
      <c r="E17" s="7">
        <v>43</v>
      </c>
      <c r="F17" s="7">
        <v>39</v>
      </c>
      <c r="G17" s="7">
        <v>41</v>
      </c>
      <c r="H17" s="7">
        <v>40</v>
      </c>
      <c r="I17" s="9">
        <f xml:space="preserve"> IF(D17&gt;40, D17-40,0)</f>
        <v>0</v>
      </c>
      <c r="J17" s="9">
        <f t="shared" si="5"/>
        <v>3</v>
      </c>
      <c r="K17" s="9">
        <f t="shared" si="5"/>
        <v>0</v>
      </c>
      <c r="L17" s="9">
        <f t="shared" si="5"/>
        <v>1</v>
      </c>
      <c r="M17" s="9">
        <f t="shared" si="5"/>
        <v>0</v>
      </c>
      <c r="N17" s="11">
        <f t="shared" si="9"/>
        <v>337.59999999999997</v>
      </c>
      <c r="O17" s="11">
        <f t="shared" si="6"/>
        <v>362.91999999999996</v>
      </c>
      <c r="P17" s="11">
        <f t="shared" si="6"/>
        <v>329.15999999999997</v>
      </c>
      <c r="Q17" s="11">
        <f t="shared" si="6"/>
        <v>346.03999999999996</v>
      </c>
      <c r="R17" s="11">
        <f t="shared" si="6"/>
        <v>337.59999999999997</v>
      </c>
      <c r="S17" s="13">
        <f t="shared" si="10"/>
        <v>0</v>
      </c>
      <c r="T17" s="13">
        <f t="shared" si="7"/>
        <v>12.66</v>
      </c>
      <c r="U17" s="13">
        <f t="shared" si="7"/>
        <v>0</v>
      </c>
      <c r="V17" s="13">
        <f t="shared" si="7"/>
        <v>4.22</v>
      </c>
      <c r="W17" s="13">
        <f t="shared" si="7"/>
        <v>0</v>
      </c>
      <c r="X17" s="15">
        <f t="shared" si="11"/>
        <v>337.59999999999997</v>
      </c>
      <c r="Y17" s="15">
        <f t="shared" si="8"/>
        <v>375.58</v>
      </c>
      <c r="Z17" s="15">
        <f t="shared" si="8"/>
        <v>329.15999999999997</v>
      </c>
      <c r="AA17" s="15">
        <f t="shared" si="8"/>
        <v>350.26</v>
      </c>
      <c r="AB17" s="15">
        <f t="shared" si="8"/>
        <v>337.59999999999997</v>
      </c>
      <c r="AD17" s="2">
        <f t="shared" si="12"/>
        <v>1730.1999999999998</v>
      </c>
    </row>
    <row r="18" spans="1:30">
      <c r="A18" t="s">
        <v>32</v>
      </c>
      <c r="B18" t="s">
        <v>33</v>
      </c>
      <c r="C18" s="1">
        <v>14.2</v>
      </c>
      <c r="D18" s="7">
        <v>40</v>
      </c>
      <c r="E18" s="7">
        <v>42</v>
      </c>
      <c r="F18" s="7">
        <v>39</v>
      </c>
      <c r="G18" s="7">
        <v>40</v>
      </c>
      <c r="H18" s="7">
        <v>40</v>
      </c>
      <c r="I18" s="9">
        <f xml:space="preserve"> IF(D18&gt;40, D18-40,0)</f>
        <v>0</v>
      </c>
      <c r="J18" s="9">
        <f t="shared" si="5"/>
        <v>2</v>
      </c>
      <c r="K18" s="9">
        <f t="shared" si="5"/>
        <v>0</v>
      </c>
      <c r="L18" s="9">
        <f t="shared" si="5"/>
        <v>0</v>
      </c>
      <c r="M18" s="9">
        <f t="shared" si="5"/>
        <v>0</v>
      </c>
      <c r="N18" s="11">
        <f t="shared" si="9"/>
        <v>568</v>
      </c>
      <c r="O18" s="11">
        <f t="shared" si="6"/>
        <v>596.4</v>
      </c>
      <c r="P18" s="11">
        <f t="shared" si="6"/>
        <v>553.79999999999995</v>
      </c>
      <c r="Q18" s="11">
        <f t="shared" si="6"/>
        <v>568</v>
      </c>
      <c r="R18" s="11">
        <f t="shared" si="6"/>
        <v>568</v>
      </c>
      <c r="S18" s="13">
        <f t="shared" si="10"/>
        <v>0</v>
      </c>
      <c r="T18" s="13">
        <f t="shared" si="7"/>
        <v>14.2</v>
      </c>
      <c r="U18" s="13">
        <f t="shared" si="7"/>
        <v>0</v>
      </c>
      <c r="V18" s="13">
        <f t="shared" si="7"/>
        <v>0</v>
      </c>
      <c r="W18" s="13">
        <f t="shared" si="7"/>
        <v>0</v>
      </c>
      <c r="X18" s="15">
        <f t="shared" si="11"/>
        <v>568</v>
      </c>
      <c r="Y18" s="15">
        <f t="shared" si="8"/>
        <v>610.6</v>
      </c>
      <c r="Z18" s="15">
        <f t="shared" si="8"/>
        <v>553.79999999999995</v>
      </c>
      <c r="AA18" s="15">
        <f t="shared" si="8"/>
        <v>568</v>
      </c>
      <c r="AB18" s="15">
        <f t="shared" si="8"/>
        <v>568</v>
      </c>
      <c r="AD18" s="2">
        <f t="shared" si="12"/>
        <v>2868.3999999999996</v>
      </c>
    </row>
    <row r="19" spans="1:30">
      <c r="A19" t="s">
        <v>34</v>
      </c>
      <c r="B19" t="s">
        <v>35</v>
      </c>
      <c r="C19" s="1">
        <v>45</v>
      </c>
      <c r="D19" s="7">
        <v>41</v>
      </c>
      <c r="E19" s="7">
        <v>42</v>
      </c>
      <c r="F19" s="7">
        <v>40</v>
      </c>
      <c r="G19" s="7">
        <v>28</v>
      </c>
      <c r="H19" s="7">
        <v>40</v>
      </c>
      <c r="I19" s="9">
        <f xml:space="preserve"> IF(D19&gt;40, D19-40,0)</f>
        <v>1</v>
      </c>
      <c r="J19" s="9">
        <f t="shared" si="5"/>
        <v>2</v>
      </c>
      <c r="K19" s="9">
        <f t="shared" si="5"/>
        <v>0</v>
      </c>
      <c r="L19" s="9">
        <f t="shared" si="5"/>
        <v>0</v>
      </c>
      <c r="M19" s="9">
        <f t="shared" si="5"/>
        <v>0</v>
      </c>
      <c r="N19" s="11">
        <f t="shared" si="9"/>
        <v>1845</v>
      </c>
      <c r="O19" s="11">
        <f t="shared" si="6"/>
        <v>1890</v>
      </c>
      <c r="P19" s="11">
        <f t="shared" si="6"/>
        <v>1800</v>
      </c>
      <c r="Q19" s="11">
        <f t="shared" si="6"/>
        <v>1260</v>
      </c>
      <c r="R19" s="11">
        <f t="shared" si="6"/>
        <v>1800</v>
      </c>
      <c r="S19" s="13">
        <f t="shared" si="10"/>
        <v>22.5</v>
      </c>
      <c r="T19" s="13">
        <f t="shared" si="7"/>
        <v>45</v>
      </c>
      <c r="U19" s="13">
        <f t="shared" si="7"/>
        <v>0</v>
      </c>
      <c r="V19" s="13">
        <f t="shared" si="7"/>
        <v>0</v>
      </c>
      <c r="W19" s="13">
        <f t="shared" si="7"/>
        <v>0</v>
      </c>
      <c r="X19" s="15">
        <f t="shared" si="11"/>
        <v>1867.5</v>
      </c>
      <c r="Y19" s="15">
        <f t="shared" si="8"/>
        <v>1935</v>
      </c>
      <c r="Z19" s="15">
        <f t="shared" si="8"/>
        <v>1800</v>
      </c>
      <c r="AA19" s="15">
        <f t="shared" si="8"/>
        <v>1260</v>
      </c>
      <c r="AB19" s="15">
        <f t="shared" si="8"/>
        <v>1800</v>
      </c>
      <c r="AD19" s="2">
        <f t="shared" si="12"/>
        <v>8662.5</v>
      </c>
    </row>
    <row r="20" spans="1:30">
      <c r="A20" t="s">
        <v>36</v>
      </c>
      <c r="B20" t="s">
        <v>37</v>
      </c>
      <c r="C20" s="1">
        <v>30</v>
      </c>
      <c r="D20" s="7">
        <v>39</v>
      </c>
      <c r="E20" s="7">
        <v>80</v>
      </c>
      <c r="F20" s="7">
        <v>40</v>
      </c>
      <c r="G20" s="7">
        <v>20</v>
      </c>
      <c r="H20" s="7">
        <v>40</v>
      </c>
      <c r="I20" s="9">
        <f xml:space="preserve"> IF(D20&gt;40, D20-40,0)</f>
        <v>0</v>
      </c>
      <c r="J20" s="9">
        <f t="shared" ref="J20:M20" si="13" xml:space="preserve"> IF(E20&gt;40, E20-40,0)</f>
        <v>40</v>
      </c>
      <c r="K20" s="9">
        <f t="shared" si="13"/>
        <v>0</v>
      </c>
      <c r="L20" s="9">
        <f t="shared" si="13"/>
        <v>0</v>
      </c>
      <c r="M20" s="9">
        <f t="shared" si="13"/>
        <v>0</v>
      </c>
      <c r="N20" s="11">
        <f t="shared" si="9"/>
        <v>1170</v>
      </c>
      <c r="O20" s="11">
        <f t="shared" ref="O20" si="14" xml:space="preserve"> $C20*E20</f>
        <v>2400</v>
      </c>
      <c r="P20" s="11">
        <f t="shared" ref="P20" si="15" xml:space="preserve"> $C20*F20</f>
        <v>1200</v>
      </c>
      <c r="Q20" s="11">
        <f t="shared" ref="Q20" si="16" xml:space="preserve"> $C20*G20</f>
        <v>600</v>
      </c>
      <c r="R20" s="11">
        <f t="shared" ref="R20" si="17" xml:space="preserve"> $C20*H20</f>
        <v>1200</v>
      </c>
      <c r="S20" s="13">
        <f t="shared" si="10"/>
        <v>0</v>
      </c>
      <c r="T20" s="13">
        <f t="shared" ref="T20" si="18" xml:space="preserve"> 0.5*$C20*J20</f>
        <v>600</v>
      </c>
      <c r="U20" s="13">
        <f t="shared" ref="U20" si="19" xml:space="preserve"> 0.5*$C20*K20</f>
        <v>0</v>
      </c>
      <c r="V20" s="13">
        <f t="shared" ref="V20" si="20" xml:space="preserve"> 0.5*$C20*L20</f>
        <v>0</v>
      </c>
      <c r="W20" s="13">
        <f t="shared" ref="W20" si="21" xml:space="preserve"> 0.5*$C20*M20</f>
        <v>0</v>
      </c>
      <c r="X20" s="15">
        <f t="shared" si="11"/>
        <v>1170</v>
      </c>
      <c r="Y20" s="15">
        <f t="shared" ref="Y20" si="22" xml:space="preserve"> O20 + T20</f>
        <v>3000</v>
      </c>
      <c r="Z20" s="15">
        <f t="shared" ref="Z20" si="23" xml:space="preserve"> P20 + U20</f>
        <v>1200</v>
      </c>
      <c r="AA20" s="15">
        <f t="shared" ref="AA20" si="24" xml:space="preserve"> Q20 + V20</f>
        <v>600</v>
      </c>
      <c r="AB20" s="15">
        <f t="shared" ref="AB20" si="25" xml:space="preserve"> R20 + W20</f>
        <v>1200</v>
      </c>
      <c r="AD20" s="2">
        <f t="shared" si="12"/>
        <v>7170</v>
      </c>
    </row>
    <row r="22" spans="1:30">
      <c r="A22" t="s">
        <v>40</v>
      </c>
      <c r="C22" s="1">
        <f>MAX(C4:C20)</f>
        <v>45</v>
      </c>
      <c r="D22" s="4">
        <f>MAX(D4:D20)</f>
        <v>55</v>
      </c>
      <c r="E22" s="4"/>
      <c r="F22" s="4"/>
      <c r="G22" s="4"/>
      <c r="H22" s="4"/>
      <c r="I22" s="4"/>
      <c r="J22" s="4"/>
      <c r="K22" s="4"/>
      <c r="L22" s="4"/>
      <c r="M22" s="4"/>
      <c r="N22" s="1">
        <f>MAX(N4:N20)</f>
        <v>1845</v>
      </c>
      <c r="O22" s="1">
        <f t="shared" ref="O22:AB22" si="26">MAX(O4:O20)</f>
        <v>2400</v>
      </c>
      <c r="P22" s="1">
        <f t="shared" si="26"/>
        <v>1800</v>
      </c>
      <c r="Q22" s="1">
        <f t="shared" si="26"/>
        <v>1260</v>
      </c>
      <c r="R22" s="1">
        <f t="shared" si="26"/>
        <v>1800</v>
      </c>
      <c r="S22" s="1">
        <f t="shared" si="26"/>
        <v>135</v>
      </c>
      <c r="T22" s="1">
        <f t="shared" si="26"/>
        <v>600</v>
      </c>
      <c r="U22" s="1">
        <f t="shared" si="26"/>
        <v>122.5</v>
      </c>
      <c r="V22" s="1">
        <f t="shared" si="26"/>
        <v>10.1</v>
      </c>
      <c r="W22" s="1">
        <f t="shared" si="26"/>
        <v>81</v>
      </c>
      <c r="X22" s="1">
        <f t="shared" si="26"/>
        <v>1867.5</v>
      </c>
      <c r="Y22" s="1">
        <f t="shared" si="26"/>
        <v>3000</v>
      </c>
      <c r="Z22" s="1">
        <f t="shared" si="26"/>
        <v>1800</v>
      </c>
      <c r="AA22" s="1">
        <f t="shared" si="26"/>
        <v>1260</v>
      </c>
      <c r="AB22" s="1">
        <f t="shared" si="26"/>
        <v>1800</v>
      </c>
      <c r="AD22" s="1">
        <f t="shared" ref="AD22" si="27">MAX(AD4:AD20)</f>
        <v>8662.5</v>
      </c>
    </row>
    <row r="23" spans="1:30">
      <c r="A23" t="s">
        <v>41</v>
      </c>
      <c r="C23" s="1">
        <f xml:space="preserve"> MIN(C4:C20)</f>
        <v>6.9</v>
      </c>
      <c r="D23" s="4">
        <f xml:space="preserve"> MIN(D4:D20)</f>
        <v>29</v>
      </c>
      <c r="E23" s="4"/>
      <c r="F23" s="4"/>
      <c r="G23" s="4"/>
      <c r="H23" s="4"/>
      <c r="I23" s="4"/>
      <c r="J23" s="4"/>
      <c r="K23" s="4"/>
      <c r="L23" s="4"/>
      <c r="M23" s="4"/>
      <c r="N23" s="1">
        <f xml:space="preserve"> MIN(N4:N20)</f>
        <v>269.10000000000002</v>
      </c>
      <c r="O23" s="1">
        <f t="shared" ref="O23:AB23" si="28" xml:space="preserve"> MIN(O4:O20)</f>
        <v>358.8</v>
      </c>
      <c r="P23" s="1">
        <f t="shared" si="28"/>
        <v>289.8</v>
      </c>
      <c r="Q23" s="1">
        <f t="shared" si="28"/>
        <v>276</v>
      </c>
      <c r="R23" s="1">
        <f t="shared" si="28"/>
        <v>276</v>
      </c>
      <c r="S23" s="1">
        <f t="shared" si="28"/>
        <v>0</v>
      </c>
      <c r="T23" s="1">
        <f t="shared" si="28"/>
        <v>0</v>
      </c>
      <c r="U23" s="1">
        <f t="shared" si="28"/>
        <v>0</v>
      </c>
      <c r="V23" s="1">
        <f t="shared" si="28"/>
        <v>0</v>
      </c>
      <c r="W23" s="1">
        <f t="shared" si="28"/>
        <v>0</v>
      </c>
      <c r="X23" s="1">
        <f t="shared" si="28"/>
        <v>269.10000000000002</v>
      </c>
      <c r="Y23" s="1">
        <f t="shared" si="28"/>
        <v>375.58</v>
      </c>
      <c r="Z23" s="1">
        <f t="shared" si="28"/>
        <v>296.7</v>
      </c>
      <c r="AA23" s="1">
        <f t="shared" si="28"/>
        <v>276</v>
      </c>
      <c r="AB23" s="1">
        <f t="shared" si="28"/>
        <v>276</v>
      </c>
      <c r="AD23" s="1">
        <f t="shared" ref="AD23" si="29" xml:space="preserve"> MIN(AD4:AD20)</f>
        <v>1518</v>
      </c>
    </row>
    <row r="24" spans="1:30">
      <c r="A24" t="s">
        <v>42</v>
      </c>
      <c r="C24" s="1">
        <f xml:space="preserve"> AVERAGE(C4:C20)</f>
        <v>16.484705882352941</v>
      </c>
      <c r="D24" s="4">
        <f xml:space="preserve"> AVERAGE(D4:D20)</f>
        <v>40.882352941176471</v>
      </c>
      <c r="E24" s="4"/>
      <c r="F24" s="4"/>
      <c r="G24" s="4"/>
      <c r="H24" s="4"/>
      <c r="I24" s="4"/>
      <c r="J24" s="4"/>
      <c r="K24" s="4"/>
      <c r="L24" s="4"/>
      <c r="M24" s="4"/>
      <c r="N24" s="1">
        <f xml:space="preserve"> AVERAGE(N4:N20)</f>
        <v>678.36470588235295</v>
      </c>
      <c r="O24" s="1">
        <f t="shared" ref="O24:AB24" si="30" xml:space="preserve"> AVERAGE(O4:O20)</f>
        <v>769.88941176470587</v>
      </c>
      <c r="P24" s="1">
        <f t="shared" si="30"/>
        <v>682.82117647058828</v>
      </c>
      <c r="Q24" s="1">
        <f t="shared" si="30"/>
        <v>546.64941176470597</v>
      </c>
      <c r="R24" s="1">
        <f t="shared" si="30"/>
        <v>609.86470588235295</v>
      </c>
      <c r="S24" s="1">
        <f t="shared" si="30"/>
        <v>18.932352941176472</v>
      </c>
      <c r="T24" s="1">
        <f t="shared" si="30"/>
        <v>64.515294117647059</v>
      </c>
      <c r="U24" s="1">
        <f t="shared" si="30"/>
        <v>17.664705882352941</v>
      </c>
      <c r="V24" s="1">
        <f t="shared" si="30"/>
        <v>1.371764705882353</v>
      </c>
      <c r="W24" s="1">
        <f t="shared" si="30"/>
        <v>8.7470588235294109</v>
      </c>
      <c r="X24" s="1">
        <f t="shared" si="30"/>
        <v>697.29705882352937</v>
      </c>
      <c r="Y24" s="1">
        <f t="shared" si="30"/>
        <v>834.40470588235303</v>
      </c>
      <c r="Z24" s="1">
        <f t="shared" si="30"/>
        <v>700.48588235294119</v>
      </c>
      <c r="AA24" s="1">
        <f t="shared" si="30"/>
        <v>548.02117647058822</v>
      </c>
      <c r="AB24" s="1">
        <f t="shared" si="30"/>
        <v>618.61176470588248</v>
      </c>
      <c r="AD24" s="1">
        <f t="shared" ref="AD24" si="31" xml:space="preserve"> AVERAGE(AD4:AD20)</f>
        <v>3398.8205882352941</v>
      </c>
    </row>
    <row r="25" spans="1:30">
      <c r="A25" t="s">
        <v>43</v>
      </c>
      <c r="D25" s="5">
        <f xml:space="preserve"> SUM(D4:D20)</f>
        <v>695</v>
      </c>
      <c r="N25" s="1">
        <f xml:space="preserve"> SUM(N4:N20)</f>
        <v>11532.2</v>
      </c>
      <c r="O25" s="1">
        <f t="shared" ref="O25:AB25" si="32" xml:space="preserve"> SUM(O4:O20)</f>
        <v>13088.119999999999</v>
      </c>
      <c r="P25" s="1">
        <f t="shared" si="32"/>
        <v>11607.960000000001</v>
      </c>
      <c r="Q25" s="1">
        <f t="shared" si="32"/>
        <v>9293.0400000000009</v>
      </c>
      <c r="R25" s="1">
        <f t="shared" si="32"/>
        <v>10367.700000000001</v>
      </c>
      <c r="S25" s="1">
        <f t="shared" si="32"/>
        <v>321.85000000000002</v>
      </c>
      <c r="T25" s="1">
        <f t="shared" si="32"/>
        <v>1096.76</v>
      </c>
      <c r="U25" s="1">
        <f t="shared" si="32"/>
        <v>300.3</v>
      </c>
      <c r="V25" s="1">
        <f t="shared" si="32"/>
        <v>23.32</v>
      </c>
      <c r="W25" s="1">
        <f t="shared" si="32"/>
        <v>148.69999999999999</v>
      </c>
      <c r="X25" s="1">
        <f t="shared" si="32"/>
        <v>11854.05</v>
      </c>
      <c r="Y25" s="1">
        <f t="shared" si="32"/>
        <v>14184.880000000001</v>
      </c>
      <c r="Z25" s="1">
        <f t="shared" si="32"/>
        <v>11908.26</v>
      </c>
      <c r="AA25" s="1">
        <f t="shared" si="32"/>
        <v>9316.36</v>
      </c>
      <c r="AB25" s="1">
        <f t="shared" si="32"/>
        <v>10516.400000000001</v>
      </c>
      <c r="AD25" s="1">
        <f t="shared" ref="AD25" si="33" xml:space="preserve"> SUM(AD4:AD20)</f>
        <v>57779.95</v>
      </c>
    </row>
  </sheetData>
  <pageMargins left="0.7" right="0.7" top="0.75" bottom="0.75" header="0.3" footer="0.3"/>
  <pageSetup scal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5F78-EDF9-4F92-8B75-95C761EEBE03}">
  <sheetPr>
    <pageSetUpPr fitToPage="1"/>
  </sheetPr>
  <dimension ref="A1:M24"/>
  <sheetViews>
    <sheetView zoomScale="50" zoomScaleNormal="50" workbookViewId="0">
      <selection activeCell="C27" sqref="C27"/>
    </sheetView>
  </sheetViews>
  <sheetFormatPr defaultRowHeight="15"/>
  <cols>
    <col min="1" max="1" width="11.7109375" customWidth="1"/>
    <col min="2" max="2" width="14.5703125" bestFit="1" customWidth="1"/>
    <col min="3" max="3" width="7.140625" customWidth="1"/>
    <col min="4" max="5" width="7.5703125" customWidth="1"/>
    <col min="6" max="6" width="5.5703125" customWidth="1"/>
  </cols>
  <sheetData>
    <row r="1" spans="1:13" ht="126.75">
      <c r="A1" t="s">
        <v>48</v>
      </c>
      <c r="C1" s="16" t="s">
        <v>49</v>
      </c>
      <c r="D1" s="16" t="s">
        <v>50</v>
      </c>
      <c r="E1" s="16" t="s">
        <v>51</v>
      </c>
      <c r="F1" s="16" t="s">
        <v>52</v>
      </c>
      <c r="H1" s="16" t="s">
        <v>49</v>
      </c>
      <c r="I1" s="16" t="s">
        <v>50</v>
      </c>
      <c r="J1" s="16" t="s">
        <v>51</v>
      </c>
      <c r="K1" s="16" t="s">
        <v>52</v>
      </c>
      <c r="M1" s="16" t="s">
        <v>54</v>
      </c>
    </row>
    <row r="2" spans="1:13">
      <c r="B2" t="s">
        <v>53</v>
      </c>
      <c r="C2">
        <v>10</v>
      </c>
      <c r="D2">
        <v>20</v>
      </c>
      <c r="E2">
        <v>100</v>
      </c>
      <c r="F2">
        <v>1</v>
      </c>
    </row>
    <row r="3" spans="1:13">
      <c r="A3" t="s">
        <v>1</v>
      </c>
      <c r="B3" t="s">
        <v>2</v>
      </c>
    </row>
    <row r="4" spans="1:13">
      <c r="A4" t="s">
        <v>6</v>
      </c>
      <c r="B4" t="s">
        <v>7</v>
      </c>
      <c r="C4">
        <v>10</v>
      </c>
      <c r="D4">
        <v>19</v>
      </c>
      <c r="E4">
        <v>93</v>
      </c>
      <c r="F4">
        <v>1</v>
      </c>
      <c r="H4" s="17">
        <f xml:space="preserve"> C4/C$2</f>
        <v>1</v>
      </c>
      <c r="I4" s="17">
        <f t="shared" ref="I4:K19" si="0" xml:space="preserve"> D4/D$2</f>
        <v>0.95</v>
      </c>
      <c r="J4" s="17">
        <f t="shared" si="0"/>
        <v>0.93</v>
      </c>
      <c r="K4" s="17">
        <f t="shared" si="0"/>
        <v>1</v>
      </c>
      <c r="M4" s="17" t="b">
        <f xml:space="preserve"> OR(H4&lt;0.5, I4&lt;0.5, J4&lt;0.5, K4&lt;0.5)</f>
        <v>0</v>
      </c>
    </row>
    <row r="5" spans="1:13">
      <c r="A5" t="s">
        <v>8</v>
      </c>
      <c r="B5" t="s">
        <v>9</v>
      </c>
      <c r="C5">
        <v>9</v>
      </c>
      <c r="D5">
        <v>20</v>
      </c>
      <c r="E5">
        <v>100</v>
      </c>
      <c r="F5">
        <v>1</v>
      </c>
      <c r="H5" s="17">
        <f t="shared" ref="H5:H20" si="1" xml:space="preserve"> C5/C$2</f>
        <v>0.9</v>
      </c>
      <c r="I5" s="17">
        <f t="shared" si="0"/>
        <v>1</v>
      </c>
      <c r="J5" s="17">
        <f t="shared" si="0"/>
        <v>1</v>
      </c>
      <c r="K5" s="17">
        <f t="shared" si="0"/>
        <v>1</v>
      </c>
      <c r="M5" s="17" t="b">
        <f t="shared" ref="M5:M20" si="2" xml:space="preserve"> OR(H5&lt;0.5, I5&lt;0.5, J5&lt;0.5, K5&lt;0.5)</f>
        <v>0</v>
      </c>
    </row>
    <row r="6" spans="1:13">
      <c r="A6" t="s">
        <v>13</v>
      </c>
      <c r="B6" t="s">
        <v>10</v>
      </c>
      <c r="C6">
        <v>8</v>
      </c>
      <c r="D6">
        <v>17</v>
      </c>
      <c r="E6">
        <v>82</v>
      </c>
      <c r="F6">
        <v>1</v>
      </c>
      <c r="H6" s="17">
        <f t="shared" si="1"/>
        <v>0.8</v>
      </c>
      <c r="I6" s="17">
        <f t="shared" si="0"/>
        <v>0.85</v>
      </c>
      <c r="J6" s="17">
        <f t="shared" si="0"/>
        <v>0.82</v>
      </c>
      <c r="K6" s="17">
        <f t="shared" si="0"/>
        <v>1</v>
      </c>
      <c r="M6" s="17" t="b">
        <f t="shared" si="2"/>
        <v>0</v>
      </c>
    </row>
    <row r="7" spans="1:13">
      <c r="A7" t="s">
        <v>11</v>
      </c>
      <c r="B7" t="s">
        <v>12</v>
      </c>
      <c r="C7">
        <v>9</v>
      </c>
      <c r="D7">
        <v>10</v>
      </c>
      <c r="E7">
        <v>73</v>
      </c>
      <c r="F7">
        <v>1</v>
      </c>
      <c r="H7" s="17">
        <f t="shared" si="1"/>
        <v>0.9</v>
      </c>
      <c r="I7" s="17">
        <f t="shared" si="0"/>
        <v>0.5</v>
      </c>
      <c r="J7" s="17">
        <f t="shared" si="0"/>
        <v>0.73</v>
      </c>
      <c r="K7" s="17">
        <f t="shared" si="0"/>
        <v>1</v>
      </c>
      <c r="M7" s="17" t="b">
        <f t="shared" si="2"/>
        <v>0</v>
      </c>
    </row>
    <row r="8" spans="1:13">
      <c r="A8" t="s">
        <v>14</v>
      </c>
      <c r="B8" t="s">
        <v>15</v>
      </c>
      <c r="C8">
        <v>10</v>
      </c>
      <c r="D8">
        <v>20</v>
      </c>
      <c r="E8">
        <v>59</v>
      </c>
      <c r="F8">
        <v>1</v>
      </c>
      <c r="H8" s="17">
        <f t="shared" si="1"/>
        <v>1</v>
      </c>
      <c r="I8" s="17">
        <f t="shared" si="0"/>
        <v>1</v>
      </c>
      <c r="J8" s="17">
        <f t="shared" si="0"/>
        <v>0.59</v>
      </c>
      <c r="K8" s="17">
        <f t="shared" si="0"/>
        <v>1</v>
      </c>
      <c r="M8" s="17" t="b">
        <f t="shared" si="2"/>
        <v>0</v>
      </c>
    </row>
    <row r="9" spans="1:13">
      <c r="A9" t="s">
        <v>16</v>
      </c>
      <c r="B9" t="s">
        <v>17</v>
      </c>
      <c r="C9">
        <v>9</v>
      </c>
      <c r="D9">
        <v>17</v>
      </c>
      <c r="E9">
        <v>100</v>
      </c>
      <c r="F9">
        <v>1</v>
      </c>
      <c r="H9" s="17">
        <f t="shared" si="1"/>
        <v>0.9</v>
      </c>
      <c r="I9" s="17">
        <f t="shared" si="0"/>
        <v>0.85</v>
      </c>
      <c r="J9" s="17">
        <f t="shared" si="0"/>
        <v>1</v>
      </c>
      <c r="K9" s="17">
        <f t="shared" si="0"/>
        <v>1</v>
      </c>
      <c r="M9" s="17" t="b">
        <f t="shared" si="2"/>
        <v>0</v>
      </c>
    </row>
    <row r="10" spans="1:13">
      <c r="A10" t="s">
        <v>18</v>
      </c>
      <c r="B10" t="s">
        <v>19</v>
      </c>
      <c r="C10">
        <v>8</v>
      </c>
      <c r="D10">
        <v>20</v>
      </c>
      <c r="E10">
        <v>100</v>
      </c>
      <c r="F10">
        <v>0</v>
      </c>
      <c r="H10" s="17">
        <f t="shared" si="1"/>
        <v>0.8</v>
      </c>
      <c r="I10" s="17">
        <f t="shared" si="0"/>
        <v>1</v>
      </c>
      <c r="J10" s="17">
        <f t="shared" si="0"/>
        <v>1</v>
      </c>
      <c r="K10" s="17">
        <f t="shared" si="0"/>
        <v>0</v>
      </c>
      <c r="M10" s="17" t="b">
        <f t="shared" si="2"/>
        <v>1</v>
      </c>
    </row>
    <row r="11" spans="1:13">
      <c r="A11" t="s">
        <v>20</v>
      </c>
      <c r="B11" t="s">
        <v>21</v>
      </c>
      <c r="C11">
        <v>5</v>
      </c>
      <c r="D11">
        <v>6</v>
      </c>
      <c r="E11">
        <v>100</v>
      </c>
      <c r="F11">
        <v>1</v>
      </c>
      <c r="H11" s="17">
        <f t="shared" si="1"/>
        <v>0.5</v>
      </c>
      <c r="I11" s="17">
        <f t="shared" si="0"/>
        <v>0.3</v>
      </c>
      <c r="J11" s="17">
        <f t="shared" si="0"/>
        <v>1</v>
      </c>
      <c r="K11" s="17">
        <f t="shared" si="0"/>
        <v>1</v>
      </c>
      <c r="M11" s="17" t="b">
        <f t="shared" si="2"/>
        <v>1</v>
      </c>
    </row>
    <row r="12" spans="1:13">
      <c r="A12" t="s">
        <v>22</v>
      </c>
      <c r="B12" t="s">
        <v>23</v>
      </c>
      <c r="C12">
        <v>10</v>
      </c>
      <c r="D12">
        <v>20</v>
      </c>
      <c r="E12">
        <v>67</v>
      </c>
      <c r="F12">
        <v>1</v>
      </c>
      <c r="H12" s="17">
        <f t="shared" si="1"/>
        <v>1</v>
      </c>
      <c r="I12" s="17">
        <f t="shared" si="0"/>
        <v>1</v>
      </c>
      <c r="J12" s="17">
        <f t="shared" si="0"/>
        <v>0.67</v>
      </c>
      <c r="K12" s="17">
        <f t="shared" si="0"/>
        <v>1</v>
      </c>
      <c r="M12" s="17" t="b">
        <f t="shared" si="2"/>
        <v>0</v>
      </c>
    </row>
    <row r="13" spans="1:13">
      <c r="A13" t="s">
        <v>24</v>
      </c>
      <c r="B13" t="s">
        <v>25</v>
      </c>
      <c r="C13">
        <v>9</v>
      </c>
      <c r="D13">
        <v>20</v>
      </c>
      <c r="E13">
        <v>70</v>
      </c>
      <c r="F13">
        <v>1</v>
      </c>
      <c r="H13" s="17">
        <f t="shared" si="1"/>
        <v>0.9</v>
      </c>
      <c r="I13" s="17">
        <f t="shared" si="0"/>
        <v>1</v>
      </c>
      <c r="J13" s="17">
        <f t="shared" si="0"/>
        <v>0.7</v>
      </c>
      <c r="K13" s="17">
        <f t="shared" si="0"/>
        <v>1</v>
      </c>
      <c r="M13" s="17" t="b">
        <f t="shared" si="2"/>
        <v>0</v>
      </c>
    </row>
    <row r="14" spans="1:13">
      <c r="A14" t="s">
        <v>26</v>
      </c>
      <c r="B14" t="s">
        <v>27</v>
      </c>
      <c r="C14">
        <v>10</v>
      </c>
      <c r="D14">
        <v>19</v>
      </c>
      <c r="E14">
        <v>80</v>
      </c>
      <c r="F14">
        <v>1</v>
      </c>
      <c r="H14" s="17">
        <f t="shared" si="1"/>
        <v>1</v>
      </c>
      <c r="I14" s="17">
        <f t="shared" si="0"/>
        <v>0.95</v>
      </c>
      <c r="J14" s="17">
        <f t="shared" si="0"/>
        <v>0.8</v>
      </c>
      <c r="K14" s="17">
        <f t="shared" si="0"/>
        <v>1</v>
      </c>
      <c r="M14" s="17" t="b">
        <f t="shared" si="2"/>
        <v>0</v>
      </c>
    </row>
    <row r="15" spans="1:13">
      <c r="A15" t="s">
        <v>28</v>
      </c>
      <c r="B15" t="s">
        <v>29</v>
      </c>
      <c r="C15">
        <v>8</v>
      </c>
      <c r="D15">
        <v>17</v>
      </c>
      <c r="E15">
        <v>90</v>
      </c>
      <c r="F15">
        <v>1</v>
      </c>
      <c r="H15" s="17">
        <f t="shared" si="1"/>
        <v>0.8</v>
      </c>
      <c r="I15" s="17">
        <f t="shared" si="0"/>
        <v>0.85</v>
      </c>
      <c r="J15" s="17">
        <f t="shared" si="0"/>
        <v>0.9</v>
      </c>
      <c r="K15" s="17">
        <f t="shared" si="0"/>
        <v>1</v>
      </c>
      <c r="M15" s="17" t="b">
        <f t="shared" si="2"/>
        <v>0</v>
      </c>
    </row>
    <row r="16" spans="1:13">
      <c r="A16" t="s">
        <v>30</v>
      </c>
      <c r="B16" t="s">
        <v>31</v>
      </c>
      <c r="C16">
        <v>9</v>
      </c>
      <c r="D16">
        <v>19</v>
      </c>
      <c r="E16">
        <v>45</v>
      </c>
      <c r="F16">
        <v>0</v>
      </c>
      <c r="H16" s="17">
        <f t="shared" si="1"/>
        <v>0.9</v>
      </c>
      <c r="I16" s="17">
        <f t="shared" si="0"/>
        <v>0.95</v>
      </c>
      <c r="J16" s="17">
        <f t="shared" si="0"/>
        <v>0.45</v>
      </c>
      <c r="K16" s="17">
        <f t="shared" si="0"/>
        <v>0</v>
      </c>
      <c r="M16" s="17" t="b">
        <f t="shared" si="2"/>
        <v>1</v>
      </c>
    </row>
    <row r="17" spans="1:13">
      <c r="A17" t="s">
        <v>38</v>
      </c>
      <c r="B17" t="s">
        <v>39</v>
      </c>
      <c r="C17">
        <v>7</v>
      </c>
      <c r="D17">
        <v>20</v>
      </c>
      <c r="E17">
        <v>90</v>
      </c>
      <c r="F17">
        <v>1</v>
      </c>
      <c r="H17" s="17">
        <f t="shared" si="1"/>
        <v>0.7</v>
      </c>
      <c r="I17" s="17">
        <f t="shared" si="0"/>
        <v>1</v>
      </c>
      <c r="J17" s="17">
        <f t="shared" si="0"/>
        <v>0.9</v>
      </c>
      <c r="K17" s="17">
        <f t="shared" si="0"/>
        <v>1</v>
      </c>
      <c r="M17" s="17" t="b">
        <f t="shared" si="2"/>
        <v>0</v>
      </c>
    </row>
    <row r="18" spans="1:13">
      <c r="A18" t="s">
        <v>32</v>
      </c>
      <c r="B18" t="s">
        <v>33</v>
      </c>
      <c r="C18">
        <v>10</v>
      </c>
      <c r="D18">
        <v>10</v>
      </c>
      <c r="E18">
        <v>80</v>
      </c>
      <c r="F18">
        <v>1</v>
      </c>
      <c r="H18" s="17">
        <f t="shared" si="1"/>
        <v>1</v>
      </c>
      <c r="I18" s="17">
        <f t="shared" si="0"/>
        <v>0.5</v>
      </c>
      <c r="J18" s="17">
        <f t="shared" si="0"/>
        <v>0.8</v>
      </c>
      <c r="K18" s="17">
        <f t="shared" si="0"/>
        <v>1</v>
      </c>
      <c r="M18" s="17" t="b">
        <f t="shared" si="2"/>
        <v>0</v>
      </c>
    </row>
    <row r="19" spans="1:13">
      <c r="A19" t="s">
        <v>34</v>
      </c>
      <c r="B19" t="s">
        <v>35</v>
      </c>
      <c r="C19">
        <v>11</v>
      </c>
      <c r="D19">
        <v>20</v>
      </c>
      <c r="E19">
        <v>69</v>
      </c>
      <c r="F19">
        <v>1</v>
      </c>
      <c r="H19" s="17">
        <f t="shared" si="1"/>
        <v>1.1000000000000001</v>
      </c>
      <c r="I19" s="17">
        <f t="shared" si="0"/>
        <v>1</v>
      </c>
      <c r="J19" s="17">
        <f t="shared" si="0"/>
        <v>0.69</v>
      </c>
      <c r="K19" s="17">
        <f t="shared" si="0"/>
        <v>1</v>
      </c>
      <c r="M19" s="17" t="b">
        <f t="shared" si="2"/>
        <v>0</v>
      </c>
    </row>
    <row r="20" spans="1:13">
      <c r="A20" t="s">
        <v>36</v>
      </c>
      <c r="B20" t="s">
        <v>37</v>
      </c>
      <c r="C20">
        <v>10</v>
      </c>
      <c r="D20">
        <v>14</v>
      </c>
      <c r="E20">
        <v>90</v>
      </c>
      <c r="F20">
        <v>1</v>
      </c>
      <c r="H20" s="17">
        <f t="shared" si="1"/>
        <v>1</v>
      </c>
      <c r="I20" s="17">
        <f t="shared" ref="I20" si="3" xml:space="preserve"> D20/D$2</f>
        <v>0.7</v>
      </c>
      <c r="J20" s="17">
        <f t="shared" ref="J20" si="4" xml:space="preserve"> E20/E$2</f>
        <v>0.9</v>
      </c>
      <c r="K20" s="17">
        <f t="shared" ref="K20" si="5" xml:space="preserve"> F20/F$2</f>
        <v>1</v>
      </c>
      <c r="M20" s="17" t="b">
        <f t="shared" si="2"/>
        <v>0</v>
      </c>
    </row>
    <row r="22" spans="1:13">
      <c r="A22" t="s">
        <v>40</v>
      </c>
      <c r="C22">
        <f xml:space="preserve"> MAX(C4:C20)</f>
        <v>11</v>
      </c>
      <c r="D22">
        <f t="shared" ref="D22:F22" si="6" xml:space="preserve"> MAX(D4:D20)</f>
        <v>20</v>
      </c>
      <c r="E22">
        <f t="shared" si="6"/>
        <v>100</v>
      </c>
      <c r="F22">
        <f t="shared" si="6"/>
        <v>1</v>
      </c>
      <c r="H22" s="17">
        <f xml:space="preserve"> MAX(H4:H20)</f>
        <v>1.1000000000000001</v>
      </c>
      <c r="I22" s="17">
        <f t="shared" ref="I22:K22" si="7" xml:space="preserve"> MAX(I4:I20)</f>
        <v>1</v>
      </c>
      <c r="J22" s="17">
        <f t="shared" si="7"/>
        <v>1</v>
      </c>
      <c r="K22" s="17">
        <f t="shared" si="7"/>
        <v>1</v>
      </c>
    </row>
    <row r="23" spans="1:13">
      <c r="A23" t="s">
        <v>41</v>
      </c>
      <c r="C23">
        <f xml:space="preserve"> MIN(C4:C20)</f>
        <v>5</v>
      </c>
      <c r="D23">
        <f t="shared" ref="D23:F23" si="8" xml:space="preserve"> MIN(D4:D20)</f>
        <v>6</v>
      </c>
      <c r="E23">
        <f t="shared" si="8"/>
        <v>45</v>
      </c>
      <c r="F23">
        <f t="shared" si="8"/>
        <v>0</v>
      </c>
      <c r="H23" s="17">
        <f xml:space="preserve"> MIN(H4:H20)</f>
        <v>0.5</v>
      </c>
      <c r="I23" s="17">
        <f t="shared" ref="I23:K23" si="9" xml:space="preserve"> MIN(I4:I20)</f>
        <v>0.3</v>
      </c>
      <c r="J23" s="17">
        <f t="shared" si="9"/>
        <v>0.45</v>
      </c>
      <c r="K23" s="17">
        <f t="shared" si="9"/>
        <v>0</v>
      </c>
    </row>
    <row r="24" spans="1:13">
      <c r="A24" t="s">
        <v>42</v>
      </c>
      <c r="C24">
        <f xml:space="preserve"> AVERAGE(C4:C20)</f>
        <v>8.9411764705882355</v>
      </c>
      <c r="D24">
        <f t="shared" ref="D24:F24" si="10" xml:space="preserve"> AVERAGE(D4:D20)</f>
        <v>16.941176470588236</v>
      </c>
      <c r="E24">
        <f t="shared" si="10"/>
        <v>81.647058823529406</v>
      </c>
      <c r="F24">
        <f t="shared" si="10"/>
        <v>0.88235294117647056</v>
      </c>
      <c r="H24" s="17">
        <f xml:space="preserve"> AVERAGE(H4:H20)</f>
        <v>0.89411764705882346</v>
      </c>
      <c r="I24" s="17">
        <f t="shared" ref="I24:K24" si="11" xml:space="preserve"> AVERAGE(I4:I20)</f>
        <v>0.84705882352941153</v>
      </c>
      <c r="J24" s="17">
        <f t="shared" si="11"/>
        <v>0.81647058823529417</v>
      </c>
      <c r="K24" s="17">
        <f t="shared" si="11"/>
        <v>0.88235294117647056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2" priority="2" operator="lessThan">
      <formula>0.5</formula>
    </cfRule>
  </conditionalFormatting>
  <conditionalFormatting sqref="M4:M20">
    <cfRule type="cellIs" dxfId="1" priority="1" operator="equal">
      <formula>TRUE</formula>
    </cfRule>
  </conditionalFormatting>
  <pageMargins left="0.7" right="0.7" top="0.75" bottom="0.75" header="0.3" footer="0.3"/>
  <pageSetup scale="4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6B03-849F-42C0-BE74-8FE4BA1B4115}">
  <dimension ref="A1:L9"/>
  <sheetViews>
    <sheetView workbookViewId="0">
      <selection activeCell="E3" sqref="E3"/>
    </sheetView>
  </sheetViews>
  <sheetFormatPr defaultRowHeight="15"/>
  <cols>
    <col min="1" max="1" width="18.5703125" customWidth="1"/>
    <col min="4" max="4" width="10.7109375" bestFit="1" customWidth="1"/>
    <col min="6" max="6" width="10.5703125" bestFit="1" customWidth="1"/>
    <col min="8" max="8" width="9.7109375" bestFit="1" customWidth="1"/>
    <col min="10" max="10" width="9.5703125" bestFit="1" customWidth="1"/>
  </cols>
  <sheetData>
    <row r="1" spans="1:12">
      <c r="A1" t="s">
        <v>61</v>
      </c>
      <c r="C1" t="s">
        <v>44</v>
      </c>
    </row>
    <row r="4" spans="1:12">
      <c r="A4" t="s">
        <v>55</v>
      </c>
      <c r="B4" s="19" t="s">
        <v>5</v>
      </c>
      <c r="C4" s="19">
        <v>3</v>
      </c>
      <c r="D4" s="20" t="s">
        <v>62</v>
      </c>
      <c r="E4" s="20">
        <v>5</v>
      </c>
      <c r="F4" s="21" t="s">
        <v>63</v>
      </c>
      <c r="G4" s="21">
        <v>4</v>
      </c>
      <c r="H4" s="22" t="s">
        <v>64</v>
      </c>
      <c r="I4" s="22">
        <v>3</v>
      </c>
      <c r="J4" s="23" t="s">
        <v>65</v>
      </c>
      <c r="K4" s="23">
        <v>1</v>
      </c>
      <c r="L4" t="s">
        <v>43</v>
      </c>
    </row>
    <row r="5" spans="1:12">
      <c r="A5" t="s">
        <v>56</v>
      </c>
      <c r="B5" s="19">
        <v>1</v>
      </c>
      <c r="C5" s="19">
        <f xml:space="preserve"> C$4*B5</f>
        <v>3</v>
      </c>
      <c r="D5" s="20">
        <v>5</v>
      </c>
      <c r="E5" s="20">
        <f xml:space="preserve"> E$4*D5</f>
        <v>25</v>
      </c>
      <c r="F5" s="21">
        <v>1</v>
      </c>
      <c r="G5" s="21">
        <f xml:space="preserve"> G$4*F5</f>
        <v>4</v>
      </c>
      <c r="H5" s="22">
        <v>4</v>
      </c>
      <c r="I5" s="22">
        <f xml:space="preserve"> I$4*H5</f>
        <v>12</v>
      </c>
      <c r="J5" s="23">
        <v>5</v>
      </c>
      <c r="K5" s="23">
        <f xml:space="preserve"> K$4*J5</f>
        <v>5</v>
      </c>
      <c r="L5">
        <f xml:space="preserve"> C5+E5+G5+I5+K5</f>
        <v>49</v>
      </c>
    </row>
    <row r="6" spans="1:12">
      <c r="A6" t="s">
        <v>57</v>
      </c>
      <c r="B6" s="19">
        <v>4</v>
      </c>
      <c r="C6" s="19">
        <f t="shared" ref="C6:C9" si="0" xml:space="preserve"> C$4*B6</f>
        <v>12</v>
      </c>
      <c r="D6" s="20">
        <v>4</v>
      </c>
      <c r="E6" s="20">
        <f t="shared" ref="E6:G9" si="1" xml:space="preserve"> E$4*D6</f>
        <v>20</v>
      </c>
      <c r="F6" s="21">
        <v>3</v>
      </c>
      <c r="G6" s="21">
        <f t="shared" si="1"/>
        <v>12</v>
      </c>
      <c r="H6" s="22">
        <v>2</v>
      </c>
      <c r="I6" s="22">
        <f t="shared" ref="I6" si="2" xml:space="preserve"> I$4*H6</f>
        <v>6</v>
      </c>
      <c r="J6" s="23">
        <v>1</v>
      </c>
      <c r="K6" s="23">
        <f t="shared" ref="K6" si="3" xml:space="preserve"> K$4*J6</f>
        <v>1</v>
      </c>
      <c r="L6">
        <f t="shared" ref="L6:L9" si="4" xml:space="preserve"> C6+E6+G6+I6+K6</f>
        <v>51</v>
      </c>
    </row>
    <row r="7" spans="1:12">
      <c r="A7" t="s">
        <v>58</v>
      </c>
      <c r="B7" s="19">
        <v>5</v>
      </c>
      <c r="C7" s="19">
        <f t="shared" si="0"/>
        <v>15</v>
      </c>
      <c r="D7" s="20">
        <v>1</v>
      </c>
      <c r="E7" s="20">
        <f t="shared" si="1"/>
        <v>5</v>
      </c>
      <c r="F7" s="21">
        <v>5</v>
      </c>
      <c r="G7" s="21">
        <f t="shared" si="1"/>
        <v>20</v>
      </c>
      <c r="H7" s="22">
        <v>3</v>
      </c>
      <c r="I7" s="22">
        <f t="shared" ref="I7" si="5" xml:space="preserve"> I$4*H7</f>
        <v>9</v>
      </c>
      <c r="J7" s="23">
        <v>3</v>
      </c>
      <c r="K7" s="23">
        <f t="shared" ref="K7" si="6" xml:space="preserve"> K$4*J7</f>
        <v>3</v>
      </c>
      <c r="L7">
        <f t="shared" si="4"/>
        <v>52</v>
      </c>
    </row>
    <row r="8" spans="1:12">
      <c r="A8" t="s">
        <v>59</v>
      </c>
      <c r="B8" s="19">
        <v>3</v>
      </c>
      <c r="C8" s="19">
        <f t="shared" si="0"/>
        <v>9</v>
      </c>
      <c r="D8" s="20">
        <v>5</v>
      </c>
      <c r="E8" s="20">
        <f t="shared" si="1"/>
        <v>25</v>
      </c>
      <c r="F8" s="21">
        <v>4</v>
      </c>
      <c r="G8" s="21">
        <f t="shared" si="1"/>
        <v>16</v>
      </c>
      <c r="H8" s="22">
        <v>4</v>
      </c>
      <c r="I8" s="22">
        <f t="shared" ref="I8" si="7" xml:space="preserve"> I$4*H8</f>
        <v>12</v>
      </c>
      <c r="J8" s="23">
        <v>3</v>
      </c>
      <c r="K8" s="23">
        <f t="shared" ref="K8" si="8" xml:space="preserve"> K$4*J8</f>
        <v>3</v>
      </c>
      <c r="L8">
        <f t="shared" si="4"/>
        <v>65</v>
      </c>
    </row>
    <row r="9" spans="1:12">
      <c r="A9" t="s">
        <v>60</v>
      </c>
      <c r="B9" s="19">
        <v>3</v>
      </c>
      <c r="C9" s="19">
        <f t="shared" si="0"/>
        <v>9</v>
      </c>
      <c r="D9" s="20">
        <v>5</v>
      </c>
      <c r="E9" s="20">
        <f t="shared" si="1"/>
        <v>25</v>
      </c>
      <c r="F9" s="21">
        <v>2</v>
      </c>
      <c r="G9" s="21">
        <f t="shared" si="1"/>
        <v>8</v>
      </c>
      <c r="H9" s="22">
        <v>2</v>
      </c>
      <c r="I9" s="22">
        <f t="shared" ref="I9" si="9" xml:space="preserve"> I$4*H9</f>
        <v>6</v>
      </c>
      <c r="J9" s="23">
        <v>5</v>
      </c>
      <c r="K9" s="23">
        <f t="shared" ref="K9" si="10" xml:space="preserve"> K$4*J9</f>
        <v>5</v>
      </c>
      <c r="L9">
        <f t="shared" si="4"/>
        <v>53</v>
      </c>
    </row>
  </sheetData>
  <conditionalFormatting sqref="L5:L9">
    <cfRule type="top10" dxfId="0" priority="1" percent="1" rank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1197-9CFE-4F8F-805D-96A260C3BD99}">
  <dimension ref="A3:B8"/>
  <sheetViews>
    <sheetView tabSelected="1" workbookViewId="0">
      <selection activeCell="B14" sqref="B14"/>
    </sheetView>
  </sheetViews>
  <sheetFormatPr defaultRowHeight="15"/>
  <cols>
    <col min="1" max="1" width="13.140625" bestFit="1" customWidth="1"/>
    <col min="2" max="2" width="16.28515625" bestFit="1" customWidth="1"/>
  </cols>
  <sheetData>
    <row r="3" spans="1:2">
      <c r="A3" s="26" t="s">
        <v>113</v>
      </c>
      <c r="B3" t="s">
        <v>112</v>
      </c>
    </row>
    <row r="4" spans="1:2">
      <c r="A4" s="25" t="s">
        <v>103</v>
      </c>
      <c r="B4" s="2">
        <v>6003.5</v>
      </c>
    </row>
    <row r="5" spans="1:2">
      <c r="A5" s="25" t="s">
        <v>11</v>
      </c>
      <c r="B5" s="2">
        <v>2410.7000000000003</v>
      </c>
    </row>
    <row r="6" spans="1:2">
      <c r="A6" s="25" t="s">
        <v>107</v>
      </c>
      <c r="B6" s="2">
        <v>3035.3</v>
      </c>
    </row>
    <row r="7" spans="1:2">
      <c r="A7" s="25" t="s">
        <v>14</v>
      </c>
      <c r="B7" s="2">
        <v>5661.0999999999985</v>
      </c>
    </row>
    <row r="8" spans="1:2">
      <c r="A8" s="25" t="s">
        <v>114</v>
      </c>
      <c r="B8" s="2">
        <v>17110.599999999999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1A8F-11CA-4B5C-BF3C-8274127D78DC}">
  <dimension ref="A1:K176"/>
  <sheetViews>
    <sheetView zoomScale="80" zoomScaleNormal="80" workbookViewId="0">
      <selection activeCell="A2" sqref="A2:K172"/>
    </sheetView>
  </sheetViews>
  <sheetFormatPr defaultRowHeight="15"/>
  <cols>
    <col min="1" max="1" width="7.7109375" bestFit="1" customWidth="1"/>
    <col min="2" max="2" width="11.7109375" customWidth="1"/>
    <col min="3" max="3" width="8.85546875" bestFit="1" customWidth="1"/>
    <col min="4" max="4" width="20" bestFit="1" customWidth="1"/>
    <col min="5" max="5" width="10.7109375" style="1" bestFit="1" customWidth="1"/>
    <col min="6" max="6" width="12.28515625" style="1" bestFit="1" customWidth="1"/>
    <col min="7" max="7" width="10.7109375" style="1" bestFit="1" customWidth="1"/>
    <col min="8" max="8" width="14.85546875" style="1" bestFit="1" customWidth="1"/>
    <col min="9" max="9" width="16.7109375" bestFit="1" customWidth="1"/>
    <col min="10" max="10" width="16.7109375" customWidth="1"/>
    <col min="11" max="11" width="9.5703125" bestFit="1" customWidth="1"/>
  </cols>
  <sheetData>
    <row r="1" spans="1:11" ht="78.75">
      <c r="A1" s="29" t="s">
        <v>66</v>
      </c>
      <c r="B1" s="29" t="s">
        <v>67</v>
      </c>
      <c r="C1" s="29" t="s">
        <v>68</v>
      </c>
      <c r="D1" s="29" t="s">
        <v>69</v>
      </c>
      <c r="E1" s="28" t="s">
        <v>70</v>
      </c>
      <c r="F1" s="28" t="s">
        <v>71</v>
      </c>
      <c r="G1" s="28" t="s">
        <v>72</v>
      </c>
      <c r="H1" s="28" t="s">
        <v>108</v>
      </c>
      <c r="I1" s="29" t="s">
        <v>2</v>
      </c>
      <c r="J1" s="29" t="s">
        <v>1</v>
      </c>
      <c r="K1" s="29" t="s">
        <v>73</v>
      </c>
    </row>
    <row r="2" spans="1:11" ht="15.75">
      <c r="A2" s="31" t="s">
        <v>74</v>
      </c>
      <c r="B2" s="32">
        <v>1001</v>
      </c>
      <c r="C2" s="30">
        <v>9822</v>
      </c>
      <c r="D2" s="30" t="s">
        <v>75</v>
      </c>
      <c r="E2" s="27">
        <v>58.3</v>
      </c>
      <c r="F2" s="27">
        <v>98.4</v>
      </c>
      <c r="G2" s="27">
        <f xml:space="preserve"> F2-E2</f>
        <v>40.100000000000009</v>
      </c>
      <c r="H2" s="27">
        <f xml:space="preserve"> IF(F2 &gt;50, G2*0.2, G2*0.1)</f>
        <v>8.0200000000000014</v>
      </c>
      <c r="I2" s="30" t="s">
        <v>102</v>
      </c>
      <c r="J2" s="30" t="s">
        <v>103</v>
      </c>
      <c r="K2" s="30" t="s">
        <v>76</v>
      </c>
    </row>
    <row r="3" spans="1:11" ht="15.75">
      <c r="A3" s="31" t="s">
        <v>74</v>
      </c>
      <c r="B3" s="32">
        <v>1002</v>
      </c>
      <c r="C3" s="30">
        <v>2877</v>
      </c>
      <c r="D3" s="30" t="s">
        <v>77</v>
      </c>
      <c r="E3" s="27">
        <v>11.4</v>
      </c>
      <c r="F3" s="27">
        <v>16.3</v>
      </c>
      <c r="G3" s="27">
        <f xml:space="preserve"> F3-E3</f>
        <v>4.9000000000000004</v>
      </c>
      <c r="H3" s="27">
        <f xml:space="preserve"> IF(F3 &gt;50, G3*0.2, G3*0.1)</f>
        <v>0.49000000000000005</v>
      </c>
      <c r="I3" s="30" t="s">
        <v>104</v>
      </c>
      <c r="J3" s="30" t="s">
        <v>11</v>
      </c>
      <c r="K3" s="30" t="s">
        <v>78</v>
      </c>
    </row>
    <row r="4" spans="1:11" ht="15.75">
      <c r="A4" s="31" t="s">
        <v>74</v>
      </c>
      <c r="B4" s="32">
        <v>1003</v>
      </c>
      <c r="C4" s="30">
        <v>2499</v>
      </c>
      <c r="D4" s="30" t="s">
        <v>79</v>
      </c>
      <c r="E4" s="27">
        <v>6.2</v>
      </c>
      <c r="F4" s="27">
        <v>9.1999999999999993</v>
      </c>
      <c r="G4" s="27">
        <f xml:space="preserve"> F4-E4</f>
        <v>2.9999999999999991</v>
      </c>
      <c r="H4" s="27">
        <f xml:space="preserve"> IF(F4 &gt;50, G4*0.2, G4*0.1)</f>
        <v>0.29999999999999993</v>
      </c>
      <c r="I4" s="30" t="s">
        <v>105</v>
      </c>
      <c r="J4" s="30" t="s">
        <v>14</v>
      </c>
      <c r="K4" s="30" t="s">
        <v>80</v>
      </c>
    </row>
    <row r="5" spans="1:11" ht="15.75">
      <c r="A5" s="31" t="s">
        <v>74</v>
      </c>
      <c r="B5" s="32">
        <v>1004</v>
      </c>
      <c r="C5" s="30">
        <v>8722</v>
      </c>
      <c r="D5" s="30" t="s">
        <v>81</v>
      </c>
      <c r="E5" s="27">
        <v>344</v>
      </c>
      <c r="F5" s="27">
        <v>502</v>
      </c>
      <c r="G5" s="27">
        <f xml:space="preserve"> F5-E5</f>
        <v>158</v>
      </c>
      <c r="H5" s="27">
        <f xml:space="preserve"> IF(F5 &gt;50, G5*0.2, G5*0.1)</f>
        <v>31.6</v>
      </c>
      <c r="I5" s="30" t="s">
        <v>102</v>
      </c>
      <c r="J5" s="30" t="s">
        <v>103</v>
      </c>
      <c r="K5" s="30" t="s">
        <v>80</v>
      </c>
    </row>
    <row r="6" spans="1:11" ht="15.75">
      <c r="A6" s="31" t="s">
        <v>74</v>
      </c>
      <c r="B6" s="32">
        <v>1005</v>
      </c>
      <c r="C6" s="30">
        <v>1109</v>
      </c>
      <c r="D6" s="30" t="s">
        <v>82</v>
      </c>
      <c r="E6" s="27">
        <v>3</v>
      </c>
      <c r="F6" s="27">
        <v>8</v>
      </c>
      <c r="G6" s="27">
        <f xml:space="preserve"> F6-E6</f>
        <v>5</v>
      </c>
      <c r="H6" s="27">
        <f xml:space="preserve"> IF(F6 &gt;50, G6*0.2, G6*0.1)</f>
        <v>0.5</v>
      </c>
      <c r="I6" s="30" t="s">
        <v>105</v>
      </c>
      <c r="J6" s="30" t="s">
        <v>14</v>
      </c>
      <c r="K6" s="30" t="s">
        <v>80</v>
      </c>
    </row>
    <row r="7" spans="1:11" ht="15.75">
      <c r="A7" s="31" t="s">
        <v>74</v>
      </c>
      <c r="B7" s="32">
        <v>1006</v>
      </c>
      <c r="C7" s="30">
        <v>9822</v>
      </c>
      <c r="D7" s="30" t="s">
        <v>75</v>
      </c>
      <c r="E7" s="27">
        <v>58.3</v>
      </c>
      <c r="F7" s="27">
        <v>98.4</v>
      </c>
      <c r="G7" s="27">
        <f xml:space="preserve"> F7-E7</f>
        <v>40.100000000000009</v>
      </c>
      <c r="H7" s="27">
        <f xml:space="preserve"> IF(F7 &gt;50, G7*0.2, G7*0.1)</f>
        <v>8.0200000000000014</v>
      </c>
      <c r="I7" s="30" t="s">
        <v>105</v>
      </c>
      <c r="J7" s="30" t="s">
        <v>14</v>
      </c>
      <c r="K7" s="30" t="s">
        <v>80</v>
      </c>
    </row>
    <row r="8" spans="1:11" ht="15.75">
      <c r="A8" s="31" t="s">
        <v>74</v>
      </c>
      <c r="B8" s="32">
        <v>1007</v>
      </c>
      <c r="C8" s="30">
        <v>1109</v>
      </c>
      <c r="D8" s="30" t="s">
        <v>82</v>
      </c>
      <c r="E8" s="27">
        <v>3</v>
      </c>
      <c r="F8" s="27">
        <v>8</v>
      </c>
      <c r="G8" s="27">
        <f xml:space="preserve"> F8-E8</f>
        <v>5</v>
      </c>
      <c r="H8" s="27">
        <f xml:space="preserve"> IF(F8 &gt;50, G8*0.2, G8*0.1)</f>
        <v>0.5</v>
      </c>
      <c r="I8" s="30" t="s">
        <v>106</v>
      </c>
      <c r="J8" s="30" t="s">
        <v>107</v>
      </c>
      <c r="K8" s="30" t="s">
        <v>76</v>
      </c>
    </row>
    <row r="9" spans="1:11" ht="15.75">
      <c r="A9" s="31" t="s">
        <v>74</v>
      </c>
      <c r="B9" s="32">
        <v>1008</v>
      </c>
      <c r="C9" s="30">
        <v>2877</v>
      </c>
      <c r="D9" s="30" t="s">
        <v>77</v>
      </c>
      <c r="E9" s="27">
        <v>11.4</v>
      </c>
      <c r="F9" s="27">
        <v>16.3</v>
      </c>
      <c r="G9" s="27">
        <f xml:space="preserve"> F9-E9</f>
        <v>4.9000000000000004</v>
      </c>
      <c r="H9" s="27">
        <f xml:space="preserve"> IF(F9 &gt;50, G9*0.2, G9*0.1)</f>
        <v>0.49000000000000005</v>
      </c>
      <c r="I9" s="30" t="s">
        <v>105</v>
      </c>
      <c r="J9" s="30" t="s">
        <v>14</v>
      </c>
      <c r="K9" s="30" t="s">
        <v>76</v>
      </c>
    </row>
    <row r="10" spans="1:11" ht="15.75">
      <c r="A10" s="31" t="s">
        <v>74</v>
      </c>
      <c r="B10" s="32">
        <v>1009</v>
      </c>
      <c r="C10" s="30">
        <v>1109</v>
      </c>
      <c r="D10" s="30" t="s">
        <v>82</v>
      </c>
      <c r="E10" s="27">
        <v>3</v>
      </c>
      <c r="F10" s="27">
        <v>8</v>
      </c>
      <c r="G10" s="27">
        <f xml:space="preserve"> F10-E10</f>
        <v>5</v>
      </c>
      <c r="H10" s="27">
        <f xml:space="preserve"> IF(F10 &gt;50, G10*0.2, G10*0.1)</f>
        <v>0.5</v>
      </c>
      <c r="I10" s="30" t="s">
        <v>105</v>
      </c>
      <c r="J10" s="30" t="s">
        <v>14</v>
      </c>
      <c r="K10" s="30" t="s">
        <v>80</v>
      </c>
    </row>
    <row r="11" spans="1:11" ht="15.75">
      <c r="A11" s="31" t="s">
        <v>74</v>
      </c>
      <c r="B11" s="32">
        <v>1010</v>
      </c>
      <c r="C11" s="30">
        <v>2877</v>
      </c>
      <c r="D11" s="30" t="s">
        <v>77</v>
      </c>
      <c r="E11" s="27">
        <v>11.4</v>
      </c>
      <c r="F11" s="27">
        <v>16.3</v>
      </c>
      <c r="G11" s="27">
        <f xml:space="preserve"> F11-E11</f>
        <v>4.9000000000000004</v>
      </c>
      <c r="H11" s="27">
        <f xml:space="preserve"> IF(F11 &gt;50, G11*0.2, G11*0.1)</f>
        <v>0.49000000000000005</v>
      </c>
      <c r="I11" s="30" t="s">
        <v>104</v>
      </c>
      <c r="J11" s="30" t="s">
        <v>11</v>
      </c>
      <c r="K11" s="30" t="s">
        <v>83</v>
      </c>
    </row>
    <row r="12" spans="1:11" ht="15.75">
      <c r="A12" s="31" t="s">
        <v>74</v>
      </c>
      <c r="B12" s="32">
        <v>1011</v>
      </c>
      <c r="C12" s="30">
        <v>2877</v>
      </c>
      <c r="D12" s="30" t="s">
        <v>77</v>
      </c>
      <c r="E12" s="27">
        <v>11.4</v>
      </c>
      <c r="F12" s="27">
        <v>16.3</v>
      </c>
      <c r="G12" s="27">
        <f xml:space="preserve"> F12-E12</f>
        <v>4.9000000000000004</v>
      </c>
      <c r="H12" s="27">
        <f xml:space="preserve"> IF(F12 &gt;50, G12*0.2, G12*0.1)</f>
        <v>0.49000000000000005</v>
      </c>
      <c r="I12" s="30" t="s">
        <v>104</v>
      </c>
      <c r="J12" s="30" t="s">
        <v>11</v>
      </c>
      <c r="K12" s="30" t="s">
        <v>80</v>
      </c>
    </row>
    <row r="13" spans="1:11" ht="15.75">
      <c r="A13" s="31" t="s">
        <v>74</v>
      </c>
      <c r="B13" s="32">
        <v>1012</v>
      </c>
      <c r="C13" s="30">
        <v>4421</v>
      </c>
      <c r="D13" s="30" t="s">
        <v>84</v>
      </c>
      <c r="E13" s="27">
        <v>45</v>
      </c>
      <c r="F13" s="27">
        <v>87</v>
      </c>
      <c r="G13" s="27">
        <f xml:space="preserve"> F13-E13</f>
        <v>42</v>
      </c>
      <c r="H13" s="27">
        <f xml:space="preserve"> IF(F13 &gt;50, G13*0.2, G13*0.1)</f>
        <v>8.4</v>
      </c>
      <c r="I13" s="30" t="s">
        <v>105</v>
      </c>
      <c r="J13" s="30" t="s">
        <v>14</v>
      </c>
      <c r="K13" s="30" t="s">
        <v>76</v>
      </c>
    </row>
    <row r="14" spans="1:11" ht="15.75">
      <c r="A14" s="31" t="s">
        <v>74</v>
      </c>
      <c r="B14" s="32">
        <v>1013</v>
      </c>
      <c r="C14" s="30">
        <v>9212</v>
      </c>
      <c r="D14" s="30" t="s">
        <v>85</v>
      </c>
      <c r="E14" s="27">
        <v>4</v>
      </c>
      <c r="F14" s="27">
        <v>7</v>
      </c>
      <c r="G14" s="27">
        <f xml:space="preserve"> F14-E14</f>
        <v>3</v>
      </c>
      <c r="H14" s="27">
        <f xml:space="preserve"> IF(F14 &gt;50, G14*0.2, G14*0.1)</f>
        <v>0.30000000000000004</v>
      </c>
      <c r="I14" s="30" t="s">
        <v>106</v>
      </c>
      <c r="J14" s="30" t="s">
        <v>107</v>
      </c>
      <c r="K14" s="30" t="s">
        <v>83</v>
      </c>
    </row>
    <row r="15" spans="1:11" ht="15.75">
      <c r="A15" s="31" t="s">
        <v>74</v>
      </c>
      <c r="B15" s="32">
        <v>1014</v>
      </c>
      <c r="C15" s="30">
        <v>8722</v>
      </c>
      <c r="D15" s="30" t="s">
        <v>81</v>
      </c>
      <c r="E15" s="27">
        <v>344</v>
      </c>
      <c r="F15" s="27">
        <v>502</v>
      </c>
      <c r="G15" s="27">
        <f xml:space="preserve"> F15-E15</f>
        <v>158</v>
      </c>
      <c r="H15" s="27">
        <f xml:space="preserve"> IF(F15 &gt;50, G15*0.2, G15*0.1)</f>
        <v>31.6</v>
      </c>
      <c r="I15" s="30" t="s">
        <v>102</v>
      </c>
      <c r="J15" s="30" t="s">
        <v>103</v>
      </c>
      <c r="K15" s="30" t="s">
        <v>78</v>
      </c>
    </row>
    <row r="16" spans="1:11" ht="15.75">
      <c r="A16" s="31" t="s">
        <v>74</v>
      </c>
      <c r="B16" s="32">
        <v>1015</v>
      </c>
      <c r="C16" s="30">
        <v>2877</v>
      </c>
      <c r="D16" s="30" t="s">
        <v>77</v>
      </c>
      <c r="E16" s="27">
        <v>11.4</v>
      </c>
      <c r="F16" s="27">
        <v>16.3</v>
      </c>
      <c r="G16" s="27">
        <f xml:space="preserve"> F16-E16</f>
        <v>4.9000000000000004</v>
      </c>
      <c r="H16" s="27">
        <f xml:space="preserve"> IF(F16 &gt;50, G16*0.2, G16*0.1)</f>
        <v>0.49000000000000005</v>
      </c>
      <c r="I16" s="30" t="s">
        <v>106</v>
      </c>
      <c r="J16" s="30" t="s">
        <v>107</v>
      </c>
      <c r="K16" s="30" t="s">
        <v>80</v>
      </c>
    </row>
    <row r="17" spans="1:11" ht="15.75">
      <c r="A17" s="31" t="s">
        <v>74</v>
      </c>
      <c r="B17" s="32">
        <v>1016</v>
      </c>
      <c r="C17" s="30">
        <v>2499</v>
      </c>
      <c r="D17" s="30" t="s">
        <v>79</v>
      </c>
      <c r="E17" s="27">
        <v>6.2</v>
      </c>
      <c r="F17" s="27">
        <v>9.1999999999999993</v>
      </c>
      <c r="G17" s="27">
        <f xml:space="preserve"> F17-E17</f>
        <v>2.9999999999999991</v>
      </c>
      <c r="H17" s="27">
        <f xml:space="preserve"> IF(F17 &gt;50, G17*0.2, G17*0.1)</f>
        <v>0.29999999999999993</v>
      </c>
      <c r="I17" s="30" t="s">
        <v>105</v>
      </c>
      <c r="J17" s="30" t="s">
        <v>14</v>
      </c>
      <c r="K17" s="30" t="s">
        <v>78</v>
      </c>
    </row>
    <row r="18" spans="1:11" ht="15.75">
      <c r="A18" s="31" t="s">
        <v>86</v>
      </c>
      <c r="B18" s="32">
        <v>1017</v>
      </c>
      <c r="C18" s="30">
        <v>2242</v>
      </c>
      <c r="D18" s="30" t="s">
        <v>87</v>
      </c>
      <c r="E18" s="27">
        <v>60</v>
      </c>
      <c r="F18" s="27">
        <v>124</v>
      </c>
      <c r="G18" s="27">
        <f xml:space="preserve"> F18-E18</f>
        <v>64</v>
      </c>
      <c r="H18" s="27">
        <f xml:space="preserve"> IF(F18 &gt;50, G18*0.2, G18*0.1)</f>
        <v>12.8</v>
      </c>
      <c r="I18" s="30" t="s">
        <v>104</v>
      </c>
      <c r="J18" s="30" t="s">
        <v>11</v>
      </c>
      <c r="K18" s="30" t="s">
        <v>76</v>
      </c>
    </row>
    <row r="19" spans="1:11" ht="15.75">
      <c r="A19" s="31" t="s">
        <v>86</v>
      </c>
      <c r="B19" s="32">
        <v>1018</v>
      </c>
      <c r="C19" s="30">
        <v>1109</v>
      </c>
      <c r="D19" s="30" t="s">
        <v>82</v>
      </c>
      <c r="E19" s="27">
        <v>3</v>
      </c>
      <c r="F19" s="27">
        <v>8</v>
      </c>
      <c r="G19" s="27">
        <f xml:space="preserve"> F19-E19</f>
        <v>5</v>
      </c>
      <c r="H19" s="27">
        <f xml:space="preserve"> IF(F19 &gt;50, G19*0.2, G19*0.1)</f>
        <v>0.5</v>
      </c>
      <c r="I19" s="30" t="s">
        <v>105</v>
      </c>
      <c r="J19" s="30" t="s">
        <v>14</v>
      </c>
      <c r="K19" s="30" t="s">
        <v>78</v>
      </c>
    </row>
    <row r="20" spans="1:11" ht="15.75">
      <c r="A20" s="31" t="s">
        <v>86</v>
      </c>
      <c r="B20" s="32">
        <v>1019</v>
      </c>
      <c r="C20" s="30">
        <v>2499</v>
      </c>
      <c r="D20" s="30" t="s">
        <v>79</v>
      </c>
      <c r="E20" s="27">
        <v>6.2</v>
      </c>
      <c r="F20" s="27">
        <v>9.1999999999999993</v>
      </c>
      <c r="G20" s="27">
        <f xml:space="preserve"> F20-E20</f>
        <v>2.9999999999999991</v>
      </c>
      <c r="H20" s="27">
        <f xml:space="preserve"> IF(F20 &gt;50, G20*0.2, G20*0.1)</f>
        <v>0.29999999999999993</v>
      </c>
      <c r="I20" s="30" t="s">
        <v>105</v>
      </c>
      <c r="J20" s="30" t="s">
        <v>14</v>
      </c>
      <c r="K20" s="30" t="s">
        <v>83</v>
      </c>
    </row>
    <row r="21" spans="1:11" ht="15.75">
      <c r="A21" s="31" t="s">
        <v>86</v>
      </c>
      <c r="B21" s="32">
        <v>1020</v>
      </c>
      <c r="C21" s="30">
        <v>2499</v>
      </c>
      <c r="D21" s="30" t="s">
        <v>79</v>
      </c>
      <c r="E21" s="27">
        <v>6.2</v>
      </c>
      <c r="F21" s="27">
        <v>9.1999999999999993</v>
      </c>
      <c r="G21" s="27">
        <f xml:space="preserve"> F21-E21</f>
        <v>2.9999999999999991</v>
      </c>
      <c r="H21" s="27">
        <f xml:space="preserve"> IF(F21 &gt;50, G21*0.2, G21*0.1)</f>
        <v>0.29999999999999993</v>
      </c>
      <c r="I21" s="30" t="s">
        <v>105</v>
      </c>
      <c r="J21" s="30" t="s">
        <v>14</v>
      </c>
      <c r="K21" s="30" t="s">
        <v>88</v>
      </c>
    </row>
    <row r="22" spans="1:11" ht="15.75">
      <c r="A22" s="31" t="s">
        <v>86</v>
      </c>
      <c r="B22" s="32">
        <v>1021</v>
      </c>
      <c r="C22" s="30">
        <v>1109</v>
      </c>
      <c r="D22" s="30" t="s">
        <v>82</v>
      </c>
      <c r="E22" s="27">
        <v>3</v>
      </c>
      <c r="F22" s="27">
        <v>8</v>
      </c>
      <c r="G22" s="27">
        <f xml:space="preserve"> F22-E22</f>
        <v>5</v>
      </c>
      <c r="H22" s="27">
        <f xml:space="preserve"> IF(F22 &gt;50, G22*0.2, G22*0.1)</f>
        <v>0.5</v>
      </c>
      <c r="I22" s="30" t="s">
        <v>104</v>
      </c>
      <c r="J22" s="30" t="s">
        <v>11</v>
      </c>
      <c r="K22" s="30" t="s">
        <v>83</v>
      </c>
    </row>
    <row r="23" spans="1:11" ht="15.75">
      <c r="A23" s="31" t="s">
        <v>86</v>
      </c>
      <c r="B23" s="32">
        <v>1022</v>
      </c>
      <c r="C23" s="30">
        <v>2877</v>
      </c>
      <c r="D23" s="30" t="s">
        <v>77</v>
      </c>
      <c r="E23" s="27">
        <v>11.4</v>
      </c>
      <c r="F23" s="27">
        <v>16.3</v>
      </c>
      <c r="G23" s="27">
        <f xml:space="preserve"> F23-E23</f>
        <v>4.9000000000000004</v>
      </c>
      <c r="H23" s="27">
        <f xml:space="preserve"> IF(F23 &gt;50, G23*0.2, G23*0.1)</f>
        <v>0.49000000000000005</v>
      </c>
      <c r="I23" s="30" t="s">
        <v>105</v>
      </c>
      <c r="J23" s="30" t="s">
        <v>14</v>
      </c>
      <c r="K23" s="30" t="s">
        <v>89</v>
      </c>
    </row>
    <row r="24" spans="1:11" ht="15.75">
      <c r="A24" s="31" t="s">
        <v>86</v>
      </c>
      <c r="B24" s="32">
        <v>1023</v>
      </c>
      <c r="C24" s="30">
        <v>1109</v>
      </c>
      <c r="D24" s="30" t="s">
        <v>82</v>
      </c>
      <c r="E24" s="27">
        <v>3</v>
      </c>
      <c r="F24" s="27">
        <v>8</v>
      </c>
      <c r="G24" s="27">
        <f xml:space="preserve"> F24-E24</f>
        <v>5</v>
      </c>
      <c r="H24" s="27">
        <f xml:space="preserve"> IF(F24 &gt;50, G24*0.2, G24*0.1)</f>
        <v>0.5</v>
      </c>
      <c r="I24" s="30" t="s">
        <v>106</v>
      </c>
      <c r="J24" s="30" t="s">
        <v>107</v>
      </c>
      <c r="K24" s="30" t="s">
        <v>76</v>
      </c>
    </row>
    <row r="25" spans="1:11" ht="15.75">
      <c r="A25" s="31" t="s">
        <v>86</v>
      </c>
      <c r="B25" s="32">
        <v>1024</v>
      </c>
      <c r="C25" s="30">
        <v>9212</v>
      </c>
      <c r="D25" s="30" t="s">
        <v>85</v>
      </c>
      <c r="E25" s="27">
        <v>4</v>
      </c>
      <c r="F25" s="27">
        <v>7</v>
      </c>
      <c r="G25" s="27">
        <f xml:space="preserve"> F25-E25</f>
        <v>3</v>
      </c>
      <c r="H25" s="27">
        <f xml:space="preserve"> IF(F25 &gt;50, G25*0.2, G25*0.1)</f>
        <v>0.30000000000000004</v>
      </c>
      <c r="I25" s="30" t="s">
        <v>104</v>
      </c>
      <c r="J25" s="30" t="s">
        <v>11</v>
      </c>
      <c r="K25" s="30" t="s">
        <v>89</v>
      </c>
    </row>
    <row r="26" spans="1:11" ht="15.75">
      <c r="A26" s="31" t="s">
        <v>86</v>
      </c>
      <c r="B26" s="32">
        <v>1025</v>
      </c>
      <c r="C26" s="30">
        <v>2877</v>
      </c>
      <c r="D26" s="30" t="s">
        <v>77</v>
      </c>
      <c r="E26" s="27">
        <v>11.4</v>
      </c>
      <c r="F26" s="27">
        <v>16.3</v>
      </c>
      <c r="G26" s="27">
        <f xml:space="preserve"> F26-E26</f>
        <v>4.9000000000000004</v>
      </c>
      <c r="H26" s="27">
        <f xml:space="preserve"> IF(F26 &gt;50, G26*0.2, G26*0.1)</f>
        <v>0.49000000000000005</v>
      </c>
      <c r="I26" s="30" t="s">
        <v>106</v>
      </c>
      <c r="J26" s="30" t="s">
        <v>107</v>
      </c>
      <c r="K26" s="30" t="s">
        <v>88</v>
      </c>
    </row>
    <row r="27" spans="1:11" ht="15.75">
      <c r="A27" s="31" t="s">
        <v>86</v>
      </c>
      <c r="B27" s="32">
        <v>1026</v>
      </c>
      <c r="C27" s="30">
        <v>6119</v>
      </c>
      <c r="D27" s="30" t="s">
        <v>90</v>
      </c>
      <c r="E27" s="27">
        <v>9</v>
      </c>
      <c r="F27" s="27">
        <v>14</v>
      </c>
      <c r="G27" s="27">
        <f xml:space="preserve"> F27-E27</f>
        <v>5</v>
      </c>
      <c r="H27" s="27">
        <f xml:space="preserve"> IF(F27 &gt;50, G27*0.2, G27*0.1)</f>
        <v>0.5</v>
      </c>
      <c r="I27" s="30" t="s">
        <v>106</v>
      </c>
      <c r="J27" s="30" t="s">
        <v>107</v>
      </c>
      <c r="K27" s="30" t="s">
        <v>76</v>
      </c>
    </row>
    <row r="28" spans="1:11" ht="15.75">
      <c r="A28" s="31" t="s">
        <v>86</v>
      </c>
      <c r="B28" s="32">
        <v>1027</v>
      </c>
      <c r="C28" s="30">
        <v>6119</v>
      </c>
      <c r="D28" s="30" t="s">
        <v>90</v>
      </c>
      <c r="E28" s="27">
        <v>9</v>
      </c>
      <c r="F28" s="27">
        <v>14</v>
      </c>
      <c r="G28" s="27">
        <f xml:space="preserve"> F28-E28</f>
        <v>5</v>
      </c>
      <c r="H28" s="27">
        <f xml:space="preserve"> IF(F28 &gt;50, G28*0.2, G28*0.1)</f>
        <v>0.5</v>
      </c>
      <c r="I28" s="30" t="s">
        <v>102</v>
      </c>
      <c r="J28" s="30" t="s">
        <v>103</v>
      </c>
      <c r="K28" s="30" t="s">
        <v>88</v>
      </c>
    </row>
    <row r="29" spans="1:11" ht="15.75">
      <c r="A29" s="31" t="s">
        <v>86</v>
      </c>
      <c r="B29" s="32">
        <v>1028</v>
      </c>
      <c r="C29" s="30">
        <v>8722</v>
      </c>
      <c r="D29" s="30" t="s">
        <v>81</v>
      </c>
      <c r="E29" s="27">
        <v>344</v>
      </c>
      <c r="F29" s="27">
        <v>502</v>
      </c>
      <c r="G29" s="27">
        <f xml:space="preserve"> F29-E29</f>
        <v>158</v>
      </c>
      <c r="H29" s="27">
        <f xml:space="preserve"> IF(F29 &gt;50, G29*0.2, G29*0.1)</f>
        <v>31.6</v>
      </c>
      <c r="I29" s="30" t="s">
        <v>102</v>
      </c>
      <c r="J29" s="30" t="s">
        <v>103</v>
      </c>
      <c r="K29" s="30" t="s">
        <v>80</v>
      </c>
    </row>
    <row r="30" spans="1:11" ht="15.75">
      <c r="A30" s="31" t="s">
        <v>86</v>
      </c>
      <c r="B30" s="32">
        <v>1029</v>
      </c>
      <c r="C30" s="30">
        <v>2499</v>
      </c>
      <c r="D30" s="30" t="s">
        <v>79</v>
      </c>
      <c r="E30" s="27">
        <v>6.2</v>
      </c>
      <c r="F30" s="27">
        <v>9.1999999999999993</v>
      </c>
      <c r="G30" s="27">
        <f xml:space="preserve"> F30-E30</f>
        <v>2.9999999999999991</v>
      </c>
      <c r="H30" s="27">
        <f xml:space="preserve"> IF(F30 &gt;50, G30*0.2, G30*0.1)</f>
        <v>0.29999999999999993</v>
      </c>
      <c r="I30" s="30" t="s">
        <v>104</v>
      </c>
      <c r="J30" s="30" t="s">
        <v>11</v>
      </c>
      <c r="K30" s="30" t="s">
        <v>80</v>
      </c>
    </row>
    <row r="31" spans="1:11" ht="15.75">
      <c r="A31" s="31" t="s">
        <v>86</v>
      </c>
      <c r="B31" s="32">
        <v>1030</v>
      </c>
      <c r="C31" s="30">
        <v>4421</v>
      </c>
      <c r="D31" s="30" t="s">
        <v>84</v>
      </c>
      <c r="E31" s="27">
        <v>45</v>
      </c>
      <c r="F31" s="27">
        <v>87</v>
      </c>
      <c r="G31" s="27">
        <f xml:space="preserve"> F31-E31</f>
        <v>42</v>
      </c>
      <c r="H31" s="27">
        <f xml:space="preserve"> IF(F31 &gt;50, G31*0.2, G31*0.1)</f>
        <v>8.4</v>
      </c>
      <c r="I31" s="30" t="s">
        <v>104</v>
      </c>
      <c r="J31" s="30" t="s">
        <v>11</v>
      </c>
      <c r="K31" s="30" t="s">
        <v>88</v>
      </c>
    </row>
    <row r="32" spans="1:11" ht="15.75">
      <c r="A32" s="31" t="s">
        <v>86</v>
      </c>
      <c r="B32" s="32">
        <v>1031</v>
      </c>
      <c r="C32" s="30">
        <v>1109</v>
      </c>
      <c r="D32" s="30" t="s">
        <v>82</v>
      </c>
      <c r="E32" s="27">
        <v>3</v>
      </c>
      <c r="F32" s="27">
        <v>8</v>
      </c>
      <c r="G32" s="27">
        <f xml:space="preserve"> F32-E32</f>
        <v>5</v>
      </c>
      <c r="H32" s="27">
        <f xml:space="preserve"> IF(F32 &gt;50, G32*0.2, G32*0.1)</f>
        <v>0.5</v>
      </c>
      <c r="I32" s="30" t="s">
        <v>104</v>
      </c>
      <c r="J32" s="30" t="s">
        <v>11</v>
      </c>
      <c r="K32" s="30" t="s">
        <v>78</v>
      </c>
    </row>
    <row r="33" spans="1:11" ht="15.75">
      <c r="A33" s="31" t="s">
        <v>86</v>
      </c>
      <c r="B33" s="32">
        <v>1032</v>
      </c>
      <c r="C33" s="30">
        <v>2877</v>
      </c>
      <c r="D33" s="30" t="s">
        <v>77</v>
      </c>
      <c r="E33" s="27">
        <v>11.4</v>
      </c>
      <c r="F33" s="27">
        <v>16.3</v>
      </c>
      <c r="G33" s="27">
        <f xml:space="preserve"> F33-E33</f>
        <v>4.9000000000000004</v>
      </c>
      <c r="H33" s="27">
        <f xml:space="preserve"> IF(F33 &gt;50, G33*0.2, G33*0.1)</f>
        <v>0.49000000000000005</v>
      </c>
      <c r="I33" s="30" t="s">
        <v>102</v>
      </c>
      <c r="J33" s="30" t="s">
        <v>103</v>
      </c>
      <c r="K33" s="30" t="s">
        <v>80</v>
      </c>
    </row>
    <row r="34" spans="1:11" ht="15.75">
      <c r="A34" s="31" t="s">
        <v>86</v>
      </c>
      <c r="B34" s="32">
        <v>1033</v>
      </c>
      <c r="C34" s="30">
        <v>9822</v>
      </c>
      <c r="D34" s="30" t="s">
        <v>75</v>
      </c>
      <c r="E34" s="27">
        <v>58.3</v>
      </c>
      <c r="F34" s="27">
        <v>98.4</v>
      </c>
      <c r="G34" s="27">
        <f xml:space="preserve"> F34-E34</f>
        <v>40.100000000000009</v>
      </c>
      <c r="H34" s="27">
        <f xml:space="preserve"> IF(F34 &gt;50, G34*0.2, G34*0.1)</f>
        <v>8.0200000000000014</v>
      </c>
      <c r="I34" s="30" t="s">
        <v>104</v>
      </c>
      <c r="J34" s="30" t="s">
        <v>11</v>
      </c>
      <c r="K34" s="30" t="s">
        <v>78</v>
      </c>
    </row>
    <row r="35" spans="1:11" ht="15.75">
      <c r="A35" s="31" t="s">
        <v>86</v>
      </c>
      <c r="B35" s="32">
        <v>1034</v>
      </c>
      <c r="C35" s="30">
        <v>2877</v>
      </c>
      <c r="D35" s="30" t="s">
        <v>77</v>
      </c>
      <c r="E35" s="27">
        <v>11.4</v>
      </c>
      <c r="F35" s="27">
        <v>16.3</v>
      </c>
      <c r="G35" s="27">
        <f xml:space="preserve"> F35-E35</f>
        <v>4.9000000000000004</v>
      </c>
      <c r="H35" s="27">
        <f xml:space="preserve"> IF(F35 &gt;50, G35*0.2, G35*0.1)</f>
        <v>0.49000000000000005</v>
      </c>
      <c r="I35" s="30" t="s">
        <v>104</v>
      </c>
      <c r="J35" s="30" t="s">
        <v>11</v>
      </c>
      <c r="K35" s="30" t="s">
        <v>83</v>
      </c>
    </row>
    <row r="36" spans="1:11" ht="15.75">
      <c r="A36" s="31" t="s">
        <v>91</v>
      </c>
      <c r="B36" s="32">
        <v>1035</v>
      </c>
      <c r="C36" s="30">
        <v>2499</v>
      </c>
      <c r="D36" s="30" t="s">
        <v>79</v>
      </c>
      <c r="E36" s="27">
        <v>6.2</v>
      </c>
      <c r="F36" s="27">
        <v>9.1999999999999993</v>
      </c>
      <c r="G36" s="27">
        <f xml:space="preserve"> F36-E36</f>
        <v>2.9999999999999991</v>
      </c>
      <c r="H36" s="27">
        <f xml:space="preserve"> IF(F36 &gt;50, G36*0.2, G36*0.1)</f>
        <v>0.29999999999999993</v>
      </c>
      <c r="I36" s="30" t="s">
        <v>106</v>
      </c>
      <c r="J36" s="30" t="s">
        <v>107</v>
      </c>
      <c r="K36" s="30" t="s">
        <v>78</v>
      </c>
    </row>
    <row r="37" spans="1:11" ht="15.75">
      <c r="A37" s="31" t="s">
        <v>91</v>
      </c>
      <c r="B37" s="32">
        <v>1036</v>
      </c>
      <c r="C37" s="30">
        <v>2499</v>
      </c>
      <c r="D37" s="30" t="s">
        <v>79</v>
      </c>
      <c r="E37" s="27">
        <v>6.2</v>
      </c>
      <c r="F37" s="27">
        <v>9.1999999999999993</v>
      </c>
      <c r="G37" s="27">
        <f xml:space="preserve"> F37-E37</f>
        <v>2.9999999999999991</v>
      </c>
      <c r="H37" s="27">
        <f xml:space="preserve"> IF(F37 &gt;50, G37*0.2, G37*0.1)</f>
        <v>0.29999999999999993</v>
      </c>
      <c r="I37" s="30" t="s">
        <v>104</v>
      </c>
      <c r="J37" s="30" t="s">
        <v>11</v>
      </c>
      <c r="K37" s="30" t="s">
        <v>88</v>
      </c>
    </row>
    <row r="38" spans="1:11" ht="15.75">
      <c r="A38" s="31" t="s">
        <v>91</v>
      </c>
      <c r="B38" s="32">
        <v>1037</v>
      </c>
      <c r="C38" s="30">
        <v>6622</v>
      </c>
      <c r="D38" s="30" t="s">
        <v>92</v>
      </c>
      <c r="E38" s="27">
        <v>42</v>
      </c>
      <c r="F38" s="27">
        <v>77</v>
      </c>
      <c r="G38" s="27">
        <f xml:space="preserve"> F38-E38</f>
        <v>35</v>
      </c>
      <c r="H38" s="27">
        <f xml:space="preserve"> IF(F38 &gt;50, G38*0.2, G38*0.1)</f>
        <v>7</v>
      </c>
      <c r="I38" s="30" t="s">
        <v>104</v>
      </c>
      <c r="J38" s="30" t="s">
        <v>11</v>
      </c>
      <c r="K38" s="30" t="s">
        <v>88</v>
      </c>
    </row>
    <row r="39" spans="1:11" ht="15.75">
      <c r="A39" s="31" t="s">
        <v>91</v>
      </c>
      <c r="B39" s="32">
        <v>1038</v>
      </c>
      <c r="C39" s="30">
        <v>2499</v>
      </c>
      <c r="D39" s="30" t="s">
        <v>79</v>
      </c>
      <c r="E39" s="27">
        <v>6.2</v>
      </c>
      <c r="F39" s="27">
        <v>9.1999999999999993</v>
      </c>
      <c r="G39" s="27">
        <f xml:space="preserve"> F39-E39</f>
        <v>2.9999999999999991</v>
      </c>
      <c r="H39" s="27">
        <f xml:space="preserve"> IF(F39 &gt;50, G39*0.2, G39*0.1)</f>
        <v>0.29999999999999993</v>
      </c>
      <c r="I39" s="30" t="s">
        <v>104</v>
      </c>
      <c r="J39" s="30" t="s">
        <v>11</v>
      </c>
      <c r="K39" s="30" t="s">
        <v>88</v>
      </c>
    </row>
    <row r="40" spans="1:11" ht="15.75">
      <c r="A40" s="31" t="s">
        <v>91</v>
      </c>
      <c r="B40" s="32">
        <v>1039</v>
      </c>
      <c r="C40" s="30">
        <v>2877</v>
      </c>
      <c r="D40" s="30" t="s">
        <v>77</v>
      </c>
      <c r="E40" s="27">
        <v>11.4</v>
      </c>
      <c r="F40" s="27">
        <v>16.3</v>
      </c>
      <c r="G40" s="27">
        <f xml:space="preserve"> F40-E40</f>
        <v>4.9000000000000004</v>
      </c>
      <c r="H40" s="27">
        <f xml:space="preserve"> IF(F40 &gt;50, G40*0.2, G40*0.1)</f>
        <v>0.49000000000000005</v>
      </c>
      <c r="I40" s="30" t="s">
        <v>104</v>
      </c>
      <c r="J40" s="30" t="s">
        <v>11</v>
      </c>
      <c r="K40" s="30" t="s">
        <v>78</v>
      </c>
    </row>
    <row r="41" spans="1:11" ht="15.75">
      <c r="A41" s="31" t="s">
        <v>91</v>
      </c>
      <c r="B41" s="32">
        <v>1040</v>
      </c>
      <c r="C41" s="30">
        <v>1109</v>
      </c>
      <c r="D41" s="30" t="s">
        <v>82</v>
      </c>
      <c r="E41" s="27">
        <v>3</v>
      </c>
      <c r="F41" s="27">
        <v>8</v>
      </c>
      <c r="G41" s="27">
        <f xml:space="preserve"> F41-E41</f>
        <v>5</v>
      </c>
      <c r="H41" s="27">
        <f xml:space="preserve"> IF(F41 &gt;50, G41*0.2, G41*0.1)</f>
        <v>0.5</v>
      </c>
      <c r="I41" s="30" t="s">
        <v>104</v>
      </c>
      <c r="J41" s="30" t="s">
        <v>11</v>
      </c>
      <c r="K41" s="30" t="s">
        <v>80</v>
      </c>
    </row>
    <row r="42" spans="1:11" ht="15.75">
      <c r="A42" s="31" t="s">
        <v>91</v>
      </c>
      <c r="B42" s="32">
        <v>1041</v>
      </c>
      <c r="C42" s="30">
        <v>2499</v>
      </c>
      <c r="D42" s="30" t="s">
        <v>79</v>
      </c>
      <c r="E42" s="27">
        <v>6.2</v>
      </c>
      <c r="F42" s="27">
        <v>9.1999999999999993</v>
      </c>
      <c r="G42" s="27">
        <f xml:space="preserve"> F42-E42</f>
        <v>2.9999999999999991</v>
      </c>
      <c r="H42" s="27">
        <f xml:space="preserve"> IF(F42 &gt;50, G42*0.2, G42*0.1)</f>
        <v>0.29999999999999993</v>
      </c>
      <c r="I42" s="30" t="s">
        <v>102</v>
      </c>
      <c r="J42" s="30" t="s">
        <v>103</v>
      </c>
      <c r="K42" s="30" t="s">
        <v>76</v>
      </c>
    </row>
    <row r="43" spans="1:11" ht="15.75">
      <c r="A43" s="31" t="s">
        <v>91</v>
      </c>
      <c r="B43" s="32">
        <v>1042</v>
      </c>
      <c r="C43" s="30">
        <v>8722</v>
      </c>
      <c r="D43" s="30" t="s">
        <v>81</v>
      </c>
      <c r="E43" s="27">
        <v>344</v>
      </c>
      <c r="F43" s="27">
        <v>502</v>
      </c>
      <c r="G43" s="27">
        <f xml:space="preserve"> F43-E43</f>
        <v>158</v>
      </c>
      <c r="H43" s="27">
        <f xml:space="preserve"> IF(F43 &gt;50, G43*0.2, G43*0.1)</f>
        <v>31.6</v>
      </c>
      <c r="I43" s="30" t="s">
        <v>105</v>
      </c>
      <c r="J43" s="30" t="s">
        <v>14</v>
      </c>
      <c r="K43" s="30" t="s">
        <v>76</v>
      </c>
    </row>
    <row r="44" spans="1:11" ht="15.75">
      <c r="A44" s="31" t="s">
        <v>91</v>
      </c>
      <c r="B44" s="32">
        <v>1043</v>
      </c>
      <c r="C44" s="30">
        <v>2242</v>
      </c>
      <c r="D44" s="30" t="s">
        <v>87</v>
      </c>
      <c r="E44" s="27">
        <v>60</v>
      </c>
      <c r="F44" s="27">
        <v>124</v>
      </c>
      <c r="G44" s="27">
        <f xml:space="preserve"> F44-E44</f>
        <v>64</v>
      </c>
      <c r="H44" s="27">
        <f xml:space="preserve"> IF(F44 &gt;50, G44*0.2, G44*0.1)</f>
        <v>12.8</v>
      </c>
      <c r="I44" s="30" t="s">
        <v>105</v>
      </c>
      <c r="J44" s="30" t="s">
        <v>14</v>
      </c>
      <c r="K44" s="30" t="s">
        <v>78</v>
      </c>
    </row>
    <row r="45" spans="1:11" ht="15.75">
      <c r="A45" s="31" t="s">
        <v>91</v>
      </c>
      <c r="B45" s="32">
        <v>1044</v>
      </c>
      <c r="C45" s="30">
        <v>2877</v>
      </c>
      <c r="D45" s="30" t="s">
        <v>77</v>
      </c>
      <c r="E45" s="27">
        <v>11.4</v>
      </c>
      <c r="F45" s="27">
        <v>16.3</v>
      </c>
      <c r="G45" s="27">
        <f xml:space="preserve"> F45-E45</f>
        <v>4.9000000000000004</v>
      </c>
      <c r="H45" s="27">
        <f xml:space="preserve"> IF(F45 &gt;50, G45*0.2, G45*0.1)</f>
        <v>0.49000000000000005</v>
      </c>
      <c r="I45" s="30" t="s">
        <v>105</v>
      </c>
      <c r="J45" s="30" t="s">
        <v>14</v>
      </c>
      <c r="K45" s="30" t="s">
        <v>78</v>
      </c>
    </row>
    <row r="46" spans="1:11" ht="15.75">
      <c r="A46" s="31" t="s">
        <v>91</v>
      </c>
      <c r="B46" s="32">
        <v>1045</v>
      </c>
      <c r="C46" s="30">
        <v>8722</v>
      </c>
      <c r="D46" s="30" t="s">
        <v>81</v>
      </c>
      <c r="E46" s="27">
        <v>344</v>
      </c>
      <c r="F46" s="27">
        <v>502</v>
      </c>
      <c r="G46" s="27">
        <f xml:space="preserve"> F46-E46</f>
        <v>158</v>
      </c>
      <c r="H46" s="27">
        <f xml:space="preserve"> IF(F46 &gt;50, G46*0.2, G46*0.1)</f>
        <v>31.6</v>
      </c>
      <c r="I46" s="30" t="s">
        <v>106</v>
      </c>
      <c r="J46" s="30" t="s">
        <v>107</v>
      </c>
      <c r="K46" s="30" t="s">
        <v>80</v>
      </c>
    </row>
    <row r="47" spans="1:11" ht="15.75">
      <c r="A47" s="31" t="s">
        <v>91</v>
      </c>
      <c r="B47" s="32">
        <v>1046</v>
      </c>
      <c r="C47" s="30">
        <v>6119</v>
      </c>
      <c r="D47" s="30" t="s">
        <v>90</v>
      </c>
      <c r="E47" s="27">
        <v>9</v>
      </c>
      <c r="F47" s="27">
        <v>14</v>
      </c>
      <c r="G47" s="27">
        <f xml:space="preserve"> F47-E47</f>
        <v>5</v>
      </c>
      <c r="H47" s="27">
        <f xml:space="preserve"> IF(F47 &gt;50, G47*0.2, G47*0.1)</f>
        <v>0.5</v>
      </c>
      <c r="I47" s="30" t="s">
        <v>104</v>
      </c>
      <c r="J47" s="30" t="s">
        <v>11</v>
      </c>
      <c r="K47" s="30" t="s">
        <v>89</v>
      </c>
    </row>
    <row r="48" spans="1:11" ht="15.75">
      <c r="A48" s="31" t="s">
        <v>91</v>
      </c>
      <c r="B48" s="32">
        <v>1047</v>
      </c>
      <c r="C48" s="30">
        <v>6622</v>
      </c>
      <c r="D48" s="30" t="s">
        <v>92</v>
      </c>
      <c r="E48" s="27">
        <v>42</v>
      </c>
      <c r="F48" s="27">
        <v>77</v>
      </c>
      <c r="G48" s="27">
        <f xml:space="preserve"> F48-E48</f>
        <v>35</v>
      </c>
      <c r="H48" s="27">
        <f xml:space="preserve"> IF(F48 &gt;50, G48*0.2, G48*0.1)</f>
        <v>7</v>
      </c>
      <c r="I48" s="30" t="s">
        <v>106</v>
      </c>
      <c r="J48" s="30" t="s">
        <v>107</v>
      </c>
      <c r="K48" s="30" t="s">
        <v>80</v>
      </c>
    </row>
    <row r="49" spans="1:11" ht="15.75">
      <c r="A49" s="31" t="s">
        <v>91</v>
      </c>
      <c r="B49" s="32">
        <v>1048</v>
      </c>
      <c r="C49" s="30">
        <v>8722</v>
      </c>
      <c r="D49" s="30" t="s">
        <v>81</v>
      </c>
      <c r="E49" s="27">
        <v>344</v>
      </c>
      <c r="F49" s="27">
        <v>502</v>
      </c>
      <c r="G49" s="27">
        <f xml:space="preserve"> F49-E49</f>
        <v>158</v>
      </c>
      <c r="H49" s="27">
        <f xml:space="preserve"> IF(F49 &gt;50, G49*0.2, G49*0.1)</f>
        <v>31.6</v>
      </c>
      <c r="I49" s="30" t="s">
        <v>102</v>
      </c>
      <c r="J49" s="30" t="s">
        <v>103</v>
      </c>
      <c r="K49" s="30" t="s">
        <v>80</v>
      </c>
    </row>
    <row r="50" spans="1:11" ht="15.75">
      <c r="A50" s="31" t="s">
        <v>93</v>
      </c>
      <c r="B50" s="32">
        <v>1049</v>
      </c>
      <c r="C50" s="30">
        <v>2499</v>
      </c>
      <c r="D50" s="30" t="s">
        <v>79</v>
      </c>
      <c r="E50" s="27">
        <v>6.2</v>
      </c>
      <c r="F50" s="27">
        <v>9.1999999999999993</v>
      </c>
      <c r="G50" s="27">
        <f xml:space="preserve"> F50-E50</f>
        <v>2.9999999999999991</v>
      </c>
      <c r="H50" s="27">
        <f xml:space="preserve"> IF(F50 &gt;50, G50*0.2, G50*0.1)</f>
        <v>0.29999999999999993</v>
      </c>
      <c r="I50" s="30" t="s">
        <v>102</v>
      </c>
      <c r="J50" s="30" t="s">
        <v>103</v>
      </c>
      <c r="K50" s="30" t="s">
        <v>83</v>
      </c>
    </row>
    <row r="51" spans="1:11" ht="15.75">
      <c r="A51" s="31" t="s">
        <v>93</v>
      </c>
      <c r="B51" s="32">
        <v>1050</v>
      </c>
      <c r="C51" s="30">
        <v>2877</v>
      </c>
      <c r="D51" s="30" t="s">
        <v>77</v>
      </c>
      <c r="E51" s="27">
        <v>11.4</v>
      </c>
      <c r="F51" s="27">
        <v>16.3</v>
      </c>
      <c r="G51" s="27">
        <f xml:space="preserve"> F51-E51</f>
        <v>4.9000000000000004</v>
      </c>
      <c r="H51" s="27">
        <f xml:space="preserve"> IF(F51 &gt;50, G51*0.2, G51*0.1)</f>
        <v>0.49000000000000005</v>
      </c>
      <c r="I51" s="30" t="s">
        <v>102</v>
      </c>
      <c r="J51" s="30" t="s">
        <v>103</v>
      </c>
      <c r="K51" s="30" t="s">
        <v>80</v>
      </c>
    </row>
    <row r="52" spans="1:11" ht="15.75">
      <c r="A52" s="31" t="s">
        <v>93</v>
      </c>
      <c r="B52" s="32">
        <v>1051</v>
      </c>
      <c r="C52" s="30">
        <v>6119</v>
      </c>
      <c r="D52" s="30" t="s">
        <v>90</v>
      </c>
      <c r="E52" s="27">
        <v>9</v>
      </c>
      <c r="F52" s="27">
        <v>14</v>
      </c>
      <c r="G52" s="27">
        <f xml:space="preserve"> F52-E52</f>
        <v>5</v>
      </c>
      <c r="H52" s="27">
        <f xml:space="preserve"> IF(F52 &gt;50, G52*0.2, G52*0.1)</f>
        <v>0.5</v>
      </c>
      <c r="I52" s="30" t="s">
        <v>105</v>
      </c>
      <c r="J52" s="30" t="s">
        <v>14</v>
      </c>
      <c r="K52" s="30" t="s">
        <v>89</v>
      </c>
    </row>
    <row r="53" spans="1:11" ht="15.75">
      <c r="A53" s="31" t="s">
        <v>93</v>
      </c>
      <c r="B53" s="32">
        <v>1052</v>
      </c>
      <c r="C53" s="30">
        <v>6622</v>
      </c>
      <c r="D53" s="30" t="s">
        <v>92</v>
      </c>
      <c r="E53" s="27">
        <v>42</v>
      </c>
      <c r="F53" s="27">
        <v>77</v>
      </c>
      <c r="G53" s="27">
        <f xml:space="preserve"> F53-E53</f>
        <v>35</v>
      </c>
      <c r="H53" s="27">
        <f xml:space="preserve"> IF(F53 &gt;50, G53*0.2, G53*0.1)</f>
        <v>7</v>
      </c>
      <c r="I53" s="30" t="s">
        <v>105</v>
      </c>
      <c r="J53" s="30" t="s">
        <v>14</v>
      </c>
      <c r="K53" s="30" t="s">
        <v>80</v>
      </c>
    </row>
    <row r="54" spans="1:11" ht="15.75">
      <c r="A54" s="31" t="s">
        <v>93</v>
      </c>
      <c r="B54" s="32">
        <v>1053</v>
      </c>
      <c r="C54" s="30">
        <v>2242</v>
      </c>
      <c r="D54" s="30" t="s">
        <v>87</v>
      </c>
      <c r="E54" s="27">
        <v>60</v>
      </c>
      <c r="F54" s="27">
        <v>124</v>
      </c>
      <c r="G54" s="27">
        <f xml:space="preserve"> F54-E54</f>
        <v>64</v>
      </c>
      <c r="H54" s="27">
        <f xml:space="preserve"> IF(F54 &gt;50, G54*0.2, G54*0.1)</f>
        <v>12.8</v>
      </c>
      <c r="I54" s="30" t="s">
        <v>102</v>
      </c>
      <c r="J54" s="30" t="s">
        <v>103</v>
      </c>
      <c r="K54" s="30" t="s">
        <v>78</v>
      </c>
    </row>
    <row r="55" spans="1:11" ht="15.75">
      <c r="A55" s="31" t="s">
        <v>93</v>
      </c>
      <c r="B55" s="32">
        <v>1054</v>
      </c>
      <c r="C55" s="30">
        <v>4421</v>
      </c>
      <c r="D55" s="30" t="s">
        <v>84</v>
      </c>
      <c r="E55" s="27">
        <v>45</v>
      </c>
      <c r="F55" s="27">
        <v>87</v>
      </c>
      <c r="G55" s="27">
        <f xml:space="preserve"> F55-E55</f>
        <v>42</v>
      </c>
      <c r="H55" s="27">
        <f xml:space="preserve"> IF(F55 &gt;50, G55*0.2, G55*0.1)</f>
        <v>8.4</v>
      </c>
      <c r="I55" s="30" t="s">
        <v>105</v>
      </c>
      <c r="J55" s="30" t="s">
        <v>14</v>
      </c>
      <c r="K55" s="30" t="s">
        <v>88</v>
      </c>
    </row>
    <row r="56" spans="1:11" ht="15.75">
      <c r="A56" s="31" t="s">
        <v>93</v>
      </c>
      <c r="B56" s="32">
        <v>1055</v>
      </c>
      <c r="C56" s="30">
        <v>6119</v>
      </c>
      <c r="D56" s="30" t="s">
        <v>90</v>
      </c>
      <c r="E56" s="27">
        <v>9</v>
      </c>
      <c r="F56" s="27">
        <v>14</v>
      </c>
      <c r="G56" s="27">
        <f xml:space="preserve"> F56-E56</f>
        <v>5</v>
      </c>
      <c r="H56" s="27">
        <f xml:space="preserve"> IF(F56 &gt;50, G56*0.2, G56*0.1)</f>
        <v>0.5</v>
      </c>
      <c r="I56" s="30" t="s">
        <v>104</v>
      </c>
      <c r="J56" s="30" t="s">
        <v>11</v>
      </c>
      <c r="K56" s="30" t="s">
        <v>88</v>
      </c>
    </row>
    <row r="57" spans="1:11" ht="15.75">
      <c r="A57" s="31" t="s">
        <v>93</v>
      </c>
      <c r="B57" s="32">
        <v>1056</v>
      </c>
      <c r="C57" s="30">
        <v>1109</v>
      </c>
      <c r="D57" s="30" t="s">
        <v>82</v>
      </c>
      <c r="E57" s="27">
        <v>3</v>
      </c>
      <c r="F57" s="27">
        <v>8</v>
      </c>
      <c r="G57" s="27">
        <f xml:space="preserve"> F57-E57</f>
        <v>5</v>
      </c>
      <c r="H57" s="27">
        <f xml:space="preserve"> IF(F57 &gt;50, G57*0.2, G57*0.1)</f>
        <v>0.5</v>
      </c>
      <c r="I57" s="30" t="s">
        <v>105</v>
      </c>
      <c r="J57" s="30" t="s">
        <v>14</v>
      </c>
      <c r="K57" s="30" t="s">
        <v>78</v>
      </c>
    </row>
    <row r="58" spans="1:11" ht="15.75">
      <c r="A58" s="31" t="s">
        <v>93</v>
      </c>
      <c r="B58" s="32">
        <v>1057</v>
      </c>
      <c r="C58" s="30">
        <v>2499</v>
      </c>
      <c r="D58" s="30" t="s">
        <v>79</v>
      </c>
      <c r="E58" s="27">
        <v>6.2</v>
      </c>
      <c r="F58" s="27">
        <v>9.1999999999999993</v>
      </c>
      <c r="G58" s="27">
        <f xml:space="preserve"> F58-E58</f>
        <v>2.9999999999999991</v>
      </c>
      <c r="H58" s="27">
        <f xml:space="preserve"> IF(F58 &gt;50, G58*0.2, G58*0.1)</f>
        <v>0.29999999999999993</v>
      </c>
      <c r="I58" s="30" t="s">
        <v>104</v>
      </c>
      <c r="J58" s="30" t="s">
        <v>11</v>
      </c>
      <c r="K58" s="30" t="s">
        <v>78</v>
      </c>
    </row>
    <row r="59" spans="1:11" ht="15.75">
      <c r="A59" s="31" t="s">
        <v>93</v>
      </c>
      <c r="B59" s="32">
        <v>1058</v>
      </c>
      <c r="C59" s="30">
        <v>6119</v>
      </c>
      <c r="D59" s="30" t="s">
        <v>90</v>
      </c>
      <c r="E59" s="27">
        <v>9</v>
      </c>
      <c r="F59" s="27">
        <v>14</v>
      </c>
      <c r="G59" s="27">
        <f xml:space="preserve"> F59-E59</f>
        <v>5</v>
      </c>
      <c r="H59" s="27">
        <f xml:space="preserve"> IF(F59 &gt;50, G59*0.2, G59*0.1)</f>
        <v>0.5</v>
      </c>
      <c r="I59" s="30" t="s">
        <v>106</v>
      </c>
      <c r="J59" s="30" t="s">
        <v>107</v>
      </c>
      <c r="K59" s="30" t="s">
        <v>80</v>
      </c>
    </row>
    <row r="60" spans="1:11" ht="15.75">
      <c r="A60" s="31" t="s">
        <v>93</v>
      </c>
      <c r="B60" s="32">
        <v>1059</v>
      </c>
      <c r="C60" s="30">
        <v>2242</v>
      </c>
      <c r="D60" s="30" t="s">
        <v>87</v>
      </c>
      <c r="E60" s="27">
        <v>60</v>
      </c>
      <c r="F60" s="27">
        <v>124</v>
      </c>
      <c r="G60" s="27">
        <f xml:space="preserve"> F60-E60</f>
        <v>64</v>
      </c>
      <c r="H60" s="27">
        <f xml:space="preserve"> IF(F60 &gt;50, G60*0.2, G60*0.1)</f>
        <v>12.8</v>
      </c>
      <c r="I60" s="30" t="s">
        <v>105</v>
      </c>
      <c r="J60" s="30" t="s">
        <v>14</v>
      </c>
      <c r="K60" s="30" t="s">
        <v>80</v>
      </c>
    </row>
    <row r="61" spans="1:11" ht="15.75">
      <c r="A61" s="31" t="s">
        <v>93</v>
      </c>
      <c r="B61" s="32">
        <v>1060</v>
      </c>
      <c r="C61" s="30">
        <v>6119</v>
      </c>
      <c r="D61" s="30" t="s">
        <v>90</v>
      </c>
      <c r="E61" s="27">
        <v>9</v>
      </c>
      <c r="F61" s="27">
        <v>14</v>
      </c>
      <c r="G61" s="27">
        <f xml:space="preserve"> F61-E61</f>
        <v>5</v>
      </c>
      <c r="H61" s="27">
        <f xml:space="preserve"> IF(F61 &gt;50, G61*0.2, G61*0.1)</f>
        <v>0.5</v>
      </c>
      <c r="I61" s="30" t="s">
        <v>105</v>
      </c>
      <c r="J61" s="30" t="s">
        <v>14</v>
      </c>
      <c r="K61" s="30" t="s">
        <v>88</v>
      </c>
    </row>
    <row r="62" spans="1:11" ht="15.75">
      <c r="A62" s="31" t="s">
        <v>94</v>
      </c>
      <c r="B62" s="32">
        <v>1061</v>
      </c>
      <c r="C62" s="30">
        <v>1109</v>
      </c>
      <c r="D62" s="30" t="s">
        <v>82</v>
      </c>
      <c r="E62" s="27">
        <v>3</v>
      </c>
      <c r="F62" s="27">
        <v>8</v>
      </c>
      <c r="G62" s="27">
        <f xml:space="preserve"> F62-E62</f>
        <v>5</v>
      </c>
      <c r="H62" s="27">
        <f xml:space="preserve"> IF(F62 &gt;50, G62*0.2, G62*0.1)</f>
        <v>0.5</v>
      </c>
      <c r="I62" s="30" t="s">
        <v>105</v>
      </c>
      <c r="J62" s="30" t="s">
        <v>14</v>
      </c>
      <c r="K62" s="30" t="s">
        <v>88</v>
      </c>
    </row>
    <row r="63" spans="1:11" ht="15.75">
      <c r="A63" s="31" t="s">
        <v>94</v>
      </c>
      <c r="B63" s="32">
        <v>1062</v>
      </c>
      <c r="C63" s="30">
        <v>2499</v>
      </c>
      <c r="D63" s="30" t="s">
        <v>79</v>
      </c>
      <c r="E63" s="27">
        <v>6.2</v>
      </c>
      <c r="F63" s="27">
        <v>9.1999999999999993</v>
      </c>
      <c r="G63" s="27">
        <f xml:space="preserve"> F63-E63</f>
        <v>2.9999999999999991</v>
      </c>
      <c r="H63" s="27">
        <f xml:space="preserve"> IF(F63 &gt;50, G63*0.2, G63*0.1)</f>
        <v>0.29999999999999993</v>
      </c>
      <c r="I63" s="30" t="s">
        <v>102</v>
      </c>
      <c r="J63" s="30" t="s">
        <v>103</v>
      </c>
      <c r="K63" s="30" t="s">
        <v>80</v>
      </c>
    </row>
    <row r="64" spans="1:11" ht="15.75">
      <c r="A64" s="31" t="s">
        <v>94</v>
      </c>
      <c r="B64" s="32">
        <v>1063</v>
      </c>
      <c r="C64" s="30">
        <v>1109</v>
      </c>
      <c r="D64" s="30" t="s">
        <v>82</v>
      </c>
      <c r="E64" s="27">
        <v>3</v>
      </c>
      <c r="F64" s="27">
        <v>8</v>
      </c>
      <c r="G64" s="27">
        <f xml:space="preserve"> F64-E64</f>
        <v>5</v>
      </c>
      <c r="H64" s="27">
        <f xml:space="preserve"> IF(F64 &gt;50, G64*0.2, G64*0.1)</f>
        <v>0.5</v>
      </c>
      <c r="I64" s="30" t="s">
        <v>105</v>
      </c>
      <c r="J64" s="30" t="s">
        <v>14</v>
      </c>
      <c r="K64" s="30" t="s">
        <v>78</v>
      </c>
    </row>
    <row r="65" spans="1:11" ht="15.75">
      <c r="A65" s="31" t="s">
        <v>94</v>
      </c>
      <c r="B65" s="32">
        <v>1064</v>
      </c>
      <c r="C65" s="30">
        <v>2499</v>
      </c>
      <c r="D65" s="30" t="s">
        <v>79</v>
      </c>
      <c r="E65" s="27">
        <v>6.2</v>
      </c>
      <c r="F65" s="27">
        <v>9.1999999999999993</v>
      </c>
      <c r="G65" s="27">
        <f xml:space="preserve"> F65-E65</f>
        <v>2.9999999999999991</v>
      </c>
      <c r="H65" s="27">
        <f xml:space="preserve"> IF(F65 &gt;50, G65*0.2, G65*0.1)</f>
        <v>0.29999999999999993</v>
      </c>
      <c r="I65" s="30" t="s">
        <v>106</v>
      </c>
      <c r="J65" s="30" t="s">
        <v>107</v>
      </c>
      <c r="K65" s="30" t="s">
        <v>80</v>
      </c>
    </row>
    <row r="66" spans="1:11" ht="15.75">
      <c r="A66" s="31" t="s">
        <v>94</v>
      </c>
      <c r="B66" s="32">
        <v>1065</v>
      </c>
      <c r="C66" s="30">
        <v>2499</v>
      </c>
      <c r="D66" s="30" t="s">
        <v>79</v>
      </c>
      <c r="E66" s="27">
        <v>6.2</v>
      </c>
      <c r="F66" s="27">
        <v>9.1999999999999993</v>
      </c>
      <c r="G66" s="27">
        <f xml:space="preserve"> F66-E66</f>
        <v>2.9999999999999991</v>
      </c>
      <c r="H66" s="27">
        <f xml:space="preserve"> IF(F66 &gt;50, G66*0.2, G66*0.1)</f>
        <v>0.29999999999999993</v>
      </c>
      <c r="I66" s="30" t="s">
        <v>105</v>
      </c>
      <c r="J66" s="30" t="s">
        <v>14</v>
      </c>
      <c r="K66" s="30" t="s">
        <v>76</v>
      </c>
    </row>
    <row r="67" spans="1:11" ht="15.75">
      <c r="A67" s="31" t="s">
        <v>94</v>
      </c>
      <c r="B67" s="32">
        <v>1066</v>
      </c>
      <c r="C67" s="30">
        <v>2877</v>
      </c>
      <c r="D67" s="30" t="s">
        <v>77</v>
      </c>
      <c r="E67" s="27">
        <v>11.4</v>
      </c>
      <c r="F67" s="27">
        <v>16.3</v>
      </c>
      <c r="G67" s="27">
        <f xml:space="preserve"> F67-E67</f>
        <v>4.9000000000000004</v>
      </c>
      <c r="H67" s="27">
        <f xml:space="preserve"> IF(F67 &gt;50, G67*0.2, G67*0.1)</f>
        <v>0.49000000000000005</v>
      </c>
      <c r="I67" s="30" t="s">
        <v>105</v>
      </c>
      <c r="J67" s="30" t="s">
        <v>14</v>
      </c>
      <c r="K67" s="30" t="s">
        <v>88</v>
      </c>
    </row>
    <row r="68" spans="1:11" ht="15.75">
      <c r="A68" s="31" t="s">
        <v>94</v>
      </c>
      <c r="B68" s="32">
        <v>1067</v>
      </c>
      <c r="C68" s="30">
        <v>2877</v>
      </c>
      <c r="D68" s="30" t="s">
        <v>77</v>
      </c>
      <c r="E68" s="27">
        <v>11.4</v>
      </c>
      <c r="F68" s="27">
        <v>16.3</v>
      </c>
      <c r="G68" s="27">
        <f xml:space="preserve"> F68-E68</f>
        <v>4.9000000000000004</v>
      </c>
      <c r="H68" s="27">
        <f xml:space="preserve"> IF(F68 &gt;50, G68*0.2, G68*0.1)</f>
        <v>0.49000000000000005</v>
      </c>
      <c r="I68" s="30" t="s">
        <v>105</v>
      </c>
      <c r="J68" s="30" t="s">
        <v>14</v>
      </c>
      <c r="K68" s="30" t="s">
        <v>89</v>
      </c>
    </row>
    <row r="69" spans="1:11" ht="15.75">
      <c r="A69" s="31" t="s">
        <v>94</v>
      </c>
      <c r="B69" s="32">
        <v>1068</v>
      </c>
      <c r="C69" s="30">
        <v>6119</v>
      </c>
      <c r="D69" s="30" t="s">
        <v>90</v>
      </c>
      <c r="E69" s="27">
        <v>9</v>
      </c>
      <c r="F69" s="27">
        <v>14</v>
      </c>
      <c r="G69" s="27">
        <f xml:space="preserve"> F69-E69</f>
        <v>5</v>
      </c>
      <c r="H69" s="27">
        <f xml:space="preserve"> IF(F69 &gt;50, G69*0.2, G69*0.1)</f>
        <v>0.5</v>
      </c>
      <c r="I69" s="30" t="s">
        <v>104</v>
      </c>
      <c r="J69" s="30" t="s">
        <v>11</v>
      </c>
      <c r="K69" s="30" t="s">
        <v>78</v>
      </c>
    </row>
    <row r="70" spans="1:11" ht="15.75">
      <c r="A70" s="31" t="s">
        <v>94</v>
      </c>
      <c r="B70" s="32">
        <v>1069</v>
      </c>
      <c r="C70" s="30">
        <v>1109</v>
      </c>
      <c r="D70" s="30" t="s">
        <v>82</v>
      </c>
      <c r="E70" s="27">
        <v>3</v>
      </c>
      <c r="F70" s="27">
        <v>8</v>
      </c>
      <c r="G70" s="27">
        <f xml:space="preserve"> F70-E70</f>
        <v>5</v>
      </c>
      <c r="H70" s="27">
        <f xml:space="preserve"> IF(F70 &gt;50, G70*0.2, G70*0.1)</f>
        <v>0.5</v>
      </c>
      <c r="I70" s="30" t="s">
        <v>105</v>
      </c>
      <c r="J70" s="30" t="s">
        <v>14</v>
      </c>
      <c r="K70" s="30" t="s">
        <v>80</v>
      </c>
    </row>
    <row r="71" spans="1:11" ht="15.75">
      <c r="A71" s="31" t="s">
        <v>94</v>
      </c>
      <c r="B71" s="32">
        <v>1070</v>
      </c>
      <c r="C71" s="30">
        <v>2499</v>
      </c>
      <c r="D71" s="30" t="s">
        <v>79</v>
      </c>
      <c r="E71" s="27">
        <v>6.2</v>
      </c>
      <c r="F71" s="27">
        <v>9.1999999999999993</v>
      </c>
      <c r="G71" s="27">
        <f xml:space="preserve"> F71-E71</f>
        <v>2.9999999999999991</v>
      </c>
      <c r="H71" s="27">
        <f xml:space="preserve"> IF(F71 &gt;50, G71*0.2, G71*0.1)</f>
        <v>0.29999999999999993</v>
      </c>
      <c r="I71" s="30" t="s">
        <v>106</v>
      </c>
      <c r="J71" s="30" t="s">
        <v>107</v>
      </c>
      <c r="K71" s="30" t="s">
        <v>80</v>
      </c>
    </row>
    <row r="72" spans="1:11" ht="15.75">
      <c r="A72" s="31" t="s">
        <v>94</v>
      </c>
      <c r="B72" s="32">
        <v>1071</v>
      </c>
      <c r="C72" s="30">
        <v>1109</v>
      </c>
      <c r="D72" s="30" t="s">
        <v>82</v>
      </c>
      <c r="E72" s="27">
        <v>3</v>
      </c>
      <c r="F72" s="27">
        <v>8</v>
      </c>
      <c r="G72" s="27">
        <f xml:space="preserve"> F72-E72</f>
        <v>5</v>
      </c>
      <c r="H72" s="27">
        <f xml:space="preserve"> IF(F72 &gt;50, G72*0.2, G72*0.1)</f>
        <v>0.5</v>
      </c>
      <c r="I72" s="30" t="s">
        <v>102</v>
      </c>
      <c r="J72" s="30" t="s">
        <v>103</v>
      </c>
      <c r="K72" s="30" t="s">
        <v>80</v>
      </c>
    </row>
    <row r="73" spans="1:11" ht="15.75">
      <c r="A73" s="31" t="s">
        <v>94</v>
      </c>
      <c r="B73" s="32">
        <v>1072</v>
      </c>
      <c r="C73" s="30">
        <v>1109</v>
      </c>
      <c r="D73" s="30" t="s">
        <v>82</v>
      </c>
      <c r="E73" s="27">
        <v>3</v>
      </c>
      <c r="F73" s="27">
        <v>8</v>
      </c>
      <c r="G73" s="27">
        <f xml:space="preserve"> F73-E73</f>
        <v>5</v>
      </c>
      <c r="H73" s="27">
        <f xml:space="preserve"> IF(F73 &gt;50, G73*0.2, G73*0.1)</f>
        <v>0.5</v>
      </c>
      <c r="I73" s="30" t="s">
        <v>105</v>
      </c>
      <c r="J73" s="30" t="s">
        <v>14</v>
      </c>
      <c r="K73" s="30" t="s">
        <v>88</v>
      </c>
    </row>
    <row r="74" spans="1:11" ht="15.75">
      <c r="A74" s="31" t="s">
        <v>94</v>
      </c>
      <c r="B74" s="32">
        <v>1073</v>
      </c>
      <c r="C74" s="30">
        <v>6622</v>
      </c>
      <c r="D74" s="30" t="s">
        <v>92</v>
      </c>
      <c r="E74" s="27">
        <v>42</v>
      </c>
      <c r="F74" s="27">
        <v>77</v>
      </c>
      <c r="G74" s="27">
        <f xml:space="preserve"> F74-E74</f>
        <v>35</v>
      </c>
      <c r="H74" s="27">
        <f xml:space="preserve"> IF(F74 &gt;50, G74*0.2, G74*0.1)</f>
        <v>7</v>
      </c>
      <c r="I74" s="30" t="s">
        <v>105</v>
      </c>
      <c r="J74" s="30" t="s">
        <v>14</v>
      </c>
      <c r="K74" s="30" t="s">
        <v>78</v>
      </c>
    </row>
    <row r="75" spans="1:11" ht="15.75">
      <c r="A75" s="31" t="s">
        <v>94</v>
      </c>
      <c r="B75" s="32">
        <v>1074</v>
      </c>
      <c r="C75" s="30">
        <v>2877</v>
      </c>
      <c r="D75" s="30" t="s">
        <v>77</v>
      </c>
      <c r="E75" s="27">
        <v>11.4</v>
      </c>
      <c r="F75" s="27">
        <v>16.3</v>
      </c>
      <c r="G75" s="27">
        <f xml:space="preserve"> F75-E75</f>
        <v>4.9000000000000004</v>
      </c>
      <c r="H75" s="27">
        <f xml:space="preserve"> IF(F75 &gt;50, G75*0.2, G75*0.1)</f>
        <v>0.49000000000000005</v>
      </c>
      <c r="I75" s="30" t="s">
        <v>105</v>
      </c>
      <c r="J75" s="30" t="s">
        <v>14</v>
      </c>
      <c r="K75" s="30" t="s">
        <v>80</v>
      </c>
    </row>
    <row r="76" spans="1:11" ht="15.75">
      <c r="A76" s="31" t="s">
        <v>94</v>
      </c>
      <c r="B76" s="32">
        <v>1075</v>
      </c>
      <c r="C76" s="30">
        <v>1109</v>
      </c>
      <c r="D76" s="30" t="s">
        <v>82</v>
      </c>
      <c r="E76" s="27">
        <v>3</v>
      </c>
      <c r="F76" s="27">
        <v>8</v>
      </c>
      <c r="G76" s="27">
        <f xml:space="preserve"> F76-E76</f>
        <v>5</v>
      </c>
      <c r="H76" s="27">
        <f xml:space="preserve"> IF(F76 &gt;50, G76*0.2, G76*0.1)</f>
        <v>0.5</v>
      </c>
      <c r="I76" s="30" t="s">
        <v>106</v>
      </c>
      <c r="J76" s="30" t="s">
        <v>107</v>
      </c>
      <c r="K76" s="30" t="s">
        <v>78</v>
      </c>
    </row>
    <row r="77" spans="1:11" ht="15.75">
      <c r="A77" s="31" t="s">
        <v>94</v>
      </c>
      <c r="B77" s="32">
        <v>1076</v>
      </c>
      <c r="C77" s="30">
        <v>1109</v>
      </c>
      <c r="D77" s="30" t="s">
        <v>82</v>
      </c>
      <c r="E77" s="27">
        <v>3</v>
      </c>
      <c r="F77" s="27">
        <v>8</v>
      </c>
      <c r="G77" s="27">
        <f xml:space="preserve"> F77-E77</f>
        <v>5</v>
      </c>
      <c r="H77" s="27">
        <f xml:space="preserve"> IF(F77 &gt;50, G77*0.2, G77*0.1)</f>
        <v>0.5</v>
      </c>
      <c r="I77" s="30" t="s">
        <v>104</v>
      </c>
      <c r="J77" s="30" t="s">
        <v>11</v>
      </c>
      <c r="K77" s="30" t="s">
        <v>80</v>
      </c>
    </row>
    <row r="78" spans="1:11" ht="15.75">
      <c r="A78" s="31" t="s">
        <v>94</v>
      </c>
      <c r="B78" s="32">
        <v>1077</v>
      </c>
      <c r="C78" s="30">
        <v>9822</v>
      </c>
      <c r="D78" s="30" t="s">
        <v>75</v>
      </c>
      <c r="E78" s="27">
        <v>58.3</v>
      </c>
      <c r="F78" s="27">
        <v>98.4</v>
      </c>
      <c r="G78" s="27">
        <f xml:space="preserve"> F78-E78</f>
        <v>40.100000000000009</v>
      </c>
      <c r="H78" s="27">
        <f xml:space="preserve"> IF(F78 &gt;50, G78*0.2, G78*0.1)</f>
        <v>8.0200000000000014</v>
      </c>
      <c r="I78" s="30" t="s">
        <v>106</v>
      </c>
      <c r="J78" s="30" t="s">
        <v>107</v>
      </c>
      <c r="K78" s="30" t="s">
        <v>80</v>
      </c>
    </row>
    <row r="79" spans="1:11" ht="15.75">
      <c r="A79" s="31" t="s">
        <v>94</v>
      </c>
      <c r="B79" s="32">
        <v>1078</v>
      </c>
      <c r="C79" s="30">
        <v>2877</v>
      </c>
      <c r="D79" s="30" t="s">
        <v>77</v>
      </c>
      <c r="E79" s="27">
        <v>11.4</v>
      </c>
      <c r="F79" s="27">
        <v>16.3</v>
      </c>
      <c r="G79" s="27">
        <f xml:space="preserve"> F79-E79</f>
        <v>4.9000000000000004</v>
      </c>
      <c r="H79" s="27">
        <f xml:space="preserve"> IF(F79 &gt;50, G79*0.2, G79*0.1)</f>
        <v>0.49000000000000005</v>
      </c>
      <c r="I79" s="30" t="s">
        <v>104</v>
      </c>
      <c r="J79" s="30" t="s">
        <v>11</v>
      </c>
      <c r="K79" s="30" t="s">
        <v>88</v>
      </c>
    </row>
    <row r="80" spans="1:11" ht="15.75">
      <c r="A80" s="31" t="s">
        <v>95</v>
      </c>
      <c r="B80" s="32">
        <v>1079</v>
      </c>
      <c r="C80" s="30">
        <v>2877</v>
      </c>
      <c r="D80" s="30" t="s">
        <v>77</v>
      </c>
      <c r="E80" s="27">
        <v>11.4</v>
      </c>
      <c r="F80" s="27">
        <v>16.3</v>
      </c>
      <c r="G80" s="27">
        <f xml:space="preserve"> F80-E80</f>
        <v>4.9000000000000004</v>
      </c>
      <c r="H80" s="27">
        <f xml:space="preserve"> IF(F80 &gt;50, G80*0.2, G80*0.1)</f>
        <v>0.49000000000000005</v>
      </c>
      <c r="I80" s="30" t="s">
        <v>104</v>
      </c>
      <c r="J80" s="30" t="s">
        <v>11</v>
      </c>
      <c r="K80" s="30" t="s">
        <v>76</v>
      </c>
    </row>
    <row r="81" spans="1:11" ht="15.75">
      <c r="A81" s="31" t="s">
        <v>95</v>
      </c>
      <c r="B81" s="32">
        <v>1080</v>
      </c>
      <c r="C81" s="30">
        <v>4421</v>
      </c>
      <c r="D81" s="30" t="s">
        <v>84</v>
      </c>
      <c r="E81" s="27">
        <v>45</v>
      </c>
      <c r="F81" s="27">
        <v>87</v>
      </c>
      <c r="G81" s="27">
        <f xml:space="preserve"> F81-E81</f>
        <v>42</v>
      </c>
      <c r="H81" s="27">
        <f xml:space="preserve"> IF(F81 &gt;50, G81*0.2, G81*0.1)</f>
        <v>8.4</v>
      </c>
      <c r="I81" s="30" t="s">
        <v>105</v>
      </c>
      <c r="J81" s="30" t="s">
        <v>14</v>
      </c>
      <c r="K81" s="30" t="s">
        <v>78</v>
      </c>
    </row>
    <row r="82" spans="1:11" ht="15.75">
      <c r="A82" s="31" t="s">
        <v>95</v>
      </c>
      <c r="B82" s="32">
        <v>1081</v>
      </c>
      <c r="C82" s="30">
        <v>6119</v>
      </c>
      <c r="D82" s="30" t="s">
        <v>90</v>
      </c>
      <c r="E82" s="27">
        <v>9</v>
      </c>
      <c r="F82" s="27">
        <v>14</v>
      </c>
      <c r="G82" s="27">
        <f xml:space="preserve"> F82-E82</f>
        <v>5</v>
      </c>
      <c r="H82" s="27">
        <f xml:space="preserve"> IF(F82 &gt;50, G82*0.2, G82*0.1)</f>
        <v>0.5</v>
      </c>
      <c r="I82" s="30" t="s">
        <v>105</v>
      </c>
      <c r="J82" s="30" t="s">
        <v>14</v>
      </c>
      <c r="K82" s="30" t="s">
        <v>89</v>
      </c>
    </row>
    <row r="83" spans="1:11" ht="15.75">
      <c r="A83" s="31" t="s">
        <v>95</v>
      </c>
      <c r="B83" s="32">
        <v>1082</v>
      </c>
      <c r="C83" s="30">
        <v>1109</v>
      </c>
      <c r="D83" s="30" t="s">
        <v>82</v>
      </c>
      <c r="E83" s="27">
        <v>3</v>
      </c>
      <c r="F83" s="27">
        <v>8</v>
      </c>
      <c r="G83" s="27">
        <f xml:space="preserve"> F83-E83</f>
        <v>5</v>
      </c>
      <c r="H83" s="27">
        <f xml:space="preserve"> IF(F83 &gt;50, G83*0.2, G83*0.1)</f>
        <v>0.5</v>
      </c>
      <c r="I83" s="30" t="s">
        <v>102</v>
      </c>
      <c r="J83" s="30" t="s">
        <v>103</v>
      </c>
      <c r="K83" s="30" t="s">
        <v>78</v>
      </c>
    </row>
    <row r="84" spans="1:11" ht="15.75">
      <c r="A84" s="31" t="s">
        <v>95</v>
      </c>
      <c r="B84" s="32">
        <v>1083</v>
      </c>
      <c r="C84" s="30">
        <v>1109</v>
      </c>
      <c r="D84" s="30" t="s">
        <v>82</v>
      </c>
      <c r="E84" s="27">
        <v>3</v>
      </c>
      <c r="F84" s="27">
        <v>8</v>
      </c>
      <c r="G84" s="27">
        <f xml:space="preserve"> F84-E84</f>
        <v>5</v>
      </c>
      <c r="H84" s="27">
        <f xml:space="preserve"> IF(F84 &gt;50, G84*0.2, G84*0.1)</f>
        <v>0.5</v>
      </c>
      <c r="I84" s="30" t="s">
        <v>102</v>
      </c>
      <c r="J84" s="30" t="s">
        <v>103</v>
      </c>
      <c r="K84" s="30" t="s">
        <v>88</v>
      </c>
    </row>
    <row r="85" spans="1:11" ht="15.75">
      <c r="A85" s="31" t="s">
        <v>95</v>
      </c>
      <c r="B85" s="32">
        <v>1084</v>
      </c>
      <c r="C85" s="30">
        <v>6119</v>
      </c>
      <c r="D85" s="30" t="s">
        <v>90</v>
      </c>
      <c r="E85" s="27">
        <v>9</v>
      </c>
      <c r="F85" s="27">
        <v>14</v>
      </c>
      <c r="G85" s="27">
        <f xml:space="preserve"> F85-E85</f>
        <v>5</v>
      </c>
      <c r="H85" s="27">
        <f xml:space="preserve"> IF(F85 &gt;50, G85*0.2, G85*0.1)</f>
        <v>0.5</v>
      </c>
      <c r="I85" s="30" t="s">
        <v>102</v>
      </c>
      <c r="J85" s="30" t="s">
        <v>103</v>
      </c>
      <c r="K85" s="30" t="s">
        <v>80</v>
      </c>
    </row>
    <row r="86" spans="1:11" ht="15.75">
      <c r="A86" s="31" t="s">
        <v>95</v>
      </c>
      <c r="B86" s="32">
        <v>1085</v>
      </c>
      <c r="C86" s="30">
        <v>9822</v>
      </c>
      <c r="D86" s="30" t="s">
        <v>75</v>
      </c>
      <c r="E86" s="27">
        <v>58.3</v>
      </c>
      <c r="F86" s="27">
        <v>98.4</v>
      </c>
      <c r="G86" s="27">
        <f xml:space="preserve"> F86-E86</f>
        <v>40.100000000000009</v>
      </c>
      <c r="H86" s="27">
        <f xml:space="preserve"> IF(F86 &gt;50, G86*0.2, G86*0.1)</f>
        <v>8.0200000000000014</v>
      </c>
      <c r="I86" s="30" t="s">
        <v>105</v>
      </c>
      <c r="J86" s="30" t="s">
        <v>14</v>
      </c>
      <c r="K86" s="30" t="s">
        <v>88</v>
      </c>
    </row>
    <row r="87" spans="1:11" ht="15.75">
      <c r="A87" s="31" t="s">
        <v>95</v>
      </c>
      <c r="B87" s="32">
        <v>1086</v>
      </c>
      <c r="C87" s="30">
        <v>1109</v>
      </c>
      <c r="D87" s="30" t="s">
        <v>82</v>
      </c>
      <c r="E87" s="27">
        <v>3</v>
      </c>
      <c r="F87" s="27">
        <v>8</v>
      </c>
      <c r="G87" s="27">
        <f xml:space="preserve"> F87-E87</f>
        <v>5</v>
      </c>
      <c r="H87" s="27">
        <f xml:space="preserve"> IF(F87 &gt;50, G87*0.2, G87*0.1)</f>
        <v>0.5</v>
      </c>
      <c r="I87" s="30" t="s">
        <v>106</v>
      </c>
      <c r="J87" s="30" t="s">
        <v>107</v>
      </c>
      <c r="K87" s="30" t="s">
        <v>80</v>
      </c>
    </row>
    <row r="88" spans="1:11" ht="15.75">
      <c r="A88" s="31" t="s">
        <v>95</v>
      </c>
      <c r="B88" s="32">
        <v>1087</v>
      </c>
      <c r="C88" s="30">
        <v>2499</v>
      </c>
      <c r="D88" s="30" t="s">
        <v>79</v>
      </c>
      <c r="E88" s="27">
        <v>6.2</v>
      </c>
      <c r="F88" s="27">
        <v>9.1999999999999993</v>
      </c>
      <c r="G88" s="27">
        <f xml:space="preserve"> F88-E88</f>
        <v>2.9999999999999991</v>
      </c>
      <c r="H88" s="27">
        <f xml:space="preserve"> IF(F88 &gt;50, G88*0.2, G88*0.1)</f>
        <v>0.29999999999999993</v>
      </c>
      <c r="I88" s="30" t="s">
        <v>102</v>
      </c>
      <c r="J88" s="30" t="s">
        <v>103</v>
      </c>
      <c r="K88" s="30" t="s">
        <v>78</v>
      </c>
    </row>
    <row r="89" spans="1:11" ht="15.75">
      <c r="A89" s="31" t="s">
        <v>95</v>
      </c>
      <c r="B89" s="32">
        <v>1088</v>
      </c>
      <c r="C89" s="30">
        <v>2499</v>
      </c>
      <c r="D89" s="30" t="s">
        <v>79</v>
      </c>
      <c r="E89" s="27">
        <v>6.2</v>
      </c>
      <c r="F89" s="27">
        <v>9.1999999999999993</v>
      </c>
      <c r="G89" s="27">
        <f xml:space="preserve"> F89-E89</f>
        <v>2.9999999999999991</v>
      </c>
      <c r="H89" s="27">
        <f xml:space="preserve"> IF(F89 &gt;50, G89*0.2, G89*0.1)</f>
        <v>0.29999999999999993</v>
      </c>
      <c r="I89" s="30" t="s">
        <v>102</v>
      </c>
      <c r="J89" s="30" t="s">
        <v>103</v>
      </c>
      <c r="K89" s="30" t="s">
        <v>76</v>
      </c>
    </row>
    <row r="90" spans="1:11" ht="15.75">
      <c r="A90" s="31" t="s">
        <v>95</v>
      </c>
      <c r="B90" s="32">
        <v>1089</v>
      </c>
      <c r="C90" s="30">
        <v>6119</v>
      </c>
      <c r="D90" s="30" t="s">
        <v>90</v>
      </c>
      <c r="E90" s="27">
        <v>9</v>
      </c>
      <c r="F90" s="27">
        <v>14</v>
      </c>
      <c r="G90" s="27">
        <f xml:space="preserve"> F90-E90</f>
        <v>5</v>
      </c>
      <c r="H90" s="27">
        <f xml:space="preserve"> IF(F90 &gt;50, G90*0.2, G90*0.1)</f>
        <v>0.5</v>
      </c>
      <c r="I90" s="30" t="s">
        <v>105</v>
      </c>
      <c r="J90" s="30" t="s">
        <v>14</v>
      </c>
      <c r="K90" s="30" t="s">
        <v>88</v>
      </c>
    </row>
    <row r="91" spans="1:11" ht="15.75">
      <c r="A91" s="31" t="s">
        <v>95</v>
      </c>
      <c r="B91" s="32">
        <v>1090</v>
      </c>
      <c r="C91" s="30">
        <v>2877</v>
      </c>
      <c r="D91" s="30" t="s">
        <v>77</v>
      </c>
      <c r="E91" s="27">
        <v>11.4</v>
      </c>
      <c r="F91" s="27">
        <v>16.3</v>
      </c>
      <c r="G91" s="27">
        <f xml:space="preserve"> F91-E91</f>
        <v>4.9000000000000004</v>
      </c>
      <c r="H91" s="27">
        <f xml:space="preserve"> IF(F91 &gt;50, G91*0.2, G91*0.1)</f>
        <v>0.49000000000000005</v>
      </c>
      <c r="I91" s="30" t="s">
        <v>102</v>
      </c>
      <c r="J91" s="30" t="s">
        <v>103</v>
      </c>
      <c r="K91" s="30" t="s">
        <v>78</v>
      </c>
    </row>
    <row r="92" spans="1:11" ht="15.75">
      <c r="A92" s="31" t="s">
        <v>95</v>
      </c>
      <c r="B92" s="32">
        <v>1091</v>
      </c>
      <c r="C92" s="30">
        <v>2877</v>
      </c>
      <c r="D92" s="30" t="s">
        <v>77</v>
      </c>
      <c r="E92" s="27">
        <v>11.4</v>
      </c>
      <c r="F92" s="27">
        <v>16.3</v>
      </c>
      <c r="G92" s="27">
        <f xml:space="preserve"> F92-E92</f>
        <v>4.9000000000000004</v>
      </c>
      <c r="H92" s="27">
        <f xml:space="preserve"> IF(F92 &gt;50, G92*0.2, G92*0.1)</f>
        <v>0.49000000000000005</v>
      </c>
      <c r="I92" s="30" t="s">
        <v>106</v>
      </c>
      <c r="J92" s="30" t="s">
        <v>107</v>
      </c>
      <c r="K92" s="30" t="s">
        <v>88</v>
      </c>
    </row>
    <row r="93" spans="1:11" ht="15.75">
      <c r="A93" s="31" t="s">
        <v>95</v>
      </c>
      <c r="B93" s="32">
        <v>1092</v>
      </c>
      <c r="C93" s="30">
        <v>2877</v>
      </c>
      <c r="D93" s="30" t="s">
        <v>77</v>
      </c>
      <c r="E93" s="27">
        <v>11.4</v>
      </c>
      <c r="F93" s="27">
        <v>16.3</v>
      </c>
      <c r="G93" s="27">
        <f xml:space="preserve"> F93-E93</f>
        <v>4.9000000000000004</v>
      </c>
      <c r="H93" s="27">
        <f xml:space="preserve"> IF(F93 &gt;50, G93*0.2, G93*0.1)</f>
        <v>0.49000000000000005</v>
      </c>
      <c r="I93" s="30" t="s">
        <v>105</v>
      </c>
      <c r="J93" s="30" t="s">
        <v>14</v>
      </c>
      <c r="K93" s="30" t="s">
        <v>78</v>
      </c>
    </row>
    <row r="94" spans="1:11" ht="15.75">
      <c r="A94" s="31" t="s">
        <v>95</v>
      </c>
      <c r="B94" s="32">
        <v>1093</v>
      </c>
      <c r="C94" s="30">
        <v>6119</v>
      </c>
      <c r="D94" s="30" t="s">
        <v>90</v>
      </c>
      <c r="E94" s="27">
        <v>9</v>
      </c>
      <c r="F94" s="27">
        <v>14</v>
      </c>
      <c r="G94" s="27">
        <f xml:space="preserve"> F94-E94</f>
        <v>5</v>
      </c>
      <c r="H94" s="27">
        <f xml:space="preserve"> IF(F94 &gt;50, G94*0.2, G94*0.1)</f>
        <v>0.5</v>
      </c>
      <c r="I94" s="30" t="s">
        <v>104</v>
      </c>
      <c r="J94" s="30" t="s">
        <v>11</v>
      </c>
      <c r="K94" s="30" t="s">
        <v>80</v>
      </c>
    </row>
    <row r="95" spans="1:11" ht="15.75">
      <c r="A95" s="31" t="s">
        <v>95</v>
      </c>
      <c r="B95" s="32">
        <v>1094</v>
      </c>
      <c r="C95" s="30">
        <v>6119</v>
      </c>
      <c r="D95" s="30" t="s">
        <v>90</v>
      </c>
      <c r="E95" s="27">
        <v>9</v>
      </c>
      <c r="F95" s="27">
        <v>14</v>
      </c>
      <c r="G95" s="27">
        <f xml:space="preserve"> F95-E95</f>
        <v>5</v>
      </c>
      <c r="H95" s="27">
        <f xml:space="preserve"> IF(F95 &gt;50, G95*0.2, G95*0.1)</f>
        <v>0.5</v>
      </c>
      <c r="I95" s="30" t="s">
        <v>105</v>
      </c>
      <c r="J95" s="30" t="s">
        <v>14</v>
      </c>
      <c r="K95" s="30" t="s">
        <v>78</v>
      </c>
    </row>
    <row r="96" spans="1:11" ht="15.75">
      <c r="A96" s="31" t="s">
        <v>95</v>
      </c>
      <c r="B96" s="32">
        <v>1095</v>
      </c>
      <c r="C96" s="30">
        <v>2499</v>
      </c>
      <c r="D96" s="30" t="s">
        <v>79</v>
      </c>
      <c r="E96" s="27">
        <v>6.2</v>
      </c>
      <c r="F96" s="27">
        <v>9.1999999999999993</v>
      </c>
      <c r="G96" s="27">
        <f xml:space="preserve"> F96-E96</f>
        <v>2.9999999999999991</v>
      </c>
      <c r="H96" s="27">
        <f xml:space="preserve"> IF(F96 &gt;50, G96*0.2, G96*0.1)</f>
        <v>0.29999999999999993</v>
      </c>
      <c r="I96" s="30" t="s">
        <v>106</v>
      </c>
      <c r="J96" s="30" t="s">
        <v>107</v>
      </c>
      <c r="K96" s="30" t="s">
        <v>80</v>
      </c>
    </row>
    <row r="97" spans="1:11" ht="15.75">
      <c r="A97" s="31" t="s">
        <v>95</v>
      </c>
      <c r="B97" s="32">
        <v>1096</v>
      </c>
      <c r="C97" s="30">
        <v>6119</v>
      </c>
      <c r="D97" s="30" t="s">
        <v>90</v>
      </c>
      <c r="E97" s="27">
        <v>9</v>
      </c>
      <c r="F97" s="27">
        <v>14</v>
      </c>
      <c r="G97" s="27">
        <f xml:space="preserve"> F97-E97</f>
        <v>5</v>
      </c>
      <c r="H97" s="27">
        <f xml:space="preserve"> IF(F97 &gt;50, G97*0.2, G97*0.1)</f>
        <v>0.5</v>
      </c>
      <c r="I97" s="30" t="s">
        <v>105</v>
      </c>
      <c r="J97" s="30" t="s">
        <v>14</v>
      </c>
      <c r="K97" s="30" t="s">
        <v>80</v>
      </c>
    </row>
    <row r="98" spans="1:11" ht="15.75">
      <c r="A98" s="31" t="s">
        <v>95</v>
      </c>
      <c r="B98" s="32">
        <v>1097</v>
      </c>
      <c r="C98" s="30">
        <v>9212</v>
      </c>
      <c r="D98" s="30" t="s">
        <v>85</v>
      </c>
      <c r="E98" s="27">
        <v>4</v>
      </c>
      <c r="F98" s="27">
        <v>7</v>
      </c>
      <c r="G98" s="27">
        <f xml:space="preserve"> F98-E98</f>
        <v>3</v>
      </c>
      <c r="H98" s="27">
        <f xml:space="preserve"> IF(F98 &gt;50, G98*0.2, G98*0.1)</f>
        <v>0.30000000000000004</v>
      </c>
      <c r="I98" s="30" t="s">
        <v>106</v>
      </c>
      <c r="J98" s="30" t="s">
        <v>107</v>
      </c>
      <c r="K98" s="30" t="s">
        <v>88</v>
      </c>
    </row>
    <row r="99" spans="1:11" ht="15.75">
      <c r="A99" s="31" t="s">
        <v>95</v>
      </c>
      <c r="B99" s="32">
        <v>1098</v>
      </c>
      <c r="C99" s="30">
        <v>2877</v>
      </c>
      <c r="D99" s="30" t="s">
        <v>77</v>
      </c>
      <c r="E99" s="27">
        <v>11.4</v>
      </c>
      <c r="F99" s="27">
        <v>16.3</v>
      </c>
      <c r="G99" s="27">
        <f xml:space="preserve"> F99-E99</f>
        <v>4.9000000000000004</v>
      </c>
      <c r="H99" s="27">
        <f xml:space="preserve"> IF(F99 &gt;50, G99*0.2, G99*0.1)</f>
        <v>0.49000000000000005</v>
      </c>
      <c r="I99" s="30" t="s">
        <v>104</v>
      </c>
      <c r="J99" s="30" t="s">
        <v>11</v>
      </c>
      <c r="K99" s="30" t="s">
        <v>76</v>
      </c>
    </row>
    <row r="100" spans="1:11" ht="15.75">
      <c r="A100" s="31" t="s">
        <v>96</v>
      </c>
      <c r="B100" s="32">
        <v>1099</v>
      </c>
      <c r="C100" s="30">
        <v>2877</v>
      </c>
      <c r="D100" s="30" t="s">
        <v>77</v>
      </c>
      <c r="E100" s="27">
        <v>11.4</v>
      </c>
      <c r="F100" s="27">
        <v>16.3</v>
      </c>
      <c r="G100" s="27">
        <f xml:space="preserve"> F100-E100</f>
        <v>4.9000000000000004</v>
      </c>
      <c r="H100" s="27">
        <f xml:space="preserve"> IF(F100 &gt;50, G100*0.2, G100*0.1)</f>
        <v>0.49000000000000005</v>
      </c>
      <c r="I100" s="30" t="s">
        <v>105</v>
      </c>
      <c r="J100" s="30" t="s">
        <v>14</v>
      </c>
      <c r="K100" s="30" t="s">
        <v>78</v>
      </c>
    </row>
    <row r="101" spans="1:11" ht="15.75">
      <c r="A101" s="31" t="s">
        <v>96</v>
      </c>
      <c r="B101" s="32">
        <v>1100</v>
      </c>
      <c r="C101" s="30">
        <v>6119</v>
      </c>
      <c r="D101" s="30" t="s">
        <v>90</v>
      </c>
      <c r="E101" s="27">
        <v>9</v>
      </c>
      <c r="F101" s="27">
        <v>14</v>
      </c>
      <c r="G101" s="27">
        <f xml:space="preserve"> F101-E101</f>
        <v>5</v>
      </c>
      <c r="H101" s="27">
        <f xml:space="preserve"> IF(F101 &gt;50, G101*0.2, G101*0.1)</f>
        <v>0.5</v>
      </c>
      <c r="I101" s="30" t="s">
        <v>102</v>
      </c>
      <c r="J101" s="30" t="s">
        <v>103</v>
      </c>
      <c r="K101" s="30" t="s">
        <v>89</v>
      </c>
    </row>
    <row r="102" spans="1:11" ht="15.75">
      <c r="A102" s="31" t="s">
        <v>96</v>
      </c>
      <c r="B102" s="32">
        <v>1101</v>
      </c>
      <c r="C102" s="30">
        <v>2499</v>
      </c>
      <c r="D102" s="30" t="s">
        <v>79</v>
      </c>
      <c r="E102" s="27">
        <v>6.2</v>
      </c>
      <c r="F102" s="27">
        <v>9.1999999999999993</v>
      </c>
      <c r="G102" s="27">
        <f xml:space="preserve"> F102-E102</f>
        <v>2.9999999999999991</v>
      </c>
      <c r="H102" s="27">
        <f xml:space="preserve"> IF(F102 &gt;50, G102*0.2, G102*0.1)</f>
        <v>0.29999999999999993</v>
      </c>
      <c r="I102" s="30" t="s">
        <v>105</v>
      </c>
      <c r="J102" s="30" t="s">
        <v>14</v>
      </c>
      <c r="K102" s="30" t="s">
        <v>78</v>
      </c>
    </row>
    <row r="103" spans="1:11" ht="15.75">
      <c r="A103" s="31" t="s">
        <v>96</v>
      </c>
      <c r="B103" s="32">
        <v>1102</v>
      </c>
      <c r="C103" s="30">
        <v>2242</v>
      </c>
      <c r="D103" s="30" t="s">
        <v>87</v>
      </c>
      <c r="E103" s="27">
        <v>60</v>
      </c>
      <c r="F103" s="27">
        <v>124</v>
      </c>
      <c r="G103" s="27">
        <f xml:space="preserve"> F103-E103</f>
        <v>64</v>
      </c>
      <c r="H103" s="27">
        <f xml:space="preserve"> IF(F103 &gt;50, G103*0.2, G103*0.1)</f>
        <v>12.8</v>
      </c>
      <c r="I103" s="30" t="s">
        <v>104</v>
      </c>
      <c r="J103" s="30" t="s">
        <v>11</v>
      </c>
      <c r="K103" s="30" t="s">
        <v>88</v>
      </c>
    </row>
    <row r="104" spans="1:11" ht="15.75">
      <c r="A104" s="31" t="s">
        <v>96</v>
      </c>
      <c r="B104" s="32">
        <v>1103</v>
      </c>
      <c r="C104" s="30">
        <v>2877</v>
      </c>
      <c r="D104" s="30" t="s">
        <v>77</v>
      </c>
      <c r="E104" s="27">
        <v>11.4</v>
      </c>
      <c r="F104" s="27">
        <v>16.3</v>
      </c>
      <c r="G104" s="27">
        <f xml:space="preserve"> F104-E104</f>
        <v>4.9000000000000004</v>
      </c>
      <c r="H104" s="27">
        <f xml:space="preserve"> IF(F104 &gt;50, G104*0.2, G104*0.1)</f>
        <v>0.49000000000000005</v>
      </c>
      <c r="I104" s="30" t="s">
        <v>104</v>
      </c>
      <c r="J104" s="30" t="s">
        <v>11</v>
      </c>
      <c r="K104" s="30" t="s">
        <v>80</v>
      </c>
    </row>
    <row r="105" spans="1:11" ht="15.75">
      <c r="A105" s="31" t="s">
        <v>96</v>
      </c>
      <c r="B105" s="32">
        <v>1104</v>
      </c>
      <c r="C105" s="30">
        <v>2877</v>
      </c>
      <c r="D105" s="30" t="s">
        <v>77</v>
      </c>
      <c r="E105" s="27">
        <v>11.4</v>
      </c>
      <c r="F105" s="27">
        <v>16.3</v>
      </c>
      <c r="G105" s="27">
        <f xml:space="preserve"> F105-E105</f>
        <v>4.9000000000000004</v>
      </c>
      <c r="H105" s="27">
        <f xml:space="preserve"> IF(F105 &gt;50, G105*0.2, G105*0.1)</f>
        <v>0.49000000000000005</v>
      </c>
      <c r="I105" s="30" t="s">
        <v>105</v>
      </c>
      <c r="J105" s="30" t="s">
        <v>14</v>
      </c>
      <c r="K105" s="30" t="s">
        <v>88</v>
      </c>
    </row>
    <row r="106" spans="1:11" ht="15.75">
      <c r="A106" s="31" t="s">
        <v>96</v>
      </c>
      <c r="B106" s="32">
        <v>1105</v>
      </c>
      <c r="C106" s="30">
        <v>2499</v>
      </c>
      <c r="D106" s="30" t="s">
        <v>79</v>
      </c>
      <c r="E106" s="27">
        <v>6.2</v>
      </c>
      <c r="F106" s="27">
        <v>9.1999999999999993</v>
      </c>
      <c r="G106" s="27">
        <f xml:space="preserve"> F106-E106</f>
        <v>2.9999999999999991</v>
      </c>
      <c r="H106" s="27">
        <f xml:space="preserve"> IF(F106 &gt;50, G106*0.2, G106*0.1)</f>
        <v>0.29999999999999993</v>
      </c>
      <c r="I106" s="30" t="s">
        <v>104</v>
      </c>
      <c r="J106" s="30" t="s">
        <v>11</v>
      </c>
      <c r="K106" s="30" t="s">
        <v>80</v>
      </c>
    </row>
    <row r="107" spans="1:11" ht="15.75">
      <c r="A107" s="31" t="s">
        <v>96</v>
      </c>
      <c r="B107" s="32">
        <v>1106</v>
      </c>
      <c r="C107" s="30">
        <v>9822</v>
      </c>
      <c r="D107" s="30" t="s">
        <v>75</v>
      </c>
      <c r="E107" s="27">
        <v>58.3</v>
      </c>
      <c r="F107" s="27">
        <v>98.4</v>
      </c>
      <c r="G107" s="27">
        <f xml:space="preserve"> F107-E107</f>
        <v>40.100000000000009</v>
      </c>
      <c r="H107" s="27">
        <f xml:space="preserve"> IF(F107 &gt;50, G107*0.2, G107*0.1)</f>
        <v>8.0200000000000014</v>
      </c>
      <c r="I107" s="30" t="s">
        <v>104</v>
      </c>
      <c r="J107" s="30" t="s">
        <v>11</v>
      </c>
      <c r="K107" s="30" t="s">
        <v>78</v>
      </c>
    </row>
    <row r="108" spans="1:11" ht="15.75">
      <c r="A108" s="31" t="s">
        <v>96</v>
      </c>
      <c r="B108" s="32">
        <v>1107</v>
      </c>
      <c r="C108" s="30">
        <v>1109</v>
      </c>
      <c r="D108" s="30" t="s">
        <v>82</v>
      </c>
      <c r="E108" s="27">
        <v>3</v>
      </c>
      <c r="F108" s="27">
        <v>8</v>
      </c>
      <c r="G108" s="27">
        <f xml:space="preserve"> F108-E108</f>
        <v>5</v>
      </c>
      <c r="H108" s="27">
        <f xml:space="preserve"> IF(F108 &gt;50, G108*0.2, G108*0.1)</f>
        <v>0.5</v>
      </c>
      <c r="I108" s="30" t="s">
        <v>106</v>
      </c>
      <c r="J108" s="30" t="s">
        <v>107</v>
      </c>
      <c r="K108" s="30" t="s">
        <v>76</v>
      </c>
    </row>
    <row r="109" spans="1:11" ht="15.75">
      <c r="A109" s="31" t="s">
        <v>96</v>
      </c>
      <c r="B109" s="32">
        <v>1108</v>
      </c>
      <c r="C109" s="30">
        <v>9822</v>
      </c>
      <c r="D109" s="30" t="s">
        <v>75</v>
      </c>
      <c r="E109" s="27">
        <v>58.3</v>
      </c>
      <c r="F109" s="27">
        <v>98.4</v>
      </c>
      <c r="G109" s="27">
        <f xml:space="preserve"> F109-E109</f>
        <v>40.100000000000009</v>
      </c>
      <c r="H109" s="27">
        <f xml:space="preserve"> IF(F109 &gt;50, G109*0.2, G109*0.1)</f>
        <v>8.0200000000000014</v>
      </c>
      <c r="I109" s="30" t="s">
        <v>105</v>
      </c>
      <c r="J109" s="30" t="s">
        <v>14</v>
      </c>
      <c r="K109" s="30" t="s">
        <v>88</v>
      </c>
    </row>
    <row r="110" spans="1:11" ht="15.75">
      <c r="A110" s="31" t="s">
        <v>96</v>
      </c>
      <c r="B110" s="32">
        <v>1109</v>
      </c>
      <c r="C110" s="30">
        <v>8722</v>
      </c>
      <c r="D110" s="30" t="s">
        <v>81</v>
      </c>
      <c r="E110" s="27">
        <v>344</v>
      </c>
      <c r="F110" s="27">
        <v>502</v>
      </c>
      <c r="G110" s="27">
        <f xml:space="preserve"> F110-E110</f>
        <v>158</v>
      </c>
      <c r="H110" s="27">
        <f xml:space="preserve"> IF(F110 &gt;50, G110*0.2, G110*0.1)</f>
        <v>31.6</v>
      </c>
      <c r="I110" s="30" t="s">
        <v>104</v>
      </c>
      <c r="J110" s="30" t="s">
        <v>11</v>
      </c>
      <c r="K110" s="30" t="s">
        <v>78</v>
      </c>
    </row>
    <row r="111" spans="1:11" ht="15.75">
      <c r="A111" s="31" t="s">
        <v>96</v>
      </c>
      <c r="B111" s="32">
        <v>1110</v>
      </c>
      <c r="C111" s="30">
        <v>8722</v>
      </c>
      <c r="D111" s="30" t="s">
        <v>81</v>
      </c>
      <c r="E111" s="27">
        <v>344</v>
      </c>
      <c r="F111" s="27">
        <v>502</v>
      </c>
      <c r="G111" s="27">
        <f xml:space="preserve"> F111-E111</f>
        <v>158</v>
      </c>
      <c r="H111" s="27">
        <f xml:space="preserve"> IF(F111 &gt;50, G111*0.2, G111*0.1)</f>
        <v>31.6</v>
      </c>
      <c r="I111" s="30" t="s">
        <v>106</v>
      </c>
      <c r="J111" s="30" t="s">
        <v>107</v>
      </c>
      <c r="K111" s="30" t="s">
        <v>88</v>
      </c>
    </row>
    <row r="112" spans="1:11" ht="15.75">
      <c r="A112" s="31" t="s">
        <v>96</v>
      </c>
      <c r="B112" s="32">
        <v>1111</v>
      </c>
      <c r="C112" s="30">
        <v>6622</v>
      </c>
      <c r="D112" s="30" t="s">
        <v>92</v>
      </c>
      <c r="E112" s="27">
        <v>42</v>
      </c>
      <c r="F112" s="27">
        <v>77</v>
      </c>
      <c r="G112" s="27">
        <f xml:space="preserve"> F112-E112</f>
        <v>35</v>
      </c>
      <c r="H112" s="27">
        <f xml:space="preserve"> IF(F112 &gt;50, G112*0.2, G112*0.1)</f>
        <v>7</v>
      </c>
      <c r="I112" s="30" t="s">
        <v>106</v>
      </c>
      <c r="J112" s="30" t="s">
        <v>107</v>
      </c>
      <c r="K112" s="30" t="s">
        <v>78</v>
      </c>
    </row>
    <row r="113" spans="1:11" ht="15.75">
      <c r="A113" s="31" t="s">
        <v>96</v>
      </c>
      <c r="B113" s="32">
        <v>1112</v>
      </c>
      <c r="C113" s="30">
        <v>6622</v>
      </c>
      <c r="D113" s="30" t="s">
        <v>92</v>
      </c>
      <c r="E113" s="27">
        <v>42</v>
      </c>
      <c r="F113" s="27">
        <v>77</v>
      </c>
      <c r="G113" s="27">
        <f xml:space="preserve"> F113-E113</f>
        <v>35</v>
      </c>
      <c r="H113" s="27">
        <f xml:space="preserve"> IF(F113 &gt;50, G113*0.2, G113*0.1)</f>
        <v>7</v>
      </c>
      <c r="I113" s="30" t="s">
        <v>105</v>
      </c>
      <c r="J113" s="30" t="s">
        <v>14</v>
      </c>
      <c r="K113" s="30" t="s">
        <v>80</v>
      </c>
    </row>
    <row r="114" spans="1:11" ht="15.75">
      <c r="A114" s="31" t="s">
        <v>96</v>
      </c>
      <c r="B114" s="32">
        <v>1113</v>
      </c>
      <c r="C114" s="30">
        <v>9822</v>
      </c>
      <c r="D114" s="30" t="s">
        <v>75</v>
      </c>
      <c r="E114" s="27">
        <v>58.3</v>
      </c>
      <c r="F114" s="27">
        <v>98.4</v>
      </c>
      <c r="G114" s="27">
        <f xml:space="preserve"> F114-E114</f>
        <v>40.100000000000009</v>
      </c>
      <c r="H114" s="27">
        <f xml:space="preserve"> IF(F114 &gt;50, G114*0.2, G114*0.1)</f>
        <v>8.0200000000000014</v>
      </c>
      <c r="I114" s="30" t="s">
        <v>102</v>
      </c>
      <c r="J114" s="30" t="s">
        <v>103</v>
      </c>
      <c r="K114" s="30" t="s">
        <v>78</v>
      </c>
    </row>
    <row r="115" spans="1:11" ht="15.75">
      <c r="A115" s="31" t="s">
        <v>96</v>
      </c>
      <c r="B115" s="32">
        <v>1114</v>
      </c>
      <c r="C115" s="30">
        <v>2242</v>
      </c>
      <c r="D115" s="30" t="s">
        <v>87</v>
      </c>
      <c r="E115" s="27">
        <v>60</v>
      </c>
      <c r="F115" s="27">
        <v>124</v>
      </c>
      <c r="G115" s="27">
        <f xml:space="preserve"> F115-E115</f>
        <v>64</v>
      </c>
      <c r="H115" s="27">
        <f xml:space="preserve"> IF(F115 &gt;50, G115*0.2, G115*0.1)</f>
        <v>12.8</v>
      </c>
      <c r="I115" s="30" t="s">
        <v>104</v>
      </c>
      <c r="J115" s="30" t="s">
        <v>11</v>
      </c>
      <c r="K115" s="30" t="s">
        <v>80</v>
      </c>
    </row>
    <row r="116" spans="1:11" ht="15.75">
      <c r="A116" s="31" t="s">
        <v>96</v>
      </c>
      <c r="B116" s="32">
        <v>1115</v>
      </c>
      <c r="C116" s="30">
        <v>8722</v>
      </c>
      <c r="D116" s="30" t="s">
        <v>81</v>
      </c>
      <c r="E116" s="27">
        <v>344</v>
      </c>
      <c r="F116" s="27">
        <v>502</v>
      </c>
      <c r="G116" s="27">
        <f xml:space="preserve"> F116-E116</f>
        <v>158</v>
      </c>
      <c r="H116" s="27">
        <f xml:space="preserve"> IF(F116 &gt;50, G116*0.2, G116*0.1)</f>
        <v>31.6</v>
      </c>
      <c r="I116" s="30" t="s">
        <v>102</v>
      </c>
      <c r="J116" s="30" t="s">
        <v>103</v>
      </c>
      <c r="K116" s="30" t="s">
        <v>80</v>
      </c>
    </row>
    <row r="117" spans="1:11" ht="15.75">
      <c r="A117" s="31" t="s">
        <v>96</v>
      </c>
      <c r="B117" s="32">
        <v>1116</v>
      </c>
      <c r="C117" s="30">
        <v>6622</v>
      </c>
      <c r="D117" s="30" t="s">
        <v>92</v>
      </c>
      <c r="E117" s="27">
        <v>42</v>
      </c>
      <c r="F117" s="27">
        <v>77</v>
      </c>
      <c r="G117" s="27">
        <f xml:space="preserve"> F117-E117</f>
        <v>35</v>
      </c>
      <c r="H117" s="27">
        <f xml:space="preserve"> IF(F117 &gt;50, G117*0.2, G117*0.1)</f>
        <v>7</v>
      </c>
      <c r="I117" s="30" t="s">
        <v>105</v>
      </c>
      <c r="J117" s="30" t="s">
        <v>14</v>
      </c>
      <c r="K117" s="30" t="s">
        <v>88</v>
      </c>
    </row>
    <row r="118" spans="1:11" ht="15.75">
      <c r="A118" s="31" t="s">
        <v>96</v>
      </c>
      <c r="B118" s="32">
        <v>1117</v>
      </c>
      <c r="C118" s="30">
        <v>8722</v>
      </c>
      <c r="D118" s="30" t="s">
        <v>81</v>
      </c>
      <c r="E118" s="27">
        <v>344</v>
      </c>
      <c r="F118" s="27">
        <v>502</v>
      </c>
      <c r="G118" s="27">
        <f xml:space="preserve"> F118-E118</f>
        <v>158</v>
      </c>
      <c r="H118" s="27">
        <f xml:space="preserve"> IF(F118 &gt;50, G118*0.2, G118*0.1)</f>
        <v>31.6</v>
      </c>
      <c r="I118" s="30" t="s">
        <v>106</v>
      </c>
      <c r="J118" s="30" t="s">
        <v>107</v>
      </c>
      <c r="K118" s="30" t="s">
        <v>76</v>
      </c>
    </row>
    <row r="119" spans="1:11" ht="15.75">
      <c r="A119" s="31" t="s">
        <v>96</v>
      </c>
      <c r="B119" s="32">
        <v>1118</v>
      </c>
      <c r="C119" s="30">
        <v>9822</v>
      </c>
      <c r="D119" s="30" t="s">
        <v>75</v>
      </c>
      <c r="E119" s="27">
        <v>58.3</v>
      </c>
      <c r="F119" s="27">
        <v>98.4</v>
      </c>
      <c r="G119" s="27">
        <f xml:space="preserve"> F119-E119</f>
        <v>40.100000000000009</v>
      </c>
      <c r="H119" s="27">
        <f xml:space="preserve"> IF(F119 &gt;50, G119*0.2, G119*0.1)</f>
        <v>8.0200000000000014</v>
      </c>
      <c r="I119" s="30" t="s">
        <v>104</v>
      </c>
      <c r="J119" s="30" t="s">
        <v>11</v>
      </c>
      <c r="K119" s="30" t="s">
        <v>78</v>
      </c>
    </row>
    <row r="120" spans="1:11" ht="15.75">
      <c r="A120" s="31" t="s">
        <v>96</v>
      </c>
      <c r="B120" s="32">
        <v>1119</v>
      </c>
      <c r="C120" s="30">
        <v>2242</v>
      </c>
      <c r="D120" s="30" t="s">
        <v>87</v>
      </c>
      <c r="E120" s="27">
        <v>60</v>
      </c>
      <c r="F120" s="27">
        <v>124</v>
      </c>
      <c r="G120" s="27">
        <f xml:space="preserve"> F120-E120</f>
        <v>64</v>
      </c>
      <c r="H120" s="27">
        <f xml:space="preserve"> IF(F120 &gt;50, G120*0.2, G120*0.1)</f>
        <v>12.8</v>
      </c>
      <c r="I120" s="30" t="s">
        <v>102</v>
      </c>
      <c r="J120" s="30" t="s">
        <v>103</v>
      </c>
      <c r="K120" s="30" t="s">
        <v>89</v>
      </c>
    </row>
    <row r="121" spans="1:11" ht="15.75">
      <c r="A121" s="31" t="s">
        <v>96</v>
      </c>
      <c r="B121" s="32">
        <v>1120</v>
      </c>
      <c r="C121" s="30">
        <v>2242</v>
      </c>
      <c r="D121" s="30" t="s">
        <v>87</v>
      </c>
      <c r="E121" s="27">
        <v>60</v>
      </c>
      <c r="F121" s="27">
        <v>124</v>
      </c>
      <c r="G121" s="27">
        <f xml:space="preserve"> F121-E121</f>
        <v>64</v>
      </c>
      <c r="H121" s="27">
        <f xml:space="preserve"> IF(F121 &gt;50, G121*0.2, G121*0.1)</f>
        <v>12.8</v>
      </c>
      <c r="I121" s="30" t="s">
        <v>105</v>
      </c>
      <c r="J121" s="30" t="s">
        <v>14</v>
      </c>
      <c r="K121" s="30" t="s">
        <v>78</v>
      </c>
    </row>
    <row r="122" spans="1:11" ht="15.75">
      <c r="A122" s="31" t="s">
        <v>96</v>
      </c>
      <c r="B122" s="32">
        <v>1121</v>
      </c>
      <c r="C122" s="30">
        <v>4421</v>
      </c>
      <c r="D122" s="30" t="s">
        <v>84</v>
      </c>
      <c r="E122" s="27">
        <v>45</v>
      </c>
      <c r="F122" s="27">
        <v>87</v>
      </c>
      <c r="G122" s="27">
        <f xml:space="preserve"> F122-E122</f>
        <v>42</v>
      </c>
      <c r="H122" s="27">
        <f xml:space="preserve"> IF(F122 &gt;50, G122*0.2, G122*0.1)</f>
        <v>8.4</v>
      </c>
      <c r="I122" s="30" t="s">
        <v>105</v>
      </c>
      <c r="J122" s="30" t="s">
        <v>14</v>
      </c>
      <c r="K122" s="30" t="s">
        <v>88</v>
      </c>
    </row>
    <row r="123" spans="1:11" ht="15.75">
      <c r="A123" s="31" t="s">
        <v>96</v>
      </c>
      <c r="B123" s="32">
        <v>1122</v>
      </c>
      <c r="C123" s="30">
        <v>8722</v>
      </c>
      <c r="D123" s="30" t="s">
        <v>81</v>
      </c>
      <c r="E123" s="27">
        <v>344</v>
      </c>
      <c r="F123" s="27">
        <v>502</v>
      </c>
      <c r="G123" s="27">
        <f xml:space="preserve"> F123-E123</f>
        <v>158</v>
      </c>
      <c r="H123" s="27">
        <f xml:space="preserve"> IF(F123 &gt;50, G123*0.2, G123*0.1)</f>
        <v>31.6</v>
      </c>
      <c r="I123" s="30" t="s">
        <v>105</v>
      </c>
      <c r="J123" s="30" t="s">
        <v>14</v>
      </c>
      <c r="K123" s="30" t="s">
        <v>80</v>
      </c>
    </row>
    <row r="124" spans="1:11" ht="15.75">
      <c r="A124" s="31" t="s">
        <v>96</v>
      </c>
      <c r="B124" s="32">
        <v>1123</v>
      </c>
      <c r="C124" s="30">
        <v>9822</v>
      </c>
      <c r="D124" s="30" t="s">
        <v>75</v>
      </c>
      <c r="E124" s="27">
        <v>58.3</v>
      </c>
      <c r="F124" s="27">
        <v>98.4</v>
      </c>
      <c r="G124" s="27">
        <f xml:space="preserve"> F124-E124</f>
        <v>40.100000000000009</v>
      </c>
      <c r="H124" s="27">
        <f xml:space="preserve"> IF(F124 &gt;50, G124*0.2, G124*0.1)</f>
        <v>8.0200000000000014</v>
      </c>
      <c r="I124" s="30" t="s">
        <v>105</v>
      </c>
      <c r="J124" s="30" t="s">
        <v>14</v>
      </c>
      <c r="K124" s="30" t="s">
        <v>88</v>
      </c>
    </row>
    <row r="125" spans="1:11" ht="15.75">
      <c r="A125" s="31" t="s">
        <v>96</v>
      </c>
      <c r="B125" s="32">
        <v>1124</v>
      </c>
      <c r="C125" s="30">
        <v>4421</v>
      </c>
      <c r="D125" s="30" t="s">
        <v>84</v>
      </c>
      <c r="E125" s="27">
        <v>45</v>
      </c>
      <c r="F125" s="27">
        <v>87</v>
      </c>
      <c r="G125" s="27">
        <f xml:space="preserve"> F125-E125</f>
        <v>42</v>
      </c>
      <c r="H125" s="27">
        <f xml:space="preserve"> IF(F125 &gt;50, G125*0.2, G125*0.1)</f>
        <v>8.4</v>
      </c>
      <c r="I125" s="30" t="s">
        <v>105</v>
      </c>
      <c r="J125" s="30" t="s">
        <v>14</v>
      </c>
      <c r="K125" s="30" t="s">
        <v>80</v>
      </c>
    </row>
    <row r="126" spans="1:11" ht="15.75">
      <c r="A126" s="31" t="s">
        <v>97</v>
      </c>
      <c r="B126" s="32">
        <v>1125</v>
      </c>
      <c r="C126" s="30">
        <v>2242</v>
      </c>
      <c r="D126" s="30" t="s">
        <v>87</v>
      </c>
      <c r="E126" s="27">
        <v>60</v>
      </c>
      <c r="F126" s="27">
        <v>124</v>
      </c>
      <c r="G126" s="27">
        <f xml:space="preserve"> F126-E126</f>
        <v>64</v>
      </c>
      <c r="H126" s="27">
        <f xml:space="preserve"> IF(F126 &gt;50, G126*0.2, G126*0.1)</f>
        <v>12.8</v>
      </c>
      <c r="I126" s="30" t="s">
        <v>105</v>
      </c>
      <c r="J126" s="30" t="s">
        <v>14</v>
      </c>
      <c r="K126" s="30" t="s">
        <v>78</v>
      </c>
    </row>
    <row r="127" spans="1:11" ht="15.75">
      <c r="A127" s="31" t="s">
        <v>97</v>
      </c>
      <c r="B127" s="32">
        <v>1126</v>
      </c>
      <c r="C127" s="30">
        <v>9212</v>
      </c>
      <c r="D127" s="30" t="s">
        <v>85</v>
      </c>
      <c r="E127" s="27">
        <v>4</v>
      </c>
      <c r="F127" s="27">
        <v>7</v>
      </c>
      <c r="G127" s="27">
        <f xml:space="preserve"> F127-E127</f>
        <v>3</v>
      </c>
      <c r="H127" s="27">
        <f xml:space="preserve"> IF(F127 &gt;50, G127*0.2, G127*0.1)</f>
        <v>0.30000000000000004</v>
      </c>
      <c r="I127" s="30" t="s">
        <v>105</v>
      </c>
      <c r="J127" s="30" t="s">
        <v>14</v>
      </c>
      <c r="K127" s="30" t="s">
        <v>76</v>
      </c>
    </row>
    <row r="128" spans="1:11" ht="15.75">
      <c r="A128" s="31" t="s">
        <v>97</v>
      </c>
      <c r="B128" s="32">
        <v>1127</v>
      </c>
      <c r="C128" s="30">
        <v>8722</v>
      </c>
      <c r="D128" s="30" t="s">
        <v>81</v>
      </c>
      <c r="E128" s="27">
        <v>344</v>
      </c>
      <c r="F128" s="27">
        <v>502</v>
      </c>
      <c r="G128" s="27">
        <f xml:space="preserve"> F128-E128</f>
        <v>158</v>
      </c>
      <c r="H128" s="27">
        <f xml:space="preserve"> IF(F128 &gt;50, G128*0.2, G128*0.1)</f>
        <v>31.6</v>
      </c>
      <c r="I128" s="30" t="s">
        <v>102</v>
      </c>
      <c r="J128" s="30" t="s">
        <v>103</v>
      </c>
      <c r="K128" s="30" t="s">
        <v>88</v>
      </c>
    </row>
    <row r="129" spans="1:11" ht="15.75">
      <c r="A129" s="31" t="s">
        <v>97</v>
      </c>
      <c r="B129" s="32">
        <v>1128</v>
      </c>
      <c r="C129" s="30">
        <v>6622</v>
      </c>
      <c r="D129" s="30" t="s">
        <v>92</v>
      </c>
      <c r="E129" s="27">
        <v>42</v>
      </c>
      <c r="F129" s="27">
        <v>77</v>
      </c>
      <c r="G129" s="27">
        <f xml:space="preserve"> F129-E129</f>
        <v>35</v>
      </c>
      <c r="H129" s="27">
        <f xml:space="preserve"> IF(F129 &gt;50, G129*0.2, G129*0.1)</f>
        <v>7</v>
      </c>
      <c r="I129" s="30" t="s">
        <v>104</v>
      </c>
      <c r="J129" s="30" t="s">
        <v>11</v>
      </c>
      <c r="K129" s="30" t="s">
        <v>78</v>
      </c>
    </row>
    <row r="130" spans="1:11" ht="15.75">
      <c r="A130" s="31" t="s">
        <v>97</v>
      </c>
      <c r="B130" s="32">
        <v>1129</v>
      </c>
      <c r="C130" s="30">
        <v>9822</v>
      </c>
      <c r="D130" s="30" t="s">
        <v>75</v>
      </c>
      <c r="E130" s="27">
        <v>58.3</v>
      </c>
      <c r="F130" s="27">
        <v>98.4</v>
      </c>
      <c r="G130" s="27">
        <f xml:space="preserve"> F130-E130</f>
        <v>40.100000000000009</v>
      </c>
      <c r="H130" s="27">
        <f xml:space="preserve"> IF(F130 &gt;50, G130*0.2, G130*0.1)</f>
        <v>8.0200000000000014</v>
      </c>
      <c r="I130" s="30" t="s">
        <v>106</v>
      </c>
      <c r="J130" s="30" t="s">
        <v>107</v>
      </c>
      <c r="K130" s="30" t="s">
        <v>88</v>
      </c>
    </row>
    <row r="131" spans="1:11" ht="15.75">
      <c r="A131" s="31" t="s">
        <v>97</v>
      </c>
      <c r="B131" s="32">
        <v>1130</v>
      </c>
      <c r="C131" s="30">
        <v>4421</v>
      </c>
      <c r="D131" s="30" t="s">
        <v>84</v>
      </c>
      <c r="E131" s="27">
        <v>45</v>
      </c>
      <c r="F131" s="27">
        <v>87</v>
      </c>
      <c r="G131" s="27">
        <f xml:space="preserve"> F131-E131</f>
        <v>42</v>
      </c>
      <c r="H131" s="27">
        <f xml:space="preserve"> IF(F131 &gt;50, G131*0.2, G131*0.1)</f>
        <v>8.4</v>
      </c>
      <c r="I131" s="30" t="s">
        <v>106</v>
      </c>
      <c r="J131" s="30" t="s">
        <v>107</v>
      </c>
      <c r="K131" s="30" t="s">
        <v>78</v>
      </c>
    </row>
    <row r="132" spans="1:11" ht="15.75">
      <c r="A132" s="31" t="s">
        <v>97</v>
      </c>
      <c r="B132" s="32">
        <v>1131</v>
      </c>
      <c r="C132" s="30">
        <v>9212</v>
      </c>
      <c r="D132" s="30" t="s">
        <v>85</v>
      </c>
      <c r="E132" s="27">
        <v>4</v>
      </c>
      <c r="F132" s="27">
        <v>7</v>
      </c>
      <c r="G132" s="27">
        <f xml:space="preserve"> F132-E132</f>
        <v>3</v>
      </c>
      <c r="H132" s="27">
        <f xml:space="preserve"> IF(F132 &gt;50, G132*0.2, G132*0.1)</f>
        <v>0.30000000000000004</v>
      </c>
      <c r="I132" s="30" t="s">
        <v>106</v>
      </c>
      <c r="J132" s="30" t="s">
        <v>107</v>
      </c>
      <c r="K132" s="30" t="s">
        <v>80</v>
      </c>
    </row>
    <row r="133" spans="1:11" ht="15.75">
      <c r="A133" s="31" t="s">
        <v>97</v>
      </c>
      <c r="B133" s="32">
        <v>1132</v>
      </c>
      <c r="C133" s="30">
        <v>9212</v>
      </c>
      <c r="D133" s="30" t="s">
        <v>85</v>
      </c>
      <c r="E133" s="27">
        <v>4</v>
      </c>
      <c r="F133" s="27">
        <v>7</v>
      </c>
      <c r="G133" s="27">
        <f xml:space="preserve"> F133-E133</f>
        <v>3</v>
      </c>
      <c r="H133" s="27">
        <f xml:space="preserve"> IF(F133 &gt;50, G133*0.2, G133*0.1)</f>
        <v>0.30000000000000004</v>
      </c>
      <c r="I133" s="30" t="s">
        <v>106</v>
      </c>
      <c r="J133" s="30" t="s">
        <v>107</v>
      </c>
      <c r="K133" s="30" t="s">
        <v>78</v>
      </c>
    </row>
    <row r="134" spans="1:11" ht="15.75">
      <c r="A134" s="31" t="s">
        <v>97</v>
      </c>
      <c r="B134" s="32">
        <v>1133</v>
      </c>
      <c r="C134" s="30">
        <v>9822</v>
      </c>
      <c r="D134" s="30" t="s">
        <v>75</v>
      </c>
      <c r="E134" s="27">
        <v>58.3</v>
      </c>
      <c r="F134" s="27">
        <v>98.4</v>
      </c>
      <c r="G134" s="27">
        <f xml:space="preserve"> F134-E134</f>
        <v>40.100000000000009</v>
      </c>
      <c r="H134" s="27">
        <f xml:space="preserve"> IF(F134 &gt;50, G134*0.2, G134*0.1)</f>
        <v>8.0200000000000014</v>
      </c>
      <c r="I134" s="30" t="s">
        <v>102</v>
      </c>
      <c r="J134" s="30" t="s">
        <v>103</v>
      </c>
      <c r="K134" s="30" t="s">
        <v>80</v>
      </c>
    </row>
    <row r="135" spans="1:11" ht="15.75">
      <c r="A135" s="31" t="s">
        <v>97</v>
      </c>
      <c r="B135" s="32">
        <v>1134</v>
      </c>
      <c r="C135" s="30">
        <v>9822</v>
      </c>
      <c r="D135" s="30" t="s">
        <v>75</v>
      </c>
      <c r="E135" s="27">
        <v>58.3</v>
      </c>
      <c r="F135" s="27">
        <v>98.4</v>
      </c>
      <c r="G135" s="27">
        <f xml:space="preserve"> F135-E135</f>
        <v>40.100000000000009</v>
      </c>
      <c r="H135" s="27">
        <f xml:space="preserve"> IF(F135 &gt;50, G135*0.2, G135*0.1)</f>
        <v>8.0200000000000014</v>
      </c>
      <c r="I135" s="30" t="s">
        <v>105</v>
      </c>
      <c r="J135" s="30" t="s">
        <v>14</v>
      </c>
      <c r="K135" s="30" t="s">
        <v>80</v>
      </c>
    </row>
    <row r="136" spans="1:11" ht="15.75">
      <c r="A136" s="31" t="s">
        <v>97</v>
      </c>
      <c r="B136" s="32">
        <v>1135</v>
      </c>
      <c r="C136" s="30">
        <v>8722</v>
      </c>
      <c r="D136" s="30" t="s">
        <v>81</v>
      </c>
      <c r="E136" s="27">
        <v>344</v>
      </c>
      <c r="F136" s="27">
        <v>502</v>
      </c>
      <c r="G136" s="27">
        <f xml:space="preserve"> F136-E136</f>
        <v>158</v>
      </c>
      <c r="H136" s="27">
        <f xml:space="preserve"> IF(F136 &gt;50, G136*0.2, G136*0.1)</f>
        <v>31.6</v>
      </c>
      <c r="I136" s="30" t="s">
        <v>102</v>
      </c>
      <c r="J136" s="30" t="s">
        <v>103</v>
      </c>
      <c r="K136" s="30" t="s">
        <v>88</v>
      </c>
    </row>
    <row r="137" spans="1:11" ht="15.75">
      <c r="A137" s="31" t="s">
        <v>97</v>
      </c>
      <c r="B137" s="32">
        <v>1136</v>
      </c>
      <c r="C137" s="30">
        <v>2242</v>
      </c>
      <c r="D137" s="30" t="s">
        <v>87</v>
      </c>
      <c r="E137" s="27">
        <v>60</v>
      </c>
      <c r="F137" s="27">
        <v>124</v>
      </c>
      <c r="G137" s="27">
        <f xml:space="preserve"> F137-E137</f>
        <v>64</v>
      </c>
      <c r="H137" s="27">
        <f xml:space="preserve"> IF(F137 &gt;50, G137*0.2, G137*0.1)</f>
        <v>12.8</v>
      </c>
      <c r="I137" s="30" t="s">
        <v>105</v>
      </c>
      <c r="J137" s="30" t="s">
        <v>14</v>
      </c>
      <c r="K137" s="30" t="s">
        <v>76</v>
      </c>
    </row>
    <row r="138" spans="1:11" ht="15.75">
      <c r="A138" s="31" t="s">
        <v>97</v>
      </c>
      <c r="B138" s="32">
        <v>1137</v>
      </c>
      <c r="C138" s="30">
        <v>9822</v>
      </c>
      <c r="D138" s="30" t="s">
        <v>75</v>
      </c>
      <c r="E138" s="27">
        <v>58.3</v>
      </c>
      <c r="F138" s="27">
        <v>98.4</v>
      </c>
      <c r="G138" s="27">
        <f xml:space="preserve"> F138-E138</f>
        <v>40.100000000000009</v>
      </c>
      <c r="H138" s="27">
        <f xml:space="preserve"> IF(F138 &gt;50, G138*0.2, G138*0.1)</f>
        <v>8.0200000000000014</v>
      </c>
      <c r="I138" s="30" t="s">
        <v>104</v>
      </c>
      <c r="J138" s="30" t="s">
        <v>11</v>
      </c>
      <c r="K138" s="30" t="s">
        <v>78</v>
      </c>
    </row>
    <row r="139" spans="1:11" ht="15.75">
      <c r="A139" s="31" t="s">
        <v>97</v>
      </c>
      <c r="B139" s="32">
        <v>1138</v>
      </c>
      <c r="C139" s="30">
        <v>8722</v>
      </c>
      <c r="D139" s="30" t="s">
        <v>81</v>
      </c>
      <c r="E139" s="27">
        <v>344</v>
      </c>
      <c r="F139" s="27">
        <v>502</v>
      </c>
      <c r="G139" s="27">
        <f xml:space="preserve"> F139-E139</f>
        <v>158</v>
      </c>
      <c r="H139" s="27">
        <f xml:space="preserve"> IF(F139 &gt;50, G139*0.2, G139*0.1)</f>
        <v>31.6</v>
      </c>
      <c r="I139" s="30" t="s">
        <v>102</v>
      </c>
      <c r="J139" s="30" t="s">
        <v>103</v>
      </c>
      <c r="K139" s="30" t="s">
        <v>89</v>
      </c>
    </row>
    <row r="140" spans="1:11" ht="15.75">
      <c r="A140" s="31" t="s">
        <v>97</v>
      </c>
      <c r="B140" s="32">
        <v>1139</v>
      </c>
      <c r="C140" s="30">
        <v>4421</v>
      </c>
      <c r="D140" s="30" t="s">
        <v>84</v>
      </c>
      <c r="E140" s="27">
        <v>45</v>
      </c>
      <c r="F140" s="27">
        <v>87</v>
      </c>
      <c r="G140" s="27">
        <f xml:space="preserve"> F140-E140</f>
        <v>42</v>
      </c>
      <c r="H140" s="27">
        <f xml:space="preserve"> IF(F140 &gt;50, G140*0.2, G140*0.1)</f>
        <v>8.4</v>
      </c>
      <c r="I140" s="30" t="s">
        <v>105</v>
      </c>
      <c r="J140" s="30" t="s">
        <v>14</v>
      </c>
      <c r="K140" s="30" t="s">
        <v>78</v>
      </c>
    </row>
    <row r="141" spans="1:11" ht="15.75">
      <c r="A141" s="31" t="s">
        <v>97</v>
      </c>
      <c r="B141" s="32">
        <v>1140</v>
      </c>
      <c r="C141" s="30">
        <v>4421</v>
      </c>
      <c r="D141" s="30" t="s">
        <v>84</v>
      </c>
      <c r="E141" s="27">
        <v>45</v>
      </c>
      <c r="F141" s="27">
        <v>87</v>
      </c>
      <c r="G141" s="27">
        <f xml:space="preserve"> F141-E141</f>
        <v>42</v>
      </c>
      <c r="H141" s="27">
        <f xml:space="preserve"> IF(F141 &gt;50, G141*0.2, G141*0.1)</f>
        <v>8.4</v>
      </c>
      <c r="I141" s="30" t="s">
        <v>104</v>
      </c>
      <c r="J141" s="30" t="s">
        <v>11</v>
      </c>
      <c r="K141" s="30" t="s">
        <v>88</v>
      </c>
    </row>
    <row r="142" spans="1:11" ht="15.75">
      <c r="A142" s="31" t="s">
        <v>97</v>
      </c>
      <c r="B142" s="32">
        <v>1141</v>
      </c>
      <c r="C142" s="30">
        <v>9212</v>
      </c>
      <c r="D142" s="30" t="s">
        <v>85</v>
      </c>
      <c r="E142" s="27">
        <v>4</v>
      </c>
      <c r="F142" s="27">
        <v>7</v>
      </c>
      <c r="G142" s="27">
        <f xml:space="preserve"> F142-E142</f>
        <v>3</v>
      </c>
      <c r="H142" s="27">
        <f xml:space="preserve"> IF(F142 &gt;50, G142*0.2, G142*0.1)</f>
        <v>0.30000000000000004</v>
      </c>
      <c r="I142" s="30" t="s">
        <v>104</v>
      </c>
      <c r="J142" s="30" t="s">
        <v>11</v>
      </c>
      <c r="K142" s="30" t="s">
        <v>80</v>
      </c>
    </row>
    <row r="143" spans="1:11" ht="15.75">
      <c r="A143" s="31" t="s">
        <v>98</v>
      </c>
      <c r="B143" s="32">
        <v>1142</v>
      </c>
      <c r="C143" s="30">
        <v>2242</v>
      </c>
      <c r="D143" s="30" t="s">
        <v>87</v>
      </c>
      <c r="E143" s="27">
        <v>60</v>
      </c>
      <c r="F143" s="27">
        <v>124</v>
      </c>
      <c r="G143" s="27">
        <f xml:space="preserve"> F143-E143</f>
        <v>64</v>
      </c>
      <c r="H143" s="27">
        <f xml:space="preserve"> IF(F143 &gt;50, G143*0.2, G143*0.1)</f>
        <v>12.8</v>
      </c>
      <c r="I143" s="30" t="s">
        <v>104</v>
      </c>
      <c r="J143" s="30" t="s">
        <v>11</v>
      </c>
      <c r="K143" s="30" t="s">
        <v>88</v>
      </c>
    </row>
    <row r="144" spans="1:11" ht="15.75">
      <c r="A144" s="31" t="s">
        <v>98</v>
      </c>
      <c r="B144" s="32">
        <v>1143</v>
      </c>
      <c r="C144" s="30">
        <v>9822</v>
      </c>
      <c r="D144" s="30" t="s">
        <v>75</v>
      </c>
      <c r="E144" s="27">
        <v>58.3</v>
      </c>
      <c r="F144" s="27">
        <v>98.4</v>
      </c>
      <c r="G144" s="27">
        <f xml:space="preserve"> F144-E144</f>
        <v>40.100000000000009</v>
      </c>
      <c r="H144" s="27">
        <f xml:space="preserve"> IF(F144 &gt;50, G144*0.2, G144*0.1)</f>
        <v>8.0200000000000014</v>
      </c>
      <c r="I144" s="30" t="s">
        <v>106</v>
      </c>
      <c r="J144" s="30" t="s">
        <v>107</v>
      </c>
      <c r="K144" s="30" t="s">
        <v>80</v>
      </c>
    </row>
    <row r="145" spans="1:11" ht="15.75">
      <c r="A145" s="31" t="s">
        <v>98</v>
      </c>
      <c r="B145" s="32">
        <v>1144</v>
      </c>
      <c r="C145" s="30">
        <v>2242</v>
      </c>
      <c r="D145" s="30" t="s">
        <v>87</v>
      </c>
      <c r="E145" s="27">
        <v>60</v>
      </c>
      <c r="F145" s="27">
        <v>124</v>
      </c>
      <c r="G145" s="27">
        <f xml:space="preserve"> F145-E145</f>
        <v>64</v>
      </c>
      <c r="H145" s="27">
        <f xml:space="preserve"> IF(F145 &gt;50, G145*0.2, G145*0.1)</f>
        <v>12.8</v>
      </c>
      <c r="I145" s="30" t="s">
        <v>106</v>
      </c>
      <c r="J145" s="30" t="s">
        <v>107</v>
      </c>
      <c r="K145" s="30" t="s">
        <v>78</v>
      </c>
    </row>
    <row r="146" spans="1:11" ht="15.75">
      <c r="A146" s="31" t="s">
        <v>98</v>
      </c>
      <c r="B146" s="32">
        <v>1145</v>
      </c>
      <c r="C146" s="30">
        <v>4421</v>
      </c>
      <c r="D146" s="30" t="s">
        <v>84</v>
      </c>
      <c r="E146" s="27">
        <v>45</v>
      </c>
      <c r="F146" s="27">
        <v>87</v>
      </c>
      <c r="G146" s="27">
        <f xml:space="preserve"> F146-E146</f>
        <v>42</v>
      </c>
      <c r="H146" s="27">
        <f xml:space="preserve"> IF(F146 &gt;50, G146*0.2, G146*0.1)</f>
        <v>8.4</v>
      </c>
      <c r="I146" s="30" t="s">
        <v>106</v>
      </c>
      <c r="J146" s="30" t="s">
        <v>107</v>
      </c>
      <c r="K146" s="30" t="s">
        <v>76</v>
      </c>
    </row>
    <row r="147" spans="1:11" ht="15.75">
      <c r="A147" s="31" t="s">
        <v>98</v>
      </c>
      <c r="B147" s="32">
        <v>1146</v>
      </c>
      <c r="C147" s="30">
        <v>8722</v>
      </c>
      <c r="D147" s="30" t="s">
        <v>81</v>
      </c>
      <c r="E147" s="27">
        <v>344</v>
      </c>
      <c r="F147" s="27">
        <v>502</v>
      </c>
      <c r="G147" s="27">
        <f xml:space="preserve"> F147-E147</f>
        <v>158</v>
      </c>
      <c r="H147" s="27">
        <f xml:space="preserve"> IF(F147 &gt;50, G147*0.2, G147*0.1)</f>
        <v>31.6</v>
      </c>
      <c r="I147" s="30" t="s">
        <v>106</v>
      </c>
      <c r="J147" s="30" t="s">
        <v>107</v>
      </c>
      <c r="K147" s="30" t="s">
        <v>88</v>
      </c>
    </row>
    <row r="148" spans="1:11" ht="15.75">
      <c r="A148" s="31" t="s">
        <v>98</v>
      </c>
      <c r="B148" s="32">
        <v>1147</v>
      </c>
      <c r="C148" s="30">
        <v>9822</v>
      </c>
      <c r="D148" s="30" t="s">
        <v>75</v>
      </c>
      <c r="E148" s="27">
        <v>58.3</v>
      </c>
      <c r="F148" s="27">
        <v>98.4</v>
      </c>
      <c r="G148" s="27">
        <f xml:space="preserve"> F148-E148</f>
        <v>40.100000000000009</v>
      </c>
      <c r="H148" s="27">
        <f xml:space="preserve"> IF(F148 &gt;50, G148*0.2, G148*0.1)</f>
        <v>8.0200000000000014</v>
      </c>
      <c r="I148" s="30" t="s">
        <v>102</v>
      </c>
      <c r="J148" s="30" t="s">
        <v>103</v>
      </c>
      <c r="K148" s="30" t="s">
        <v>78</v>
      </c>
    </row>
    <row r="149" spans="1:11" ht="15.75">
      <c r="A149" s="31" t="s">
        <v>98</v>
      </c>
      <c r="B149" s="32">
        <v>1148</v>
      </c>
      <c r="C149" s="30">
        <v>9212</v>
      </c>
      <c r="D149" s="30" t="s">
        <v>85</v>
      </c>
      <c r="E149" s="27">
        <v>4</v>
      </c>
      <c r="F149" s="27">
        <v>7</v>
      </c>
      <c r="G149" s="27">
        <f xml:space="preserve"> F149-E149</f>
        <v>3</v>
      </c>
      <c r="H149" s="27">
        <f xml:space="preserve"> IF(F149 &gt;50, G149*0.2, G149*0.1)</f>
        <v>0.30000000000000004</v>
      </c>
      <c r="I149" s="30" t="s">
        <v>105</v>
      </c>
      <c r="J149" s="30" t="s">
        <v>14</v>
      </c>
      <c r="K149" s="30" t="s">
        <v>80</v>
      </c>
    </row>
    <row r="150" spans="1:11" ht="15.75">
      <c r="A150" s="31" t="s">
        <v>98</v>
      </c>
      <c r="B150" s="32">
        <v>1149</v>
      </c>
      <c r="C150" s="30">
        <v>8722</v>
      </c>
      <c r="D150" s="30" t="s">
        <v>81</v>
      </c>
      <c r="E150" s="27">
        <v>344</v>
      </c>
      <c r="F150" s="27">
        <v>502</v>
      </c>
      <c r="G150" s="27">
        <f xml:space="preserve"> F150-E150</f>
        <v>158</v>
      </c>
      <c r="H150" s="27">
        <f xml:space="preserve"> IF(F150 &gt;50, G150*0.2, G150*0.1)</f>
        <v>31.6</v>
      </c>
      <c r="I150" s="30" t="s">
        <v>102</v>
      </c>
      <c r="J150" s="30" t="s">
        <v>103</v>
      </c>
      <c r="K150" s="30" t="s">
        <v>80</v>
      </c>
    </row>
    <row r="151" spans="1:11" ht="15.75">
      <c r="A151" s="31" t="s">
        <v>99</v>
      </c>
      <c r="B151" s="32">
        <v>1150</v>
      </c>
      <c r="C151" s="30">
        <v>2242</v>
      </c>
      <c r="D151" s="30" t="s">
        <v>87</v>
      </c>
      <c r="E151" s="27">
        <v>60</v>
      </c>
      <c r="F151" s="27">
        <v>124</v>
      </c>
      <c r="G151" s="27">
        <f xml:space="preserve"> F151-E151</f>
        <v>64</v>
      </c>
      <c r="H151" s="27">
        <f xml:space="preserve"> IF(F151 &gt;50, G151*0.2, G151*0.1)</f>
        <v>12.8</v>
      </c>
      <c r="I151" s="30" t="s">
        <v>105</v>
      </c>
      <c r="J151" s="30" t="s">
        <v>14</v>
      </c>
      <c r="K151" s="30" t="s">
        <v>89</v>
      </c>
    </row>
    <row r="152" spans="1:11" ht="15.75">
      <c r="A152" s="31" t="s">
        <v>99</v>
      </c>
      <c r="B152" s="32">
        <v>1151</v>
      </c>
      <c r="C152" s="30">
        <v>2242</v>
      </c>
      <c r="D152" s="30" t="s">
        <v>87</v>
      </c>
      <c r="E152" s="27">
        <v>60</v>
      </c>
      <c r="F152" s="27">
        <v>124</v>
      </c>
      <c r="G152" s="27">
        <f xml:space="preserve"> F152-E152</f>
        <v>64</v>
      </c>
      <c r="H152" s="27">
        <f xml:space="preserve"> IF(F152 &gt;50, G152*0.2, G152*0.1)</f>
        <v>12.8</v>
      </c>
      <c r="I152" s="30" t="s">
        <v>104</v>
      </c>
      <c r="J152" s="30" t="s">
        <v>11</v>
      </c>
      <c r="K152" s="30" t="s">
        <v>78</v>
      </c>
    </row>
    <row r="153" spans="1:11" ht="15.75">
      <c r="A153" s="31" t="s">
        <v>99</v>
      </c>
      <c r="B153" s="32">
        <v>1152</v>
      </c>
      <c r="C153" s="30">
        <v>4421</v>
      </c>
      <c r="D153" s="30" t="s">
        <v>84</v>
      </c>
      <c r="E153" s="27">
        <v>45</v>
      </c>
      <c r="F153" s="27">
        <v>87</v>
      </c>
      <c r="G153" s="27">
        <f xml:space="preserve"> F153-E153</f>
        <v>42</v>
      </c>
      <c r="H153" s="27">
        <f xml:space="preserve"> IF(F153 &gt;50, G153*0.2, G153*0.1)</f>
        <v>8.4</v>
      </c>
      <c r="I153" s="30" t="s">
        <v>102</v>
      </c>
      <c r="J153" s="30" t="s">
        <v>103</v>
      </c>
      <c r="K153" s="30" t="s">
        <v>88</v>
      </c>
    </row>
    <row r="154" spans="1:11" ht="15.75">
      <c r="A154" s="31" t="s">
        <v>99</v>
      </c>
      <c r="B154" s="32">
        <v>1153</v>
      </c>
      <c r="C154" s="30">
        <v>8722</v>
      </c>
      <c r="D154" s="30" t="s">
        <v>81</v>
      </c>
      <c r="E154" s="27">
        <v>344</v>
      </c>
      <c r="F154" s="27">
        <v>502</v>
      </c>
      <c r="G154" s="27">
        <f xml:space="preserve"> F154-E154</f>
        <v>158</v>
      </c>
      <c r="H154" s="27">
        <f xml:space="preserve"> IF(F154 &gt;50, G154*0.2, G154*0.1)</f>
        <v>31.6</v>
      </c>
      <c r="I154" s="30" t="s">
        <v>105</v>
      </c>
      <c r="J154" s="30" t="s">
        <v>14</v>
      </c>
      <c r="K154" s="30" t="s">
        <v>80</v>
      </c>
    </row>
    <row r="155" spans="1:11" ht="15.75">
      <c r="A155" s="31" t="s">
        <v>99</v>
      </c>
      <c r="B155" s="32">
        <v>1154</v>
      </c>
      <c r="C155" s="30">
        <v>9822</v>
      </c>
      <c r="D155" s="30" t="s">
        <v>75</v>
      </c>
      <c r="E155" s="27">
        <v>58.3</v>
      </c>
      <c r="F155" s="27">
        <v>98.4</v>
      </c>
      <c r="G155" s="27">
        <f xml:space="preserve"> F155-E155</f>
        <v>40.100000000000009</v>
      </c>
      <c r="H155" s="27">
        <f xml:space="preserve"> IF(F155 &gt;50, G155*0.2, G155*0.1)</f>
        <v>8.0200000000000014</v>
      </c>
      <c r="I155" s="30" t="s">
        <v>104</v>
      </c>
      <c r="J155" s="30" t="s">
        <v>11</v>
      </c>
      <c r="K155" s="30" t="s">
        <v>88</v>
      </c>
    </row>
    <row r="156" spans="1:11" ht="15.75">
      <c r="A156" s="31" t="s">
        <v>99</v>
      </c>
      <c r="B156" s="32">
        <v>1155</v>
      </c>
      <c r="C156" s="30">
        <v>4421</v>
      </c>
      <c r="D156" s="30" t="s">
        <v>84</v>
      </c>
      <c r="E156" s="27">
        <v>45</v>
      </c>
      <c r="F156" s="27">
        <v>87</v>
      </c>
      <c r="G156" s="27">
        <f xml:space="preserve"> F156-E156</f>
        <v>42</v>
      </c>
      <c r="H156" s="27">
        <f xml:space="preserve"> IF(F156 &gt;50, G156*0.2, G156*0.1)</f>
        <v>8.4</v>
      </c>
      <c r="I156" s="30" t="s">
        <v>105</v>
      </c>
      <c r="J156" s="30" t="s">
        <v>14</v>
      </c>
      <c r="K156" s="30" t="s">
        <v>80</v>
      </c>
    </row>
    <row r="157" spans="1:11" ht="15.75">
      <c r="A157" s="31" t="s">
        <v>99</v>
      </c>
      <c r="B157" s="32">
        <v>1156</v>
      </c>
      <c r="C157" s="30">
        <v>2242</v>
      </c>
      <c r="D157" s="30" t="s">
        <v>87</v>
      </c>
      <c r="E157" s="27">
        <v>60</v>
      </c>
      <c r="F157" s="27">
        <v>124</v>
      </c>
      <c r="G157" s="27">
        <f xml:space="preserve"> F157-E157</f>
        <v>64</v>
      </c>
      <c r="H157" s="27">
        <f xml:space="preserve"> IF(F157 &gt;50, G157*0.2, G157*0.1)</f>
        <v>12.8</v>
      </c>
      <c r="I157" s="30" t="s">
        <v>105</v>
      </c>
      <c r="J157" s="30" t="s">
        <v>14</v>
      </c>
      <c r="K157" s="30" t="s">
        <v>78</v>
      </c>
    </row>
    <row r="158" spans="1:11" ht="15.75">
      <c r="A158" s="31" t="s">
        <v>99</v>
      </c>
      <c r="B158" s="32">
        <v>1157</v>
      </c>
      <c r="C158" s="30">
        <v>9212</v>
      </c>
      <c r="D158" s="30" t="s">
        <v>85</v>
      </c>
      <c r="E158" s="27">
        <v>4</v>
      </c>
      <c r="F158" s="27">
        <v>7</v>
      </c>
      <c r="G158" s="27">
        <f xml:space="preserve"> F158-E158</f>
        <v>3</v>
      </c>
      <c r="H158" s="27">
        <f xml:space="preserve"> IF(F158 &gt;50, G158*0.2, G158*0.1)</f>
        <v>0.30000000000000004</v>
      </c>
      <c r="I158" s="30" t="s">
        <v>105</v>
      </c>
      <c r="J158" s="30" t="s">
        <v>14</v>
      </c>
      <c r="K158" s="30" t="s">
        <v>76</v>
      </c>
    </row>
    <row r="159" spans="1:11" ht="15.75">
      <c r="A159" s="31" t="s">
        <v>100</v>
      </c>
      <c r="B159" s="32">
        <v>1158</v>
      </c>
      <c r="C159" s="30">
        <v>8722</v>
      </c>
      <c r="D159" s="30" t="s">
        <v>81</v>
      </c>
      <c r="E159" s="27">
        <v>344</v>
      </c>
      <c r="F159" s="27">
        <v>502</v>
      </c>
      <c r="G159" s="27">
        <f xml:space="preserve"> F159-E159</f>
        <v>158</v>
      </c>
      <c r="H159" s="27">
        <f xml:space="preserve"> IF(F159 &gt;50, G159*0.2, G159*0.1)</f>
        <v>31.6</v>
      </c>
      <c r="I159" s="30" t="s">
        <v>102</v>
      </c>
      <c r="J159" s="30" t="s">
        <v>103</v>
      </c>
      <c r="K159" s="30" t="s">
        <v>88</v>
      </c>
    </row>
    <row r="160" spans="1:11" ht="15.75">
      <c r="A160" s="31" t="s">
        <v>100</v>
      </c>
      <c r="B160" s="32">
        <v>1159</v>
      </c>
      <c r="C160" s="30">
        <v>6622</v>
      </c>
      <c r="D160" s="30" t="s">
        <v>92</v>
      </c>
      <c r="E160" s="27">
        <v>42</v>
      </c>
      <c r="F160" s="27">
        <v>77</v>
      </c>
      <c r="G160" s="27">
        <f xml:space="preserve"> F160-E160</f>
        <v>35</v>
      </c>
      <c r="H160" s="27">
        <f xml:space="preserve"> IF(F160 &gt;50, G160*0.2, G160*0.1)</f>
        <v>7</v>
      </c>
      <c r="I160" s="30" t="s">
        <v>105</v>
      </c>
      <c r="J160" s="30" t="s">
        <v>14</v>
      </c>
      <c r="K160" s="30" t="s">
        <v>78</v>
      </c>
    </row>
    <row r="161" spans="1:11" ht="15.75">
      <c r="A161" s="31" t="s">
        <v>100</v>
      </c>
      <c r="B161" s="32">
        <v>1160</v>
      </c>
      <c r="C161" s="30">
        <v>9822</v>
      </c>
      <c r="D161" s="30" t="s">
        <v>75</v>
      </c>
      <c r="E161" s="27">
        <v>58.3</v>
      </c>
      <c r="F161" s="27">
        <v>98.4</v>
      </c>
      <c r="G161" s="27">
        <f xml:space="preserve"> F161-E161</f>
        <v>40.100000000000009</v>
      </c>
      <c r="H161" s="27">
        <f xml:space="preserve"> IF(F161 &gt;50, G161*0.2, G161*0.1)</f>
        <v>8.0200000000000014</v>
      </c>
      <c r="I161" s="30" t="s">
        <v>106</v>
      </c>
      <c r="J161" s="30" t="s">
        <v>107</v>
      </c>
      <c r="K161" s="30" t="s">
        <v>88</v>
      </c>
    </row>
    <row r="162" spans="1:11" ht="15.75">
      <c r="A162" s="31" t="s">
        <v>100</v>
      </c>
      <c r="B162" s="32">
        <v>1161</v>
      </c>
      <c r="C162" s="30">
        <v>4421</v>
      </c>
      <c r="D162" s="30" t="s">
        <v>84</v>
      </c>
      <c r="E162" s="27">
        <v>45</v>
      </c>
      <c r="F162" s="27">
        <v>87</v>
      </c>
      <c r="G162" s="27">
        <f xml:space="preserve"> F162-E162</f>
        <v>42</v>
      </c>
      <c r="H162" s="27">
        <f xml:space="preserve"> IF(F162 &gt;50, G162*0.2, G162*0.1)</f>
        <v>8.4</v>
      </c>
      <c r="I162" s="30" t="s">
        <v>104</v>
      </c>
      <c r="J162" s="30" t="s">
        <v>11</v>
      </c>
      <c r="K162" s="30" t="s">
        <v>78</v>
      </c>
    </row>
    <row r="163" spans="1:11" ht="15.75">
      <c r="A163" s="31" t="s">
        <v>100</v>
      </c>
      <c r="B163" s="32">
        <v>1162</v>
      </c>
      <c r="C163" s="30">
        <v>9212</v>
      </c>
      <c r="D163" s="30" t="s">
        <v>85</v>
      </c>
      <c r="E163" s="27">
        <v>4</v>
      </c>
      <c r="F163" s="27">
        <v>7</v>
      </c>
      <c r="G163" s="27">
        <f xml:space="preserve"> F163-E163</f>
        <v>3</v>
      </c>
      <c r="H163" s="27">
        <f xml:space="preserve"> IF(F163 &gt;50, G163*0.2, G163*0.1)</f>
        <v>0.30000000000000004</v>
      </c>
      <c r="I163" s="30" t="s">
        <v>102</v>
      </c>
      <c r="J163" s="30" t="s">
        <v>103</v>
      </c>
      <c r="K163" s="30" t="s">
        <v>80</v>
      </c>
    </row>
    <row r="164" spans="1:11" ht="15.75">
      <c r="A164" s="31" t="s">
        <v>100</v>
      </c>
      <c r="B164" s="32">
        <v>1163</v>
      </c>
      <c r="C164" s="30">
        <v>9212</v>
      </c>
      <c r="D164" s="30" t="s">
        <v>85</v>
      </c>
      <c r="E164" s="27">
        <v>4</v>
      </c>
      <c r="F164" s="27">
        <v>7</v>
      </c>
      <c r="G164" s="27">
        <f xml:space="preserve"> F164-E164</f>
        <v>3</v>
      </c>
      <c r="H164" s="27">
        <f xml:space="preserve"> IF(F164 &gt;50, G164*0.2, G164*0.1)</f>
        <v>0.30000000000000004</v>
      </c>
      <c r="I164" s="30" t="s">
        <v>105</v>
      </c>
      <c r="J164" s="30" t="s">
        <v>14</v>
      </c>
      <c r="K164" s="30" t="s">
        <v>78</v>
      </c>
    </row>
    <row r="165" spans="1:11" ht="15.75">
      <c r="A165" s="31" t="s">
        <v>100</v>
      </c>
      <c r="B165" s="32">
        <v>1164</v>
      </c>
      <c r="C165" s="30">
        <v>9822</v>
      </c>
      <c r="D165" s="30" t="s">
        <v>75</v>
      </c>
      <c r="E165" s="27">
        <v>58.3</v>
      </c>
      <c r="F165" s="27">
        <v>98.4</v>
      </c>
      <c r="G165" s="27">
        <f xml:space="preserve"> F165-E165</f>
        <v>40.100000000000009</v>
      </c>
      <c r="H165" s="27">
        <f xml:space="preserve"> IF(F165 &gt;50, G165*0.2, G165*0.1)</f>
        <v>8.0200000000000014</v>
      </c>
      <c r="I165" s="30" t="s">
        <v>105</v>
      </c>
      <c r="J165" s="30" t="s">
        <v>14</v>
      </c>
      <c r="K165" s="30" t="s">
        <v>80</v>
      </c>
    </row>
    <row r="166" spans="1:11" ht="15.75">
      <c r="A166" s="31" t="s">
        <v>100</v>
      </c>
      <c r="B166" s="32">
        <v>1165</v>
      </c>
      <c r="C166" s="30">
        <v>9822</v>
      </c>
      <c r="D166" s="30" t="s">
        <v>75</v>
      </c>
      <c r="E166" s="27">
        <v>58.3</v>
      </c>
      <c r="F166" s="27">
        <v>98.4</v>
      </c>
      <c r="G166" s="27">
        <f xml:space="preserve"> F166-E166</f>
        <v>40.100000000000009</v>
      </c>
      <c r="H166" s="27">
        <f xml:space="preserve"> IF(F166 &gt;50, G166*0.2, G166*0.1)</f>
        <v>8.0200000000000014</v>
      </c>
      <c r="I166" s="30" t="s">
        <v>105</v>
      </c>
      <c r="J166" s="30" t="s">
        <v>14</v>
      </c>
      <c r="K166" s="30" t="s">
        <v>80</v>
      </c>
    </row>
    <row r="167" spans="1:11" ht="15.75">
      <c r="A167" s="31" t="s">
        <v>100</v>
      </c>
      <c r="B167" s="32">
        <v>1166</v>
      </c>
      <c r="C167" s="30">
        <v>8722</v>
      </c>
      <c r="D167" s="30" t="s">
        <v>81</v>
      </c>
      <c r="E167" s="27">
        <v>344</v>
      </c>
      <c r="F167" s="27">
        <v>502</v>
      </c>
      <c r="G167" s="27">
        <f xml:space="preserve"> F167-E167</f>
        <v>158</v>
      </c>
      <c r="H167" s="27">
        <f xml:space="preserve"> IF(F167 &gt;50, G167*0.2, G167*0.1)</f>
        <v>31.6</v>
      </c>
      <c r="I167" s="30" t="s">
        <v>105</v>
      </c>
      <c r="J167" s="30" t="s">
        <v>14</v>
      </c>
      <c r="K167" s="30" t="s">
        <v>88</v>
      </c>
    </row>
    <row r="168" spans="1:11" ht="15.75">
      <c r="A168" s="31" t="s">
        <v>101</v>
      </c>
      <c r="B168" s="32">
        <v>1167</v>
      </c>
      <c r="C168" s="30">
        <v>2242</v>
      </c>
      <c r="D168" s="30" t="s">
        <v>87</v>
      </c>
      <c r="E168" s="27">
        <v>60</v>
      </c>
      <c r="F168" s="27">
        <v>124</v>
      </c>
      <c r="G168" s="27">
        <f xml:space="preserve"> F168-E168</f>
        <v>64</v>
      </c>
      <c r="H168" s="27">
        <f xml:space="preserve"> IF(F168 &gt;50, G168*0.2, G168*0.1)</f>
        <v>12.8</v>
      </c>
      <c r="I168" s="30" t="s">
        <v>105</v>
      </c>
      <c r="J168" s="30" t="s">
        <v>14</v>
      </c>
      <c r="K168" s="30" t="s">
        <v>76</v>
      </c>
    </row>
    <row r="169" spans="1:11" ht="15.75">
      <c r="A169" s="31" t="s">
        <v>101</v>
      </c>
      <c r="B169" s="32">
        <v>1168</v>
      </c>
      <c r="C169" s="30">
        <v>9822</v>
      </c>
      <c r="D169" s="30" t="s">
        <v>75</v>
      </c>
      <c r="E169" s="27">
        <v>58.3</v>
      </c>
      <c r="F169" s="27">
        <v>98.4</v>
      </c>
      <c r="G169" s="27">
        <f xml:space="preserve"> F169-E169</f>
        <v>40.100000000000009</v>
      </c>
      <c r="H169" s="27">
        <f xml:space="preserve"> IF(F169 &gt;50, G169*0.2, G169*0.1)</f>
        <v>8.0200000000000014</v>
      </c>
      <c r="I169" s="30" t="s">
        <v>105</v>
      </c>
      <c r="J169" s="30" t="s">
        <v>14</v>
      </c>
      <c r="K169" s="30" t="s">
        <v>78</v>
      </c>
    </row>
    <row r="170" spans="1:11" ht="15.75">
      <c r="A170" s="31" t="s">
        <v>101</v>
      </c>
      <c r="B170" s="32">
        <v>1169</v>
      </c>
      <c r="C170" s="30">
        <v>8722</v>
      </c>
      <c r="D170" s="30" t="s">
        <v>81</v>
      </c>
      <c r="E170" s="27">
        <v>344</v>
      </c>
      <c r="F170" s="27">
        <v>502</v>
      </c>
      <c r="G170" s="27">
        <f xml:space="preserve"> F170-E170</f>
        <v>158</v>
      </c>
      <c r="H170" s="27">
        <f xml:space="preserve"> IF(F170 &gt;50, G170*0.2, G170*0.1)</f>
        <v>31.6</v>
      </c>
      <c r="I170" s="30" t="s">
        <v>105</v>
      </c>
      <c r="J170" s="30" t="s">
        <v>14</v>
      </c>
      <c r="K170" s="30" t="s">
        <v>89</v>
      </c>
    </row>
    <row r="171" spans="1:11" ht="15.75">
      <c r="A171" s="31" t="s">
        <v>101</v>
      </c>
      <c r="B171" s="32">
        <v>1170</v>
      </c>
      <c r="C171" s="30">
        <v>4421</v>
      </c>
      <c r="D171" s="30" t="s">
        <v>84</v>
      </c>
      <c r="E171" s="27">
        <v>45</v>
      </c>
      <c r="F171" s="27">
        <v>87</v>
      </c>
      <c r="G171" s="27">
        <f xml:space="preserve"> F171-E171</f>
        <v>42</v>
      </c>
      <c r="H171" s="27">
        <f xml:space="preserve"> IF(F171 &gt;50, G171*0.2, G171*0.1)</f>
        <v>8.4</v>
      </c>
      <c r="I171" s="30" t="s">
        <v>102</v>
      </c>
      <c r="J171" s="30" t="s">
        <v>103</v>
      </c>
      <c r="K171" s="30" t="s">
        <v>78</v>
      </c>
    </row>
    <row r="172" spans="1:11" ht="15.75">
      <c r="A172" s="31" t="s">
        <v>101</v>
      </c>
      <c r="B172" s="32">
        <v>1171</v>
      </c>
      <c r="C172" s="30">
        <v>4421</v>
      </c>
      <c r="D172" s="30" t="s">
        <v>84</v>
      </c>
      <c r="E172" s="27">
        <v>45</v>
      </c>
      <c r="F172" s="27">
        <v>87</v>
      </c>
      <c r="G172" s="27">
        <f xml:space="preserve"> F172-E172</f>
        <v>42</v>
      </c>
      <c r="H172" s="27">
        <f xml:space="preserve"> IF(F172 &gt;50, G172*0.2, G172*0.1)</f>
        <v>8.4</v>
      </c>
      <c r="I172" s="30" t="s">
        <v>104</v>
      </c>
      <c r="J172" s="30" t="s">
        <v>11</v>
      </c>
      <c r="K172" s="30" t="s">
        <v>88</v>
      </c>
    </row>
    <row r="174" spans="1:11" ht="15.75">
      <c r="A174" s="31" t="s">
        <v>109</v>
      </c>
      <c r="F174" s="1">
        <f xml:space="preserve"> SUM(F2:F172)</f>
        <v>17110.599999999995</v>
      </c>
    </row>
    <row r="175" spans="1:11" ht="15.75">
      <c r="A175" s="31" t="s">
        <v>110</v>
      </c>
      <c r="F175" s="1">
        <f xml:space="preserve"> SUMIF(F2:F172, "&gt;50")</f>
        <v>16088.399999999994</v>
      </c>
    </row>
    <row r="176" spans="1:11" ht="15.75">
      <c r="A176" s="31" t="s">
        <v>111</v>
      </c>
      <c r="F176" s="1">
        <f xml:space="preserve"> SUMIF(F2:F172, "&lt;=50")</f>
        <v>1022.1999999999997</v>
      </c>
    </row>
  </sheetData>
  <autoFilter ref="A1:K172" xr:uid="{71C574C7-ABE9-4F06-A503-121FB3D36E38}"/>
  <sortState xmlns:xlrd2="http://schemas.microsoft.com/office/spreadsheetml/2017/richdata2" ref="A2:K172">
    <sortCondition ref="B2:B17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AC83-B1A7-485A-BB6F-61BC9964E7FB}">
  <dimension ref="A3:B21"/>
  <sheetViews>
    <sheetView workbookViewId="0">
      <selection activeCell="A3" sqref="A3"/>
    </sheetView>
  </sheetViews>
  <sheetFormatPr defaultRowHeight="15"/>
  <cols>
    <col min="1" max="1" width="13.140625" bestFit="1" customWidth="1"/>
    <col min="2" max="2" width="12.5703125" bestFit="1" customWidth="1"/>
  </cols>
  <sheetData>
    <row r="3" spans="1:2">
      <c r="A3" s="26" t="s">
        <v>113</v>
      </c>
      <c r="B3" t="s">
        <v>210</v>
      </c>
    </row>
    <row r="4" spans="1:2">
      <c r="A4" s="25" t="s">
        <v>155</v>
      </c>
      <c r="B4" s="5">
        <v>144647.69999999998</v>
      </c>
    </row>
    <row r="5" spans="1:2">
      <c r="A5" s="25" t="s">
        <v>164</v>
      </c>
      <c r="B5" s="5">
        <v>150656.40000000002</v>
      </c>
    </row>
    <row r="6" spans="1:2">
      <c r="A6" s="25" t="s">
        <v>141</v>
      </c>
      <c r="B6" s="5">
        <v>154427.9</v>
      </c>
    </row>
    <row r="7" spans="1:2">
      <c r="A7" s="25" t="s">
        <v>172</v>
      </c>
      <c r="B7" s="5">
        <v>179986</v>
      </c>
    </row>
    <row r="8" spans="1:2">
      <c r="A8" s="25" t="s">
        <v>8</v>
      </c>
      <c r="B8" s="5">
        <v>143640.70000000001</v>
      </c>
    </row>
    <row r="9" spans="1:2">
      <c r="A9" s="25" t="s">
        <v>159</v>
      </c>
      <c r="B9" s="5">
        <v>135078.20000000001</v>
      </c>
    </row>
    <row r="10" spans="1:2">
      <c r="A10" s="25" t="s">
        <v>139</v>
      </c>
      <c r="B10" s="5">
        <v>184693.8</v>
      </c>
    </row>
    <row r="11" spans="1:2">
      <c r="A11" s="25" t="s">
        <v>137</v>
      </c>
      <c r="B11" s="5">
        <v>127731.3</v>
      </c>
    </row>
    <row r="12" spans="1:2">
      <c r="A12" s="25" t="s">
        <v>134</v>
      </c>
      <c r="B12" s="5">
        <v>70964.899999999994</v>
      </c>
    </row>
    <row r="13" spans="1:2">
      <c r="A13" s="25" t="s">
        <v>146</v>
      </c>
      <c r="B13" s="5">
        <v>65315</v>
      </c>
    </row>
    <row r="14" spans="1:2">
      <c r="A14" s="25" t="s">
        <v>152</v>
      </c>
      <c r="B14" s="5">
        <v>138561.5</v>
      </c>
    </row>
    <row r="15" spans="1:2">
      <c r="A15" s="25" t="s">
        <v>153</v>
      </c>
      <c r="B15" s="5">
        <v>141229.4</v>
      </c>
    </row>
    <row r="16" spans="1:2">
      <c r="A16" s="25" t="s">
        <v>14</v>
      </c>
      <c r="B16" s="5">
        <v>305432.40000000002</v>
      </c>
    </row>
    <row r="17" spans="1:2">
      <c r="A17" s="25" t="s">
        <v>166</v>
      </c>
      <c r="B17" s="5">
        <v>177713.9</v>
      </c>
    </row>
    <row r="18" spans="1:2">
      <c r="A18" s="25" t="s">
        <v>157</v>
      </c>
      <c r="B18" s="5">
        <v>65964.899999999994</v>
      </c>
    </row>
    <row r="19" spans="1:2">
      <c r="A19" s="25" t="s">
        <v>150</v>
      </c>
      <c r="B19" s="5">
        <v>130601.59999999999</v>
      </c>
    </row>
    <row r="20" spans="1:2">
      <c r="A20" s="25" t="s">
        <v>148</v>
      </c>
      <c r="B20" s="5">
        <v>19341.7</v>
      </c>
    </row>
    <row r="21" spans="1:2">
      <c r="A21" s="25" t="s">
        <v>114</v>
      </c>
      <c r="B21" s="5">
        <v>2335987.2999999998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8DBF-E192-43A4-A99E-BA693F5A7387}">
  <dimension ref="A1:N66"/>
  <sheetViews>
    <sheetView topLeftCell="M1" workbookViewId="0">
      <selection activeCell="R18" sqref="R18"/>
    </sheetView>
  </sheetViews>
  <sheetFormatPr defaultRowHeight="15"/>
  <cols>
    <col min="1" max="1" width="13.5703125" bestFit="1" customWidth="1"/>
    <col min="2" max="2" width="8.28515625" bestFit="1" customWidth="1"/>
    <col min="3" max="3" width="19.28515625" bestFit="1" customWidth="1"/>
    <col min="5" max="5" width="20.28515625" bestFit="1" customWidth="1"/>
    <col min="6" max="6" width="19.28515625" bestFit="1" customWidth="1"/>
    <col min="7" max="7" width="6.7109375" bestFit="1" customWidth="1"/>
    <col min="8" max="8" width="11.5703125" style="24" bestFit="1" customWidth="1"/>
    <col min="9" max="9" width="14.140625" style="24" bestFit="1" customWidth="1"/>
    <col min="10" max="10" width="8" bestFit="1" customWidth="1"/>
    <col min="11" max="11" width="9.85546875" bestFit="1" customWidth="1"/>
    <col min="12" max="12" width="17.7109375" bestFit="1" customWidth="1"/>
    <col min="13" max="13" width="11.7109375" bestFit="1" customWidth="1"/>
    <col min="14" max="14" width="16.85546875" bestFit="1" customWidth="1"/>
  </cols>
  <sheetData>
    <row r="1" spans="1:14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s="24" t="s">
        <v>122</v>
      </c>
      <c r="I1" s="24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 spans="1:14">
      <c r="A2" s="5" t="s">
        <v>163</v>
      </c>
      <c r="B2" s="5" t="str">
        <f xml:space="preserve"> LEFT(A2, 2)</f>
        <v>TY</v>
      </c>
      <c r="C2" s="5" t="str">
        <f xml:space="preserve"> VLOOKUP(B2, B$56:C$61, 2)</f>
        <v>Ford</v>
      </c>
      <c r="D2" s="5" t="str">
        <f xml:space="preserve"> MID(A2, 5, 3)</f>
        <v>CAM</v>
      </c>
      <c r="E2" s="5" t="str">
        <f xml:space="preserve"> VLOOKUP(D2, D$56:E$66, 2)</f>
        <v>Camry</v>
      </c>
      <c r="F2" s="5" t="str">
        <f xml:space="preserve"> MID(A2, 3, 2)</f>
        <v>96</v>
      </c>
      <c r="G2" s="5">
        <f xml:space="preserve"> IF(21 - F2 &lt; 0, 100 - F2 + 21, 21 - F2)</f>
        <v>25</v>
      </c>
      <c r="H2" s="24">
        <v>114660.6</v>
      </c>
      <c r="I2" s="24">
        <f xml:space="preserve"> H2/ (G2+0.5)</f>
        <v>4496.4941176470593</v>
      </c>
      <c r="J2" s="5" t="s">
        <v>136</v>
      </c>
      <c r="K2" s="5" t="s">
        <v>164</v>
      </c>
      <c r="L2">
        <v>100000</v>
      </c>
      <c r="M2" s="5" t="str">
        <f xml:space="preserve"> IF(H2 &lt;= L2, "Y", "Not Covered")</f>
        <v>Not Covered</v>
      </c>
      <c r="N2" s="5" t="str">
        <f xml:space="preserve"> CONCATENATE(B2, D2, F2, UPPER(LEFT(J2, 3)), RIGHT(A2, 3))</f>
        <v>TYCAM96GRE020</v>
      </c>
    </row>
    <row r="3" spans="1:14">
      <c r="A3" s="5" t="s">
        <v>192</v>
      </c>
      <c r="B3" s="5" t="str">
        <f xml:space="preserve"> LEFT(A3, 2)</f>
        <v>CR</v>
      </c>
      <c r="C3" s="5" t="str">
        <f xml:space="preserve"> VLOOKUP(B3, B$56:C$61, 2)</f>
        <v>Chrysler</v>
      </c>
      <c r="D3" s="5" t="str">
        <f xml:space="preserve"> MID(A3, 5, 3)</f>
        <v>CAR</v>
      </c>
      <c r="E3" s="5" t="str">
        <f xml:space="preserve"> VLOOKUP(D3, D$56:E$66, 2)</f>
        <v>Caravan</v>
      </c>
      <c r="F3" s="5" t="str">
        <f xml:space="preserve"> MID(A3, 3, 2)</f>
        <v>04</v>
      </c>
      <c r="G3" s="5">
        <f xml:space="preserve"> IF(21 - F3 &lt; 0, 100 - F3 + 21, 21 - F3)</f>
        <v>17</v>
      </c>
      <c r="H3" s="24">
        <v>72527.199999999997</v>
      </c>
      <c r="I3" s="24">
        <f xml:space="preserve"> H3/ (G3+0.5)</f>
        <v>4144.4114285714286</v>
      </c>
      <c r="J3" s="5" t="s">
        <v>133</v>
      </c>
      <c r="K3" s="5" t="s">
        <v>155</v>
      </c>
      <c r="L3">
        <v>75000</v>
      </c>
      <c r="M3" s="5" t="str">
        <f xml:space="preserve"> IF(H3 &lt;= L3, "Y", "Not Covered")</f>
        <v>Y</v>
      </c>
      <c r="N3" s="5" t="str">
        <f xml:space="preserve"> CONCATENATE(B3, D3, F3, UPPER(LEFT(J3, 3)), RIGHT(A3, 3))</f>
        <v>CRCAR04WHI047</v>
      </c>
    </row>
    <row r="4" spans="1:14">
      <c r="A4" s="5" t="s">
        <v>167</v>
      </c>
      <c r="B4" s="5" t="str">
        <f xml:space="preserve"> LEFT(A4, 2)</f>
        <v>TY</v>
      </c>
      <c r="C4" s="5" t="str">
        <f xml:space="preserve"> VLOOKUP(B4, B$56:C$61, 2)</f>
        <v>Ford</v>
      </c>
      <c r="D4" s="5" t="str">
        <f xml:space="preserve"> MID(A4, 5, 3)</f>
        <v>CAM</v>
      </c>
      <c r="E4" s="5" t="str">
        <f xml:space="preserve"> VLOOKUP(D4, D$56:E$66, 2)</f>
        <v>Camry</v>
      </c>
      <c r="F4" s="5" t="str">
        <f xml:space="preserve"> MID(A4, 3, 2)</f>
        <v>00</v>
      </c>
      <c r="G4" s="5">
        <f xml:space="preserve"> IF(21 - F4 &lt; 0, 100 - F4 + 21, 21 - F4)</f>
        <v>21</v>
      </c>
      <c r="H4" s="24">
        <v>85928</v>
      </c>
      <c r="I4" s="24">
        <f xml:space="preserve"> H4/ (G4+0.5)</f>
        <v>3996.6511627906975</v>
      </c>
      <c r="J4" s="5" t="s">
        <v>136</v>
      </c>
      <c r="K4" s="5" t="s">
        <v>141</v>
      </c>
      <c r="L4">
        <v>100000</v>
      </c>
      <c r="M4" s="5" t="str">
        <f xml:space="preserve"> IF(H4 &lt;= L4, "Y", "Not Covered")</f>
        <v>Y</v>
      </c>
      <c r="N4" s="5" t="str">
        <f xml:space="preserve"> CONCATENATE(B4, D4, F4, UPPER(LEFT(J4, 3)), RIGHT(A4, 3))</f>
        <v>TYCAM00GRE022</v>
      </c>
    </row>
    <row r="5" spans="1:14">
      <c r="A5" s="5" t="s">
        <v>165</v>
      </c>
      <c r="B5" s="5" t="str">
        <f xml:space="preserve"> LEFT(A5, 2)</f>
        <v>TY</v>
      </c>
      <c r="C5" s="5" t="str">
        <f xml:space="preserve"> VLOOKUP(B5, B$56:C$61, 2)</f>
        <v>Ford</v>
      </c>
      <c r="D5" s="5" t="str">
        <f xml:space="preserve"> MID(A5, 5, 3)</f>
        <v>CAM</v>
      </c>
      <c r="E5" s="5" t="str">
        <f xml:space="preserve"> VLOOKUP(D5, D$56:E$66, 2)</f>
        <v>Camry</v>
      </c>
      <c r="F5" s="5" t="str">
        <f xml:space="preserve"> MID(A5, 3, 2)</f>
        <v>98</v>
      </c>
      <c r="G5" s="5">
        <f xml:space="preserve"> IF(21 - F5 &lt; 0, 100 - F5 + 21, 21 - F5)</f>
        <v>23</v>
      </c>
      <c r="H5" s="24">
        <v>93382.6</v>
      </c>
      <c r="I5" s="24">
        <f xml:space="preserve"> H5/ (G5+0.5)</f>
        <v>3973.7276595744684</v>
      </c>
      <c r="J5" s="5" t="s">
        <v>131</v>
      </c>
      <c r="K5" s="5" t="s">
        <v>166</v>
      </c>
      <c r="L5">
        <v>100000</v>
      </c>
      <c r="M5" s="5" t="str">
        <f xml:space="preserve"> IF(H5 &lt;= L5, "Y", "Not Covered")</f>
        <v>Y</v>
      </c>
      <c r="N5" s="5" t="str">
        <f xml:space="preserve"> CONCATENATE(B5, D5, F5, UPPER(LEFT(J5, 3)), RIGHT(A5, 3))</f>
        <v>TYCAM98BLA021</v>
      </c>
    </row>
    <row r="6" spans="1:14">
      <c r="A6" s="5" t="s">
        <v>173</v>
      </c>
      <c r="B6" s="5" t="str">
        <f xml:space="preserve"> LEFT(A6, 2)</f>
        <v>TY</v>
      </c>
      <c r="C6" s="5" t="str">
        <f xml:space="preserve"> VLOOKUP(B6, B$56:C$61, 2)</f>
        <v>Ford</v>
      </c>
      <c r="D6" s="5" t="str">
        <f xml:space="preserve"> MID(A6, 5, 3)</f>
        <v>COR</v>
      </c>
      <c r="E6" s="5" t="str">
        <f xml:space="preserve"> VLOOKUP(D6, D$56:E$66, 2)</f>
        <v>Corola</v>
      </c>
      <c r="F6" s="5" t="str">
        <f xml:space="preserve"> MID(A6, 3, 2)</f>
        <v>03</v>
      </c>
      <c r="G6" s="5">
        <f xml:space="preserve"> IF(21 - F6 &lt; 0, 100 - F6 + 21, 21 - F6)</f>
        <v>18</v>
      </c>
      <c r="H6" s="24">
        <v>73444.399999999994</v>
      </c>
      <c r="I6" s="24">
        <f xml:space="preserve"> H6/ (G6+0.5)</f>
        <v>3969.9675675675671</v>
      </c>
      <c r="J6" s="5" t="s">
        <v>131</v>
      </c>
      <c r="K6" s="5" t="s">
        <v>172</v>
      </c>
      <c r="L6">
        <v>100000</v>
      </c>
      <c r="M6" s="5" t="str">
        <f xml:space="preserve"> IF(H6 &lt;= L6, "Y", "Not Covered")</f>
        <v>Y</v>
      </c>
      <c r="N6" s="5" t="str">
        <f xml:space="preserve"> CONCATENATE(B6, D6, F6, UPPER(LEFT(J6, 3)), RIGHT(A6, 3))</f>
        <v>TYCOR03BLA026</v>
      </c>
    </row>
    <row r="7" spans="1:14">
      <c r="A7" s="5" t="s">
        <v>169</v>
      </c>
      <c r="B7" s="5" t="str">
        <f xml:space="preserve"> LEFT(A7, 2)</f>
        <v>TY</v>
      </c>
      <c r="C7" s="5" t="str">
        <f xml:space="preserve"> VLOOKUP(B7, B$56:C$61, 2)</f>
        <v>Ford</v>
      </c>
      <c r="D7" s="5" t="str">
        <f xml:space="preserve"> MID(A7, 5, 3)</f>
        <v>CAM</v>
      </c>
      <c r="E7" s="5" t="str">
        <f xml:space="preserve"> VLOOKUP(D7, D$56:E$66, 2)</f>
        <v>Camry</v>
      </c>
      <c r="F7" s="5" t="str">
        <f xml:space="preserve"> MID(A7, 3, 2)</f>
        <v>09</v>
      </c>
      <c r="G7" s="5">
        <f xml:space="preserve"> IF(21 - F7 &lt; 0, 100 - F7 + 21, 21 - F7)</f>
        <v>12</v>
      </c>
      <c r="H7" s="24">
        <v>48114.2</v>
      </c>
      <c r="I7" s="24">
        <f xml:space="preserve"> H7/ (G7+0.5)</f>
        <v>3849.136</v>
      </c>
      <c r="J7" s="5" t="s">
        <v>133</v>
      </c>
      <c r="K7" s="5" t="s">
        <v>8</v>
      </c>
      <c r="L7">
        <v>100000</v>
      </c>
      <c r="M7" s="5" t="str">
        <f xml:space="preserve"> IF(H7 &lt;= L7, "Y", "Not Covered")</f>
        <v>Y</v>
      </c>
      <c r="N7" s="5" t="str">
        <f xml:space="preserve"> CONCATENATE(B7, D7, F7, UPPER(LEFT(J7, 3)), RIGHT(A7, 3))</f>
        <v>TYCAM09WHI024</v>
      </c>
    </row>
    <row r="8" spans="1:14">
      <c r="A8" s="5" t="s">
        <v>161</v>
      </c>
      <c r="B8" s="5" t="str">
        <f xml:space="preserve"> LEFT(A8, 2)</f>
        <v>GM</v>
      </c>
      <c r="C8" s="5" t="str">
        <f xml:space="preserve"> VLOOKUP(B8, B$56:C$61, 2)</f>
        <v>Chrysler</v>
      </c>
      <c r="D8" s="5" t="str">
        <f xml:space="preserve"> MID(A8, 5, 3)</f>
        <v>SLV</v>
      </c>
      <c r="E8" s="5" t="str">
        <f xml:space="preserve"> VLOOKUP(D8, D$56:E$66, 2)</f>
        <v>Silverado</v>
      </c>
      <c r="F8" s="5" t="str">
        <f xml:space="preserve"> MID(A8, 3, 2)</f>
        <v>00</v>
      </c>
      <c r="G8" s="5">
        <f xml:space="preserve"> IF(21 - F8 &lt; 0, 100 - F8 + 21, 21 - F8)</f>
        <v>21</v>
      </c>
      <c r="H8" s="24">
        <v>80685.8</v>
      </c>
      <c r="I8" s="24">
        <f xml:space="preserve"> H8/ (G8+0.5)</f>
        <v>3752.8279069767445</v>
      </c>
      <c r="J8" s="5" t="s">
        <v>162</v>
      </c>
      <c r="K8" s="5" t="s">
        <v>150</v>
      </c>
      <c r="L8">
        <v>100000</v>
      </c>
      <c r="M8" s="5" t="str">
        <f xml:space="preserve"> IF(H8 &lt;= L8, "Y", "Not Covered")</f>
        <v>Y</v>
      </c>
      <c r="N8" s="5" t="str">
        <f xml:space="preserve"> CONCATENATE(B8, D8, F8, UPPER(LEFT(J8, 3)), RIGHT(A8, 3))</f>
        <v>GMSLV00BLU019</v>
      </c>
    </row>
    <row r="9" spans="1:14">
      <c r="A9" s="5" t="s">
        <v>187</v>
      </c>
      <c r="B9" s="5" t="str">
        <f xml:space="preserve"> LEFT(A9, 2)</f>
        <v>CR</v>
      </c>
      <c r="C9" s="5" t="str">
        <f xml:space="preserve"> VLOOKUP(B9, B$56:C$61, 2)</f>
        <v>Chrysler</v>
      </c>
      <c r="D9" s="5" t="str">
        <f xml:space="preserve"> MID(A9, 5, 3)</f>
        <v>PTC</v>
      </c>
      <c r="E9" s="5" t="str">
        <f xml:space="preserve"> VLOOKUP(D9, D$56:E$66, 2)</f>
        <v>PT Cruiser</v>
      </c>
      <c r="F9" s="5" t="str">
        <f xml:space="preserve"> MID(A9, 3, 2)</f>
        <v>04</v>
      </c>
      <c r="G9" s="5">
        <f xml:space="preserve"> IF(21 - F9 &lt; 0, 100 - F9 + 21, 21 - F9)</f>
        <v>17</v>
      </c>
      <c r="H9" s="24">
        <v>64542</v>
      </c>
      <c r="I9" s="24">
        <f xml:space="preserve"> H9/ (G9+0.5)</f>
        <v>3688.1142857142859</v>
      </c>
      <c r="J9" s="5" t="s">
        <v>162</v>
      </c>
      <c r="K9" s="5" t="s">
        <v>14</v>
      </c>
      <c r="L9">
        <v>75000</v>
      </c>
      <c r="M9" s="5" t="str">
        <f xml:space="preserve"> IF(H9 &lt;= L9, "Y", "Not Covered")</f>
        <v>Y</v>
      </c>
      <c r="N9" s="5" t="str">
        <f xml:space="preserve"> CONCATENATE(B9, D9, F9, UPPER(LEFT(J9, 3)), RIGHT(A9, 3))</f>
        <v>CRPTC04BLU042</v>
      </c>
    </row>
    <row r="10" spans="1:14">
      <c r="A10" s="5" t="s">
        <v>177</v>
      </c>
      <c r="B10" s="5" t="str">
        <f xml:space="preserve"> LEFT(A10, 2)</f>
        <v>HO</v>
      </c>
      <c r="C10" s="5" t="str">
        <f xml:space="preserve"> VLOOKUP(B10, B$56:C$61, 2)</f>
        <v>Honda</v>
      </c>
      <c r="D10" s="5" t="str">
        <f xml:space="preserve"> MID(A10, 5, 3)</f>
        <v>CIV</v>
      </c>
      <c r="E10" s="5" t="str">
        <f xml:space="preserve"> VLOOKUP(D10, D$56:E$66, 2)</f>
        <v>Civic</v>
      </c>
      <c r="F10" s="5" t="str">
        <f xml:space="preserve"> MID(A10, 3, 2)</f>
        <v>99</v>
      </c>
      <c r="G10" s="5">
        <f xml:space="preserve"> IF(21 - F10 &lt; 0, 100 - F10 + 21, 21 - F10)</f>
        <v>22</v>
      </c>
      <c r="H10" s="24">
        <v>82374</v>
      </c>
      <c r="I10" s="24">
        <f xml:space="preserve"> H10/ (G10+0.5)</f>
        <v>3661.0666666666666</v>
      </c>
      <c r="J10" s="5" t="s">
        <v>133</v>
      </c>
      <c r="K10" s="5" t="s">
        <v>152</v>
      </c>
      <c r="L10">
        <v>75000</v>
      </c>
      <c r="M10" s="5" t="str">
        <f xml:space="preserve"> IF(H10 &lt;= L10, "Y", "Not Covered")</f>
        <v>Not Covered</v>
      </c>
      <c r="N10" s="5" t="str">
        <f xml:space="preserve"> CONCATENATE(B10, D10, F10, UPPER(LEFT(J10, 3)), RIGHT(A10, 3))</f>
        <v>HOCIV99WHI030</v>
      </c>
    </row>
    <row r="11" spans="1:14">
      <c r="A11" s="5" t="s">
        <v>235</v>
      </c>
      <c r="B11" s="5" t="str">
        <f xml:space="preserve"> LEFT(A11, 2)</f>
        <v>HO</v>
      </c>
      <c r="C11" s="5" t="str">
        <f xml:space="preserve"> VLOOKUP(B11, B$56:C$61, 2)</f>
        <v>Honda</v>
      </c>
      <c r="D11" s="5" t="str">
        <f xml:space="preserve"> MID(A11, 5, 3)</f>
        <v>ODY</v>
      </c>
      <c r="E11" s="5" t="str">
        <f xml:space="preserve"> VLOOKUP(D11, D$56:E$66, 2)</f>
        <v>Odyssey</v>
      </c>
      <c r="F11" s="5" t="str">
        <f xml:space="preserve"> MID(A11, 3, 2)</f>
        <v>05</v>
      </c>
      <c r="G11" s="5">
        <f xml:space="preserve"> IF(21 - F11 &lt; 0, 100 - F11 + 21, 21 - F11)</f>
        <v>16</v>
      </c>
      <c r="H11" s="24">
        <v>60389.5</v>
      </c>
      <c r="I11" s="24">
        <f xml:space="preserve"> H11/ (G11+0.5)</f>
        <v>3659.969696969697</v>
      </c>
      <c r="J11" s="5" t="s">
        <v>133</v>
      </c>
      <c r="K11" s="5" t="s">
        <v>8</v>
      </c>
      <c r="L11">
        <v>100000</v>
      </c>
      <c r="M11" s="5" t="str">
        <f xml:space="preserve"> IF(H11 &lt;= L11, "Y", "Not Covered")</f>
        <v>Y</v>
      </c>
      <c r="N11" s="5" t="str">
        <f xml:space="preserve"> CONCATENATE(B11, D11, F11, UPPER(LEFT(J11, 3)), RIGHT(A11, 3))</f>
        <v>HOODY05WHI037</v>
      </c>
    </row>
    <row r="12" spans="1:14">
      <c r="A12" s="5" t="s">
        <v>191</v>
      </c>
      <c r="B12" s="5" t="str">
        <f xml:space="preserve"> LEFT(A12, 2)</f>
        <v>CR</v>
      </c>
      <c r="C12" s="5" t="str">
        <f xml:space="preserve"> VLOOKUP(B12, B$56:C$61, 2)</f>
        <v>Chrysler</v>
      </c>
      <c r="D12" s="5" t="str">
        <f xml:space="preserve"> MID(A12, 5, 3)</f>
        <v>CAR</v>
      </c>
      <c r="E12" s="5" t="str">
        <f xml:space="preserve"> VLOOKUP(D12, D$56:E$66, 2)</f>
        <v>Caravan</v>
      </c>
      <c r="F12" s="5" t="str">
        <f xml:space="preserve"> MID(A12, 3, 2)</f>
        <v>00</v>
      </c>
      <c r="G12" s="5">
        <f xml:space="preserve"> IF(21 - F12 &lt; 0, 100 - F12 + 21, 21 - F12)</f>
        <v>21</v>
      </c>
      <c r="H12" s="24">
        <v>77243.100000000006</v>
      </c>
      <c r="I12" s="24">
        <f xml:space="preserve"> H12/ (G12+0.5)</f>
        <v>3592.7023255813956</v>
      </c>
      <c r="J12" s="5" t="s">
        <v>131</v>
      </c>
      <c r="K12" s="5" t="s">
        <v>139</v>
      </c>
      <c r="L12">
        <v>75000</v>
      </c>
      <c r="M12" s="5" t="str">
        <f xml:space="preserve"> IF(H12 &lt;= L12, "Y", "Not Covered")</f>
        <v>Not Covered</v>
      </c>
      <c r="N12" s="5" t="str">
        <f xml:space="preserve"> CONCATENATE(B12, D12, F12, UPPER(LEFT(J12, 3)), RIGHT(A12, 3))</f>
        <v>CRCAR00BLA046</v>
      </c>
    </row>
    <row r="13" spans="1:14">
      <c r="A13" s="5" t="s">
        <v>160</v>
      </c>
      <c r="B13" s="5" t="str">
        <f xml:space="preserve"> LEFT(A13, 2)</f>
        <v>GM</v>
      </c>
      <c r="C13" s="5" t="str">
        <f xml:space="preserve"> VLOOKUP(B13, B$56:C$61, 2)</f>
        <v>Chrysler</v>
      </c>
      <c r="D13" s="5" t="str">
        <f xml:space="preserve"> MID(A13, 5, 3)</f>
        <v>SLV</v>
      </c>
      <c r="E13" s="5" t="str">
        <f xml:space="preserve"> VLOOKUP(D13, D$56:E$66, 2)</f>
        <v>Silverado</v>
      </c>
      <c r="F13" s="5" t="str">
        <f xml:space="preserve"> MID(A13, 3, 2)</f>
        <v>98</v>
      </c>
      <c r="G13" s="5">
        <f xml:space="preserve"> IF(21 - F13 &lt; 0, 100 - F13 + 21, 21 - F13)</f>
        <v>23</v>
      </c>
      <c r="H13" s="24">
        <v>83162.7</v>
      </c>
      <c r="I13" s="24">
        <f xml:space="preserve"> H13/ (G13+0.5)</f>
        <v>3538.8382978723403</v>
      </c>
      <c r="J13" s="5" t="s">
        <v>131</v>
      </c>
      <c r="K13" s="5" t="s">
        <v>153</v>
      </c>
      <c r="L13">
        <v>100000</v>
      </c>
      <c r="M13" s="5" t="str">
        <f xml:space="preserve"> IF(H13 &lt;= L13, "Y", "Not Covered")</f>
        <v>Y</v>
      </c>
      <c r="N13" s="5" t="str">
        <f xml:space="preserve"> CONCATENATE(B13, D13, F13, UPPER(LEFT(J13, 3)), RIGHT(A13, 3))</f>
        <v>GMSLV98BLA018</v>
      </c>
    </row>
    <row r="14" spans="1:14">
      <c r="A14" s="5" t="s">
        <v>190</v>
      </c>
      <c r="B14" s="5" t="str">
        <f xml:space="preserve"> LEFT(A14, 2)</f>
        <v>CR</v>
      </c>
      <c r="C14" s="5" t="str">
        <f xml:space="preserve"> VLOOKUP(B14, B$56:C$61, 2)</f>
        <v>Chrysler</v>
      </c>
      <c r="D14" s="5" t="str">
        <f xml:space="preserve"> MID(A14, 5, 3)</f>
        <v>CAR</v>
      </c>
      <c r="E14" s="5" t="str">
        <f xml:space="preserve"> VLOOKUP(D14, D$56:E$66, 2)</f>
        <v>Caravan</v>
      </c>
      <c r="F14" s="5" t="str">
        <f xml:space="preserve"> MID(A14, 3, 2)</f>
        <v>99</v>
      </c>
      <c r="G14" s="5">
        <f xml:space="preserve"> IF(21 - F14 &lt; 0, 100 - F14 + 21, 21 - F14)</f>
        <v>22</v>
      </c>
      <c r="H14" s="24">
        <v>79420.600000000006</v>
      </c>
      <c r="I14" s="24">
        <f xml:space="preserve"> H14/ (G14+0.5)</f>
        <v>3529.8044444444449</v>
      </c>
      <c r="J14" s="5" t="s">
        <v>136</v>
      </c>
      <c r="K14" s="5" t="s">
        <v>159</v>
      </c>
      <c r="L14">
        <v>75000</v>
      </c>
      <c r="M14" s="5" t="str">
        <f xml:space="preserve"> IF(H14 &lt;= L14, "Y", "Not Covered")</f>
        <v>Not Covered</v>
      </c>
      <c r="N14" s="5" t="str">
        <f xml:space="preserve"> CONCATENATE(B14, D14, F14, UPPER(LEFT(J14, 3)), RIGHT(A14, 3))</f>
        <v>CRCAR99GRE045</v>
      </c>
    </row>
    <row r="15" spans="1:14">
      <c r="A15" s="5" t="s">
        <v>184</v>
      </c>
      <c r="B15" s="5" t="str">
        <f xml:space="preserve"> LEFT(A15, 2)</f>
        <v>HO</v>
      </c>
      <c r="C15" s="5" t="str">
        <f xml:space="preserve"> VLOOKUP(B15, B$56:C$61, 2)</f>
        <v>Honda</v>
      </c>
      <c r="D15" s="5" t="str">
        <f xml:space="preserve"> MID(A15, 5, 3)</f>
        <v>ODY</v>
      </c>
      <c r="E15" s="5" t="str">
        <f xml:space="preserve"> VLOOKUP(D15, D$56:E$66, 2)</f>
        <v>Odyssey</v>
      </c>
      <c r="F15" s="5" t="str">
        <f xml:space="preserve"> MID(A15, 3, 2)</f>
        <v>07</v>
      </c>
      <c r="G15" s="5">
        <f xml:space="preserve"> IF(21 - F15 &lt; 0, 100 - F15 + 21, 21 - F15)</f>
        <v>14</v>
      </c>
      <c r="H15" s="24">
        <v>50854.1</v>
      </c>
      <c r="I15" s="24">
        <f xml:space="preserve"> H15/ (G15+0.5)</f>
        <v>3507.1793103448276</v>
      </c>
      <c r="J15" s="5" t="s">
        <v>131</v>
      </c>
      <c r="K15" s="5" t="s">
        <v>166</v>
      </c>
      <c r="L15">
        <v>100000</v>
      </c>
      <c r="M15" s="5" t="str">
        <f xml:space="preserve"> IF(H15 &lt;= L15, "Y", "Not Covered")</f>
        <v>Y</v>
      </c>
      <c r="N15" s="5" t="str">
        <f xml:space="preserve"> CONCATENATE(B15, D15, F15, UPPER(LEFT(J15, 3)), RIGHT(A15, 3))</f>
        <v>HOODY07BLA038</v>
      </c>
    </row>
    <row r="16" spans="1:14">
      <c r="A16" s="5" t="s">
        <v>168</v>
      </c>
      <c r="B16" s="5" t="str">
        <f xml:space="preserve"> LEFT(A16, 2)</f>
        <v>TY</v>
      </c>
      <c r="C16" s="5" t="str">
        <f xml:space="preserve"> VLOOKUP(B16, B$56:C$61, 2)</f>
        <v>Ford</v>
      </c>
      <c r="D16" s="5" t="str">
        <f xml:space="preserve"> MID(A16, 5, 3)</f>
        <v>CAM</v>
      </c>
      <c r="E16" s="5" t="str">
        <f xml:space="preserve"> VLOOKUP(D16, D$56:E$66, 2)</f>
        <v>Camry</v>
      </c>
      <c r="F16" s="5" t="str">
        <f xml:space="preserve"> MID(A16, 3, 2)</f>
        <v>02</v>
      </c>
      <c r="G16" s="5">
        <f xml:space="preserve"> IF(21 - F16 &lt; 0, 100 - F16 + 21, 21 - F16)</f>
        <v>19</v>
      </c>
      <c r="H16" s="24">
        <v>67829.100000000006</v>
      </c>
      <c r="I16" s="24">
        <f xml:space="preserve"> H16/ (G16+0.5)</f>
        <v>3478.4153846153849</v>
      </c>
      <c r="J16" s="5" t="s">
        <v>131</v>
      </c>
      <c r="K16" s="5" t="s">
        <v>14</v>
      </c>
      <c r="L16">
        <v>100000</v>
      </c>
      <c r="M16" s="5" t="str">
        <f xml:space="preserve"> IF(H16 &lt;= L16, "Y", "Not Covered")</f>
        <v>Y</v>
      </c>
      <c r="N16" s="5" t="str">
        <f xml:space="preserve"> CONCATENATE(B16, D16, F16, UPPER(LEFT(J16, 3)), RIGHT(A16, 3))</f>
        <v>TYCAM02BLA023</v>
      </c>
    </row>
    <row r="17" spans="1:14">
      <c r="A17" s="5" t="s">
        <v>178</v>
      </c>
      <c r="B17" s="5" t="str">
        <f xml:space="preserve"> LEFT(A17, 2)</f>
        <v>HO</v>
      </c>
      <c r="C17" s="5" t="str">
        <f xml:space="preserve"> VLOOKUP(B17, B$56:C$61, 2)</f>
        <v>Honda</v>
      </c>
      <c r="D17" s="5" t="str">
        <f xml:space="preserve"> MID(A17, 5, 3)</f>
        <v>CIV</v>
      </c>
      <c r="E17" s="5" t="str">
        <f xml:space="preserve"> VLOOKUP(D17, D$56:E$66, 2)</f>
        <v>Civic</v>
      </c>
      <c r="F17" s="5" t="str">
        <f xml:space="preserve"> MID(A17, 3, 2)</f>
        <v>01</v>
      </c>
      <c r="G17" s="5">
        <f xml:space="preserve"> IF(21 - F17 &lt; 0, 100 - F17 + 21, 21 - F17)</f>
        <v>20</v>
      </c>
      <c r="H17" s="24">
        <v>69891.899999999994</v>
      </c>
      <c r="I17" s="24">
        <f xml:space="preserve"> H17/ (G17+0.5)</f>
        <v>3409.3609756097558</v>
      </c>
      <c r="J17" s="5" t="s">
        <v>162</v>
      </c>
      <c r="K17" s="5" t="s">
        <v>139</v>
      </c>
      <c r="L17">
        <v>75000</v>
      </c>
      <c r="M17" s="5" t="str">
        <f xml:space="preserve"> IF(H17 &lt;= L17, "Y", "Not Covered")</f>
        <v>Y</v>
      </c>
      <c r="N17" s="5" t="str">
        <f xml:space="preserve"> CONCATENATE(B17, D17, F17, UPPER(LEFT(J17, 3)), RIGHT(A17, 3))</f>
        <v>HOCIV01BLU031</v>
      </c>
    </row>
    <row r="18" spans="1:14">
      <c r="A18" s="5" t="s">
        <v>142</v>
      </c>
      <c r="B18" s="5" t="str">
        <f xml:space="preserve"> LEFT(A18, 2)</f>
        <v>FD</v>
      </c>
      <c r="C18" s="5" t="str">
        <f xml:space="preserve"> VLOOKUP(B18, B$56:C$61, 2)</f>
        <v>Chrysler</v>
      </c>
      <c r="D18" s="5" t="str">
        <f xml:space="preserve"> MID(A18, 5, 3)</f>
        <v>FCS</v>
      </c>
      <c r="E18" s="5" t="str">
        <f xml:space="preserve"> VLOOKUP(D18, D$56:E$66, 2)</f>
        <v>Focus</v>
      </c>
      <c r="F18" s="5" t="str">
        <f xml:space="preserve"> MID(A18, 3, 2)</f>
        <v>06</v>
      </c>
      <c r="G18" s="5">
        <f xml:space="preserve"> IF(21 - F18 &lt; 0, 100 - F18 + 21, 21 - F18)</f>
        <v>15</v>
      </c>
      <c r="H18" s="24">
        <v>52229.5</v>
      </c>
      <c r="I18" s="24">
        <f xml:space="preserve"> H18/ (G18+0.5)</f>
        <v>3369.6451612903224</v>
      </c>
      <c r="J18" s="5" t="s">
        <v>136</v>
      </c>
      <c r="K18" s="5" t="s">
        <v>137</v>
      </c>
      <c r="L18">
        <v>75000</v>
      </c>
      <c r="M18" s="5" t="str">
        <f xml:space="preserve"> IF(H18 &lt;= L18, "Y", "Not Covered")</f>
        <v>Y</v>
      </c>
      <c r="N18" s="5" t="str">
        <f xml:space="preserve"> CONCATENATE(B18, D18, F18, UPPER(LEFT(J18, 3)), RIGHT(A18, 3))</f>
        <v>FDFCS06GRE007</v>
      </c>
    </row>
    <row r="19" spans="1:14">
      <c r="A19" s="5" t="s">
        <v>233</v>
      </c>
      <c r="B19" s="5" t="str">
        <f xml:space="preserve"> LEFT(A19, 2)</f>
        <v>HO</v>
      </c>
      <c r="C19" s="5" t="str">
        <f xml:space="preserve"> VLOOKUP(B19, B$56:C$61, 2)</f>
        <v>Honda</v>
      </c>
      <c r="D19" s="5" t="str">
        <f xml:space="preserve"> MID(A19, 5, 3)</f>
        <v>ODY</v>
      </c>
      <c r="E19" s="5" t="str">
        <f xml:space="preserve"> VLOOKUP(D19, D$56:E$66, 2)</f>
        <v>Odyssey</v>
      </c>
      <c r="F19" s="5" t="str">
        <f xml:space="preserve"> MID(A19, 3, 2)</f>
        <v>01</v>
      </c>
      <c r="G19" s="5">
        <f xml:space="preserve"> IF(21 - F19 &lt; 0, 100 - F19 + 21, 21 - F19)</f>
        <v>20</v>
      </c>
      <c r="H19" s="24">
        <v>68658.899999999994</v>
      </c>
      <c r="I19" s="24">
        <f xml:space="preserve"> H19/ (G19+0.5)</f>
        <v>3349.2146341463413</v>
      </c>
      <c r="J19" s="5" t="s">
        <v>131</v>
      </c>
      <c r="K19" s="5" t="s">
        <v>14</v>
      </c>
      <c r="L19">
        <v>100000</v>
      </c>
      <c r="M19" s="5" t="str">
        <f xml:space="preserve"> IF(H19 &lt;= L19, "Y", "Not Covered")</f>
        <v>Y</v>
      </c>
      <c r="N19" s="5" t="str">
        <f xml:space="preserve"> CONCATENATE(B19, D19, F19, UPPER(LEFT(J19, 3)), RIGHT(A19, 3))</f>
        <v>HOODY01BLA040</v>
      </c>
    </row>
    <row r="20" spans="1:14">
      <c r="A20" s="5" t="s">
        <v>135</v>
      </c>
      <c r="B20" s="5" t="str">
        <f xml:space="preserve"> LEFT(A20, 2)</f>
        <v>FD</v>
      </c>
      <c r="C20" s="5" t="str">
        <f xml:space="preserve"> VLOOKUP(B20, B$56:C$61, 2)</f>
        <v>Chrysler</v>
      </c>
      <c r="D20" s="5" t="str">
        <f xml:space="preserve"> MID(A20, 5, 3)</f>
        <v>MTG</v>
      </c>
      <c r="E20" s="5" t="str">
        <f xml:space="preserve"> VLOOKUP(D20, D$56:E$66, 2)</f>
        <v>Mustang</v>
      </c>
      <c r="F20" s="5" t="str">
        <f xml:space="preserve"> MID(A20, 3, 2)</f>
        <v>08</v>
      </c>
      <c r="G20" s="5">
        <f xml:space="preserve"> IF(21 - F20 &lt; 0, 100 - F20 + 21, 21 - F20)</f>
        <v>13</v>
      </c>
      <c r="H20" s="24">
        <v>44946.5</v>
      </c>
      <c r="I20" s="24">
        <f xml:space="preserve"> H20/ (G20+0.5)</f>
        <v>3329.3703703703704</v>
      </c>
      <c r="J20" s="5" t="s">
        <v>136</v>
      </c>
      <c r="K20" s="5" t="s">
        <v>137</v>
      </c>
      <c r="L20">
        <v>50000</v>
      </c>
      <c r="M20" s="5" t="str">
        <f xml:space="preserve"> IF(H20 &lt;= L20, "Y", "Not Covered")</f>
        <v>Y</v>
      </c>
      <c r="N20" s="5" t="str">
        <f xml:space="preserve"> CONCATENATE(B20, D20, F20, UPPER(LEFT(J20, 3)), RIGHT(A20, 3))</f>
        <v>FDMTG08GRE003</v>
      </c>
    </row>
    <row r="21" spans="1:14">
      <c r="A21" s="5" t="s">
        <v>170</v>
      </c>
      <c r="B21" s="5" t="str">
        <f xml:space="preserve"> LEFT(A21, 2)</f>
        <v>TY</v>
      </c>
      <c r="C21" s="5" t="str">
        <f xml:space="preserve"> VLOOKUP(B21, B$56:C$61, 2)</f>
        <v>Ford</v>
      </c>
      <c r="D21" s="5" t="str">
        <f xml:space="preserve"> MID(A21, 5, 3)</f>
        <v>COR</v>
      </c>
      <c r="E21" s="5" t="str">
        <f xml:space="preserve"> VLOOKUP(D21, D$56:E$66, 2)</f>
        <v>Corola</v>
      </c>
      <c r="F21" s="5" t="str">
        <f xml:space="preserve"> MID(A21, 3, 2)</f>
        <v>02</v>
      </c>
      <c r="G21" s="5">
        <f xml:space="preserve"> IF(21 - F21 &lt; 0, 100 - F21 + 21, 21 - F21)</f>
        <v>19</v>
      </c>
      <c r="H21" s="24">
        <v>64467.4</v>
      </c>
      <c r="I21" s="24">
        <f xml:space="preserve"> H21/ (G21+0.5)</f>
        <v>3306.020512820513</v>
      </c>
      <c r="J21" s="5" t="s">
        <v>171</v>
      </c>
      <c r="K21" s="5" t="s">
        <v>172</v>
      </c>
      <c r="L21">
        <v>100000</v>
      </c>
      <c r="M21" s="5" t="str">
        <f xml:space="preserve"> IF(H21 &lt;= L21, "Y", "Not Covered")</f>
        <v>Y</v>
      </c>
      <c r="N21" s="5" t="str">
        <f xml:space="preserve"> CONCATENATE(B21, D21, F21, UPPER(LEFT(J21, 3)), RIGHT(A21, 3))</f>
        <v>TYCOR02RED025</v>
      </c>
    </row>
    <row r="22" spans="1:14">
      <c r="A22" s="5" t="s">
        <v>144</v>
      </c>
      <c r="B22" s="5" t="str">
        <f xml:space="preserve"> LEFT(A22, 2)</f>
        <v>FD</v>
      </c>
      <c r="C22" s="5" t="str">
        <f xml:space="preserve"> VLOOKUP(B22, B$56:C$61, 2)</f>
        <v>Chrysler</v>
      </c>
      <c r="D22" s="5" t="str">
        <f xml:space="preserve"> MID(A22, 5, 3)</f>
        <v>FCS</v>
      </c>
      <c r="E22" s="5" t="str">
        <f xml:space="preserve"> VLOOKUP(D22, D$56:E$66, 2)</f>
        <v>Focus</v>
      </c>
      <c r="F22" s="5" t="str">
        <f xml:space="preserve"> MID(A22, 3, 2)</f>
        <v>13</v>
      </c>
      <c r="G22" s="5">
        <f xml:space="preserve"> IF(21 - F22 &lt; 0, 100 - F22 + 21, 21 - F22)</f>
        <v>8</v>
      </c>
      <c r="H22" s="24">
        <v>27637.1</v>
      </c>
      <c r="I22" s="24">
        <f xml:space="preserve"> H22/ (G22+0.5)</f>
        <v>3251.4235294117643</v>
      </c>
      <c r="J22" s="5" t="s">
        <v>131</v>
      </c>
      <c r="K22" s="5" t="s">
        <v>14</v>
      </c>
      <c r="L22">
        <v>75000</v>
      </c>
      <c r="M22" s="5" t="str">
        <f xml:space="preserve"> IF(H22 &lt;= L22, "Y", "Not Covered")</f>
        <v>Y</v>
      </c>
      <c r="N22" s="5" t="str">
        <f xml:space="preserve"> CONCATENATE(B22, D22, F22, UPPER(LEFT(J22, 3)), RIGHT(A22, 3))</f>
        <v>FDFCS13BLA009</v>
      </c>
    </row>
    <row r="23" spans="1:14">
      <c r="A23" s="5" t="s">
        <v>145</v>
      </c>
      <c r="B23" s="5" t="str">
        <f xml:space="preserve"> LEFT(A23, 2)</f>
        <v>FD</v>
      </c>
      <c r="C23" s="5" t="str">
        <f xml:space="preserve"> VLOOKUP(B23, B$56:C$61, 2)</f>
        <v>Chrysler</v>
      </c>
      <c r="D23" s="5" t="str">
        <f xml:space="preserve"> MID(A23, 5, 3)</f>
        <v>FCS</v>
      </c>
      <c r="E23" s="5" t="str">
        <f xml:space="preserve"> VLOOKUP(D23, D$56:E$66, 2)</f>
        <v>Focus</v>
      </c>
      <c r="F23" s="5" t="str">
        <f xml:space="preserve"> MID(A23, 3, 2)</f>
        <v>13</v>
      </c>
      <c r="G23" s="5">
        <f xml:space="preserve"> IF(21 - F23 &lt; 0, 100 - F23 + 21, 21 - F23)</f>
        <v>8</v>
      </c>
      <c r="H23" s="24">
        <v>27534.799999999999</v>
      </c>
      <c r="I23" s="24">
        <f xml:space="preserve"> H23/ (G23+0.5)</f>
        <v>3239.3882352941177</v>
      </c>
      <c r="J23" s="5" t="s">
        <v>133</v>
      </c>
      <c r="K23" s="5" t="s">
        <v>146</v>
      </c>
      <c r="L23">
        <v>75000</v>
      </c>
      <c r="M23" s="5" t="str">
        <f xml:space="preserve"> IF(H23 &lt;= L23, "Y", "Not Covered")</f>
        <v>Y</v>
      </c>
      <c r="N23" s="5" t="str">
        <f xml:space="preserve"> CONCATENATE(B23, D23, F23, UPPER(LEFT(J23, 3)), RIGHT(A23, 3))</f>
        <v>FDFCS13WHI010</v>
      </c>
    </row>
    <row r="24" spans="1:14">
      <c r="A24" s="5" t="s">
        <v>185</v>
      </c>
      <c r="B24" s="5" t="str">
        <f xml:space="preserve"> LEFT(A24, 2)</f>
        <v>HO</v>
      </c>
      <c r="C24" s="5" t="str">
        <f xml:space="preserve"> VLOOKUP(B24, B$56:C$61, 2)</f>
        <v>Honda</v>
      </c>
      <c r="D24" s="5" t="str">
        <f xml:space="preserve"> MID(A24, 5, 3)</f>
        <v>ODY</v>
      </c>
      <c r="E24" s="5" t="str">
        <f xml:space="preserve"> VLOOKUP(D24, D$56:E$66, 2)</f>
        <v>Odyssey</v>
      </c>
      <c r="F24" s="5" t="str">
        <f xml:space="preserve"> MID(A24, 3, 2)</f>
        <v>08</v>
      </c>
      <c r="G24" s="5">
        <f xml:space="preserve"> IF(21 - F24 &lt; 0, 100 - F24 + 21, 21 - F24)</f>
        <v>13</v>
      </c>
      <c r="H24" s="24">
        <v>42504.6</v>
      </c>
      <c r="I24" s="24">
        <f xml:space="preserve"> H24/ (G24+0.5)</f>
        <v>3148.4888888888886</v>
      </c>
      <c r="J24" s="5" t="s">
        <v>133</v>
      </c>
      <c r="K24" s="5" t="s">
        <v>152</v>
      </c>
      <c r="L24">
        <v>100000</v>
      </c>
      <c r="M24" s="5" t="str">
        <f xml:space="preserve"> IF(H24 &lt;= L24, "Y", "Not Covered")</f>
        <v>Y</v>
      </c>
      <c r="N24" s="5" t="str">
        <f xml:space="preserve"> CONCATENATE(B24, D24, F24, UPPER(LEFT(J24, 3)), RIGHT(A24, 3))</f>
        <v>HOODY08WHI039</v>
      </c>
    </row>
    <row r="25" spans="1:14">
      <c r="A25" s="5" t="s">
        <v>175</v>
      </c>
      <c r="B25" s="5" t="str">
        <f xml:space="preserve"> LEFT(A25, 2)</f>
        <v>TY</v>
      </c>
      <c r="C25" s="5" t="str">
        <f xml:space="preserve"> VLOOKUP(B25, B$56:C$61, 2)</f>
        <v>Ford</v>
      </c>
      <c r="D25" s="5" t="str">
        <f xml:space="preserve"> MID(A25, 5, 3)</f>
        <v>COR</v>
      </c>
      <c r="E25" s="5" t="str">
        <f xml:space="preserve"> VLOOKUP(D25, D$56:E$66, 2)</f>
        <v>Corola</v>
      </c>
      <c r="F25" s="5" t="str">
        <f xml:space="preserve"> MID(A25, 3, 2)</f>
        <v>12</v>
      </c>
      <c r="G25" s="5">
        <f xml:space="preserve"> IF(21 - F25 &lt; 0, 100 - F25 + 21, 21 - F25)</f>
        <v>9</v>
      </c>
      <c r="H25" s="24">
        <v>29601.9</v>
      </c>
      <c r="I25" s="24">
        <f xml:space="preserve"> H25/ (G25+0.5)</f>
        <v>3115.9894736842107</v>
      </c>
      <c r="J25" s="5" t="s">
        <v>131</v>
      </c>
      <c r="K25" s="5" t="s">
        <v>153</v>
      </c>
      <c r="L25">
        <v>100000</v>
      </c>
      <c r="M25" s="5" t="str">
        <f xml:space="preserve"> IF(H25 &lt;= L25, "Y", "Not Covered")</f>
        <v>Y</v>
      </c>
      <c r="N25" s="5" t="str">
        <f xml:space="preserve"> CONCATENATE(B25, D25, F25, UPPER(LEFT(J25, 3)), RIGHT(A25, 3))</f>
        <v>TYCOR12BLA028</v>
      </c>
    </row>
    <row r="26" spans="1:14">
      <c r="A26" s="5" t="s">
        <v>193</v>
      </c>
      <c r="B26" s="5" t="str">
        <f xml:space="preserve"> LEFT(A26, 2)</f>
        <v>CR</v>
      </c>
      <c r="C26" s="5" t="str">
        <f xml:space="preserve"> VLOOKUP(B26, B$56:C$61, 2)</f>
        <v>Chrysler</v>
      </c>
      <c r="D26" s="5" t="str">
        <f xml:space="preserve"> MID(A26, 5, 3)</f>
        <v>CAR</v>
      </c>
      <c r="E26" s="5" t="str">
        <f xml:space="preserve"> VLOOKUP(D26, D$56:E$66, 2)</f>
        <v>Caravan</v>
      </c>
      <c r="F26" s="5" t="str">
        <f xml:space="preserve"> MID(A26, 3, 2)</f>
        <v>04</v>
      </c>
      <c r="G26" s="5">
        <f xml:space="preserve"> IF(21 - F26 &lt; 0, 100 - F26 + 21, 21 - F26)</f>
        <v>17</v>
      </c>
      <c r="H26" s="24">
        <v>52699.4</v>
      </c>
      <c r="I26" s="24">
        <f xml:space="preserve"> H26/ (G26+0.5)</f>
        <v>3011.3942857142856</v>
      </c>
      <c r="J26" s="5" t="s">
        <v>171</v>
      </c>
      <c r="K26" s="5" t="s">
        <v>155</v>
      </c>
      <c r="L26">
        <v>75000</v>
      </c>
      <c r="M26" s="5" t="str">
        <f xml:space="preserve"> IF(H26 &lt;= L26, "Y", "Not Covered")</f>
        <v>Y</v>
      </c>
      <c r="N26" s="5" t="str">
        <f xml:space="preserve"> CONCATENATE(B26, D26, F26, UPPER(LEFT(J26, 3)), RIGHT(A26, 3))</f>
        <v>CRCAR04RED048</v>
      </c>
    </row>
    <row r="27" spans="1:14">
      <c r="A27" s="5" t="s">
        <v>234</v>
      </c>
      <c r="B27" s="5" t="str">
        <f xml:space="preserve"> LEFT(A27, 2)</f>
        <v>FD</v>
      </c>
      <c r="C27" s="5" t="str">
        <f xml:space="preserve"> VLOOKUP(B27, B$56:C$61, 2)</f>
        <v>Chrysler</v>
      </c>
      <c r="D27" s="5" t="str">
        <f xml:space="preserve"> MID(A27, 5, 3)</f>
        <v>FCS</v>
      </c>
      <c r="E27" s="5" t="str">
        <f xml:space="preserve"> VLOOKUP(D27, D$56:E$66, 2)</f>
        <v>Focus</v>
      </c>
      <c r="F27" s="5" t="str">
        <f xml:space="preserve"> MID(A27, 3, 2)</f>
        <v>06</v>
      </c>
      <c r="G27" s="5">
        <f xml:space="preserve"> IF(21 - F27 &lt; 0, 100 - F27 + 21, 21 - F27)</f>
        <v>15</v>
      </c>
      <c r="H27" s="24">
        <v>46311.4</v>
      </c>
      <c r="I27" s="24">
        <f xml:space="preserve"> H27/ (G27+0.5)</f>
        <v>2987.8322580645163</v>
      </c>
      <c r="J27" s="5" t="s">
        <v>136</v>
      </c>
      <c r="K27" s="5" t="s">
        <v>141</v>
      </c>
      <c r="L27">
        <v>75000</v>
      </c>
      <c r="M27" s="5" t="str">
        <f xml:space="preserve"> IF(H27 &lt;= L27, "Y", "Not Covered")</f>
        <v>Y</v>
      </c>
      <c r="N27" s="5" t="str">
        <f xml:space="preserve"> CONCATENATE(B27, D27, F27, UPPER(LEFT(J27, 3)), RIGHT(A27, 3))</f>
        <v>FDFCS06GRE006</v>
      </c>
    </row>
    <row r="28" spans="1:14">
      <c r="A28" s="5" t="s">
        <v>180</v>
      </c>
      <c r="B28" s="5" t="str">
        <f xml:space="preserve"> LEFT(A28, 2)</f>
        <v>HO</v>
      </c>
      <c r="C28" s="5" t="str">
        <f xml:space="preserve"> VLOOKUP(B28, B$56:C$61, 2)</f>
        <v>Honda</v>
      </c>
      <c r="D28" s="5" t="str">
        <f xml:space="preserve"> MID(A28, 5, 3)</f>
        <v>CIV</v>
      </c>
      <c r="E28" s="5" t="str">
        <f xml:space="preserve"> VLOOKUP(D28, D$56:E$66, 2)</f>
        <v>Civic</v>
      </c>
      <c r="F28" s="5" t="str">
        <f xml:space="preserve"> MID(A28, 3, 2)</f>
        <v>10</v>
      </c>
      <c r="G28" s="5">
        <f xml:space="preserve"> IF(21 - F28 &lt; 0, 100 - F28 + 21, 21 - F28)</f>
        <v>11</v>
      </c>
      <c r="H28" s="24">
        <v>33477.199999999997</v>
      </c>
      <c r="I28" s="24">
        <f xml:space="preserve"> H28/ (G28+0.5)</f>
        <v>2911.0608695652172</v>
      </c>
      <c r="J28" s="5" t="s">
        <v>131</v>
      </c>
      <c r="K28" s="5" t="s">
        <v>166</v>
      </c>
      <c r="L28">
        <v>75000</v>
      </c>
      <c r="M28" s="5" t="str">
        <f xml:space="preserve"> IF(H28 &lt;= L28, "Y", "Not Covered")</f>
        <v>Y</v>
      </c>
      <c r="N28" s="5" t="str">
        <f xml:space="preserve"> CONCATENATE(B28, D28, F28, UPPER(LEFT(J28, 3)), RIGHT(A28, 3))</f>
        <v>HOCIV10BLA033</v>
      </c>
    </row>
    <row r="29" spans="1:14">
      <c r="A29" s="5" t="s">
        <v>181</v>
      </c>
      <c r="B29" s="5" t="str">
        <f xml:space="preserve"> LEFT(A29, 2)</f>
        <v>HO</v>
      </c>
      <c r="C29" s="5" t="str">
        <f xml:space="preserve"> VLOOKUP(B29, B$56:C$61, 2)</f>
        <v>Honda</v>
      </c>
      <c r="D29" s="5" t="str">
        <f xml:space="preserve"> MID(A29, 5, 3)</f>
        <v>CIV</v>
      </c>
      <c r="E29" s="5" t="str">
        <f xml:space="preserve"> VLOOKUP(D29, D$56:E$66, 2)</f>
        <v>Civic</v>
      </c>
      <c r="F29" s="5" t="str">
        <f xml:space="preserve"> MID(A29, 3, 2)</f>
        <v>11</v>
      </c>
      <c r="G29" s="5">
        <f xml:space="preserve"> IF(21 - F29 &lt; 0, 100 - F29 + 21, 21 - F29)</f>
        <v>10</v>
      </c>
      <c r="H29" s="24">
        <v>30555.3</v>
      </c>
      <c r="I29" s="24">
        <f xml:space="preserve"> H29/ (G29+0.5)</f>
        <v>2910.0285714285715</v>
      </c>
      <c r="J29" s="5" t="s">
        <v>131</v>
      </c>
      <c r="K29" s="5" t="s">
        <v>137</v>
      </c>
      <c r="L29">
        <v>75000</v>
      </c>
      <c r="M29" s="5" t="str">
        <f xml:space="preserve"> IF(H29 &lt;= L29, "Y", "Not Covered")</f>
        <v>Y</v>
      </c>
      <c r="N29" s="5" t="str">
        <f xml:space="preserve"> CONCATENATE(B29, D29, F29, UPPER(LEFT(J29, 3)), RIGHT(A29, 3))</f>
        <v>HOCIV11BLA034</v>
      </c>
    </row>
    <row r="30" spans="1:14">
      <c r="A30" s="5" t="s">
        <v>188</v>
      </c>
      <c r="B30" s="5" t="str">
        <f xml:space="preserve"> LEFT(A30, 2)</f>
        <v>CR</v>
      </c>
      <c r="C30" s="5" t="str">
        <f xml:space="preserve"> VLOOKUP(B30, B$56:C$61, 2)</f>
        <v>Chrysler</v>
      </c>
      <c r="D30" s="5" t="str">
        <f xml:space="preserve"> MID(A30, 5, 3)</f>
        <v>PTC</v>
      </c>
      <c r="E30" s="5" t="str">
        <f xml:space="preserve"> VLOOKUP(D30, D$56:E$66, 2)</f>
        <v>PT Cruiser</v>
      </c>
      <c r="F30" s="5" t="str">
        <f xml:space="preserve"> MID(A30, 3, 2)</f>
        <v>07</v>
      </c>
      <c r="G30" s="5">
        <f xml:space="preserve"> IF(21 - F30 &lt; 0, 100 - F30 + 21, 21 - F30)</f>
        <v>14</v>
      </c>
      <c r="H30" s="24">
        <v>42074.2</v>
      </c>
      <c r="I30" s="24">
        <f xml:space="preserve"> H30/ (G30+0.5)</f>
        <v>2901.6689655172413</v>
      </c>
      <c r="J30" s="5" t="s">
        <v>136</v>
      </c>
      <c r="K30" s="5" t="s">
        <v>172</v>
      </c>
      <c r="L30">
        <v>75000</v>
      </c>
      <c r="M30" s="5" t="str">
        <f xml:space="preserve"> IF(H30 &lt;= L30, "Y", "Not Covered")</f>
        <v>Y</v>
      </c>
      <c r="N30" s="5" t="str">
        <f xml:space="preserve"> CONCATENATE(B30, D30, F30, UPPER(LEFT(J30, 3)), RIGHT(A30, 3))</f>
        <v>CRPTC07GRE043</v>
      </c>
    </row>
    <row r="31" spans="1:14">
      <c r="A31" s="5" t="s">
        <v>132</v>
      </c>
      <c r="B31" s="5" t="str">
        <f xml:space="preserve"> LEFT(A31, 2)</f>
        <v>FD</v>
      </c>
      <c r="C31" s="5" t="str">
        <f xml:space="preserve"> VLOOKUP(B31, B$56:C$61, 2)</f>
        <v>Chrysler</v>
      </c>
      <c r="D31" s="5" t="str">
        <f xml:space="preserve"> MID(A31, 5, 3)</f>
        <v>MTG</v>
      </c>
      <c r="E31" s="5" t="str">
        <f xml:space="preserve"> VLOOKUP(D31, D$56:E$66, 2)</f>
        <v>Mustang</v>
      </c>
      <c r="F31" s="5" t="str">
        <f xml:space="preserve"> MID(A31, 3, 2)</f>
        <v>06</v>
      </c>
      <c r="G31" s="5">
        <f xml:space="preserve"> IF(21 - F31 &lt; 0, 100 - F31 + 21, 21 - F31)</f>
        <v>15</v>
      </c>
      <c r="H31" s="24">
        <v>44974.8</v>
      </c>
      <c r="I31" s="24">
        <f xml:space="preserve"> H31/ (G31+0.5)</f>
        <v>2901.6000000000004</v>
      </c>
      <c r="J31" s="5" t="s">
        <v>133</v>
      </c>
      <c r="K31" s="5" t="s">
        <v>134</v>
      </c>
      <c r="L31">
        <v>50000</v>
      </c>
      <c r="M31" s="5" t="str">
        <f xml:space="preserve"> IF(H31 &lt;= L31, "Y", "Not Covered")</f>
        <v>Y</v>
      </c>
      <c r="N31" s="5" t="str">
        <f xml:space="preserve"> CONCATENATE(B31, D31, F31, UPPER(LEFT(J31, 3)), RIGHT(A31, 3))</f>
        <v>FDMTG06WHI002</v>
      </c>
    </row>
    <row r="32" spans="1:14">
      <c r="A32" s="5" t="s">
        <v>143</v>
      </c>
      <c r="B32" s="5" t="str">
        <f xml:space="preserve"> LEFT(A32, 2)</f>
        <v>FD</v>
      </c>
      <c r="C32" s="5" t="str">
        <f xml:space="preserve"> VLOOKUP(B32, B$56:C$61, 2)</f>
        <v>Chrysler</v>
      </c>
      <c r="D32" s="5" t="str">
        <f xml:space="preserve"> MID(A32, 5, 3)</f>
        <v>FCS</v>
      </c>
      <c r="E32" s="5" t="str">
        <f xml:space="preserve"> VLOOKUP(D32, D$56:E$66, 2)</f>
        <v>Focus</v>
      </c>
      <c r="F32" s="5" t="str">
        <f xml:space="preserve"> MID(A32, 3, 2)</f>
        <v>09</v>
      </c>
      <c r="G32" s="5">
        <f xml:space="preserve"> IF(21 - F32 &lt; 0, 100 - F32 + 21, 21 - F32)</f>
        <v>12</v>
      </c>
      <c r="H32" s="24">
        <v>35137</v>
      </c>
      <c r="I32" s="24">
        <f xml:space="preserve"> H32/ (G32+0.5)</f>
        <v>2810.96</v>
      </c>
      <c r="J32" s="5" t="s">
        <v>131</v>
      </c>
      <c r="K32" s="5" t="s">
        <v>8</v>
      </c>
      <c r="L32">
        <v>75000</v>
      </c>
      <c r="M32" s="5" t="str">
        <f xml:space="preserve"> IF(H32 &lt;= L32, "Y", "Not Covered")</f>
        <v>Y</v>
      </c>
      <c r="N32" s="5" t="str">
        <f xml:space="preserve"> CONCATENATE(B32, D32, F32, UPPER(LEFT(J32, 3)), RIGHT(A32, 3))</f>
        <v>FDFCS09BLA008</v>
      </c>
    </row>
    <row r="33" spans="1:14">
      <c r="A33" s="5" t="s">
        <v>138</v>
      </c>
      <c r="B33" s="5" t="str">
        <f xml:space="preserve"> LEFT(A33, 2)</f>
        <v>FD</v>
      </c>
      <c r="C33" s="5" t="str">
        <f xml:space="preserve"> VLOOKUP(B33, B$56:C$61, 2)</f>
        <v>Chrysler</v>
      </c>
      <c r="D33" s="5" t="str">
        <f xml:space="preserve"> MID(A33, 5, 3)</f>
        <v>MTG</v>
      </c>
      <c r="E33" s="5" t="str">
        <f xml:space="preserve"> VLOOKUP(D33, D$56:E$66, 2)</f>
        <v>Mustang</v>
      </c>
      <c r="F33" s="5" t="str">
        <f xml:space="preserve"> MID(A33, 3, 2)</f>
        <v>08</v>
      </c>
      <c r="G33" s="5">
        <f xml:space="preserve"> IF(21 - F33 &lt; 0, 100 - F33 + 21, 21 - F33)</f>
        <v>13</v>
      </c>
      <c r="H33" s="24">
        <v>37558.800000000003</v>
      </c>
      <c r="I33" s="24">
        <f xml:space="preserve"> H33/ (G33+0.5)</f>
        <v>2782.1333333333337</v>
      </c>
      <c r="J33" s="5" t="s">
        <v>131</v>
      </c>
      <c r="K33" s="5" t="s">
        <v>139</v>
      </c>
      <c r="L33">
        <v>50000</v>
      </c>
      <c r="M33" s="5" t="str">
        <f xml:space="preserve"> IF(H33 &lt;= L33, "Y", "Not Covered")</f>
        <v>Y</v>
      </c>
      <c r="N33" s="5" t="str">
        <f xml:space="preserve"> CONCATENATE(B33, D33, F33, UPPER(LEFT(J33, 3)), RIGHT(A33, 3))</f>
        <v>FDMTG08BLA004</v>
      </c>
    </row>
    <row r="34" spans="1:14">
      <c r="A34" s="5" t="s">
        <v>194</v>
      </c>
      <c r="B34" s="5" t="str">
        <f xml:space="preserve"> LEFT(A34, 2)</f>
        <v>HY</v>
      </c>
      <c r="C34" s="5" t="str">
        <f xml:space="preserve"> VLOOKUP(B34, B$56:C$61, 2)</f>
        <v>Hundai</v>
      </c>
      <c r="D34" s="5" t="str">
        <f xml:space="preserve"> MID(A34, 5, 3)</f>
        <v>ELA</v>
      </c>
      <c r="E34" s="5" t="str">
        <f xml:space="preserve"> VLOOKUP(D34, D$56:E$66, 2)</f>
        <v>Elantra</v>
      </c>
      <c r="F34" s="5" t="str">
        <f xml:space="preserve"> MID(A34, 3, 2)</f>
        <v>11</v>
      </c>
      <c r="G34" s="5">
        <f xml:space="preserve"> IF(21 - F34 &lt; 0, 100 - F34 + 21, 21 - F34)</f>
        <v>10</v>
      </c>
      <c r="H34" s="24">
        <v>29102.3</v>
      </c>
      <c r="I34" s="24">
        <f xml:space="preserve"> H34/ (G34+0.5)</f>
        <v>2771.6476190476192</v>
      </c>
      <c r="J34" s="5" t="s">
        <v>131</v>
      </c>
      <c r="K34" s="5" t="s">
        <v>157</v>
      </c>
      <c r="L34">
        <v>100000</v>
      </c>
      <c r="M34" s="5" t="str">
        <f xml:space="preserve"> IF(H34 &lt;= L34, "Y", "Not Covered")</f>
        <v>Y</v>
      </c>
      <c r="N34" s="5" t="str">
        <f xml:space="preserve"> CONCATENATE(B34, D34, F34, UPPER(LEFT(J34, 3)), RIGHT(A34, 3))</f>
        <v>HYELA11BLA049</v>
      </c>
    </row>
    <row r="35" spans="1:14">
      <c r="A35" s="5" t="s">
        <v>158</v>
      </c>
      <c r="B35" s="5" t="str">
        <f xml:space="preserve"> LEFT(A35, 2)</f>
        <v>GM</v>
      </c>
      <c r="C35" s="5" t="str">
        <f xml:space="preserve"> VLOOKUP(B35, B$56:C$61, 2)</f>
        <v>Chrysler</v>
      </c>
      <c r="D35" s="5" t="str">
        <f xml:space="preserve"> MID(A35, 5, 3)</f>
        <v>SLV</v>
      </c>
      <c r="E35" s="5" t="str">
        <f xml:space="preserve"> VLOOKUP(D35, D$56:E$66, 2)</f>
        <v>Silverado</v>
      </c>
      <c r="F35" s="5" t="str">
        <f xml:space="preserve"> MID(A35, 3, 2)</f>
        <v>10</v>
      </c>
      <c r="G35" s="5">
        <f xml:space="preserve"> IF(21 - F35 &lt; 0, 100 - F35 + 21, 21 - F35)</f>
        <v>11</v>
      </c>
      <c r="H35" s="24">
        <v>31144.400000000001</v>
      </c>
      <c r="I35" s="24">
        <f xml:space="preserve"> H35/ (G35+0.5)</f>
        <v>2708.2086956521739</v>
      </c>
      <c r="J35" s="5" t="s">
        <v>131</v>
      </c>
      <c r="K35" s="5" t="s">
        <v>159</v>
      </c>
      <c r="L35">
        <v>100000</v>
      </c>
      <c r="M35" s="5" t="str">
        <f xml:space="preserve"> IF(H35 &lt;= L35, "Y", "Not Covered")</f>
        <v>Y</v>
      </c>
      <c r="N35" s="5" t="str">
        <f xml:space="preserve"> CONCATENATE(B35, D35, F35, UPPER(LEFT(J35, 3)), RIGHT(A35, 3))</f>
        <v>GMSLV10BLA017</v>
      </c>
    </row>
    <row r="36" spans="1:14">
      <c r="A36" s="5" t="s">
        <v>140</v>
      </c>
      <c r="B36" s="5" t="str">
        <f xml:space="preserve"> LEFT(A36, 2)</f>
        <v>FD</v>
      </c>
      <c r="C36" s="5" t="str">
        <f xml:space="preserve"> VLOOKUP(B36, B$56:C$61, 2)</f>
        <v>Chrysler</v>
      </c>
      <c r="D36" s="5" t="str">
        <f xml:space="preserve"> MID(A36, 5, 3)</f>
        <v>MTG</v>
      </c>
      <c r="E36" s="5" t="str">
        <f xml:space="preserve"> VLOOKUP(D36, D$56:E$66, 2)</f>
        <v>Mustang</v>
      </c>
      <c r="F36" s="5" t="str">
        <f xml:space="preserve"> MID(A36, 3, 2)</f>
        <v>08</v>
      </c>
      <c r="G36" s="5">
        <f xml:space="preserve"> IF(21 - F36 &lt; 0, 100 - F36 + 21, 21 - F36)</f>
        <v>13</v>
      </c>
      <c r="H36" s="24">
        <v>36438.5</v>
      </c>
      <c r="I36" s="24">
        <f xml:space="preserve"> H36/ (G36+0.5)</f>
        <v>2699.1481481481483</v>
      </c>
      <c r="J36" s="5" t="s">
        <v>133</v>
      </c>
      <c r="K36" s="5" t="s">
        <v>14</v>
      </c>
      <c r="L36">
        <v>50000</v>
      </c>
      <c r="M36" s="5" t="str">
        <f xml:space="preserve"> IF(H36 &lt;= L36, "Y", "Not Covered")</f>
        <v>Y</v>
      </c>
      <c r="N36" s="5" t="str">
        <f xml:space="preserve"> CONCATENATE(B36, D36, F36, UPPER(LEFT(J36, 3)), RIGHT(A36, 3))</f>
        <v>FDMTG08WHI005</v>
      </c>
    </row>
    <row r="37" spans="1:14">
      <c r="A37" s="5" t="s">
        <v>149</v>
      </c>
      <c r="B37" s="5" t="str">
        <f xml:space="preserve"> LEFT(A37, 2)</f>
        <v>FD</v>
      </c>
      <c r="C37" s="5" t="str">
        <f xml:space="preserve"> VLOOKUP(B37, B$56:C$61, 2)</f>
        <v>Chrysler</v>
      </c>
      <c r="D37" s="5" t="str">
        <f xml:space="preserve"> MID(A37, 5, 3)</f>
        <v>FCS</v>
      </c>
      <c r="E37" s="5" t="str">
        <f xml:space="preserve"> VLOOKUP(D37, D$56:E$66, 2)</f>
        <v>Focus</v>
      </c>
      <c r="F37" s="5" t="str">
        <f xml:space="preserve"> MID(A37, 3, 2)</f>
        <v>13</v>
      </c>
      <c r="G37" s="5">
        <f xml:space="preserve"> IF(21 - F37 &lt; 0, 100 - F37 + 21, 21 - F37)</f>
        <v>8</v>
      </c>
      <c r="H37" s="24">
        <v>22521.599999999999</v>
      </c>
      <c r="I37" s="24">
        <f xml:space="preserve"> H37/ (G37+0.5)</f>
        <v>2649.6</v>
      </c>
      <c r="J37" s="5" t="s">
        <v>131</v>
      </c>
      <c r="K37" s="5" t="s">
        <v>150</v>
      </c>
      <c r="L37">
        <v>75000</v>
      </c>
      <c r="M37" s="5" t="str">
        <f xml:space="preserve"> IF(H37 &lt;= L37, "Y", "Not Covered")</f>
        <v>Y</v>
      </c>
      <c r="N37" s="5" t="str">
        <f xml:space="preserve"> CONCATENATE(B37, D37, F37, UPPER(LEFT(J37, 3)), RIGHT(A37, 3))</f>
        <v>FDFCS13BLA012</v>
      </c>
    </row>
    <row r="38" spans="1:14">
      <c r="A38" s="5" t="s">
        <v>197</v>
      </c>
      <c r="B38" s="5" t="str">
        <f xml:space="preserve"> LEFT(A38, 2)</f>
        <v>HY</v>
      </c>
      <c r="C38" s="5" t="str">
        <f xml:space="preserve"> VLOOKUP(B38, B$56:C$61, 2)</f>
        <v>Hundai</v>
      </c>
      <c r="D38" s="5" t="str">
        <f xml:space="preserve"> MID(A38, 5, 3)</f>
        <v>ELA</v>
      </c>
      <c r="E38" s="5" t="str">
        <f xml:space="preserve"> VLOOKUP(D38, D$56:E$66, 2)</f>
        <v>Elantra</v>
      </c>
      <c r="F38" s="5" t="str">
        <f xml:space="preserve"> MID(A38, 3, 2)</f>
        <v>13</v>
      </c>
      <c r="G38" s="5">
        <f xml:space="preserve"> IF(21 - F38 &lt; 0, 100 - F38 + 21, 21 - F38)</f>
        <v>8</v>
      </c>
      <c r="H38" s="24">
        <v>22188.5</v>
      </c>
      <c r="I38" s="24">
        <f xml:space="preserve"> H38/ (G38+0.5)</f>
        <v>2610.4117647058824</v>
      </c>
      <c r="J38" s="5" t="s">
        <v>162</v>
      </c>
      <c r="K38" s="5" t="s">
        <v>141</v>
      </c>
      <c r="L38">
        <v>100000</v>
      </c>
      <c r="M38" s="5" t="str">
        <f xml:space="preserve"> IF(H38 &lt;= L38, "Y", "Not Covered")</f>
        <v>Y</v>
      </c>
      <c r="N38" s="5" t="str">
        <f xml:space="preserve"> CONCATENATE(B38, D38, F38, UPPER(LEFT(J38, 3)), RIGHT(A38, 3))</f>
        <v>HYELA13BLU052</v>
      </c>
    </row>
    <row r="39" spans="1:14">
      <c r="A39" s="5" t="s">
        <v>189</v>
      </c>
      <c r="B39" s="5" t="str">
        <f xml:space="preserve"> LEFT(A39, 2)</f>
        <v>CR</v>
      </c>
      <c r="C39" s="5" t="str">
        <f xml:space="preserve"> VLOOKUP(B39, B$56:C$61, 2)</f>
        <v>Chrysler</v>
      </c>
      <c r="D39" s="5" t="str">
        <f xml:space="preserve"> MID(A39, 5, 3)</f>
        <v>PTC</v>
      </c>
      <c r="E39" s="5" t="str">
        <f xml:space="preserve"> VLOOKUP(D39, D$56:E$66, 2)</f>
        <v>PT Cruiser</v>
      </c>
      <c r="F39" s="5" t="str">
        <f xml:space="preserve"> MID(A39, 3, 2)</f>
        <v>11</v>
      </c>
      <c r="G39" s="5">
        <f xml:space="preserve"> IF(21 - F39 &lt; 0, 100 - F39 + 21, 21 - F39)</f>
        <v>10</v>
      </c>
      <c r="H39" s="24">
        <v>27394.2</v>
      </c>
      <c r="I39" s="24">
        <f xml:space="preserve"> H39/ (G39+0.5)</f>
        <v>2608.9714285714285</v>
      </c>
      <c r="J39" s="5" t="s">
        <v>131</v>
      </c>
      <c r="K39" s="5" t="s">
        <v>150</v>
      </c>
      <c r="L39">
        <v>75000</v>
      </c>
      <c r="M39" s="5" t="str">
        <f xml:space="preserve"> IF(H39 &lt;= L39, "Y", "Not Covered")</f>
        <v>Y</v>
      </c>
      <c r="N39" s="5" t="str">
        <f xml:space="preserve"> CONCATENATE(B39, D39, F39, UPPER(LEFT(J39, 3)), RIGHT(A39, 3))</f>
        <v>CRPTC11BLA044</v>
      </c>
    </row>
    <row r="40" spans="1:14">
      <c r="A40" s="5" t="s">
        <v>129</v>
      </c>
      <c r="B40" s="5" t="str">
        <f xml:space="preserve"> LEFT(A40, 2)</f>
        <v>FD</v>
      </c>
      <c r="C40" s="5" t="str">
        <f xml:space="preserve"> VLOOKUP(B40, B$56:C$61, 2)</f>
        <v>Chrysler</v>
      </c>
      <c r="D40" s="5" t="str">
        <f xml:space="preserve"> MID(A40, 5, 3)</f>
        <v>MTG</v>
      </c>
      <c r="E40" s="5" t="str">
        <f xml:space="preserve"> VLOOKUP(D40, D$56:E$66, 2)</f>
        <v>Mustang</v>
      </c>
      <c r="F40" s="5" t="str">
        <f xml:space="preserve"> MID(A40, 3, 2)</f>
        <v>06</v>
      </c>
      <c r="G40" s="5">
        <f xml:space="preserve"> IF(21 - F40 &lt; 0, 100 - F40 + 21, 21 - F40)</f>
        <v>15</v>
      </c>
      <c r="H40" s="24">
        <v>40326.800000000003</v>
      </c>
      <c r="I40" s="24">
        <f xml:space="preserve"> H40/ (G40+0.5)</f>
        <v>2601.7290322580648</v>
      </c>
      <c r="J40" s="5" t="s">
        <v>131</v>
      </c>
      <c r="K40" s="5" t="s">
        <v>14</v>
      </c>
      <c r="L40">
        <v>50000</v>
      </c>
      <c r="M40" s="5" t="str">
        <f xml:space="preserve"> IF(H40 &lt;= L40, "Y", "Not Covered")</f>
        <v>Y</v>
      </c>
      <c r="N40" s="5" t="str">
        <f xml:space="preserve"> CONCATENATE(B40, D40, F40, UPPER(LEFT(J40, 3)), RIGHT(A40, 3))</f>
        <v>FDMTG06BLA001</v>
      </c>
    </row>
    <row r="41" spans="1:14">
      <c r="A41" s="5" t="s">
        <v>182</v>
      </c>
      <c r="B41" s="5" t="str">
        <f xml:space="preserve"> LEFT(A41, 2)</f>
        <v>HO</v>
      </c>
      <c r="C41" s="5" t="str">
        <f xml:space="preserve"> VLOOKUP(B41, B$56:C$61, 2)</f>
        <v>Honda</v>
      </c>
      <c r="D41" s="5" t="str">
        <f xml:space="preserve"> MID(A41, 5, 3)</f>
        <v>CIV</v>
      </c>
      <c r="E41" s="5" t="str">
        <f xml:space="preserve"> VLOOKUP(D41, D$56:E$66, 2)</f>
        <v>Civic</v>
      </c>
      <c r="F41" s="5" t="str">
        <f xml:space="preserve"> MID(A41, 3, 2)</f>
        <v>12</v>
      </c>
      <c r="G41" s="5">
        <f xml:space="preserve"> IF(21 - F41 &lt; 0, 100 - F41 + 21, 21 - F41)</f>
        <v>9</v>
      </c>
      <c r="H41" s="24">
        <v>24513.200000000001</v>
      </c>
      <c r="I41" s="24">
        <f xml:space="preserve"> H41/ (G41+0.5)</f>
        <v>2580.3368421052633</v>
      </c>
      <c r="J41" s="5" t="s">
        <v>131</v>
      </c>
      <c r="K41" s="5" t="s">
        <v>159</v>
      </c>
      <c r="L41">
        <v>75000</v>
      </c>
      <c r="M41" s="5" t="str">
        <f xml:space="preserve"> IF(H41 &lt;= L41, "Y", "Not Covered")</f>
        <v>Y</v>
      </c>
      <c r="N41" s="5" t="str">
        <f xml:space="preserve"> CONCATENATE(B41, D41, F41, UPPER(LEFT(J41, 3)), RIGHT(A41, 3))</f>
        <v>HOCIV12BLA035</v>
      </c>
    </row>
    <row r="42" spans="1:14">
      <c r="A42" s="5" t="s">
        <v>196</v>
      </c>
      <c r="B42" s="5" t="str">
        <f xml:space="preserve"> LEFT(A42, 2)</f>
        <v>HY</v>
      </c>
      <c r="C42" s="5" t="str">
        <f xml:space="preserve"> VLOOKUP(B42, B$56:C$61, 2)</f>
        <v>Hundai</v>
      </c>
      <c r="D42" s="5" t="str">
        <f xml:space="preserve"> MID(A42, 5, 3)</f>
        <v>ELA</v>
      </c>
      <c r="E42" s="5" t="str">
        <f xml:space="preserve"> VLOOKUP(D42, D$56:E$66, 2)</f>
        <v>Elantra</v>
      </c>
      <c r="F42" s="5" t="str">
        <f xml:space="preserve"> MID(A42, 3, 2)</f>
        <v>13</v>
      </c>
      <c r="G42" s="5">
        <f xml:space="preserve"> IF(21 - F42 &lt; 0, 100 - F42 + 21, 21 - F42)</f>
        <v>8</v>
      </c>
      <c r="H42" s="24">
        <v>20223.900000000001</v>
      </c>
      <c r="I42" s="24">
        <f xml:space="preserve"> H42/ (G42+0.5)</f>
        <v>2379.2823529411767</v>
      </c>
      <c r="J42" s="5" t="s">
        <v>131</v>
      </c>
      <c r="K42" s="5" t="s">
        <v>146</v>
      </c>
      <c r="L42">
        <v>100000</v>
      </c>
      <c r="M42" s="5" t="str">
        <f xml:space="preserve"> IF(H42 &lt;= L42, "Y", "Not Covered")</f>
        <v>Y</v>
      </c>
      <c r="N42" s="5" t="str">
        <f xml:space="preserve"> CONCATENATE(B42, D42, F42, UPPER(LEFT(J42, 3)), RIGHT(A42, 3))</f>
        <v>HYELA13BLA051</v>
      </c>
    </row>
    <row r="43" spans="1:14">
      <c r="A43" s="5" t="s">
        <v>195</v>
      </c>
      <c r="B43" s="5" t="str">
        <f xml:space="preserve"> LEFT(A43, 2)</f>
        <v>HY</v>
      </c>
      <c r="C43" s="5" t="str">
        <f xml:space="preserve"> VLOOKUP(B43, B$56:C$61, 2)</f>
        <v>Hundai</v>
      </c>
      <c r="D43" s="5" t="str">
        <f xml:space="preserve"> MID(A43, 5, 3)</f>
        <v>ELA</v>
      </c>
      <c r="E43" s="5" t="str">
        <f xml:space="preserve"> VLOOKUP(D43, D$56:E$66, 2)</f>
        <v>Elantra</v>
      </c>
      <c r="F43" s="5" t="str">
        <f xml:space="preserve"> MID(A43, 3, 2)</f>
        <v>12</v>
      </c>
      <c r="G43" s="5">
        <f xml:space="preserve"> IF(21 - F43 &lt; 0, 100 - F43 + 21, 21 - F43)</f>
        <v>9</v>
      </c>
      <c r="H43" s="24">
        <v>22282</v>
      </c>
      <c r="I43" s="24">
        <f xml:space="preserve"> H43/ (G43+0.5)</f>
        <v>2345.4736842105262</v>
      </c>
      <c r="J43" s="5" t="s">
        <v>162</v>
      </c>
      <c r="K43" s="5" t="s">
        <v>134</v>
      </c>
      <c r="L43">
        <v>100000</v>
      </c>
      <c r="M43" s="5" t="str">
        <f xml:space="preserve"> IF(H43 &lt;= L43, "Y", "Not Covered")</f>
        <v>Y</v>
      </c>
      <c r="N43" s="5" t="str">
        <f xml:space="preserve"> CONCATENATE(B43, D43, F43, UPPER(LEFT(J43, 3)), RIGHT(A43, 3))</f>
        <v>HYELA12BLU050</v>
      </c>
    </row>
    <row r="44" spans="1:14">
      <c r="A44" s="5" t="s">
        <v>174</v>
      </c>
      <c r="B44" s="5" t="str">
        <f xml:space="preserve"> LEFT(A44, 2)</f>
        <v>TY</v>
      </c>
      <c r="C44" s="5" t="str">
        <f xml:space="preserve"> VLOOKUP(B44, B$56:C$61, 2)</f>
        <v>Ford</v>
      </c>
      <c r="D44" s="5" t="str">
        <f xml:space="preserve"> MID(A44, 5, 3)</f>
        <v>COR</v>
      </c>
      <c r="E44" s="5" t="str">
        <f xml:space="preserve"> VLOOKUP(D44, D$56:E$66, 2)</f>
        <v>Corola</v>
      </c>
      <c r="F44" s="5" t="str">
        <f xml:space="preserve"> MID(A44, 3, 2)</f>
        <v>14</v>
      </c>
      <c r="G44" s="5">
        <f xml:space="preserve"> IF(21 - F44 &lt; 0, 100 - F44 + 21, 21 - F44)</f>
        <v>7</v>
      </c>
      <c r="H44" s="24">
        <v>17556.3</v>
      </c>
      <c r="I44" s="24">
        <f xml:space="preserve"> H44/ (G44+0.5)</f>
        <v>2340.8399999999997</v>
      </c>
      <c r="J44" s="5" t="s">
        <v>162</v>
      </c>
      <c r="K44" s="5" t="s">
        <v>146</v>
      </c>
      <c r="L44">
        <v>100000</v>
      </c>
      <c r="M44" s="5" t="str">
        <f xml:space="preserve"> IF(H44 &lt;= L44, "Y", "Not Covered")</f>
        <v>Y</v>
      </c>
      <c r="N44" s="5" t="str">
        <f xml:space="preserve"> CONCATENATE(B44, D44, F44, UPPER(LEFT(J44, 3)), RIGHT(A44, 3))</f>
        <v>TYCOR14BLU027</v>
      </c>
    </row>
    <row r="45" spans="1:14">
      <c r="A45" s="5" t="s">
        <v>176</v>
      </c>
      <c r="B45" s="5" t="str">
        <f xml:space="preserve"> LEFT(A45, 2)</f>
        <v>TY</v>
      </c>
      <c r="C45" s="5" t="str">
        <f xml:space="preserve"> VLOOKUP(B45, B$56:C$61, 2)</f>
        <v>Ford</v>
      </c>
      <c r="D45" s="5" t="str">
        <f xml:space="preserve"> MID(A45, 5, 3)</f>
        <v>CAM</v>
      </c>
      <c r="E45" s="5" t="str">
        <f xml:space="preserve"> VLOOKUP(D45, D$56:E$66, 2)</f>
        <v>Camry</v>
      </c>
      <c r="F45" s="5" t="str">
        <f xml:space="preserve"> MID(A45, 3, 2)</f>
        <v>12</v>
      </c>
      <c r="G45" s="5">
        <f xml:space="preserve"> IF(21 - F45 &lt; 0, 100 - F45 + 21, 21 - F45)</f>
        <v>9</v>
      </c>
      <c r="H45" s="24">
        <v>22128.2</v>
      </c>
      <c r="I45" s="24">
        <f xml:space="preserve"> H45/ (G45+0.5)</f>
        <v>2329.2842105263157</v>
      </c>
      <c r="J45" s="5" t="s">
        <v>162</v>
      </c>
      <c r="K45" s="5" t="s">
        <v>164</v>
      </c>
      <c r="L45">
        <v>100000</v>
      </c>
      <c r="M45" s="5" t="str">
        <f xml:space="preserve"> IF(H45 &lt;= L45, "Y", "Not Covered")</f>
        <v>Y</v>
      </c>
      <c r="N45" s="5" t="str">
        <f xml:space="preserve"> CONCATENATE(B45, D45, F45, UPPER(LEFT(J45, 3)), RIGHT(A45, 3))</f>
        <v>TYCAM12BLU029</v>
      </c>
    </row>
    <row r="46" spans="1:14">
      <c r="A46" s="5" t="s">
        <v>236</v>
      </c>
      <c r="B46" s="5" t="str">
        <f xml:space="preserve"> LEFT(A46, 2)</f>
        <v>GM</v>
      </c>
      <c r="C46" s="5" t="str">
        <f xml:space="preserve"> VLOOKUP(B46, B$56:C$61, 2)</f>
        <v>Chrysler</v>
      </c>
      <c r="D46" s="5" t="str">
        <f xml:space="preserve"> MID(A46, 5, 3)</f>
        <v>CMR</v>
      </c>
      <c r="E46" s="5" t="str">
        <f xml:space="preserve"> VLOOKUP(D46, D$56:E$66, 2)</f>
        <v>Camero</v>
      </c>
      <c r="F46" s="5" t="str">
        <f xml:space="preserve"> MID(A46, 3, 2)</f>
        <v>09</v>
      </c>
      <c r="G46" s="5">
        <f xml:space="preserve"> IF(21 - F46 &lt; 0, 100 - F46 + 21, 21 - F46)</f>
        <v>12</v>
      </c>
      <c r="H46" s="24">
        <v>28464.799999999999</v>
      </c>
      <c r="I46" s="24">
        <f xml:space="preserve"> H46/ (G46+0.5)</f>
        <v>2277.1839999999997</v>
      </c>
      <c r="J46" s="5" t="s">
        <v>133</v>
      </c>
      <c r="K46" s="5" t="s">
        <v>153</v>
      </c>
      <c r="L46">
        <v>100000</v>
      </c>
      <c r="M46" s="5" t="str">
        <f xml:space="preserve"> IF(H46 &lt;= L46, "Y", "Not Covered")</f>
        <v>Y</v>
      </c>
      <c r="N46" s="5" t="str">
        <f xml:space="preserve"> CONCATENATE(B46, D46, F46, UPPER(LEFT(J46, 3)), RIGHT(A46, 3))</f>
        <v>GMCMR09WHI014</v>
      </c>
    </row>
    <row r="47" spans="1:14">
      <c r="A47" s="5" t="s">
        <v>154</v>
      </c>
      <c r="B47" s="5" t="str">
        <f xml:space="preserve"> LEFT(A47, 2)</f>
        <v>GM</v>
      </c>
      <c r="C47" s="5" t="str">
        <f xml:space="preserve"> VLOOKUP(B47, B$56:C$61, 2)</f>
        <v>Chrysler</v>
      </c>
      <c r="D47" s="5" t="str">
        <f xml:space="preserve"> MID(A47, 5, 3)</f>
        <v>CMR</v>
      </c>
      <c r="E47" s="5" t="str">
        <f xml:space="preserve"> VLOOKUP(D47, D$56:E$66, 2)</f>
        <v>Camero</v>
      </c>
      <c r="F47" s="5" t="str">
        <f xml:space="preserve"> MID(A47, 3, 2)</f>
        <v>12</v>
      </c>
      <c r="G47" s="5">
        <f xml:space="preserve"> IF(21 - F47 &lt; 0, 100 - F47 + 21, 21 - F47)</f>
        <v>9</v>
      </c>
      <c r="H47" s="24">
        <v>19421.099999999999</v>
      </c>
      <c r="I47" s="24">
        <f xml:space="preserve"> H47/ (G47+0.5)</f>
        <v>2044.3263157894735</v>
      </c>
      <c r="J47" s="5" t="s">
        <v>131</v>
      </c>
      <c r="K47" s="5" t="s">
        <v>155</v>
      </c>
      <c r="L47">
        <v>100000</v>
      </c>
      <c r="M47" s="5" t="str">
        <f xml:space="preserve"> IF(H47 &lt;= L47, "Y", "Not Covered")</f>
        <v>Y</v>
      </c>
      <c r="N47" s="5" t="str">
        <f xml:space="preserve"> CONCATENATE(B47, D47, F47, UPPER(LEFT(J47, 3)), RIGHT(A47, 3))</f>
        <v>GMCMR12BLA015</v>
      </c>
    </row>
    <row r="48" spans="1:14">
      <c r="A48" s="5" t="s">
        <v>147</v>
      </c>
      <c r="B48" s="5" t="str">
        <f xml:space="preserve"> LEFT(A48, 2)</f>
        <v>FD</v>
      </c>
      <c r="C48" s="5" t="str">
        <f xml:space="preserve"> VLOOKUP(B48, B$56:C$61, 2)</f>
        <v>Chrysler</v>
      </c>
      <c r="D48" s="5" t="str">
        <f xml:space="preserve"> MID(A48, 5, 3)</f>
        <v>FCS</v>
      </c>
      <c r="E48" s="5" t="str">
        <f xml:space="preserve"> VLOOKUP(D48, D$56:E$66, 2)</f>
        <v>Focus</v>
      </c>
      <c r="F48" s="5" t="str">
        <f xml:space="preserve"> MID(A48, 3, 2)</f>
        <v>12</v>
      </c>
      <c r="G48" s="5">
        <f xml:space="preserve"> IF(21 - F48 &lt; 0, 100 - F48 + 21, 21 - F48)</f>
        <v>9</v>
      </c>
      <c r="H48" s="24">
        <v>19341.7</v>
      </c>
      <c r="I48" s="24">
        <f xml:space="preserve"> H48/ (G48+0.5)</f>
        <v>2035.9684210526316</v>
      </c>
      <c r="J48" s="5" t="s">
        <v>133</v>
      </c>
      <c r="K48" s="5" t="s">
        <v>148</v>
      </c>
      <c r="L48">
        <v>75000</v>
      </c>
      <c r="M48" s="5" t="str">
        <f xml:space="preserve"> IF(H48 &lt;= L48, "Y", "Not Covered")</f>
        <v>Y</v>
      </c>
      <c r="N48" s="5" t="str">
        <f xml:space="preserve"> CONCATENATE(B48, D48, F48, UPPER(LEFT(J48, 3)), RIGHT(A48, 3))</f>
        <v>FDFCS12WHI011</v>
      </c>
    </row>
    <row r="49" spans="1:14">
      <c r="A49" s="5" t="s">
        <v>179</v>
      </c>
      <c r="B49" s="5" t="str">
        <f xml:space="preserve"> LEFT(A49, 2)</f>
        <v>HO</v>
      </c>
      <c r="C49" s="5" t="str">
        <f xml:space="preserve"> VLOOKUP(B49, B$56:C$61, 2)</f>
        <v>Honda</v>
      </c>
      <c r="D49" s="5" t="str">
        <f xml:space="preserve"> MID(A49, 5, 3)</f>
        <v>CIV</v>
      </c>
      <c r="E49" s="5" t="str">
        <f xml:space="preserve"> VLOOKUP(D49, D$56:E$66, 2)</f>
        <v>Civic</v>
      </c>
      <c r="F49" s="5" t="str">
        <f xml:space="preserve"> MID(A49, 3, 2)</f>
        <v>10</v>
      </c>
      <c r="G49" s="5">
        <f xml:space="preserve"> IF(21 - F49 &lt; 0, 100 - F49 + 21, 21 - F49)</f>
        <v>11</v>
      </c>
      <c r="H49" s="24">
        <v>22573</v>
      </c>
      <c r="I49" s="24">
        <f xml:space="preserve"> H49/ (G49+0.5)</f>
        <v>1962.8695652173913</v>
      </c>
      <c r="J49" s="5" t="s">
        <v>162</v>
      </c>
      <c r="K49" s="5" t="s">
        <v>157</v>
      </c>
      <c r="L49">
        <v>75000</v>
      </c>
      <c r="M49" s="5" t="str">
        <f xml:space="preserve"> IF(H49 &lt;= L49, "Y", "Not Covered")</f>
        <v>Y</v>
      </c>
      <c r="N49" s="5" t="str">
        <f xml:space="preserve"> CONCATENATE(B49, D49, F49, UPPER(LEFT(J49, 3)), RIGHT(A49, 3))</f>
        <v>HOCIV10BLU032</v>
      </c>
    </row>
    <row r="50" spans="1:14">
      <c r="A50" s="5" t="s">
        <v>156</v>
      </c>
      <c r="B50" s="5" t="str">
        <f xml:space="preserve"> LEFT(A50, 2)</f>
        <v>GM</v>
      </c>
      <c r="C50" s="5" t="str">
        <f xml:space="preserve"> VLOOKUP(B50, B$56:C$61, 2)</f>
        <v>Chrysler</v>
      </c>
      <c r="D50" s="5" t="str">
        <f xml:space="preserve"> MID(A50, 5, 3)</f>
        <v>CMR</v>
      </c>
      <c r="E50" s="5" t="str">
        <f xml:space="preserve"> VLOOKUP(D50, D$56:E$66, 2)</f>
        <v>Camero</v>
      </c>
      <c r="F50" s="5" t="str">
        <f xml:space="preserve"> MID(A50, 3, 2)</f>
        <v>14</v>
      </c>
      <c r="G50" s="5">
        <f xml:space="preserve"> IF(21 - F50 &lt; 0, 100 - F50 + 21, 21 - F50)</f>
        <v>7</v>
      </c>
      <c r="H50" s="24">
        <v>14289.6</v>
      </c>
      <c r="I50" s="24">
        <f xml:space="preserve"> H50/ (G50+0.5)</f>
        <v>1905.28</v>
      </c>
      <c r="J50" s="5" t="s">
        <v>133</v>
      </c>
      <c r="K50" s="5" t="s">
        <v>157</v>
      </c>
      <c r="L50">
        <v>100000</v>
      </c>
      <c r="M50" s="5" t="str">
        <f xml:space="preserve"> IF(H50 &lt;= L50, "Y", "Not Covered")</f>
        <v>Y</v>
      </c>
      <c r="N50" s="5" t="str">
        <f xml:space="preserve"> CONCATENATE(B50, D50, F50, UPPER(LEFT(J50, 3)), RIGHT(A50, 3))</f>
        <v>GMCMR14WHI016</v>
      </c>
    </row>
    <row r="51" spans="1:14">
      <c r="A51" s="5" t="s">
        <v>183</v>
      </c>
      <c r="B51" s="5" t="str">
        <f xml:space="preserve"> LEFT(A51, 2)</f>
        <v>HO</v>
      </c>
      <c r="C51" s="5" t="str">
        <f xml:space="preserve"> VLOOKUP(B51, B$56:C$61, 2)</f>
        <v>Honda</v>
      </c>
      <c r="D51" s="5" t="str">
        <f xml:space="preserve"> MID(A51, 5, 3)</f>
        <v>CIV</v>
      </c>
      <c r="E51" s="5" t="str">
        <f xml:space="preserve"> VLOOKUP(D51, D$56:E$66, 2)</f>
        <v>Civic</v>
      </c>
      <c r="F51" s="5" t="str">
        <f xml:space="preserve"> MID(A51, 3, 2)</f>
        <v>13</v>
      </c>
      <c r="G51" s="5">
        <f xml:space="preserve"> IF(21 - F51 &lt; 0, 100 - F51 + 21, 21 - F51)</f>
        <v>8</v>
      </c>
      <c r="H51" s="24">
        <v>13867.6</v>
      </c>
      <c r="I51" s="24">
        <f xml:space="preserve"> H51/ (G51+0.5)</f>
        <v>1631.4823529411765</v>
      </c>
      <c r="J51" s="5" t="s">
        <v>131</v>
      </c>
      <c r="K51" s="5" t="s">
        <v>164</v>
      </c>
      <c r="L51">
        <v>75000</v>
      </c>
      <c r="M51" s="5" t="str">
        <f xml:space="preserve"> IF(H51 &lt;= L51, "Y", "Not Covered")</f>
        <v>Y</v>
      </c>
      <c r="N51" s="5" t="str">
        <f xml:space="preserve"> CONCATENATE(B51, D51, F51, UPPER(LEFT(J51, 3)), RIGHT(A51, 3))</f>
        <v>HOCIV13BLA036</v>
      </c>
    </row>
    <row r="52" spans="1:14">
      <c r="A52" s="5" t="s">
        <v>151</v>
      </c>
      <c r="B52" s="5" t="str">
        <f xml:space="preserve"> LEFT(A52, 2)</f>
        <v>FD</v>
      </c>
      <c r="C52" s="5" t="str">
        <f xml:space="preserve"> VLOOKUP(B52, B$56:C$61, 2)</f>
        <v>Chrysler</v>
      </c>
      <c r="D52" s="5" t="str">
        <f xml:space="preserve"> MID(A52, 5, 3)</f>
        <v>FCS</v>
      </c>
      <c r="E52" s="5" t="str">
        <f xml:space="preserve"> VLOOKUP(D52, D$56:E$66, 2)</f>
        <v>Focus</v>
      </c>
      <c r="F52" s="5" t="str">
        <f xml:space="preserve"> MID(A52, 3, 2)</f>
        <v>13</v>
      </c>
      <c r="G52" s="5">
        <f xml:space="preserve"> IF(21 - F52 &lt; 0, 100 - F52 + 21, 21 - F52)</f>
        <v>8</v>
      </c>
      <c r="H52" s="24">
        <v>13682.9</v>
      </c>
      <c r="I52" s="24">
        <f xml:space="preserve"> H52/ (G52+0.5)</f>
        <v>1609.7529411764706</v>
      </c>
      <c r="J52" s="5" t="s">
        <v>131</v>
      </c>
      <c r="K52" s="5" t="s">
        <v>152</v>
      </c>
      <c r="L52">
        <v>75000</v>
      </c>
      <c r="M52" s="5" t="str">
        <f xml:space="preserve"> IF(H52 &lt;= L52, "Y", "Not Covered")</f>
        <v>Y</v>
      </c>
      <c r="N52" s="5" t="str">
        <f xml:space="preserve"> CONCATENATE(B52, D52, F52, UPPER(LEFT(J52, 3)), RIGHT(A52, 3))</f>
        <v>FDFCS13BLA013</v>
      </c>
    </row>
    <row r="53" spans="1:14">
      <c r="A53" s="5" t="s">
        <v>186</v>
      </c>
      <c r="B53" s="5" t="str">
        <f xml:space="preserve"> LEFT(A53, 2)</f>
        <v>HO</v>
      </c>
      <c r="C53" s="5" t="str">
        <f xml:space="preserve"> VLOOKUP(B53, B$56:C$61, 2)</f>
        <v>Honda</v>
      </c>
      <c r="D53" s="5" t="str">
        <f xml:space="preserve"> MID(A53, 5, 3)</f>
        <v>ODY</v>
      </c>
      <c r="E53" s="5" t="str">
        <f xml:space="preserve"> VLOOKUP(D53, D$56:E$66, 2)</f>
        <v>Odyssey</v>
      </c>
      <c r="F53" s="5" t="str">
        <f xml:space="preserve"> MID(A53, 3, 2)</f>
        <v>14</v>
      </c>
      <c r="G53" s="5">
        <f xml:space="preserve"> IF(21 - F53 &lt; 0, 100 - F53 + 21, 21 - F53)</f>
        <v>7</v>
      </c>
      <c r="H53" s="24">
        <v>3708.1</v>
      </c>
      <c r="I53" s="24">
        <f xml:space="preserve"> H53/ (G53+0.5)</f>
        <v>494.4133333333333</v>
      </c>
      <c r="J53" s="5" t="s">
        <v>131</v>
      </c>
      <c r="K53" s="5" t="s">
        <v>134</v>
      </c>
      <c r="L53">
        <v>100000</v>
      </c>
      <c r="M53" s="5" t="str">
        <f xml:space="preserve"> IF(H53 &lt;= L53, "Y", "Not Covered")</f>
        <v>Y</v>
      </c>
      <c r="N53" s="5" t="str">
        <f xml:space="preserve"> CONCATENATE(B53, D53, F53, UPPER(LEFT(J53, 3)), RIGHT(A53, 3))</f>
        <v>HOODY14BLA041</v>
      </c>
    </row>
    <row r="54" spans="1:14">
      <c r="A54" s="5" t="s">
        <v>130</v>
      </c>
      <c r="B54" s="5" t="s">
        <v>130</v>
      </c>
      <c r="C54" s="5" t="s">
        <v>130</v>
      </c>
      <c r="D54" s="5" t="s">
        <v>130</v>
      </c>
      <c r="E54" s="5" t="s">
        <v>130</v>
      </c>
      <c r="F54" s="5" t="s">
        <v>130</v>
      </c>
      <c r="G54" s="5" t="s">
        <v>130</v>
      </c>
      <c r="I54" s="24" t="s">
        <v>130</v>
      </c>
      <c r="J54" s="5" t="s">
        <v>130</v>
      </c>
      <c r="K54" s="5" t="s">
        <v>130</v>
      </c>
      <c r="M54" s="5" t="s">
        <v>130</v>
      </c>
      <c r="N54" s="5" t="s">
        <v>130</v>
      </c>
    </row>
    <row r="55" spans="1:14">
      <c r="A55" s="5" t="s">
        <v>130</v>
      </c>
      <c r="B55" s="5" t="s">
        <v>130</v>
      </c>
      <c r="C55" s="5" t="s">
        <v>130</v>
      </c>
      <c r="D55" s="5" t="s">
        <v>130</v>
      </c>
      <c r="E55" s="5" t="s">
        <v>130</v>
      </c>
      <c r="F55" s="5" t="s">
        <v>130</v>
      </c>
      <c r="G55" s="5" t="s">
        <v>130</v>
      </c>
      <c r="I55" s="24" t="s">
        <v>130</v>
      </c>
      <c r="J55" s="5" t="s">
        <v>130</v>
      </c>
      <c r="K55" s="5" t="s">
        <v>130</v>
      </c>
      <c r="M55" s="5" t="s">
        <v>130</v>
      </c>
      <c r="N55" s="5" t="s">
        <v>130</v>
      </c>
    </row>
    <row r="56" spans="1:14">
      <c r="A56" s="5" t="s">
        <v>130</v>
      </c>
      <c r="B56" s="5" t="s">
        <v>198</v>
      </c>
      <c r="C56" s="5" t="s">
        <v>204</v>
      </c>
      <c r="D56" s="5" t="s">
        <v>211</v>
      </c>
      <c r="E56" s="5" t="s">
        <v>222</v>
      </c>
      <c r="F56" s="5"/>
      <c r="G56" s="5"/>
      <c r="I56" s="24" t="s">
        <v>130</v>
      </c>
      <c r="J56" s="5" t="s">
        <v>130</v>
      </c>
      <c r="K56" s="5" t="s">
        <v>130</v>
      </c>
      <c r="M56" s="5" t="s">
        <v>130</v>
      </c>
      <c r="N56" s="5" t="s">
        <v>130</v>
      </c>
    </row>
    <row r="57" spans="1:14">
      <c r="A57" s="5" t="s">
        <v>130</v>
      </c>
      <c r="B57" s="5" t="s">
        <v>200</v>
      </c>
      <c r="C57" s="5" t="s">
        <v>206</v>
      </c>
      <c r="D57" s="5" t="s">
        <v>216</v>
      </c>
      <c r="E57" s="5" t="s">
        <v>227</v>
      </c>
      <c r="F57" s="5"/>
      <c r="G57" s="5"/>
      <c r="I57" s="24" t="s">
        <v>130</v>
      </c>
      <c r="J57" s="5" t="s">
        <v>130</v>
      </c>
      <c r="K57" s="5" t="s">
        <v>130</v>
      </c>
      <c r="M57" s="5" t="s">
        <v>130</v>
      </c>
      <c r="N57" s="5" t="s">
        <v>130</v>
      </c>
    </row>
    <row r="58" spans="1:14">
      <c r="A58" s="5" t="s">
        <v>130</v>
      </c>
      <c r="B58" s="5"/>
      <c r="C58" s="5"/>
      <c r="D58" s="5" t="s">
        <v>217</v>
      </c>
      <c r="E58" s="5" t="s">
        <v>228</v>
      </c>
      <c r="F58" s="5"/>
      <c r="G58" s="5"/>
      <c r="I58" s="24" t="s">
        <v>130</v>
      </c>
      <c r="J58" s="5" t="s">
        <v>130</v>
      </c>
      <c r="K58" s="5" t="s">
        <v>130</v>
      </c>
      <c r="M58" s="5" t="s">
        <v>130</v>
      </c>
      <c r="N58" s="5" t="s">
        <v>130</v>
      </c>
    </row>
    <row r="59" spans="1:14">
      <c r="A59" s="5" t="s">
        <v>130</v>
      </c>
      <c r="B59" s="5" t="s">
        <v>201</v>
      </c>
      <c r="C59" s="5" t="s">
        <v>207</v>
      </c>
      <c r="D59" s="5" t="s">
        <v>214</v>
      </c>
      <c r="E59" s="5" t="s">
        <v>225</v>
      </c>
      <c r="F59" s="5"/>
      <c r="G59" s="5"/>
      <c r="I59" s="24" t="s">
        <v>130</v>
      </c>
      <c r="J59" s="5" t="s">
        <v>130</v>
      </c>
      <c r="K59" s="5" t="s">
        <v>130</v>
      </c>
      <c r="M59" s="5" t="s">
        <v>130</v>
      </c>
      <c r="N59" s="5" t="s">
        <v>130</v>
      </c>
    </row>
    <row r="60" spans="1:14">
      <c r="A60" s="5" t="s">
        <v>130</v>
      </c>
      <c r="B60" s="5" t="s">
        <v>199</v>
      </c>
      <c r="C60" s="5" t="s">
        <v>205</v>
      </c>
      <c r="D60" s="5" t="s">
        <v>215</v>
      </c>
      <c r="E60" s="5" t="s">
        <v>226</v>
      </c>
      <c r="F60" s="5"/>
      <c r="G60" s="5"/>
      <c r="I60" s="24" t="s">
        <v>130</v>
      </c>
      <c r="J60" s="5" t="s">
        <v>130</v>
      </c>
      <c r="K60" s="5" t="s">
        <v>130</v>
      </c>
      <c r="M60" s="5" t="s">
        <v>130</v>
      </c>
      <c r="N60" s="5" t="s">
        <v>130</v>
      </c>
    </row>
    <row r="61" spans="1:14">
      <c r="A61" s="5" t="s">
        <v>130</v>
      </c>
      <c r="B61" s="5" t="s">
        <v>203</v>
      </c>
      <c r="C61" s="5" t="s">
        <v>209</v>
      </c>
      <c r="D61" s="5" t="s">
        <v>212</v>
      </c>
      <c r="E61" s="5" t="s">
        <v>223</v>
      </c>
      <c r="F61" s="5"/>
      <c r="G61" s="5"/>
      <c r="I61" s="24" t="s">
        <v>130</v>
      </c>
      <c r="J61" s="5" t="s">
        <v>130</v>
      </c>
      <c r="K61" s="5" t="s">
        <v>130</v>
      </c>
      <c r="M61" s="5" t="s">
        <v>130</v>
      </c>
      <c r="N61" s="5" t="s">
        <v>130</v>
      </c>
    </row>
    <row r="62" spans="1:14">
      <c r="A62" s="5" t="s">
        <v>130</v>
      </c>
      <c r="B62" s="5" t="s">
        <v>202</v>
      </c>
      <c r="C62" s="5" t="s">
        <v>208</v>
      </c>
      <c r="D62" s="5" t="s">
        <v>213</v>
      </c>
      <c r="E62" s="5" t="s">
        <v>224</v>
      </c>
      <c r="F62" s="5"/>
      <c r="G62" s="5"/>
      <c r="I62" s="24" t="s">
        <v>130</v>
      </c>
      <c r="J62" s="5" t="s">
        <v>130</v>
      </c>
      <c r="K62" s="5" t="s">
        <v>130</v>
      </c>
      <c r="M62" s="5" t="s">
        <v>130</v>
      </c>
      <c r="N62" s="5" t="s">
        <v>130</v>
      </c>
    </row>
    <row r="63" spans="1:14">
      <c r="A63" s="5" t="s">
        <v>130</v>
      </c>
      <c r="B63" s="5"/>
      <c r="C63" s="5"/>
      <c r="D63" s="5" t="s">
        <v>218</v>
      </c>
      <c r="E63" s="5" t="s">
        <v>229</v>
      </c>
      <c r="F63" s="5"/>
      <c r="G63" s="5"/>
      <c r="I63" s="24" t="s">
        <v>130</v>
      </c>
      <c r="J63" s="5" t="s">
        <v>130</v>
      </c>
      <c r="K63" s="5" t="s">
        <v>130</v>
      </c>
      <c r="M63" s="5" t="s">
        <v>130</v>
      </c>
      <c r="N63" s="5" t="s">
        <v>130</v>
      </c>
    </row>
    <row r="64" spans="1:14">
      <c r="A64" s="5" t="s">
        <v>130</v>
      </c>
      <c r="B64" s="5"/>
      <c r="C64" s="5"/>
      <c r="D64" s="5" t="s">
        <v>219</v>
      </c>
      <c r="E64" s="5" t="s">
        <v>230</v>
      </c>
      <c r="F64" s="5"/>
      <c r="G64" s="5"/>
      <c r="I64" s="24" t="s">
        <v>130</v>
      </c>
      <c r="J64" s="5" t="s">
        <v>130</v>
      </c>
      <c r="K64" s="5" t="s">
        <v>130</v>
      </c>
      <c r="M64" s="5" t="s">
        <v>130</v>
      </c>
      <c r="N64" s="5" t="s">
        <v>130</v>
      </c>
    </row>
    <row r="65" spans="1:14">
      <c r="A65" s="5" t="s">
        <v>130</v>
      </c>
      <c r="B65" s="5"/>
      <c r="C65" s="5"/>
      <c r="D65" s="5" t="s">
        <v>220</v>
      </c>
      <c r="E65" s="5" t="s">
        <v>231</v>
      </c>
      <c r="F65" s="5"/>
      <c r="G65" s="5"/>
      <c r="I65" s="24" t="s">
        <v>130</v>
      </c>
      <c r="J65" s="5" t="s">
        <v>130</v>
      </c>
      <c r="K65" s="5" t="s">
        <v>130</v>
      </c>
      <c r="M65" s="5" t="s">
        <v>130</v>
      </c>
      <c r="N65" s="5" t="s">
        <v>130</v>
      </c>
    </row>
    <row r="66" spans="1:14">
      <c r="A66" s="5" t="s">
        <v>130</v>
      </c>
      <c r="B66" s="5"/>
      <c r="C66" s="5"/>
      <c r="D66" s="5" t="s">
        <v>221</v>
      </c>
      <c r="E66" s="5" t="s">
        <v>232</v>
      </c>
      <c r="F66" s="5"/>
      <c r="G66" s="5"/>
      <c r="I66" s="24" t="s">
        <v>130</v>
      </c>
      <c r="J66" s="5" t="s">
        <v>130</v>
      </c>
      <c r="K66" s="5" t="s">
        <v>130</v>
      </c>
      <c r="M66" s="5" t="s">
        <v>130</v>
      </c>
      <c r="N66" s="5" t="s">
        <v>130</v>
      </c>
    </row>
  </sheetData>
  <sortState xmlns:xlrd2="http://schemas.microsoft.com/office/spreadsheetml/2017/richdata2" ref="A2:N53">
    <sortCondition descending="1" ref="I2:I53"/>
  </sortState>
  <conditionalFormatting sqref="I120:I1048576 I1:I6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BD19-19B8-4FB1-9B12-EAE3E9101232}">
  <dimension ref="A1:G5"/>
  <sheetViews>
    <sheetView workbookViewId="0">
      <selection activeCell="G7" sqref="G7"/>
    </sheetView>
  </sheetViews>
  <sheetFormatPr defaultRowHeight="15"/>
  <cols>
    <col min="2" max="2" width="11.5703125" bestFit="1" customWidth="1"/>
    <col min="3" max="3" width="12.42578125" bestFit="1" customWidth="1"/>
    <col min="4" max="4" width="7.7109375" bestFit="1" customWidth="1"/>
    <col min="5" max="5" width="12.28515625" bestFit="1" customWidth="1"/>
    <col min="6" max="6" width="14.42578125" bestFit="1" customWidth="1"/>
    <col min="7" max="7" width="16.85546875" bestFit="1" customWidth="1"/>
  </cols>
  <sheetData>
    <row r="1" spans="1:7"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</row>
    <row r="2" spans="1:7">
      <c r="A2" t="s">
        <v>243</v>
      </c>
      <c r="B2" s="1">
        <v>20000</v>
      </c>
      <c r="C2" s="18">
        <v>0.09</v>
      </c>
      <c r="D2">
        <v>12</v>
      </c>
      <c r="E2" s="2">
        <f xml:space="preserve"> B2 * C2</f>
        <v>1800</v>
      </c>
      <c r="F2" s="2">
        <f xml:space="preserve"> B2 + E2</f>
        <v>21800</v>
      </c>
      <c r="G2" s="2">
        <f xml:space="preserve"> F2 / D2</f>
        <v>1816.6666666666667</v>
      </c>
    </row>
    <row r="3" spans="1:7">
      <c r="A3" t="s">
        <v>244</v>
      </c>
      <c r="B3" s="1">
        <v>20000</v>
      </c>
      <c r="C3" s="18">
        <v>0.08</v>
      </c>
      <c r="D3">
        <v>12</v>
      </c>
      <c r="E3" s="2">
        <f t="shared" ref="E3:E5" si="0" xml:space="preserve"> B3 * C3</f>
        <v>1600</v>
      </c>
      <c r="F3" s="2">
        <f t="shared" ref="F3:F5" si="1" xml:space="preserve"> B3 + E3</f>
        <v>21600</v>
      </c>
      <c r="G3" s="2">
        <f t="shared" ref="G3:G5" si="2" xml:space="preserve"> F3 / D3</f>
        <v>1800</v>
      </c>
    </row>
    <row r="4" spans="1:7">
      <c r="A4" t="s">
        <v>245</v>
      </c>
      <c r="B4" s="1">
        <v>20000</v>
      </c>
      <c r="C4" s="18">
        <v>7.0000000000000007E-2</v>
      </c>
      <c r="D4">
        <v>12</v>
      </c>
      <c r="E4" s="2">
        <f t="shared" si="0"/>
        <v>1400.0000000000002</v>
      </c>
      <c r="F4" s="2">
        <f t="shared" si="1"/>
        <v>21400</v>
      </c>
      <c r="G4" s="2">
        <f t="shared" si="2"/>
        <v>1783.3333333333333</v>
      </c>
    </row>
    <row r="5" spans="1:7">
      <c r="A5" t="s">
        <v>246</v>
      </c>
      <c r="B5" s="1">
        <v>20000</v>
      </c>
      <c r="C5" s="18">
        <v>0.06</v>
      </c>
      <c r="D5">
        <v>12</v>
      </c>
      <c r="E5" s="2">
        <f t="shared" si="0"/>
        <v>1200</v>
      </c>
      <c r="F5" s="2">
        <f t="shared" si="1"/>
        <v>21200</v>
      </c>
      <c r="G5" s="2">
        <f t="shared" si="2"/>
        <v>1766.6666666666667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88DA-ACBE-41AB-BB13-4EAA1721C2E3}">
  <dimension ref="A2:I19"/>
  <sheetViews>
    <sheetView topLeftCell="F1" workbookViewId="0">
      <selection activeCell="K19" sqref="K19"/>
    </sheetView>
  </sheetViews>
  <sheetFormatPr defaultRowHeight="15"/>
  <cols>
    <col min="1" max="1" width="18" bestFit="1" customWidth="1"/>
    <col min="2" max="2" width="9.28515625" bestFit="1" customWidth="1"/>
    <col min="3" max="3" width="10.5703125" bestFit="1" customWidth="1"/>
    <col min="4" max="4" width="11.42578125" bestFit="1" customWidth="1"/>
    <col min="8" max="8" width="10.5703125" bestFit="1" customWidth="1"/>
    <col min="9" max="9" width="11.42578125" bestFit="1" customWidth="1"/>
  </cols>
  <sheetData>
    <row r="2" spans="1:9">
      <c r="B2" t="s">
        <v>265</v>
      </c>
      <c r="C2" t="s">
        <v>247</v>
      </c>
      <c r="D2" t="s">
        <v>248</v>
      </c>
      <c r="F2" t="s">
        <v>264</v>
      </c>
      <c r="G2" t="s">
        <v>265</v>
      </c>
      <c r="H2" t="s">
        <v>247</v>
      </c>
      <c r="I2" t="s">
        <v>248</v>
      </c>
    </row>
    <row r="3" spans="1:9">
      <c r="A3" t="s">
        <v>249</v>
      </c>
      <c r="B3" s="1">
        <v>0.5</v>
      </c>
      <c r="C3" s="1">
        <v>0.4</v>
      </c>
      <c r="D3" s="1">
        <v>1</v>
      </c>
      <c r="F3" s="3">
        <v>3</v>
      </c>
      <c r="G3" s="2">
        <f xml:space="preserve"> B3 * $F3</f>
        <v>1.5</v>
      </c>
      <c r="H3" s="2">
        <f xml:space="preserve"> C3 * $F3</f>
        <v>1.2000000000000002</v>
      </c>
      <c r="I3" s="2">
        <f xml:space="preserve"> D3 * $F3</f>
        <v>3</v>
      </c>
    </row>
    <row r="4" spans="1:9">
      <c r="A4" t="s">
        <v>250</v>
      </c>
      <c r="B4" s="1">
        <v>28</v>
      </c>
      <c r="C4" s="1">
        <v>33</v>
      </c>
      <c r="D4" s="1">
        <v>31</v>
      </c>
      <c r="F4" s="3">
        <v>1</v>
      </c>
      <c r="G4" s="2">
        <f t="shared" ref="G4:I17" si="0" xml:space="preserve"> B4 * $F4</f>
        <v>28</v>
      </c>
      <c r="H4" s="2">
        <f t="shared" ref="H4:H17" si="1" xml:space="preserve"> C4 * $F4</f>
        <v>33</v>
      </c>
      <c r="I4" s="2">
        <f t="shared" si="0"/>
        <v>31</v>
      </c>
    </row>
    <row r="5" spans="1:9">
      <c r="A5" t="s">
        <v>251</v>
      </c>
      <c r="B5" s="1">
        <v>1.8</v>
      </c>
      <c r="C5" s="1">
        <v>1</v>
      </c>
      <c r="D5" s="1">
        <v>2</v>
      </c>
      <c r="F5" s="3">
        <v>7</v>
      </c>
      <c r="G5" s="2">
        <f t="shared" si="0"/>
        <v>12.6</v>
      </c>
      <c r="H5" s="2">
        <f t="shared" si="1"/>
        <v>7</v>
      </c>
      <c r="I5" s="2">
        <f t="shared" si="0"/>
        <v>14</v>
      </c>
    </row>
    <row r="6" spans="1:9">
      <c r="A6" t="s">
        <v>252</v>
      </c>
      <c r="B6" s="1">
        <v>1.2</v>
      </c>
      <c r="C6" s="1">
        <v>0.8</v>
      </c>
      <c r="D6" s="1">
        <v>1.5</v>
      </c>
      <c r="F6" s="3">
        <v>1</v>
      </c>
      <c r="G6" s="2">
        <f t="shared" si="0"/>
        <v>1.2</v>
      </c>
      <c r="H6" s="2">
        <f t="shared" si="1"/>
        <v>0.8</v>
      </c>
      <c r="I6" s="2">
        <f t="shared" si="0"/>
        <v>1.5</v>
      </c>
    </row>
    <row r="7" spans="1:9">
      <c r="A7" t="s">
        <v>253</v>
      </c>
      <c r="B7" s="1">
        <v>2.4</v>
      </c>
      <c r="C7" s="1">
        <v>1.4</v>
      </c>
      <c r="D7" s="1">
        <v>2.4</v>
      </c>
      <c r="F7" s="3">
        <v>2</v>
      </c>
      <c r="G7" s="2">
        <f t="shared" si="0"/>
        <v>4.8</v>
      </c>
      <c r="H7" s="2">
        <f t="shared" si="1"/>
        <v>2.8</v>
      </c>
      <c r="I7" s="2">
        <f t="shared" si="0"/>
        <v>4.8</v>
      </c>
    </row>
    <row r="8" spans="1:9">
      <c r="A8" t="s">
        <v>254</v>
      </c>
      <c r="B8" s="1">
        <v>0.9</v>
      </c>
      <c r="C8" s="1">
        <v>0.2</v>
      </c>
      <c r="D8" s="1">
        <v>0.8</v>
      </c>
      <c r="F8" s="3">
        <v>2</v>
      </c>
      <c r="G8" s="2">
        <f t="shared" si="0"/>
        <v>1.8</v>
      </c>
      <c r="H8" s="2">
        <f t="shared" si="1"/>
        <v>0.4</v>
      </c>
      <c r="I8" s="2">
        <f t="shared" si="0"/>
        <v>1.6</v>
      </c>
    </row>
    <row r="9" spans="1:9">
      <c r="A9" t="s">
        <v>255</v>
      </c>
      <c r="B9" s="1">
        <v>0.99</v>
      </c>
      <c r="C9" s="1">
        <v>0.59</v>
      </c>
      <c r="D9" s="1">
        <v>2.59</v>
      </c>
      <c r="F9" s="3">
        <v>1</v>
      </c>
      <c r="G9" s="2">
        <f t="shared" si="0"/>
        <v>0.99</v>
      </c>
      <c r="H9" s="2">
        <f t="shared" si="1"/>
        <v>0.59</v>
      </c>
      <c r="I9" s="2">
        <f t="shared" si="0"/>
        <v>2.59</v>
      </c>
    </row>
    <row r="10" spans="1:9">
      <c r="A10" t="s">
        <v>256</v>
      </c>
      <c r="B10" s="1">
        <v>1.25</v>
      </c>
      <c r="C10" s="1">
        <v>3.25</v>
      </c>
      <c r="D10" s="1">
        <v>2.15</v>
      </c>
      <c r="F10" s="3">
        <v>4</v>
      </c>
      <c r="G10" s="2">
        <f t="shared" si="0"/>
        <v>5</v>
      </c>
      <c r="H10" s="2">
        <f t="shared" si="1"/>
        <v>13</v>
      </c>
      <c r="I10" s="2">
        <f t="shared" si="0"/>
        <v>8.6</v>
      </c>
    </row>
    <row r="11" spans="1:9">
      <c r="A11" t="s">
        <v>257</v>
      </c>
      <c r="B11" s="1">
        <v>9.5</v>
      </c>
      <c r="C11" s="1">
        <v>14</v>
      </c>
      <c r="D11" s="1">
        <v>13</v>
      </c>
      <c r="F11" s="3">
        <v>1</v>
      </c>
      <c r="G11" s="2">
        <f t="shared" si="0"/>
        <v>9.5</v>
      </c>
      <c r="H11" s="2">
        <f t="shared" si="1"/>
        <v>14</v>
      </c>
      <c r="I11" s="2">
        <f t="shared" si="0"/>
        <v>13</v>
      </c>
    </row>
    <row r="12" spans="1:9">
      <c r="A12" t="s">
        <v>258</v>
      </c>
      <c r="B12" s="1">
        <v>4.55</v>
      </c>
      <c r="C12" s="1">
        <v>2.5499999999999998</v>
      </c>
      <c r="D12" s="1">
        <v>6</v>
      </c>
      <c r="F12" s="3">
        <v>1</v>
      </c>
      <c r="G12" s="2">
        <f t="shared" si="0"/>
        <v>4.55</v>
      </c>
      <c r="H12" s="2">
        <f t="shared" si="1"/>
        <v>2.5499999999999998</v>
      </c>
      <c r="I12" s="2">
        <f t="shared" si="0"/>
        <v>6</v>
      </c>
    </row>
    <row r="13" spans="1:9">
      <c r="A13" t="s">
        <v>259</v>
      </c>
      <c r="B13" s="1">
        <v>4.2</v>
      </c>
      <c r="C13" s="1">
        <v>2.2000000000000002</v>
      </c>
      <c r="D13" s="1">
        <v>3</v>
      </c>
      <c r="F13" s="3">
        <v>1</v>
      </c>
      <c r="G13" s="2">
        <f t="shared" si="0"/>
        <v>4.2</v>
      </c>
      <c r="H13" s="2">
        <f t="shared" si="1"/>
        <v>2.2000000000000002</v>
      </c>
      <c r="I13" s="2">
        <f t="shared" si="0"/>
        <v>3</v>
      </c>
    </row>
    <row r="14" spans="1:9">
      <c r="A14" t="s">
        <v>260</v>
      </c>
      <c r="B14" s="1">
        <v>3.9</v>
      </c>
      <c r="C14" s="1">
        <v>5</v>
      </c>
      <c r="D14" s="1">
        <v>8</v>
      </c>
      <c r="F14" s="3">
        <v>1</v>
      </c>
      <c r="G14" s="2">
        <f t="shared" si="0"/>
        <v>3.9</v>
      </c>
      <c r="H14" s="2">
        <f t="shared" si="1"/>
        <v>5</v>
      </c>
      <c r="I14" s="2">
        <f t="shared" si="0"/>
        <v>8</v>
      </c>
    </row>
    <row r="15" spans="1:9">
      <c r="A15" t="s">
        <v>261</v>
      </c>
      <c r="B15" s="1">
        <v>1</v>
      </c>
      <c r="C15" s="1">
        <v>2</v>
      </c>
      <c r="D15" s="1">
        <v>1</v>
      </c>
      <c r="F15" s="3">
        <v>1</v>
      </c>
      <c r="G15" s="2">
        <f t="shared" si="0"/>
        <v>1</v>
      </c>
      <c r="H15" s="2">
        <f t="shared" si="1"/>
        <v>2</v>
      </c>
      <c r="I15" s="2">
        <f t="shared" si="0"/>
        <v>1</v>
      </c>
    </row>
    <row r="16" spans="1:9">
      <c r="A16" t="s">
        <v>262</v>
      </c>
      <c r="B16" s="1">
        <v>1.75</v>
      </c>
      <c r="C16" s="1">
        <v>2</v>
      </c>
      <c r="D16" s="1">
        <v>1</v>
      </c>
      <c r="F16" s="3">
        <v>1</v>
      </c>
      <c r="G16" s="2">
        <f t="shared" si="0"/>
        <v>1.75</v>
      </c>
      <c r="H16" s="2">
        <f t="shared" si="1"/>
        <v>2</v>
      </c>
      <c r="I16" s="2">
        <f t="shared" si="0"/>
        <v>1</v>
      </c>
    </row>
    <row r="17" spans="1:9">
      <c r="A17" t="s">
        <v>263</v>
      </c>
      <c r="B17" s="1">
        <v>2</v>
      </c>
      <c r="C17" s="1">
        <v>1</v>
      </c>
      <c r="D17" s="1">
        <v>3</v>
      </c>
      <c r="F17" s="3">
        <v>1</v>
      </c>
      <c r="G17" s="2">
        <f t="shared" si="0"/>
        <v>2</v>
      </c>
      <c r="H17" s="2">
        <f t="shared" si="1"/>
        <v>1</v>
      </c>
      <c r="I17" s="2">
        <f t="shared" si="0"/>
        <v>3</v>
      </c>
    </row>
    <row r="18" spans="1:9">
      <c r="B18" s="2" cm="1">
        <f t="array" ref="B18" xml:space="preserve"> SUM(B$3:B$17 * $F3:$F17)</f>
        <v>82.79</v>
      </c>
      <c r="C18" s="2" cm="1">
        <f t="array" ref="C18" xml:space="preserve"> SUM(C$3:C$17 * $F3:$F17)</f>
        <v>87.539999999999992</v>
      </c>
      <c r="D18" s="2" cm="1">
        <f t="array" ref="D18" xml:space="preserve"> SUM(D$3:D$17 * $F3:$F17)</f>
        <v>102.08999999999999</v>
      </c>
      <c r="G18" t="s">
        <v>265</v>
      </c>
      <c r="H18" t="s">
        <v>247</v>
      </c>
      <c r="I18" t="s">
        <v>248</v>
      </c>
    </row>
    <row r="19" spans="1:9">
      <c r="F19" t="s">
        <v>43</v>
      </c>
      <c r="G19" s="2">
        <f xml:space="preserve"> SUM(G3:G17)</f>
        <v>82.79</v>
      </c>
      <c r="H19" s="2">
        <f xml:space="preserve"> SUM(H3:H17)</f>
        <v>87.539999999999992</v>
      </c>
      <c r="I19" s="2">
        <f xml:space="preserve"> SUM(I3:I17)</f>
        <v>102.08999999999999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DA813F-D800-4877-A865-068C421E2E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Payroll</vt:lpstr>
      <vt:lpstr>Gradebook</vt:lpstr>
      <vt:lpstr>Decision Factors</vt:lpstr>
      <vt:lpstr>Sales PivotTable</vt:lpstr>
      <vt:lpstr>Sales Report</vt:lpstr>
      <vt:lpstr>Car PivotTable</vt:lpstr>
      <vt:lpstr>Car Inventory</vt:lpstr>
      <vt:lpstr>Loan Payment</vt:lpstr>
      <vt:lpstr>School Supplies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XavierXavion Meyer</dc:creator>
  <cp:lastModifiedBy>XavierXavion Meyer</cp:lastModifiedBy>
  <cp:lastPrinted>2021-03-01T03:24:49Z</cp:lastPrinted>
  <dcterms:created xsi:type="dcterms:W3CDTF">2021-02-28T22:43:42Z</dcterms:created>
  <dcterms:modified xsi:type="dcterms:W3CDTF">2021-03-05T04:04:43Z</dcterms:modified>
</cp:coreProperties>
</file>