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D:\업무\1.업체폴더\2021_15_18_PSA01Y21-0015_18_일진글로벌_GEN1_2_열처리 전원장치\전장설계\2_외경스캔_350kW_50kHz\"/>
    </mc:Choice>
  </mc:AlternateContent>
  <bookViews>
    <workbookView xWindow="0" yWindow="0" windowWidth="28800" windowHeight="12975" tabRatio="821" activeTab="1"/>
  </bookViews>
  <sheets>
    <sheet name="GEN1_SCAN" sheetId="43" r:id="rId1"/>
    <sheet name="설계 결과표" sheetId="47" r:id="rId2"/>
    <sheet name="SW 요청자료" sheetId="48" r:id="rId3"/>
    <sheet name="입력정류부" sheetId="45" r:id="rId4"/>
  </sheets>
  <calcPr calcId="152511"/>
</workbook>
</file>

<file path=xl/calcChain.xml><?xml version="1.0" encoding="utf-8"?>
<calcChain xmlns="http://schemas.openxmlformats.org/spreadsheetml/2006/main">
  <c r="K70" i="43" l="1"/>
  <c r="K68" i="43"/>
  <c r="K64" i="43"/>
  <c r="K69" i="43" s="1"/>
  <c r="K56" i="43"/>
  <c r="K55" i="43"/>
  <c r="K61" i="43" s="1"/>
  <c r="K51" i="43"/>
  <c r="J70" i="43"/>
  <c r="J68" i="43"/>
  <c r="J64" i="43"/>
  <c r="J69" i="43" s="1"/>
  <c r="J56" i="43"/>
  <c r="J55" i="43"/>
  <c r="J61" i="43" s="1"/>
  <c r="J51" i="43"/>
  <c r="I68" i="43"/>
  <c r="I60" i="43"/>
  <c r="I63" i="43" s="1"/>
  <c r="I55" i="43"/>
  <c r="I61" i="43" s="1"/>
  <c r="I51" i="43"/>
  <c r="I64" i="43" s="1"/>
  <c r="H68" i="43"/>
  <c r="H61" i="43"/>
  <c r="H60" i="43"/>
  <c r="H63" i="43" s="1"/>
  <c r="H55" i="43"/>
  <c r="H54" i="43"/>
  <c r="H51" i="43"/>
  <c r="H64" i="43" s="1"/>
  <c r="K73" i="43" l="1"/>
  <c r="K71" i="43"/>
  <c r="K60" i="43"/>
  <c r="K63" i="43" s="1"/>
  <c r="K72" i="43" s="1"/>
  <c r="K54" i="43"/>
  <c r="K74" i="43" s="1"/>
  <c r="K76" i="43" s="1"/>
  <c r="J73" i="43"/>
  <c r="J60" i="43"/>
  <c r="J63" i="43" s="1"/>
  <c r="J72" i="43" s="1"/>
  <c r="J71" i="43"/>
  <c r="J54" i="43"/>
  <c r="I69" i="43"/>
  <c r="I71" i="43"/>
  <c r="I70" i="43"/>
  <c r="I73" i="43" s="1"/>
  <c r="I72" i="43"/>
  <c r="I56" i="43"/>
  <c r="I54" i="43"/>
  <c r="I74" i="43" s="1"/>
  <c r="I76" i="43" s="1"/>
  <c r="H71" i="43"/>
  <c r="H74" i="43" s="1"/>
  <c r="H76" i="43" s="1"/>
  <c r="H70" i="43"/>
  <c r="H73" i="43" s="1"/>
  <c r="H69" i="43"/>
  <c r="H72" i="43" s="1"/>
  <c r="H56" i="43"/>
  <c r="K33" i="43"/>
  <c r="K19" i="43"/>
  <c r="K17" i="43"/>
  <c r="K23" i="43" s="1"/>
  <c r="K26" i="43" s="1"/>
  <c r="K11" i="43"/>
  <c r="K10" i="43"/>
  <c r="K38" i="43" s="1"/>
  <c r="K40" i="43" s="1"/>
  <c r="K6" i="43"/>
  <c r="K8" i="43" s="1"/>
  <c r="H38" i="43"/>
  <c r="H40" i="43" s="1"/>
  <c r="H33" i="43"/>
  <c r="H19" i="43"/>
  <c r="H17" i="43"/>
  <c r="H22" i="43" s="1"/>
  <c r="H25" i="43" s="1"/>
  <c r="H11" i="43"/>
  <c r="H10" i="43"/>
  <c r="H8" i="43"/>
  <c r="H6" i="43"/>
  <c r="K93" i="43" l="1"/>
  <c r="K78" i="43"/>
  <c r="K81" i="43"/>
  <c r="K87" i="43" s="1"/>
  <c r="K89" i="43"/>
  <c r="K83" i="43"/>
  <c r="K90" i="43"/>
  <c r="K84" i="43"/>
  <c r="K82" i="43"/>
  <c r="K88" i="43" s="1"/>
  <c r="J74" i="43"/>
  <c r="J76" i="43" s="1"/>
  <c r="J81" i="43"/>
  <c r="J87" i="43" s="1"/>
  <c r="J89" i="43"/>
  <c r="J83" i="43"/>
  <c r="J82" i="43"/>
  <c r="J88" i="43" s="1"/>
  <c r="J90" i="43"/>
  <c r="J84" i="43"/>
  <c r="I93" i="43"/>
  <c r="I78" i="43"/>
  <c r="I81" i="43"/>
  <c r="I87" i="43" s="1"/>
  <c r="I89" i="43"/>
  <c r="I83" i="43"/>
  <c r="I90" i="43"/>
  <c r="I84" i="43"/>
  <c r="I82" i="43"/>
  <c r="I88" i="43" s="1"/>
  <c r="H89" i="43"/>
  <c r="H83" i="43"/>
  <c r="H81" i="43"/>
  <c r="H87" i="43" s="1"/>
  <c r="H93" i="43"/>
  <c r="H78" i="43"/>
  <c r="H82" i="43"/>
  <c r="H88" i="43" s="1"/>
  <c r="H90" i="43"/>
  <c r="H84" i="43"/>
  <c r="K22" i="43"/>
  <c r="K25" i="43" s="1"/>
  <c r="H23" i="43"/>
  <c r="H26" i="43" s="1"/>
  <c r="H29" i="43" s="1"/>
  <c r="K29" i="43"/>
  <c r="H30" i="43"/>
  <c r="H44" i="43"/>
  <c r="H45" i="43" s="1"/>
  <c r="H46" i="43" s="1"/>
  <c r="H47" i="43" s="1"/>
  <c r="H31" i="43"/>
  <c r="H24" i="43"/>
  <c r="H27" i="43" s="1"/>
  <c r="H32" i="43" s="1"/>
  <c r="H42" i="43" s="1"/>
  <c r="J38" i="43"/>
  <c r="J40" i="43" s="1"/>
  <c r="I38" i="43"/>
  <c r="I40" i="43" s="1"/>
  <c r="J33" i="43"/>
  <c r="I33" i="43"/>
  <c r="J19" i="43"/>
  <c r="I19" i="43"/>
  <c r="J17" i="43"/>
  <c r="J22" i="43" s="1"/>
  <c r="I17" i="43"/>
  <c r="I22" i="43" s="1"/>
  <c r="J11" i="43"/>
  <c r="I11" i="43"/>
  <c r="J10" i="43"/>
  <c r="I10" i="43"/>
  <c r="J6" i="43"/>
  <c r="J8" i="43" s="1"/>
  <c r="I6" i="43"/>
  <c r="I8" i="43" s="1"/>
  <c r="J93" i="43" l="1"/>
  <c r="J78" i="43"/>
  <c r="K24" i="43"/>
  <c r="K27" i="43" s="1"/>
  <c r="K30" i="43"/>
  <c r="K44" i="43"/>
  <c r="K45" i="43" s="1"/>
  <c r="K46" i="43" s="1"/>
  <c r="K47" i="43" s="1"/>
  <c r="K31" i="43"/>
  <c r="K32" i="43"/>
  <c r="K42" i="43" s="1"/>
  <c r="H34" i="43"/>
  <c r="H35" i="43"/>
  <c r="J23" i="43"/>
  <c r="J26" i="43" s="1"/>
  <c r="J29" i="43" s="1"/>
  <c r="I23" i="43"/>
  <c r="I26" i="43" s="1"/>
  <c r="I29" i="43" s="1"/>
  <c r="J24" i="43"/>
  <c r="J25" i="43"/>
  <c r="I24" i="43"/>
  <c r="I25" i="43"/>
  <c r="C6" i="43"/>
  <c r="C8" i="43" s="1"/>
  <c r="D6" i="43"/>
  <c r="D8" i="43" s="1"/>
  <c r="E6" i="43"/>
  <c r="E8" i="43" s="1"/>
  <c r="F6" i="43"/>
  <c r="F8" i="43" s="1"/>
  <c r="C10" i="43"/>
  <c r="C38" i="43" s="1"/>
  <c r="C40" i="43" s="1"/>
  <c r="D10" i="43"/>
  <c r="D38" i="43" s="1"/>
  <c r="D40" i="43" s="1"/>
  <c r="E10" i="43"/>
  <c r="E11" i="43" s="1"/>
  <c r="F10" i="43"/>
  <c r="F38" i="43" s="1"/>
  <c r="F40" i="43" s="1"/>
  <c r="C11" i="43"/>
  <c r="C17" i="43"/>
  <c r="C23" i="43" s="1"/>
  <c r="C26" i="43" s="1"/>
  <c r="D17" i="43"/>
  <c r="D23" i="43" s="1"/>
  <c r="D26" i="43" s="1"/>
  <c r="E17" i="43"/>
  <c r="F17" i="43"/>
  <c r="F23" i="43" s="1"/>
  <c r="F26" i="43" s="1"/>
  <c r="F29" i="43" s="1"/>
  <c r="C19" i="43"/>
  <c r="D19" i="43"/>
  <c r="E19" i="43"/>
  <c r="F19" i="43"/>
  <c r="C33" i="43"/>
  <c r="D33" i="43"/>
  <c r="E33" i="43"/>
  <c r="F33" i="43"/>
  <c r="E38" i="43"/>
  <c r="E40" i="43" s="1"/>
  <c r="K34" i="43" l="1"/>
  <c r="K35" i="43"/>
  <c r="J27" i="43"/>
  <c r="J32" i="43" s="1"/>
  <c r="J42" i="43" s="1"/>
  <c r="I27" i="43"/>
  <c r="I32" i="43" s="1"/>
  <c r="I42" i="43" s="1"/>
  <c r="J44" i="43"/>
  <c r="J45" i="43" s="1"/>
  <c r="J46" i="43" s="1"/>
  <c r="J47" i="43" s="1"/>
  <c r="J31" i="43"/>
  <c r="J30" i="43"/>
  <c r="I44" i="43"/>
  <c r="I45" i="43" s="1"/>
  <c r="I46" i="43" s="1"/>
  <c r="I47" i="43" s="1"/>
  <c r="I31" i="43"/>
  <c r="I30" i="43"/>
  <c r="F11" i="43"/>
  <c r="D11" i="43"/>
  <c r="E22" i="43"/>
  <c r="E24" i="43" s="1"/>
  <c r="F22" i="43"/>
  <c r="F31" i="43" s="1"/>
  <c r="E23" i="43"/>
  <c r="E26" i="43" s="1"/>
  <c r="E29" i="43" s="1"/>
  <c r="D22" i="43"/>
  <c r="C22" i="43"/>
  <c r="C24" i="43" s="1"/>
  <c r="C29" i="43"/>
  <c r="D29" i="43"/>
  <c r="F44" i="43"/>
  <c r="F45" i="43" s="1"/>
  <c r="F30" i="43"/>
  <c r="F25" i="48"/>
  <c r="F26" i="48" s="1"/>
  <c r="G11" i="48"/>
  <c r="G12" i="48" s="1"/>
  <c r="F11" i="48"/>
  <c r="F12" i="48" s="1"/>
  <c r="F9" i="48"/>
  <c r="I35" i="43" l="1"/>
  <c r="I34" i="43"/>
  <c r="J35" i="43"/>
  <c r="J34" i="43"/>
  <c r="E25" i="43"/>
  <c r="E27" i="43" s="1"/>
  <c r="E32" i="43" s="1"/>
  <c r="E42" i="43" s="1"/>
  <c r="E31" i="43"/>
  <c r="E35" i="43" s="1"/>
  <c r="F24" i="43"/>
  <c r="F25" i="43"/>
  <c r="C25" i="43"/>
  <c r="C27" i="43" s="1"/>
  <c r="C32" i="43" s="1"/>
  <c r="C42" i="43" s="1"/>
  <c r="E44" i="43"/>
  <c r="E45" i="43" s="1"/>
  <c r="E46" i="43" s="1"/>
  <c r="E47" i="43" s="1"/>
  <c r="E30" i="43"/>
  <c r="D25" i="43"/>
  <c r="D24" i="43"/>
  <c r="C44" i="43"/>
  <c r="C45" i="43" s="1"/>
  <c r="C46" i="43" s="1"/>
  <c r="C47" i="43" s="1"/>
  <c r="C31" i="43"/>
  <c r="C30" i="43"/>
  <c r="D44" i="43"/>
  <c r="D45" i="43" s="1"/>
  <c r="D46" i="43" s="1"/>
  <c r="D47" i="43" s="1"/>
  <c r="D31" i="43"/>
  <c r="D30" i="43"/>
  <c r="F35" i="43"/>
  <c r="F34" i="43"/>
  <c r="AD42" i="43"/>
  <c r="AD36" i="43"/>
  <c r="AD37" i="43"/>
  <c r="J41" i="45"/>
  <c r="D41" i="45"/>
  <c r="E41" i="45" s="1"/>
  <c r="C41" i="45"/>
  <c r="O41" i="45" s="1"/>
  <c r="Z73" i="43"/>
  <c r="Z75" i="43" s="1"/>
  <c r="Z67" i="43"/>
  <c r="Z68" i="43" s="1"/>
  <c r="Z47" i="43"/>
  <c r="Z48" i="43" s="1"/>
  <c r="Z28" i="43"/>
  <c r="Z8" i="43"/>
  <c r="Z9" i="43" s="1"/>
  <c r="AD31" i="43"/>
  <c r="AD27" i="43"/>
  <c r="AD23" i="43"/>
  <c r="J47" i="45"/>
  <c r="F47" i="45"/>
  <c r="D47" i="45"/>
  <c r="E47" i="45"/>
  <c r="C47" i="45"/>
  <c r="O47" i="45"/>
  <c r="J46" i="45"/>
  <c r="D46" i="45"/>
  <c r="E46" i="45" s="1"/>
  <c r="C46" i="45"/>
  <c r="O46" i="45" s="1"/>
  <c r="G46" i="45"/>
  <c r="J45" i="45"/>
  <c r="D45" i="45"/>
  <c r="E45" i="45" s="1"/>
  <c r="C45" i="45"/>
  <c r="J44" i="45"/>
  <c r="F44" i="45"/>
  <c r="D44" i="45"/>
  <c r="E44" i="45"/>
  <c r="C44" i="45"/>
  <c r="O44" i="45"/>
  <c r="J43" i="45"/>
  <c r="E43" i="45"/>
  <c r="D43" i="45"/>
  <c r="C43" i="45"/>
  <c r="G43" i="45" s="1"/>
  <c r="J42" i="45"/>
  <c r="D42" i="45"/>
  <c r="E42" i="45"/>
  <c r="C42" i="45"/>
  <c r="O42" i="45"/>
  <c r="G42" i="45"/>
  <c r="J40" i="45"/>
  <c r="D40" i="45"/>
  <c r="E40" i="45"/>
  <c r="C40" i="45"/>
  <c r="J39" i="45"/>
  <c r="D39" i="45"/>
  <c r="E39" i="45" s="1"/>
  <c r="C39" i="45"/>
  <c r="O39" i="45" s="1"/>
  <c r="O38" i="45"/>
  <c r="J38" i="45"/>
  <c r="F38" i="45"/>
  <c r="D38" i="45"/>
  <c r="E38" i="45" s="1"/>
  <c r="C38" i="45"/>
  <c r="G38" i="45"/>
  <c r="J37" i="45"/>
  <c r="D37" i="45"/>
  <c r="E37" i="45" s="1"/>
  <c r="C37" i="45"/>
  <c r="G37" i="45" s="1"/>
  <c r="J36" i="45"/>
  <c r="D36" i="45"/>
  <c r="E36" i="45"/>
  <c r="C36" i="45"/>
  <c r="J35" i="45"/>
  <c r="D35" i="45"/>
  <c r="E35" i="45" s="1"/>
  <c r="C35" i="45"/>
  <c r="F35" i="45" s="1"/>
  <c r="O34" i="45"/>
  <c r="J34" i="45"/>
  <c r="F34" i="45"/>
  <c r="D34" i="45"/>
  <c r="E34" i="45" s="1"/>
  <c r="C34" i="45"/>
  <c r="G34" i="45"/>
  <c r="J33" i="45"/>
  <c r="D33" i="45"/>
  <c r="E33" i="45" s="1"/>
  <c r="C33" i="45"/>
  <c r="G33" i="45" s="1"/>
  <c r="J32" i="45"/>
  <c r="D32" i="45"/>
  <c r="E32" i="45"/>
  <c r="C32" i="45"/>
  <c r="J31" i="45"/>
  <c r="D31" i="45"/>
  <c r="E31" i="45" s="1"/>
  <c r="C31" i="45"/>
  <c r="F31" i="45" s="1"/>
  <c r="J30" i="45"/>
  <c r="D30" i="45"/>
  <c r="E30" i="45" s="1"/>
  <c r="C30" i="45"/>
  <c r="O30" i="45" s="1"/>
  <c r="J29" i="45"/>
  <c r="D29" i="45"/>
  <c r="E29" i="45"/>
  <c r="C29" i="45"/>
  <c r="O29" i="45"/>
  <c r="J28" i="45"/>
  <c r="D28" i="45"/>
  <c r="E28" i="45" s="1"/>
  <c r="C28" i="45"/>
  <c r="O28" i="45" s="1"/>
  <c r="O27" i="45"/>
  <c r="J27" i="45"/>
  <c r="F27" i="45"/>
  <c r="D27" i="45"/>
  <c r="E27" i="45" s="1"/>
  <c r="C27" i="45"/>
  <c r="G27" i="45"/>
  <c r="J26" i="45"/>
  <c r="D26" i="45"/>
  <c r="E26" i="45" s="1"/>
  <c r="C26" i="45"/>
  <c r="G26" i="45" s="1"/>
  <c r="J25" i="45"/>
  <c r="D25" i="45"/>
  <c r="E25" i="45"/>
  <c r="C25" i="45"/>
  <c r="J24" i="45"/>
  <c r="G24" i="45"/>
  <c r="F24" i="45"/>
  <c r="D24" i="45"/>
  <c r="E24" i="45"/>
  <c r="C24" i="45"/>
  <c r="O24" i="45"/>
  <c r="J23" i="45"/>
  <c r="F23" i="45"/>
  <c r="D23" i="45"/>
  <c r="E23" i="45" s="1"/>
  <c r="C23" i="45"/>
  <c r="G23" i="45" s="1"/>
  <c r="O23" i="45"/>
  <c r="O22" i="45"/>
  <c r="J22" i="45"/>
  <c r="F22" i="45"/>
  <c r="D22" i="45"/>
  <c r="E22" i="45"/>
  <c r="C22" i="45"/>
  <c r="G22" i="45"/>
  <c r="J21" i="45"/>
  <c r="G21" i="45"/>
  <c r="D21" i="45"/>
  <c r="E21" i="45"/>
  <c r="C21" i="45"/>
  <c r="J20" i="45"/>
  <c r="D20" i="45"/>
  <c r="E20" i="45"/>
  <c r="C20" i="45"/>
  <c r="O19" i="45"/>
  <c r="J19" i="45"/>
  <c r="F19" i="45"/>
  <c r="D19" i="45"/>
  <c r="E19" i="45" s="1"/>
  <c r="C19" i="45"/>
  <c r="G19" i="45"/>
  <c r="J18" i="45"/>
  <c r="F18" i="45"/>
  <c r="D18" i="45"/>
  <c r="E18" i="45" s="1"/>
  <c r="C18" i="45"/>
  <c r="G18" i="45" s="1"/>
  <c r="O18" i="45"/>
  <c r="J17" i="45"/>
  <c r="D17" i="45"/>
  <c r="E17" i="45"/>
  <c r="C17" i="45"/>
  <c r="G17" i="45"/>
  <c r="J16" i="45"/>
  <c r="G16" i="45"/>
  <c r="D16" i="45"/>
  <c r="E16" i="45"/>
  <c r="C16" i="45"/>
  <c r="O16" i="45"/>
  <c r="J15" i="45"/>
  <c r="D15" i="45"/>
  <c r="E15" i="45"/>
  <c r="C15" i="45"/>
  <c r="O15" i="45" s="1"/>
  <c r="O14" i="45"/>
  <c r="J14" i="45"/>
  <c r="F14" i="45"/>
  <c r="D14" i="45"/>
  <c r="E14" i="45"/>
  <c r="C14" i="45"/>
  <c r="G14" i="45"/>
  <c r="J13" i="45"/>
  <c r="D13" i="45"/>
  <c r="E13" i="45" s="1"/>
  <c r="C13" i="45"/>
  <c r="J12" i="45"/>
  <c r="D12" i="45"/>
  <c r="E12" i="45" s="1"/>
  <c r="C12" i="45"/>
  <c r="O12" i="45" s="1"/>
  <c r="J11" i="45"/>
  <c r="E11" i="45"/>
  <c r="D11" i="45"/>
  <c r="C11" i="45"/>
  <c r="O11" i="45" s="1"/>
  <c r="J10" i="45"/>
  <c r="E10" i="45"/>
  <c r="D10" i="45"/>
  <c r="C10" i="45"/>
  <c r="F10" i="45" s="1"/>
  <c r="G10" i="45"/>
  <c r="J9" i="45"/>
  <c r="D9" i="45"/>
  <c r="E9" i="45" s="1"/>
  <c r="C9" i="45"/>
  <c r="J8" i="45"/>
  <c r="D8" i="45"/>
  <c r="E8" i="45" s="1"/>
  <c r="C8" i="45"/>
  <c r="O8" i="45" s="1"/>
  <c r="J7" i="45"/>
  <c r="D7" i="45"/>
  <c r="E7" i="45" s="1"/>
  <c r="C7" i="45"/>
  <c r="O7" i="45" s="1"/>
  <c r="J6" i="45"/>
  <c r="D6" i="45"/>
  <c r="E6" i="45" s="1"/>
  <c r="C6" i="45"/>
  <c r="F6" i="45" s="1"/>
  <c r="J5" i="45"/>
  <c r="D5" i="45"/>
  <c r="E5" i="45" s="1"/>
  <c r="C5" i="45"/>
  <c r="F5" i="45" s="1"/>
  <c r="J4" i="45"/>
  <c r="D4" i="45"/>
  <c r="E4" i="45" s="1"/>
  <c r="C4" i="45"/>
  <c r="V54" i="43"/>
  <c r="V57" i="43" s="1"/>
  <c r="V59" i="43" s="1"/>
  <c r="R60" i="43"/>
  <c r="F68" i="43"/>
  <c r="E68" i="43"/>
  <c r="D68" i="43"/>
  <c r="C68" i="43"/>
  <c r="R54" i="43"/>
  <c r="V49" i="43"/>
  <c r="R47" i="43"/>
  <c r="R48" i="43" s="1"/>
  <c r="R46" i="43"/>
  <c r="R37" i="43"/>
  <c r="R36" i="43"/>
  <c r="V35" i="43"/>
  <c r="V31" i="43"/>
  <c r="V27" i="43"/>
  <c r="V39" i="43" s="1"/>
  <c r="V40" i="43" s="1"/>
  <c r="V41" i="43" s="1"/>
  <c r="R27" i="43"/>
  <c r="R26" i="43"/>
  <c r="R25" i="43"/>
  <c r="V11" i="43" s="1"/>
  <c r="V20" i="43"/>
  <c r="AD16" i="43"/>
  <c r="AD17" i="43" s="1"/>
  <c r="AD18" i="43" s="1"/>
  <c r="AD8" i="43"/>
  <c r="V8" i="43"/>
  <c r="R7" i="43"/>
  <c r="R9" i="43" s="1"/>
  <c r="R14" i="43" s="1"/>
  <c r="V12" i="43" s="1"/>
  <c r="F25" i="45"/>
  <c r="O25" i="45"/>
  <c r="F40" i="45"/>
  <c r="O40" i="45"/>
  <c r="F13" i="45"/>
  <c r="O13" i="45"/>
  <c r="G20" i="45"/>
  <c r="F29" i="45"/>
  <c r="F36" i="45"/>
  <c r="O36" i="45"/>
  <c r="F17" i="45"/>
  <c r="O17" i="45"/>
  <c r="G25" i="45"/>
  <c r="F28" i="45"/>
  <c r="G40" i="45"/>
  <c r="O5" i="45"/>
  <c r="G13" i="45"/>
  <c r="F16" i="45"/>
  <c r="G28" i="45"/>
  <c r="G29" i="45"/>
  <c r="G36" i="45"/>
  <c r="G45" i="45"/>
  <c r="O45" i="45"/>
  <c r="G31" i="45"/>
  <c r="G35" i="45"/>
  <c r="G44" i="45"/>
  <c r="G47" i="45"/>
  <c r="F32" i="45"/>
  <c r="O32" i="45"/>
  <c r="G32" i="45"/>
  <c r="G12" i="45"/>
  <c r="F4" i="45"/>
  <c r="G4" i="45"/>
  <c r="G9" i="45"/>
  <c r="F9" i="45"/>
  <c r="O9" i="45"/>
  <c r="F20" i="45"/>
  <c r="O20" i="45"/>
  <c r="Z29" i="43"/>
  <c r="Z32" i="43"/>
  <c r="Z35" i="43" s="1"/>
  <c r="Z37" i="43" s="1"/>
  <c r="F7" i="45"/>
  <c r="G7" i="45"/>
  <c r="F21" i="45"/>
  <c r="O21" i="45"/>
  <c r="O4" i="45"/>
  <c r="F15" i="45"/>
  <c r="G15" i="45"/>
  <c r="F33" i="45"/>
  <c r="F37" i="45"/>
  <c r="F42" i="45"/>
  <c r="F46" i="45"/>
  <c r="G41" i="45"/>
  <c r="O33" i="45"/>
  <c r="O37" i="45"/>
  <c r="E34" i="43" l="1"/>
  <c r="F27" i="43"/>
  <c r="F32" i="43" s="1"/>
  <c r="F42" i="43" s="1"/>
  <c r="D27" i="43"/>
  <c r="D32" i="43" s="1"/>
  <c r="D42" i="43" s="1"/>
  <c r="C34" i="43"/>
  <c r="C35" i="43"/>
  <c r="D34" i="43"/>
  <c r="D35" i="43"/>
  <c r="Z76" i="43"/>
  <c r="R38" i="43"/>
  <c r="R39" i="43" s="1"/>
  <c r="V42" i="43"/>
  <c r="V43" i="43" s="1"/>
  <c r="V36" i="43"/>
  <c r="F12" i="45"/>
  <c r="G5" i="45"/>
  <c r="O6" i="45"/>
  <c r="G11" i="45"/>
  <c r="G30" i="45"/>
  <c r="O35" i="45"/>
  <c r="F41" i="45"/>
  <c r="F26" i="45"/>
  <c r="G6" i="45"/>
  <c r="F8" i="45"/>
  <c r="O10" i="45"/>
  <c r="O31" i="45"/>
  <c r="F39" i="45"/>
  <c r="F43" i="45"/>
  <c r="O26" i="45"/>
  <c r="G39" i="45"/>
  <c r="G8" i="45"/>
  <c r="F11" i="45"/>
  <c r="O43" i="45"/>
  <c r="Z12" i="43"/>
  <c r="Z16" i="43" s="1"/>
  <c r="Z18" i="43" s="1"/>
  <c r="Z20" i="43" s="1"/>
  <c r="Z39" i="43"/>
  <c r="Z40" i="43"/>
  <c r="Z51" i="43"/>
  <c r="Z54" i="43" s="1"/>
  <c r="Z57" i="43" s="1"/>
  <c r="R28" i="43"/>
  <c r="V13" i="43"/>
  <c r="F55" i="43" l="1"/>
  <c r="F54" i="43" s="1"/>
  <c r="Z21" i="43"/>
  <c r="E55" i="43"/>
  <c r="E54" i="43" s="1"/>
  <c r="Z59" i="43"/>
  <c r="Z60" i="43"/>
  <c r="D55" i="43"/>
  <c r="C55" i="43"/>
  <c r="E60" i="43" l="1"/>
  <c r="E63" i="43" s="1"/>
  <c r="F60" i="43"/>
  <c r="F63" i="43" s="1"/>
  <c r="F61" i="43"/>
  <c r="E61" i="43"/>
  <c r="D54" i="43"/>
  <c r="D61" i="43"/>
  <c r="D60" i="43"/>
  <c r="D63" i="43" s="1"/>
  <c r="E51" i="43"/>
  <c r="F51" i="43"/>
  <c r="F46" i="43"/>
  <c r="F47" i="43" s="1"/>
  <c r="D51" i="43"/>
  <c r="C60" i="43"/>
  <c r="C63" i="43" s="1"/>
  <c r="C61" i="43"/>
  <c r="C54" i="43"/>
  <c r="C51" i="43"/>
  <c r="F56" i="43" l="1"/>
  <c r="F64" i="43"/>
  <c r="D64" i="43"/>
  <c r="D56" i="43"/>
  <c r="E56" i="43"/>
  <c r="E64" i="43"/>
  <c r="C56" i="43"/>
  <c r="C64" i="43"/>
  <c r="F70" i="43" l="1"/>
  <c r="F73" i="43" s="1"/>
  <c r="F69" i="43"/>
  <c r="F72" i="43" s="1"/>
  <c r="F71" i="43"/>
  <c r="F74" i="43" s="1"/>
  <c r="F76" i="43" s="1"/>
  <c r="E70" i="43"/>
  <c r="E73" i="43" s="1"/>
  <c r="E69" i="43"/>
  <c r="E72" i="43" s="1"/>
  <c r="E71" i="43"/>
  <c r="E74" i="43" s="1"/>
  <c r="E76" i="43" s="1"/>
  <c r="D71" i="43"/>
  <c r="D74" i="43" s="1"/>
  <c r="D76" i="43" s="1"/>
  <c r="D70" i="43"/>
  <c r="D73" i="43" s="1"/>
  <c r="D69" i="43"/>
  <c r="D72" i="43" s="1"/>
  <c r="C71" i="43"/>
  <c r="C74" i="43" s="1"/>
  <c r="C76" i="43" s="1"/>
  <c r="C70" i="43"/>
  <c r="C73" i="43" s="1"/>
  <c r="C69" i="43"/>
  <c r="C72" i="43" s="1"/>
  <c r="E89" i="43" l="1"/>
  <c r="E81" i="43"/>
  <c r="E87" i="43" s="1"/>
  <c r="E83" i="43"/>
  <c r="D89" i="43"/>
  <c r="D81" i="43"/>
  <c r="D87" i="43" s="1"/>
  <c r="D83" i="43"/>
  <c r="E90" i="43"/>
  <c r="E82" i="43"/>
  <c r="E88" i="43" s="1"/>
  <c r="E84" i="43"/>
  <c r="D84" i="43"/>
  <c r="D90" i="43"/>
  <c r="D82" i="43"/>
  <c r="D88" i="43" s="1"/>
  <c r="E78" i="43"/>
  <c r="E93" i="43"/>
  <c r="D78" i="43"/>
  <c r="D93" i="43"/>
  <c r="F78" i="43"/>
  <c r="F93" i="43"/>
  <c r="F83" i="43"/>
  <c r="F81" i="43"/>
  <c r="F87" i="43" s="1"/>
  <c r="F89" i="43"/>
  <c r="F84" i="43"/>
  <c r="F90" i="43"/>
  <c r="F82" i="43"/>
  <c r="F88" i="43" s="1"/>
  <c r="C84" i="43"/>
  <c r="C90" i="43"/>
  <c r="C82" i="43"/>
  <c r="C88" i="43" s="1"/>
  <c r="C78" i="43"/>
  <c r="C93" i="43"/>
  <c r="C89" i="43"/>
  <c r="C81" i="43"/>
  <c r="C87" i="43" s="1"/>
  <c r="C83" i="43"/>
</calcChain>
</file>

<file path=xl/sharedStrings.xml><?xml version="1.0" encoding="utf-8"?>
<sst xmlns="http://schemas.openxmlformats.org/spreadsheetml/2006/main" count="1262" uniqueCount="684">
  <si>
    <t>V</t>
    <phoneticPr fontId="2" type="noConversion"/>
  </si>
  <si>
    <t>kW</t>
    <phoneticPr fontId="2" type="noConversion"/>
  </si>
  <si>
    <t>A</t>
    <phoneticPr fontId="2" type="noConversion"/>
  </si>
  <si>
    <t>㎟</t>
  </si>
  <si>
    <t>kHz</t>
    <phoneticPr fontId="2" type="noConversion"/>
  </si>
  <si>
    <t>mJ</t>
    <phoneticPr fontId="2" type="noConversion"/>
  </si>
  <si>
    <t>W</t>
    <phoneticPr fontId="2" type="noConversion"/>
  </si>
  <si>
    <t>%</t>
    <phoneticPr fontId="2" type="noConversion"/>
  </si>
  <si>
    <t>Total Gate Charge</t>
    <phoneticPr fontId="2" type="noConversion"/>
  </si>
  <si>
    <t>게이트 구동손실</t>
    <phoneticPr fontId="2" type="noConversion"/>
  </si>
  <si>
    <t>코일턴수</t>
    <phoneticPr fontId="2" type="noConversion"/>
  </si>
  <si>
    <t>Turns</t>
    <phoneticPr fontId="2" type="noConversion"/>
  </si>
  <si>
    <t>내부직경</t>
    <phoneticPr fontId="2" type="noConversion"/>
  </si>
  <si>
    <t>mm</t>
    <phoneticPr fontId="2" type="noConversion"/>
  </si>
  <si>
    <t>높이</t>
    <phoneticPr fontId="2" type="noConversion"/>
  </si>
  <si>
    <t>uH</t>
    <phoneticPr fontId="2" type="noConversion"/>
  </si>
  <si>
    <t>Vdc</t>
    <phoneticPr fontId="2" type="noConversion"/>
  </si>
  <si>
    <t>Idc</t>
    <phoneticPr fontId="2" type="noConversion"/>
  </si>
  <si>
    <t>Po</t>
    <phoneticPr fontId="2" type="noConversion"/>
  </si>
  <si>
    <t>Tesla</t>
    <phoneticPr fontId="2" type="noConversion"/>
  </si>
  <si>
    <t>일차 최대전압</t>
    <phoneticPr fontId="2" type="noConversion"/>
  </si>
  <si>
    <t>중족단면적</t>
    <phoneticPr fontId="2" type="noConversion"/>
  </si>
  <si>
    <t>cmSq</t>
    <phoneticPr fontId="2" type="noConversion"/>
  </si>
  <si>
    <t>스위칭주파수</t>
    <phoneticPr fontId="2" type="noConversion"/>
  </si>
  <si>
    <t>Hz</t>
    <phoneticPr fontId="2" type="noConversion"/>
  </si>
  <si>
    <t>최소 일차턴수</t>
    <phoneticPr fontId="2" type="noConversion"/>
  </si>
  <si>
    <t>공진콘덴서</t>
    <phoneticPr fontId="2" type="noConversion"/>
  </si>
  <si>
    <t>uF</t>
    <phoneticPr fontId="2" type="noConversion"/>
  </si>
  <si>
    <t>공진인덕터</t>
    <phoneticPr fontId="2" type="noConversion"/>
  </si>
  <si>
    <t>공진주파수</t>
    <phoneticPr fontId="2" type="noConversion"/>
  </si>
  <si>
    <t>Hz (결과)</t>
    <phoneticPr fontId="2" type="noConversion"/>
  </si>
  <si>
    <t>콘덴서</t>
    <phoneticPr fontId="2" type="noConversion"/>
  </si>
  <si>
    <t>uF</t>
  </si>
  <si>
    <t>인가주파수</t>
    <phoneticPr fontId="2" type="noConversion"/>
  </si>
  <si>
    <t>통전전류</t>
    <phoneticPr fontId="2" type="noConversion"/>
  </si>
  <si>
    <t>콘덴서전압</t>
    <phoneticPr fontId="2" type="noConversion"/>
  </si>
  <si>
    <t>폭</t>
    <phoneticPr fontId="2" type="noConversion"/>
  </si>
  <si>
    <t>주파수</t>
    <phoneticPr fontId="2" type="noConversion"/>
  </si>
  <si>
    <t>판사이거리</t>
    <phoneticPr fontId="2" type="noConversion"/>
  </si>
  <si>
    <t>판길이</t>
    <phoneticPr fontId="2" type="noConversion"/>
  </si>
  <si>
    <t>nH</t>
    <phoneticPr fontId="2" type="noConversion"/>
  </si>
  <si>
    <t>Q</t>
    <phoneticPr fontId="2" type="noConversion"/>
  </si>
  <si>
    <t>:1</t>
    <phoneticPr fontId="2" type="noConversion"/>
  </si>
  <si>
    <t>Ptot / IGBT CASE</t>
    <phoneticPr fontId="2" type="noConversion"/>
  </si>
  <si>
    <t>VDC</t>
    <phoneticPr fontId="2" type="noConversion"/>
  </si>
  <si>
    <t>uC</t>
    <phoneticPr fontId="2" type="noConversion"/>
  </si>
  <si>
    <t>W MAX</t>
    <phoneticPr fontId="2" type="noConversion"/>
  </si>
  <si>
    <t>KVA</t>
    <phoneticPr fontId="2" type="noConversion"/>
  </si>
  <si>
    <t>℃</t>
  </si>
  <si>
    <t>EA</t>
    <phoneticPr fontId="2" type="noConversion"/>
  </si>
  <si>
    <t>mm^2</t>
    <phoneticPr fontId="2" type="noConversion"/>
  </si>
  <si>
    <t>Current Density</t>
    <phoneticPr fontId="2" type="noConversion"/>
  </si>
  <si>
    <t>콘덴서값</t>
    <phoneticPr fontId="2" type="noConversion"/>
  </si>
  <si>
    <t>1차 공진전류</t>
    <phoneticPr fontId="2" type="noConversion"/>
  </si>
  <si>
    <t>입력전력</t>
    <phoneticPr fontId="2" type="noConversion"/>
  </si>
  <si>
    <t>공진전압</t>
    <phoneticPr fontId="2" type="noConversion"/>
  </si>
  <si>
    <t>VAC</t>
    <phoneticPr fontId="2" type="noConversion"/>
  </si>
  <si>
    <t>2차공진전류</t>
    <phoneticPr fontId="2" type="noConversion"/>
  </si>
  <si>
    <t>K/W</t>
    <phoneticPr fontId="2" type="noConversion"/>
  </si>
  <si>
    <t>℃</t>
    <phoneticPr fontId="2" type="noConversion"/>
  </si>
  <si>
    <t>냉각수 출수 온도</t>
    <phoneticPr fontId="2" type="noConversion"/>
  </si>
  <si>
    <t>냉각수 유량</t>
    <phoneticPr fontId="2" type="noConversion"/>
  </si>
  <si>
    <t>lpm</t>
    <phoneticPr fontId="2" type="noConversion"/>
  </si>
  <si>
    <t>냉각수 입수 온도 최대</t>
    <phoneticPr fontId="2" type="noConversion"/>
  </si>
  <si>
    <t>입력선전류</t>
    <phoneticPr fontId="2" type="noConversion"/>
  </si>
  <si>
    <t>입력선 단면적</t>
    <phoneticPr fontId="2" type="noConversion"/>
  </si>
  <si>
    <t>병렬</t>
    <phoneticPr fontId="2" type="noConversion"/>
  </si>
  <si>
    <t>직렬</t>
    <phoneticPr fontId="2" type="noConversion"/>
  </si>
  <si>
    <t>R</t>
    <phoneticPr fontId="2" type="noConversion"/>
  </si>
  <si>
    <t>Conduction Loss/Device</t>
    <phoneticPr fontId="2" type="noConversion"/>
  </si>
  <si>
    <t>Total Solid Device Loss</t>
    <phoneticPr fontId="2" type="noConversion"/>
  </si>
  <si>
    <t>공진콘덴서 전압</t>
    <phoneticPr fontId="2" type="noConversion"/>
  </si>
  <si>
    <t>Duty</t>
    <phoneticPr fontId="2" type="noConversion"/>
  </si>
  <si>
    <t>역율</t>
    <phoneticPr fontId="2" type="noConversion"/>
  </si>
  <si>
    <t>A/㎟</t>
    <phoneticPr fontId="2" type="noConversion"/>
  </si>
  <si>
    <t>L</t>
    <phoneticPr fontId="2" type="noConversion"/>
  </si>
  <si>
    <t>C</t>
    <phoneticPr fontId="2" type="noConversion"/>
  </si>
  <si>
    <t>Fr</t>
    <phoneticPr fontId="2" type="noConversion"/>
  </si>
  <si>
    <t>Phase MIN</t>
    <phoneticPr fontId="2" type="noConversion"/>
  </si>
  <si>
    <t>°</t>
    <phoneticPr fontId="2" type="noConversion"/>
  </si>
  <si>
    <t>TAN(Phase MIN)</t>
    <phoneticPr fontId="2" type="noConversion"/>
  </si>
  <si>
    <t>Fs</t>
    <phoneticPr fontId="2" type="noConversion"/>
  </si>
  <si>
    <t>Zl</t>
    <phoneticPr fontId="2" type="noConversion"/>
  </si>
  <si>
    <t>mΩ</t>
    <phoneticPr fontId="2" type="noConversion"/>
  </si>
  <si>
    <t>Zc</t>
    <phoneticPr fontId="2" type="noConversion"/>
  </si>
  <si>
    <t>Z</t>
    <phoneticPr fontId="2" type="noConversion"/>
  </si>
  <si>
    <t>HB/FB</t>
    <phoneticPr fontId="2" type="noConversion"/>
  </si>
  <si>
    <t>Half Bridge = 2, Full Bridge = 1</t>
    <phoneticPr fontId="2" type="noConversion"/>
  </si>
  <si>
    <t>Turn Ratio</t>
    <phoneticPr fontId="2" type="noConversion"/>
  </si>
  <si>
    <t>Vac secondary</t>
    <phoneticPr fontId="2" type="noConversion"/>
  </si>
  <si>
    <t>Ir primary</t>
    <phoneticPr fontId="2" type="noConversion"/>
  </si>
  <si>
    <t>Ir avg</t>
    <phoneticPr fontId="2" type="noConversion"/>
  </si>
  <si>
    <t>Ir avg DC</t>
    <phoneticPr fontId="2" type="noConversion"/>
  </si>
  <si>
    <t>Ir avg DC/Idc</t>
    <phoneticPr fontId="2" type="noConversion"/>
  </si>
  <si>
    <t>출력케이블L값</t>
    <phoneticPr fontId="2" type="noConversion"/>
  </si>
  <si>
    <t>부하 인덕턴스</t>
    <phoneticPr fontId="2" type="noConversion"/>
  </si>
  <si>
    <t>코일 병렬 수</t>
    <phoneticPr fontId="2" type="noConversion"/>
  </si>
  <si>
    <t>무부하 인덕턴스</t>
    <phoneticPr fontId="2" type="noConversion"/>
  </si>
  <si>
    <t>L값 감소율</t>
    <phoneticPr fontId="2" type="noConversion"/>
  </si>
  <si>
    <t>코일 직렬 수</t>
    <phoneticPr fontId="2" type="noConversion"/>
  </si>
  <si>
    <t>IR</t>
    <phoneticPr fontId="2" type="noConversion"/>
  </si>
  <si>
    <t>Qsw-cap</t>
    <phoneticPr fontId="2" type="noConversion"/>
  </si>
  <si>
    <t>COS(Phase MIN)</t>
    <phoneticPr fontId="2" type="noConversion"/>
  </si>
  <si>
    <t>Vac for Irmax at inphase</t>
    <phoneticPr fontId="2" type="noConversion"/>
  </si>
  <si>
    <t>Vac for Irmax with phase</t>
    <phoneticPr fontId="2" type="noConversion"/>
  </si>
  <si>
    <t>Irmax at R</t>
    <phoneticPr fontId="2" type="noConversion"/>
  </si>
  <si>
    <t>코일 L값</t>
    <phoneticPr fontId="2" type="noConversion"/>
  </si>
  <si>
    <t>인버터 출력전류</t>
    <phoneticPr fontId="2" type="noConversion"/>
  </si>
  <si>
    <t>DC LINK C값</t>
    <phoneticPr fontId="2" type="noConversion"/>
  </si>
  <si>
    <t>DC LINK CAP RIPPLE Voltage</t>
    <phoneticPr fontId="2" type="noConversion"/>
  </si>
  <si>
    <t>VDC 평균값</t>
    <phoneticPr fontId="2" type="noConversion"/>
  </si>
  <si>
    <t>DC LINK CAP RIPPLE Current</t>
    <phoneticPr fontId="2" type="noConversion"/>
  </si>
  <si>
    <t>동작주파수</t>
    <phoneticPr fontId="2" type="noConversion"/>
  </si>
  <si>
    <t>DC LINK CAP 리플 함유율(peak to peak)</t>
    <phoneticPr fontId="2" type="noConversion"/>
  </si>
  <si>
    <t>IGBT IC RMS전류</t>
    <phoneticPr fontId="2" type="noConversion"/>
  </si>
  <si>
    <t>파형 및 LCD 확인</t>
    <phoneticPr fontId="2" type="noConversion"/>
  </si>
  <si>
    <t>Switching Frequency</t>
    <phoneticPr fontId="2" type="noConversion"/>
  </si>
  <si>
    <t>DATA SHEET 확인</t>
    <phoneticPr fontId="2" type="noConversion"/>
  </si>
  <si>
    <t>게이트 전압</t>
    <phoneticPr fontId="2" type="noConversion"/>
  </si>
  <si>
    <t>게이트드라이버 전위차(예를 들어 +15V,-10V 일때는 25V)</t>
    <phoneticPr fontId="2" type="noConversion"/>
  </si>
  <si>
    <t>Off Switching Energy</t>
    <phoneticPr fontId="2" type="noConversion"/>
  </si>
  <si>
    <t>DATA SHEET 확인(Switching Current 에 해당하는 Off Switching Energy)</t>
    <phoneticPr fontId="2" type="noConversion"/>
  </si>
  <si>
    <t>On Switching Energy(ZVS)</t>
    <phoneticPr fontId="2" type="noConversion"/>
  </si>
  <si>
    <t>Diode 역방향 회복 Energy(ZVS)</t>
    <phoneticPr fontId="2" type="noConversion"/>
  </si>
  <si>
    <t>IGBT Switching Loss/Device</t>
    <phoneticPr fontId="2" type="noConversion"/>
  </si>
  <si>
    <t>Diode 역방향 회복 손실(ZVS)</t>
    <phoneticPr fontId="2" type="noConversion"/>
  </si>
  <si>
    <t>스너버 손실 비율</t>
  </si>
  <si>
    <t>스너버 없으면 100%, 스너버 최소 손실비율(55% 감소)</t>
    <phoneticPr fontId="2" type="noConversion"/>
  </si>
  <si>
    <t>IGBT Switching Loss/Device_스너버손실비율 포함</t>
    <phoneticPr fontId="2" type="noConversion"/>
  </si>
  <si>
    <t>IC 평균전류</t>
    <phoneticPr fontId="2" type="noConversion"/>
  </si>
  <si>
    <t>IGBT VCE Saturation</t>
    <phoneticPr fontId="2" type="noConversion"/>
  </si>
  <si>
    <t>DATA SHEET 확인(IC 평균전류에 해당하는 Vce saturation 확인)</t>
    <phoneticPr fontId="2" type="noConversion"/>
  </si>
  <si>
    <t>Diode Vf</t>
    <phoneticPr fontId="2" type="noConversion"/>
  </si>
  <si>
    <t>DATA SHEET 확인(IC 평균전류에 해당하는 Diode Vf 확인)</t>
    <phoneticPr fontId="2" type="noConversion"/>
  </si>
  <si>
    <t>위상지연각</t>
    <phoneticPr fontId="2" type="noConversion"/>
  </si>
  <si>
    <t>IGBT Conduction Loss</t>
    <phoneticPr fontId="2" type="noConversion"/>
  </si>
  <si>
    <t>Diode Conduction Loss</t>
    <phoneticPr fontId="2" type="noConversion"/>
  </si>
  <si>
    <t>모듈 Package 당 IGBT(switching device)수량</t>
    <phoneticPr fontId="2" type="noConversion"/>
  </si>
  <si>
    <t>열저항(Junction-Case)-IGBT</t>
    <phoneticPr fontId="2" type="noConversion"/>
  </si>
  <si>
    <t>Case온도(IGBT,Tj=125℃기준)</t>
    <phoneticPr fontId="2" type="noConversion"/>
  </si>
  <si>
    <t>표기된 온도 이상은 사용 불가</t>
    <phoneticPr fontId="2" type="noConversion"/>
  </si>
  <si>
    <t>Case온도(Diode,Tj=125℃기준)</t>
    <phoneticPr fontId="2" type="noConversion"/>
  </si>
  <si>
    <t>Case온도- IGBT  온도차</t>
    <phoneticPr fontId="2" type="noConversion"/>
  </si>
  <si>
    <t>Case온도- Diode 온도차</t>
    <phoneticPr fontId="2" type="noConversion"/>
  </si>
  <si>
    <t>열저항(Case-Heatsink)-IGBT(lPaste = 1 W/(m·K)기준)</t>
    <phoneticPr fontId="2" type="noConversion"/>
  </si>
  <si>
    <t>열저항(Case-Heatsink)-Diode(lPaste = 1 W/(m·K)기준)</t>
    <phoneticPr fontId="2" type="noConversion"/>
  </si>
  <si>
    <t>Heatsink온도-IGBT바닥면 중심</t>
    <phoneticPr fontId="2" type="noConversion"/>
  </si>
  <si>
    <t>Heatsink온도-Diode바닥면 중심</t>
    <phoneticPr fontId="2" type="noConversion"/>
  </si>
  <si>
    <t>Heatsink온도-케이스간 온도차-IGBT</t>
    <phoneticPr fontId="2" type="noConversion"/>
  </si>
  <si>
    <t>Heatsink온도-케이스간 온도차-Diode</t>
    <phoneticPr fontId="2" type="noConversion"/>
  </si>
  <si>
    <t>수냉방열판과의 열저항의 기준이 없어 60℃를 기준으로함</t>
    <phoneticPr fontId="2" type="noConversion"/>
  </si>
  <si>
    <t>유량</t>
    <phoneticPr fontId="2" type="noConversion"/>
  </si>
  <si>
    <t>Vdc 전압</t>
    <phoneticPr fontId="4" type="noConversion"/>
  </si>
  <si>
    <t>Vdc</t>
    <phoneticPr fontId="4" type="noConversion"/>
  </si>
  <si>
    <t>nF</t>
    <phoneticPr fontId="4" type="noConversion"/>
  </si>
  <si>
    <t>스너버 C값(POLE 기준)</t>
    <phoneticPr fontId="3" type="noConversion"/>
  </si>
  <si>
    <t>nF</t>
    <phoneticPr fontId="3" type="noConversion"/>
  </si>
  <si>
    <t>C스너버 보드당 C갯수</t>
    <phoneticPr fontId="4" type="noConversion"/>
  </si>
  <si>
    <t>개</t>
    <phoneticPr fontId="4" type="noConversion"/>
  </si>
  <si>
    <t>VDC 전압</t>
    <phoneticPr fontId="3" type="noConversion"/>
  </si>
  <si>
    <t>V</t>
    <phoneticPr fontId="3" type="noConversion"/>
  </si>
  <si>
    <t>보드를 겹침 수량</t>
    <phoneticPr fontId="4" type="noConversion"/>
  </si>
  <si>
    <t>스위칭전류</t>
    <phoneticPr fontId="3" type="noConversion"/>
  </si>
  <si>
    <t>A</t>
    <phoneticPr fontId="3" type="noConversion"/>
  </si>
  <si>
    <t>상하 고려</t>
    <phoneticPr fontId="4" type="noConversion"/>
  </si>
  <si>
    <t>스위칭시 전압 상승시간</t>
    <phoneticPr fontId="3" type="noConversion"/>
  </si>
  <si>
    <t>ns</t>
    <phoneticPr fontId="3" type="noConversion"/>
  </si>
  <si>
    <t>상하 데드타임</t>
    <phoneticPr fontId="4" type="noConversion"/>
  </si>
  <si>
    <t>us</t>
    <phoneticPr fontId="4" type="noConversion"/>
  </si>
  <si>
    <t>모듈 출력전류</t>
    <phoneticPr fontId="4" type="noConversion"/>
  </si>
  <si>
    <t>Arms</t>
    <phoneticPr fontId="4" type="noConversion"/>
  </si>
  <si>
    <t>운전 모듈 수량</t>
    <phoneticPr fontId="4" type="noConversion"/>
  </si>
  <si>
    <t>대</t>
    <phoneticPr fontId="4" type="noConversion"/>
  </si>
  <si>
    <t>인버터 출력전류</t>
    <phoneticPr fontId="4" type="noConversion"/>
  </si>
  <si>
    <t>정격전류시 상승시간</t>
    <phoneticPr fontId="4" type="noConversion"/>
  </si>
  <si>
    <t>ON-POLE</t>
    <phoneticPr fontId="4" type="noConversion"/>
  </si>
  <si>
    <t>스위칭각</t>
    <phoneticPr fontId="4" type="noConversion"/>
  </si>
  <si>
    <t>deg</t>
    <phoneticPr fontId="4" type="noConversion"/>
  </si>
  <si>
    <t>스위칭 전류</t>
    <phoneticPr fontId="4" type="noConversion"/>
  </si>
  <si>
    <t>A</t>
    <phoneticPr fontId="4" type="noConversion"/>
  </si>
  <si>
    <t>전압 상승 소요시간</t>
    <phoneticPr fontId="4" type="noConversion"/>
  </si>
  <si>
    <t>nsec</t>
    <phoneticPr fontId="4" type="noConversion"/>
  </si>
  <si>
    <t>데드타임 에 맞추기 위한</t>
    <phoneticPr fontId="4" type="noConversion"/>
  </si>
  <si>
    <t>ZVS 모듈 스위칭 전류</t>
    <phoneticPr fontId="4" type="noConversion"/>
  </si>
  <si>
    <t>ZVS 모듈 전류</t>
    <phoneticPr fontId="4" type="noConversion"/>
  </si>
  <si>
    <t>정격전류 대비 율</t>
    <phoneticPr fontId="4" type="noConversion"/>
  </si>
  <si>
    <t>%</t>
    <phoneticPr fontId="4" type="noConversion"/>
  </si>
  <si>
    <t>정격전력 대비 율</t>
    <phoneticPr fontId="4" type="noConversion"/>
  </si>
  <si>
    <t>사용 재료</t>
    <phoneticPr fontId="4" type="noConversion"/>
  </si>
  <si>
    <t>타프피치 동</t>
    <phoneticPr fontId="4" type="noConversion"/>
  </si>
  <si>
    <t>도체 고유전기저항</t>
    <phoneticPr fontId="2" type="noConversion"/>
  </si>
  <si>
    <t>[Ωm×10E-8]</t>
    <phoneticPr fontId="2" type="noConversion"/>
  </si>
  <si>
    <t>도체의 온도저항계수</t>
    <phoneticPr fontId="2" type="noConversion"/>
  </si>
  <si>
    <t>at 20℃</t>
    <phoneticPr fontId="2" type="noConversion"/>
  </si>
  <si>
    <t>도체의 온도</t>
    <phoneticPr fontId="2" type="noConversion"/>
  </si>
  <si>
    <t xml:space="preserve">도체의 산출저항 </t>
    <phoneticPr fontId="2" type="noConversion"/>
  </si>
  <si>
    <t>도체의 산출 전도도</t>
    <phoneticPr fontId="4" type="noConversion"/>
  </si>
  <si>
    <t>[SIMENS/m]</t>
    <phoneticPr fontId="4" type="noConversion"/>
  </si>
  <si>
    <t>비투자율</t>
    <phoneticPr fontId="2" type="noConversion"/>
  </si>
  <si>
    <t>ui</t>
    <phoneticPr fontId="3" type="noConversion"/>
  </si>
  <si>
    <t>[Hz]</t>
    <phoneticPr fontId="2" type="noConversion"/>
  </si>
  <si>
    <t>[mm]</t>
    <phoneticPr fontId="3" type="noConversion"/>
  </si>
  <si>
    <t>&lt;공진 C 계산 공식&gt;</t>
    <phoneticPr fontId="2" type="noConversion"/>
  </si>
  <si>
    <t>전체 탭</t>
    <phoneticPr fontId="2" type="noConversion"/>
  </si>
  <si>
    <t>사용 탭</t>
    <phoneticPr fontId="2" type="noConversion"/>
  </si>
  <si>
    <t>정격 전압</t>
    <phoneticPr fontId="2" type="noConversion"/>
  </si>
  <si>
    <t>정격 전류</t>
    <phoneticPr fontId="2" type="noConversion"/>
  </si>
  <si>
    <t>단위 C 용량</t>
    <phoneticPr fontId="2" type="noConversion"/>
  </si>
  <si>
    <t>사용가능 전압</t>
    <phoneticPr fontId="2" type="noConversion"/>
  </si>
  <si>
    <t>사용가능 전류</t>
    <phoneticPr fontId="2" type="noConversion"/>
  </si>
  <si>
    <t>탭</t>
    <phoneticPr fontId="2" type="noConversion"/>
  </si>
  <si>
    <t>직렬 연결 수량</t>
    <phoneticPr fontId="2" type="noConversion"/>
  </si>
  <si>
    <t>병렬 연결 수량</t>
    <phoneticPr fontId="2" type="noConversion"/>
  </si>
  <si>
    <t>&lt;Q값 계산 공식 :공진 C 기준&gt;</t>
    <phoneticPr fontId="2" type="noConversion"/>
  </si>
  <si>
    <t>&lt;위상각 계산 공식&gt;</t>
    <phoneticPr fontId="2" type="noConversion"/>
  </si>
  <si>
    <t>인버터 관련</t>
    <phoneticPr fontId="2" type="noConversion"/>
  </si>
  <si>
    <t>정류부 관련</t>
    <phoneticPr fontId="2" type="noConversion"/>
  </si>
  <si>
    <t>&lt;트랜스포머 최소 턴수 계산 공식&gt;</t>
    <phoneticPr fontId="2" type="noConversion"/>
  </si>
  <si>
    <t>turn</t>
    <phoneticPr fontId="2" type="noConversion"/>
  </si>
  <si>
    <t>전력</t>
    <phoneticPr fontId="2" type="noConversion"/>
  </si>
  <si>
    <t>입력 선전압</t>
    <phoneticPr fontId="2" type="noConversion"/>
  </si>
  <si>
    <t xml:space="preserve">비고 </t>
    <phoneticPr fontId="2" type="noConversion"/>
  </si>
  <si>
    <t>M/T 1차 구형파 전압으로 얻을 수 있는 AC 전압의 최대값</t>
    <phoneticPr fontId="2" type="noConversion"/>
  </si>
  <si>
    <t>공진 주파수</t>
    <phoneticPr fontId="2" type="noConversion"/>
  </si>
  <si>
    <t>&lt;콘덴서 내전압 계산 공식&gt;</t>
    <phoneticPr fontId="2" type="noConversion"/>
  </si>
  <si>
    <t>&lt;스너버C 용량 적정성 검토 계산 공식&gt;</t>
    <phoneticPr fontId="2" type="noConversion"/>
  </si>
  <si>
    <t>&lt;Dead Time 계산 공식&gt;</t>
    <phoneticPr fontId="2" type="noConversion"/>
  </si>
  <si>
    <t>[mmSQ]</t>
    <phoneticPr fontId="3" type="noConversion"/>
  </si>
  <si>
    <t>[A]</t>
    <phoneticPr fontId="2" type="noConversion"/>
  </si>
  <si>
    <t>[W]</t>
    <phoneticPr fontId="2" type="noConversion"/>
  </si>
  <si>
    <t>Skin Depth</t>
    <phoneticPr fontId="2" type="noConversion"/>
  </si>
  <si>
    <t>배선길이</t>
    <phoneticPr fontId="2" type="noConversion"/>
  </si>
  <si>
    <t>인가전류</t>
    <phoneticPr fontId="2" type="noConversion"/>
  </si>
  <si>
    <t>발열량</t>
    <phoneticPr fontId="2" type="noConversion"/>
  </si>
  <si>
    <t>파이프 외경</t>
    <phoneticPr fontId="2" type="noConversion"/>
  </si>
  <si>
    <t>`</t>
    <phoneticPr fontId="2" type="noConversion"/>
  </si>
  <si>
    <t>가로(외곽)</t>
    <phoneticPr fontId="2" type="noConversion"/>
  </si>
  <si>
    <t>세로(외곽)</t>
    <phoneticPr fontId="2" type="noConversion"/>
  </si>
  <si>
    <t>&lt;Fault 발생시 L에 의한 VDC 상승전압 계산공식&gt;</t>
    <phoneticPr fontId="2" type="noConversion"/>
  </si>
  <si>
    <t>전체 C 용량</t>
    <phoneticPr fontId="2" type="noConversion"/>
  </si>
  <si>
    <t>kw</t>
    <phoneticPr fontId="2" type="noConversion"/>
  </si>
  <si>
    <t>COSθ</t>
    <phoneticPr fontId="2" type="noConversion"/>
  </si>
  <si>
    <t>θ (위상각, Phase)</t>
    <phoneticPr fontId="2" type="noConversion"/>
  </si>
  <si>
    <t>코일 전압(출력케이블 포함)</t>
    <phoneticPr fontId="2" type="noConversion"/>
  </si>
  <si>
    <t>공진콘덴서 기준의 Q값(예상데이터, 측정 및 계산 데이터)</t>
    <phoneticPr fontId="2" type="noConversion"/>
  </si>
  <si>
    <t>Matching Transformer 의 권선비 기입</t>
    <phoneticPr fontId="2" type="noConversion"/>
  </si>
  <si>
    <t>M/T 1차 전류(인버터 출력 전류)</t>
    <phoneticPr fontId="2" type="noConversion"/>
  </si>
  <si>
    <t>공진 전류(코일전류, C/T 1차전류)</t>
    <phoneticPr fontId="2" type="noConversion"/>
  </si>
  <si>
    <t>동작 주파수 (Q값 ,위상각 등에 따라 달라짐)</t>
    <phoneticPr fontId="2" type="noConversion"/>
  </si>
  <si>
    <t>&lt;DC LINK CAPACITOR 리플 전압,전류 계산 공식&gt;</t>
    <phoneticPr fontId="2" type="noConversion"/>
  </si>
  <si>
    <t>인버터의 위상각(DUTY 98%가 될 수있도록 변경, 30~89°범위: 상황에 따라 20°까지 가능)</t>
    <phoneticPr fontId="2" type="noConversion"/>
  </si>
  <si>
    <t>98%정도, Phase MIN 값 을 조정하여 변경</t>
    <phoneticPr fontId="2" type="noConversion"/>
  </si>
  <si>
    <t>단면적</t>
    <phoneticPr fontId="2" type="noConversion"/>
  </si>
  <si>
    <t xml:space="preserve">부스바 폭(너비) </t>
    <phoneticPr fontId="2" type="noConversion"/>
  </si>
  <si>
    <t xml:space="preserve">단면적 </t>
    <phoneticPr fontId="2" type="noConversion"/>
  </si>
  <si>
    <t>Min(스킨뎁스,두께)</t>
    <phoneticPr fontId="2" type="noConversion"/>
  </si>
  <si>
    <t>두께 : 파이프</t>
    <phoneticPr fontId="2" type="noConversion"/>
  </si>
  <si>
    <t xml:space="preserve">두께 : 부스바 </t>
    <phoneticPr fontId="2" type="noConversion"/>
  </si>
  <si>
    <t>&lt;코일 인덕턴스 계산 공식, C/T 및 출력케이블포함&gt;</t>
    <phoneticPr fontId="2" type="noConversion"/>
  </si>
  <si>
    <t>C/T권선비</t>
    <phoneticPr fontId="2" type="noConversion"/>
  </si>
  <si>
    <t>C/T1차 인덕턴스</t>
    <phoneticPr fontId="2" type="noConversion"/>
  </si>
  <si>
    <t>VDC (Fault 발생시 상승전압)</t>
    <phoneticPr fontId="2" type="noConversion"/>
  </si>
  <si>
    <t>VDC (동작: RUN 중)</t>
    <phoneticPr fontId="2" type="noConversion"/>
  </si>
  <si>
    <t>C스너버 개당 C값</t>
    <phoneticPr fontId="4" type="noConversion"/>
  </si>
  <si>
    <t>트랜스포머 권선비</t>
    <phoneticPr fontId="2" type="noConversion"/>
  </si>
  <si>
    <t>열저항(Junction-Case)-Diode</t>
    <phoneticPr fontId="2" type="noConversion"/>
  </si>
  <si>
    <t>&lt;평판 인덕턴스 계산 공식&gt;</t>
    <phoneticPr fontId="2" type="noConversion"/>
  </si>
  <si>
    <t>코일 혹은 C/T 1차측 L값 (측정값 혹은 설계 값)</t>
    <phoneticPr fontId="2" type="noConversion"/>
  </si>
  <si>
    <t>코일의 Q값 (예상값 범위를 입력)</t>
    <phoneticPr fontId="2" type="noConversion"/>
  </si>
  <si>
    <t>Vdc 전압</t>
    <phoneticPr fontId="2" type="noConversion"/>
  </si>
  <si>
    <t>상당 입력 선전류 (차단기 및 FUSE 선정 기준)</t>
    <phoneticPr fontId="2" type="noConversion"/>
  </si>
  <si>
    <t>Idc 전류 (정류다이오드 선정 기준)</t>
    <phoneticPr fontId="2" type="noConversion"/>
  </si>
  <si>
    <t>공진 콘덴서 총 C값 (Fs 및 Fr를 원하는 주파수에 맞게 C값을 조정)</t>
    <phoneticPr fontId="2" type="noConversion"/>
  </si>
  <si>
    <t>기입순서</t>
    <phoneticPr fontId="2" type="noConversion"/>
  </si>
  <si>
    <t>Switching Current(peak)</t>
    <phoneticPr fontId="2" type="noConversion"/>
  </si>
  <si>
    <t>IGBT 병렬 수량</t>
    <phoneticPr fontId="2" type="noConversion"/>
  </si>
  <si>
    <t>IGBT Loss (Total)</t>
    <phoneticPr fontId="2" type="noConversion"/>
  </si>
  <si>
    <t>Diode Loss (Total)</t>
    <phoneticPr fontId="2" type="noConversion"/>
  </si>
  <si>
    <t>IGBT 1EA 당 흐르는 IC RMS 전류</t>
    <phoneticPr fontId="2" type="noConversion"/>
  </si>
  <si>
    <t>IGBT 병렬 연결 수량</t>
    <phoneticPr fontId="2" type="noConversion"/>
  </si>
  <si>
    <t>정현파 기준 PEAK치로 계산 (IC RMS *1.414)</t>
    <phoneticPr fontId="2" type="noConversion"/>
  </si>
  <si>
    <t>Loss %</t>
    <phoneticPr fontId="2" type="noConversion"/>
  </si>
  <si>
    <t>약 30% 이하가 되어야 함</t>
    <phoneticPr fontId="2" type="noConversion"/>
  </si>
  <si>
    <t>SINGLE 모듈: 1, DUAL 모듈: 2(62mm package)</t>
    <phoneticPr fontId="2" type="noConversion"/>
  </si>
  <si>
    <t>Total Loss/Module</t>
    <phoneticPr fontId="2" type="noConversion"/>
  </si>
  <si>
    <t>Zl at Fr</t>
    <phoneticPr fontId="2" type="noConversion"/>
  </si>
  <si>
    <t>Vc Voltage</t>
    <phoneticPr fontId="2" type="noConversion"/>
  </si>
  <si>
    <t>Vl Voltage</t>
    <phoneticPr fontId="2" type="noConversion"/>
  </si>
  <si>
    <t xml:space="preserve">Vac max </t>
    <phoneticPr fontId="2" type="noConversion"/>
  </si>
  <si>
    <t>M/T 2차 구형파 전압으로 얻을 수 있는 AC 전압의 최대값</t>
    <phoneticPr fontId="2" type="noConversion"/>
  </si>
  <si>
    <t>직렬공진회로 설계 시트_FM</t>
    <phoneticPr fontId="2" type="noConversion"/>
  </si>
  <si>
    <t>IGBT 발열량 계산(기초)</t>
    <phoneticPr fontId="2" type="noConversion"/>
  </si>
  <si>
    <t>&lt;평판 커패시턴스 계산 공식&gt;</t>
    <phoneticPr fontId="2" type="noConversion"/>
  </si>
  <si>
    <t>판 면적</t>
    <phoneticPr fontId="2" type="noConversion"/>
  </si>
  <si>
    <t>nF</t>
    <phoneticPr fontId="2" type="noConversion"/>
  </si>
  <si>
    <t>테프론(2.1)</t>
    <phoneticPr fontId="2" type="noConversion"/>
  </si>
  <si>
    <t>내부도체외경</t>
    <phoneticPr fontId="2" type="noConversion"/>
  </si>
  <si>
    <t>절연체두께</t>
    <phoneticPr fontId="2" type="noConversion"/>
  </si>
  <si>
    <t>판사이거리(절연체두께)</t>
    <phoneticPr fontId="2" type="noConversion"/>
  </si>
  <si>
    <t>외부도체내경</t>
    <phoneticPr fontId="2" type="noConversion"/>
  </si>
  <si>
    <t>공기유전율 (ε0)</t>
    <phoneticPr fontId="5" type="noConversion"/>
  </si>
  <si>
    <t>비유전율 (εr)</t>
    <phoneticPr fontId="2" type="noConversion"/>
  </si>
  <si>
    <t>C(단위길이당 1m 당)</t>
    <phoneticPr fontId="2" type="noConversion"/>
  </si>
  <si>
    <t>케이블 길이</t>
    <phoneticPr fontId="2" type="noConversion"/>
  </si>
  <si>
    <t xml:space="preserve">C값 </t>
    <phoneticPr fontId="2" type="noConversion"/>
  </si>
  <si>
    <t>m</t>
    <phoneticPr fontId="2" type="noConversion"/>
  </si>
  <si>
    <t>&lt;동축케이블 커패시턴스 계산 공식&gt;</t>
    <phoneticPr fontId="2" type="noConversion"/>
  </si>
  <si>
    <t>정격전력</t>
    <phoneticPr fontId="6" type="noConversion"/>
  </si>
  <si>
    <t>입력전압</t>
    <phoneticPr fontId="6" type="noConversion"/>
  </si>
  <si>
    <t>입력선전류</t>
    <phoneticPr fontId="6" type="noConversion"/>
  </si>
  <si>
    <t>DC전압</t>
    <phoneticPr fontId="6" type="noConversion"/>
  </si>
  <si>
    <t>DC전류</t>
    <phoneticPr fontId="6" type="noConversion"/>
  </si>
  <si>
    <t>필요SQ</t>
    <phoneticPr fontId="6" type="noConversion"/>
  </si>
  <si>
    <t>SQ당 전류</t>
    <phoneticPr fontId="6" type="noConversion"/>
  </si>
  <si>
    <t>인입선SQ</t>
    <phoneticPr fontId="6" type="noConversion"/>
  </si>
  <si>
    <t>가닥수</t>
    <phoneticPr fontId="6" type="noConversion"/>
  </si>
  <si>
    <t>접지선필요SQ</t>
    <phoneticPr fontId="6" type="noConversion"/>
  </si>
  <si>
    <t>접지선SQ</t>
    <phoneticPr fontId="6" type="noConversion"/>
  </si>
  <si>
    <t>차단기 용량</t>
    <phoneticPr fontId="6" type="noConversion"/>
  </si>
  <si>
    <t xml:space="preserve">Main차단기 </t>
    <phoneticPr fontId="6" type="noConversion"/>
  </si>
  <si>
    <t>3상입력선SQ</t>
    <phoneticPr fontId="6" type="noConversion"/>
  </si>
  <si>
    <t>퓨즈용량</t>
    <phoneticPr fontId="6" type="noConversion"/>
  </si>
  <si>
    <t>퓨즈</t>
    <phoneticPr fontId="6" type="noConversion"/>
  </si>
  <si>
    <t>정류소자</t>
    <phoneticPr fontId="6" type="noConversion"/>
  </si>
  <si>
    <t>DC REACTOR</t>
    <phoneticPr fontId="6" type="noConversion"/>
  </si>
  <si>
    <t>션트저항</t>
    <phoneticPr fontId="6" type="noConversion"/>
  </si>
  <si>
    <t>초기충전</t>
    <phoneticPr fontId="6" type="noConversion"/>
  </si>
  <si>
    <t>DC과전압보호</t>
    <phoneticPr fontId="6" type="noConversion"/>
  </si>
  <si>
    <t>다이오드</t>
    <phoneticPr fontId="6" type="noConversion"/>
  </si>
  <si>
    <t>SCR</t>
    <phoneticPr fontId="6" type="noConversion"/>
  </si>
  <si>
    <t>GMC-75</t>
    <phoneticPr fontId="6" type="noConversion"/>
  </si>
  <si>
    <t>25 (연선)</t>
    <phoneticPr fontId="6" type="noConversion"/>
  </si>
  <si>
    <t>100A</t>
    <phoneticPr fontId="6" type="noConversion"/>
  </si>
  <si>
    <t>DDB6U215N16L</t>
    <phoneticPr fontId="6" type="noConversion"/>
  </si>
  <si>
    <t>50XF</t>
  </si>
  <si>
    <t>100A</t>
    <phoneticPr fontId="6" type="noConversion"/>
  </si>
  <si>
    <t>INRUSH_V6</t>
    <phoneticPr fontId="6" type="noConversion"/>
  </si>
  <si>
    <t>-</t>
    <phoneticPr fontId="6" type="noConversion"/>
  </si>
  <si>
    <t>GMC-50</t>
    <phoneticPr fontId="6" type="noConversion"/>
  </si>
  <si>
    <t>16 (연선)</t>
    <phoneticPr fontId="6" type="noConversion"/>
  </si>
  <si>
    <t>50A</t>
    <phoneticPr fontId="6" type="noConversion"/>
  </si>
  <si>
    <t>INRUSH_V6</t>
    <phoneticPr fontId="6" type="noConversion"/>
  </si>
  <si>
    <t>GMC-125</t>
    <phoneticPr fontId="6" type="noConversion"/>
  </si>
  <si>
    <t>35 (연선)</t>
    <phoneticPr fontId="6" type="noConversion"/>
  </si>
  <si>
    <t>120A</t>
    <phoneticPr fontId="6" type="noConversion"/>
  </si>
  <si>
    <t>150A</t>
    <phoneticPr fontId="6" type="noConversion"/>
  </si>
  <si>
    <t>ABS203c 200A</t>
    <phoneticPr fontId="6" type="noConversion"/>
  </si>
  <si>
    <t>50 (연선)</t>
    <phoneticPr fontId="6" type="noConversion"/>
  </si>
  <si>
    <t>200A</t>
    <phoneticPr fontId="6" type="noConversion"/>
  </si>
  <si>
    <t>DD171N16K/MDD17216N1</t>
    <phoneticPr fontId="6" type="noConversion"/>
  </si>
  <si>
    <t>100XF</t>
    <phoneticPr fontId="6" type="noConversion"/>
  </si>
  <si>
    <t>300A</t>
    <phoneticPr fontId="6" type="noConversion"/>
  </si>
  <si>
    <t>INRUSH_MC_DC SUNBBER</t>
    <phoneticPr fontId="6" type="noConversion"/>
  </si>
  <si>
    <t>ABS103c 125A</t>
    <phoneticPr fontId="6" type="noConversion"/>
  </si>
  <si>
    <t>ABS403c 300A</t>
    <phoneticPr fontId="6" type="noConversion"/>
  </si>
  <si>
    <t>95 (연선)*2</t>
    <phoneticPr fontId="6" type="noConversion"/>
  </si>
  <si>
    <t>300A</t>
    <phoneticPr fontId="6" type="noConversion"/>
  </si>
  <si>
    <t>100XF</t>
    <phoneticPr fontId="6" type="noConversion"/>
  </si>
  <si>
    <t>95 (연선)</t>
    <phoneticPr fontId="6" type="noConversion"/>
  </si>
  <si>
    <t>250A</t>
    <phoneticPr fontId="6" type="noConversion"/>
  </si>
  <si>
    <t>200XF</t>
    <phoneticPr fontId="6" type="noConversion"/>
  </si>
  <si>
    <t>ABS203c 225A</t>
    <phoneticPr fontId="6" type="noConversion"/>
  </si>
  <si>
    <t>400A</t>
    <phoneticPr fontId="6" type="noConversion"/>
  </si>
  <si>
    <t>ABS403c 400A</t>
    <phoneticPr fontId="6" type="noConversion"/>
  </si>
  <si>
    <t>500A</t>
    <phoneticPr fontId="6" type="noConversion"/>
  </si>
  <si>
    <t>DD350N16K1/MDD31216N1</t>
    <phoneticPr fontId="6" type="noConversion"/>
  </si>
  <si>
    <t>ABS603c 500A</t>
    <phoneticPr fontId="6" type="noConversion"/>
  </si>
  <si>
    <t>40*8T (부스바)</t>
    <phoneticPr fontId="6" type="noConversion"/>
  </si>
  <si>
    <t>600A</t>
    <phoneticPr fontId="6" type="noConversion"/>
  </si>
  <si>
    <t>400XF</t>
    <phoneticPr fontId="6" type="noConversion"/>
  </si>
  <si>
    <t>40*6T (부스바)</t>
    <phoneticPr fontId="6" type="noConversion"/>
  </si>
  <si>
    <t>ABS603c 630A</t>
    <phoneticPr fontId="6" type="noConversion"/>
  </si>
  <si>
    <t>800A</t>
    <phoneticPr fontId="6" type="noConversion"/>
  </si>
  <si>
    <t>ABS803c 800A</t>
    <phoneticPr fontId="6" type="noConversion"/>
  </si>
  <si>
    <t>50*10T (부스바)</t>
    <phoneticPr fontId="6" type="noConversion"/>
  </si>
  <si>
    <t>DD600N16K</t>
    <phoneticPr fontId="6" type="noConversion"/>
  </si>
  <si>
    <t>1000A</t>
    <phoneticPr fontId="6" type="noConversion"/>
  </si>
  <si>
    <t>50*11T (부스바)</t>
  </si>
  <si>
    <t>900A</t>
    <phoneticPr fontId="6" type="noConversion"/>
  </si>
  <si>
    <t>ABS1003c 1000A</t>
    <phoneticPr fontId="6" type="noConversion"/>
  </si>
  <si>
    <t>50*12T (부스바)</t>
    <phoneticPr fontId="6" type="noConversion"/>
  </si>
  <si>
    <t>500XF_규소강판_명신산업적용</t>
    <phoneticPr fontId="6" type="noConversion"/>
  </si>
  <si>
    <t>1500A</t>
    <phoneticPr fontId="6" type="noConversion"/>
  </si>
  <si>
    <t>ABS1003c 1200A</t>
    <phoneticPr fontId="6" type="noConversion"/>
  </si>
  <si>
    <t>1200A</t>
    <phoneticPr fontId="6" type="noConversion"/>
  </si>
  <si>
    <t>600XF_규소강판_명신산업적용</t>
    <phoneticPr fontId="6" type="noConversion"/>
  </si>
  <si>
    <t>저항 사용</t>
    <phoneticPr fontId="6" type="noConversion"/>
  </si>
  <si>
    <t>CROWBAR 회로_MCO500</t>
    <phoneticPr fontId="6" type="noConversion"/>
  </si>
  <si>
    <t>ACB_1250A</t>
    <phoneticPr fontId="6" type="noConversion"/>
  </si>
  <si>
    <t>DH-804_480 (편조선)</t>
    <phoneticPr fontId="6" type="noConversion"/>
  </si>
  <si>
    <t>-</t>
    <phoneticPr fontId="6" type="noConversion"/>
  </si>
  <si>
    <t>DD600N16K</t>
    <phoneticPr fontId="6" type="noConversion"/>
  </si>
  <si>
    <t>규소강판_신규설계</t>
    <phoneticPr fontId="6" type="noConversion"/>
  </si>
  <si>
    <t>1500A</t>
    <phoneticPr fontId="6" type="noConversion"/>
  </si>
  <si>
    <t>저항 사용</t>
    <phoneticPr fontId="6" type="noConversion"/>
  </si>
  <si>
    <t>CROWBAR 회로_MCO500</t>
    <phoneticPr fontId="6" type="noConversion"/>
  </si>
  <si>
    <t>2000A</t>
    <phoneticPr fontId="6" type="noConversion"/>
  </si>
  <si>
    <t>ACB_1600A</t>
    <phoneticPr fontId="6" type="noConversion"/>
  </si>
  <si>
    <t>DH-805_640 (편조선)</t>
    <phoneticPr fontId="6" type="noConversion"/>
  </si>
  <si>
    <t>ACB_2000A</t>
    <phoneticPr fontId="6" type="noConversion"/>
  </si>
  <si>
    <t>DH-1006_800 (편조선)</t>
    <phoneticPr fontId="6" type="noConversion"/>
  </si>
  <si>
    <t>MDD810-16N2</t>
  </si>
  <si>
    <t>N1806QK160</t>
    <phoneticPr fontId="6" type="noConversion"/>
  </si>
  <si>
    <t>2500A</t>
    <phoneticPr fontId="6" type="noConversion"/>
  </si>
  <si>
    <t>ACB_2500A</t>
    <phoneticPr fontId="6" type="noConversion"/>
  </si>
  <si>
    <t>DH-1007_1000 (편조선)</t>
    <phoneticPr fontId="6" type="noConversion"/>
  </si>
  <si>
    <t>CROWBAR 회로_N1806QK160</t>
    <phoneticPr fontId="6" type="noConversion"/>
  </si>
  <si>
    <t>ACB_2500A</t>
    <phoneticPr fontId="6" type="noConversion"/>
  </si>
  <si>
    <t>DH-1007_1000 (편조선)</t>
    <phoneticPr fontId="6" type="noConversion"/>
  </si>
  <si>
    <t>-</t>
    <phoneticPr fontId="6" type="noConversion"/>
  </si>
  <si>
    <t>N1806QK160</t>
    <phoneticPr fontId="6" type="noConversion"/>
  </si>
  <si>
    <t>규소강판_신규설계</t>
    <phoneticPr fontId="6" type="noConversion"/>
  </si>
  <si>
    <t>2500A</t>
    <phoneticPr fontId="6" type="noConversion"/>
  </si>
  <si>
    <t>저항 사용</t>
    <phoneticPr fontId="6" type="noConversion"/>
  </si>
  <si>
    <t>W3270N#160</t>
    <phoneticPr fontId="6" type="noConversion"/>
  </si>
  <si>
    <t>3000A</t>
    <phoneticPr fontId="6" type="noConversion"/>
  </si>
  <si>
    <t>CROWBAR 회로_N1806QK160</t>
    <phoneticPr fontId="6" type="noConversion"/>
  </si>
  <si>
    <t>ACB_3200A</t>
    <phoneticPr fontId="6" type="noConversion"/>
  </si>
  <si>
    <t>DH-1006_800*2 (편조선)</t>
    <phoneticPr fontId="6" type="noConversion"/>
  </si>
  <si>
    <t>W3270N#160</t>
  </si>
  <si>
    <t>N2593MK160</t>
    <phoneticPr fontId="6" type="noConversion"/>
  </si>
  <si>
    <t>4000A</t>
    <phoneticPr fontId="6" type="noConversion"/>
  </si>
  <si>
    <t>CROWBAR 회로_N2593MK160</t>
    <phoneticPr fontId="6" type="noConversion"/>
  </si>
  <si>
    <t>W3270N#160</t>
    <phoneticPr fontId="6" type="noConversion"/>
  </si>
  <si>
    <t>ACB_4000A</t>
    <phoneticPr fontId="6" type="noConversion"/>
  </si>
  <si>
    <t>5000A</t>
    <phoneticPr fontId="6" type="noConversion"/>
  </si>
  <si>
    <t>6000A</t>
    <phoneticPr fontId="6" type="noConversion"/>
  </si>
  <si>
    <t>CROWBAR 회로_N2593MK160</t>
    <phoneticPr fontId="6" type="noConversion"/>
  </si>
  <si>
    <t>ACB_3200A</t>
    <phoneticPr fontId="6" type="noConversion"/>
  </si>
  <si>
    <t>DH-1006_800*2 (편조선)</t>
    <phoneticPr fontId="6" type="noConversion"/>
  </si>
  <si>
    <t>-</t>
    <phoneticPr fontId="6" type="noConversion"/>
  </si>
  <si>
    <t>N2593MK160</t>
    <phoneticPr fontId="6" type="noConversion"/>
  </si>
  <si>
    <t>규소강판_신규설계</t>
    <phoneticPr fontId="6" type="noConversion"/>
  </si>
  <si>
    <t>4000A</t>
    <phoneticPr fontId="6" type="noConversion"/>
  </si>
  <si>
    <t>요청 일시</t>
  </si>
  <si>
    <t>납품 일시</t>
  </si>
  <si>
    <t>공정</t>
    <phoneticPr fontId="7" type="noConversion"/>
  </si>
  <si>
    <t>전력</t>
    <phoneticPr fontId="7" type="noConversion"/>
  </si>
  <si>
    <t>예상 동작 주파수</t>
    <phoneticPr fontId="7" type="noConversion"/>
  </si>
  <si>
    <t>FUSE</t>
    <phoneticPr fontId="7" type="noConversion"/>
  </si>
  <si>
    <t xml:space="preserve">DIODE </t>
    <phoneticPr fontId="7" type="noConversion"/>
  </si>
  <si>
    <t>인러쉬 충전 및 과전압보호</t>
    <phoneticPr fontId="7" type="noConversion"/>
  </si>
  <si>
    <t>DC 인덕터</t>
    <phoneticPr fontId="7" type="noConversion"/>
  </si>
  <si>
    <t>전류센싱 션트저항</t>
    <phoneticPr fontId="7" type="noConversion"/>
  </si>
  <si>
    <t>인버팅 소자(IGBT)</t>
    <phoneticPr fontId="7" type="noConversion"/>
  </si>
  <si>
    <t>제어방식</t>
    <phoneticPr fontId="7" type="noConversion"/>
  </si>
  <si>
    <t>DC LINK CAPACITOR</t>
    <phoneticPr fontId="7" type="noConversion"/>
  </si>
  <si>
    <t>전류센싱 C/T</t>
    <phoneticPr fontId="7" type="noConversion"/>
  </si>
  <si>
    <t>공진 CAP</t>
    <phoneticPr fontId="7" type="noConversion"/>
  </si>
  <si>
    <t>공진 CAP 구조</t>
    <phoneticPr fontId="7" type="noConversion"/>
  </si>
  <si>
    <t xml:space="preserve">코일 </t>
    <phoneticPr fontId="7" type="noConversion"/>
  </si>
  <si>
    <t>예상 Q값</t>
    <phoneticPr fontId="7" type="noConversion"/>
  </si>
  <si>
    <t>입력 선전류( 마진포함)</t>
    <phoneticPr fontId="7" type="noConversion"/>
  </si>
  <si>
    <t>입력 DC전류</t>
    <phoneticPr fontId="7" type="noConversion"/>
  </si>
  <si>
    <t>인버터 출력전류(M/T 1차)</t>
    <phoneticPr fontId="7" type="noConversion"/>
  </si>
  <si>
    <t>공진전류(공진CAP,출력케이블)</t>
    <phoneticPr fontId="7" type="noConversion"/>
  </si>
  <si>
    <t>비고</t>
    <phoneticPr fontId="7" type="noConversion"/>
  </si>
  <si>
    <t>고객사</t>
    <phoneticPr fontId="7" type="noConversion"/>
  </si>
  <si>
    <t>사용안함</t>
    <phoneticPr fontId="7" type="noConversion"/>
  </si>
  <si>
    <t>주파수[kHz]</t>
    <phoneticPr fontId="2" type="noConversion"/>
  </si>
  <si>
    <t>규소강판[Tesla]</t>
    <phoneticPr fontId="2" type="noConversion"/>
  </si>
  <si>
    <t>아몰퍼스[Tesla]</t>
    <phoneticPr fontId="2" type="noConversion"/>
  </si>
  <si>
    <t>페라이트[Tesla]</t>
    <phoneticPr fontId="2" type="noConversion"/>
  </si>
  <si>
    <t>dT 75~80℃기준</t>
    <phoneticPr fontId="2" type="noConversion"/>
  </si>
  <si>
    <t>dT 60℃기준</t>
    <phoneticPr fontId="2" type="noConversion"/>
  </si>
  <si>
    <t>dT 80℃기준</t>
    <phoneticPr fontId="2" type="noConversion"/>
  </si>
  <si>
    <t>최대자속밀도(온도dT기준)</t>
    <phoneticPr fontId="2" type="noConversion"/>
  </si>
  <si>
    <t>HALF(2)/FULL(1)</t>
    <phoneticPr fontId="2" type="noConversion"/>
  </si>
  <si>
    <t>&lt;코아/주파수별 자속밀도 실험 데이터&gt;</t>
    <phoneticPr fontId="2" type="noConversion"/>
  </si>
  <si>
    <t>규소강판(0.2t, Si 3%)</t>
    <phoneticPr fontId="2" type="noConversion"/>
  </si>
  <si>
    <t>아몰퍼스(50x175xSF)</t>
    <phoneticPr fontId="2" type="noConversion"/>
  </si>
  <si>
    <t>코아 종류</t>
    <phoneticPr fontId="2" type="noConversion"/>
  </si>
  <si>
    <t>&lt;코아 중족 단면적 ( 1조기준, 주사용품)&gt;</t>
    <phoneticPr fontId="2" type="noConversion"/>
  </si>
  <si>
    <t>cm^2</t>
    <phoneticPr fontId="2" type="noConversion"/>
  </si>
  <si>
    <t>UU100</t>
    <phoneticPr fontId="2" type="noConversion"/>
  </si>
  <si>
    <t>UU120</t>
    <phoneticPr fontId="2" type="noConversion"/>
  </si>
  <si>
    <t>UU120C</t>
    <phoneticPr fontId="2" type="noConversion"/>
  </si>
  <si>
    <t>중족단면적(Ae)</t>
    <phoneticPr fontId="2" type="noConversion"/>
  </si>
  <si>
    <t>3상 : 0.93, 6상: 0.96 (설계시에는 마진 고려 0.9로 함)</t>
    <phoneticPr fontId="2" type="noConversion"/>
  </si>
  <si>
    <t>uH</t>
  </si>
  <si>
    <t xml:space="preserve">단위길이당 L값 (2EA) </t>
    <phoneticPr fontId="2" type="noConversion"/>
  </si>
  <si>
    <t>수냉케이블 길이 (2EA)</t>
    <phoneticPr fontId="2" type="noConversion"/>
  </si>
  <si>
    <t>수냉케이블 L값 (2EA)</t>
    <phoneticPr fontId="2" type="noConversion"/>
  </si>
  <si>
    <t xml:space="preserve">단위길이당 L값 (4EA) </t>
    <phoneticPr fontId="2" type="noConversion"/>
  </si>
  <si>
    <t>수냉케이블 길이 (4EA)</t>
    <phoneticPr fontId="2" type="noConversion"/>
  </si>
  <si>
    <t>수냉케이블 L값 (4EA)</t>
    <phoneticPr fontId="2" type="noConversion"/>
  </si>
  <si>
    <t>&lt;수냉케이블 L값 계산 공식: 10kHz 기준, 트위스트 하지 않음&gt;</t>
    <phoneticPr fontId="2" type="noConversion"/>
  </si>
  <si>
    <t>&lt;동 부스바(DC) 발열량 계산 공식&gt;</t>
    <phoneticPr fontId="2" type="noConversion"/>
  </si>
  <si>
    <t>&lt;동 부스바(AC) 발열량 계산 공식&gt;</t>
    <phoneticPr fontId="2" type="noConversion"/>
  </si>
  <si>
    <t>&lt;동 파이프(AC) 발열량 계산 공식&gt;</t>
    <phoneticPr fontId="2" type="noConversion"/>
  </si>
  <si>
    <t>&lt;사각 파이프(AC) 발열량 계산 공식&gt;</t>
    <phoneticPr fontId="2" type="noConversion"/>
  </si>
  <si>
    <t>mmSQ당 전류</t>
    <phoneticPr fontId="2" type="noConversion"/>
  </si>
  <si>
    <t>CROWBAR 회로_N1806QK160,N1114</t>
    <phoneticPr fontId="6" type="noConversion"/>
  </si>
  <si>
    <t>&lt;FUSE 용량 계산 공식&gt;</t>
    <phoneticPr fontId="2" type="noConversion"/>
  </si>
  <si>
    <t>입력선전압</t>
    <phoneticPr fontId="2" type="noConversion"/>
  </si>
  <si>
    <t>V 이상</t>
    <phoneticPr fontId="2" type="noConversion"/>
  </si>
  <si>
    <t>A 이상</t>
    <phoneticPr fontId="2" type="noConversion"/>
  </si>
  <si>
    <t>FUSE 정격전압</t>
    <phoneticPr fontId="2" type="noConversion"/>
  </si>
  <si>
    <t>FUSE 정격전류</t>
    <phoneticPr fontId="2" type="noConversion"/>
  </si>
  <si>
    <t>Vin(입력선전압)</t>
    <phoneticPr fontId="2" type="noConversion"/>
  </si>
  <si>
    <t>&lt;컷오프주파수 계산 공식&gt;</t>
    <phoneticPr fontId="2" type="noConversion"/>
  </si>
  <si>
    <t>&lt;직렬공진주파수 계산 공식&gt;</t>
    <phoneticPr fontId="2" type="noConversion"/>
  </si>
  <si>
    <t>코일전류</t>
    <phoneticPr fontId="2" type="noConversion"/>
  </si>
  <si>
    <t>메인 컨트롤 보드</t>
    <phoneticPr fontId="2" type="noConversion"/>
  </si>
  <si>
    <t>게이트 드라이버 보드</t>
    <phoneticPr fontId="2" type="noConversion"/>
  </si>
  <si>
    <t>확장(익스펜션) 보드</t>
    <phoneticPr fontId="2" type="noConversion"/>
  </si>
  <si>
    <t>모듈 컨트롤 보드</t>
    <phoneticPr fontId="2" type="noConversion"/>
  </si>
  <si>
    <t>&lt;DC 인덕터 L값)&gt;</t>
    <phoneticPr fontId="2" type="noConversion"/>
  </si>
  <si>
    <t>규격</t>
    <phoneticPr fontId="2" type="noConversion"/>
  </si>
  <si>
    <t>자재코드</t>
    <phoneticPr fontId="2" type="noConversion"/>
  </si>
  <si>
    <t>L값(360Hz)</t>
    <phoneticPr fontId="2" type="noConversion"/>
  </si>
  <si>
    <t xml:space="preserve">[PSIH-50XF-L1F-V1] </t>
    <phoneticPr fontId="2" type="noConversion"/>
  </si>
  <si>
    <t>LLL00001</t>
    <phoneticPr fontId="8" type="noConversion"/>
  </si>
  <si>
    <t>60uH</t>
    <phoneticPr fontId="8" type="noConversion"/>
  </si>
  <si>
    <t xml:space="preserve">[PSIH-050HF-LO-01] </t>
    <phoneticPr fontId="2" type="noConversion"/>
  </si>
  <si>
    <t>LLL00005</t>
    <phoneticPr fontId="8" type="noConversion"/>
  </si>
  <si>
    <t>[PSIH-100XF-LI-V1]</t>
    <phoneticPr fontId="2" type="noConversion"/>
  </si>
  <si>
    <t xml:space="preserve">[PSIH-200XF-LI-V1] </t>
    <phoneticPr fontId="2" type="noConversion"/>
  </si>
  <si>
    <t xml:space="preserve">[PSIH-400XF-LI-V1]  </t>
    <phoneticPr fontId="2" type="noConversion"/>
  </si>
  <si>
    <t xml:space="preserve">[PSIH-500XF-LI-V2] </t>
    <phoneticPr fontId="2" type="noConversion"/>
  </si>
  <si>
    <t>390uH</t>
    <phoneticPr fontId="8" type="noConversion"/>
  </si>
  <si>
    <t>LLL00060</t>
    <phoneticPr fontId="8" type="noConversion"/>
  </si>
  <si>
    <t>900uH</t>
    <phoneticPr fontId="8" type="noConversion"/>
  </si>
  <si>
    <t>LLL00012</t>
    <phoneticPr fontId="8" type="noConversion"/>
  </si>
  <si>
    <t>630uH</t>
    <phoneticPr fontId="8" type="noConversion"/>
  </si>
  <si>
    <t>LLL00013</t>
    <phoneticPr fontId="8" type="noConversion"/>
  </si>
  <si>
    <t>375uH</t>
    <phoneticPr fontId="8" type="noConversion"/>
  </si>
  <si>
    <t>LLL00051</t>
    <phoneticPr fontId="8" type="noConversion"/>
  </si>
  <si>
    <t>515uH</t>
    <phoneticPr fontId="8" type="noConversion"/>
  </si>
  <si>
    <t>FZ3600R12HP4</t>
    <phoneticPr fontId="2" type="noConversion"/>
  </si>
  <si>
    <t xml:space="preserve">400XF </t>
    <phoneticPr fontId="7" type="noConversion"/>
  </si>
  <si>
    <t>저항+ 크로우바 회로</t>
    <phoneticPr fontId="2" type="noConversion"/>
  </si>
  <si>
    <t>IH PROGRAM SETTING VALUE_Digital</t>
    <phoneticPr fontId="3" type="noConversion"/>
  </si>
  <si>
    <t xml:space="preserve">PROJECT </t>
    <phoneticPr fontId="3" type="noConversion"/>
  </si>
  <si>
    <t>작성일시</t>
    <phoneticPr fontId="3" type="noConversion"/>
  </si>
  <si>
    <t>시운전일시</t>
    <phoneticPr fontId="3" type="noConversion"/>
  </si>
  <si>
    <t>PROGRAM SPECIFICATION</t>
    <phoneticPr fontId="3" type="noConversion"/>
  </si>
  <si>
    <t>CLOCK</t>
    <phoneticPr fontId="3" type="noConversion"/>
  </si>
  <si>
    <t>M</t>
    <phoneticPr fontId="3" type="noConversion"/>
  </si>
  <si>
    <t>SCALE</t>
    <phoneticPr fontId="3" type="noConversion"/>
  </si>
  <si>
    <t>분주</t>
    <phoneticPr fontId="3" type="noConversion"/>
  </si>
  <si>
    <t>ECAP_CLOCK_10HZ</t>
    <phoneticPr fontId="3" type="noConversion"/>
  </si>
  <si>
    <t>FREQUENCY</t>
    <phoneticPr fontId="3" type="noConversion"/>
  </si>
  <si>
    <t>PERIOD</t>
    <phoneticPr fontId="3" type="noConversion"/>
  </si>
  <si>
    <t>HALF PERIOD</t>
    <phoneticPr fontId="3" type="noConversion"/>
  </si>
  <si>
    <t>POWER</t>
    <phoneticPr fontId="3" type="noConversion"/>
  </si>
  <si>
    <t>MAXIMUM</t>
    <phoneticPr fontId="3" type="noConversion"/>
  </si>
  <si>
    <t>kW</t>
    <phoneticPr fontId="3" type="noConversion"/>
  </si>
  <si>
    <t>MINIMUM</t>
    <phoneticPr fontId="3" type="noConversion"/>
  </si>
  <si>
    <t>kW</t>
    <phoneticPr fontId="3" type="noConversion"/>
  </si>
  <si>
    <t>INPUT VOLTAGE</t>
    <phoneticPr fontId="3" type="noConversion"/>
  </si>
  <si>
    <t>VAC</t>
    <phoneticPr fontId="3" type="noConversion"/>
  </si>
  <si>
    <t>Vo MAX</t>
    <phoneticPr fontId="3" type="noConversion"/>
  </si>
  <si>
    <t>INRUSH Voltage</t>
    <phoneticPr fontId="3" type="noConversion"/>
  </si>
  <si>
    <t>UVP</t>
    <phoneticPr fontId="3" type="noConversion"/>
  </si>
  <si>
    <t>전류 센싱</t>
    <phoneticPr fontId="3" type="noConversion"/>
  </si>
  <si>
    <t>SHUNT</t>
    <phoneticPr fontId="3" type="noConversion"/>
  </si>
  <si>
    <t>A/50mV</t>
    <phoneticPr fontId="3" type="noConversion"/>
  </si>
  <si>
    <t>Io OCP</t>
    <phoneticPr fontId="3" type="noConversion"/>
  </si>
  <si>
    <t>공진 전류 센싱</t>
    <phoneticPr fontId="3" type="noConversion"/>
  </si>
  <si>
    <t>RESISTOR</t>
    <phoneticPr fontId="3" type="noConversion"/>
  </si>
  <si>
    <t>Ω</t>
    <phoneticPr fontId="3" type="noConversion"/>
  </si>
  <si>
    <t>PARALLEL</t>
    <phoneticPr fontId="3" type="noConversion"/>
  </si>
  <si>
    <t>개수</t>
    <phoneticPr fontId="3" type="noConversion"/>
  </si>
  <si>
    <t>CT</t>
    <phoneticPr fontId="3" type="noConversion"/>
  </si>
  <si>
    <t>:1</t>
    <phoneticPr fontId="3" type="noConversion"/>
  </si>
  <si>
    <t>IR RMS</t>
    <phoneticPr fontId="3" type="noConversion"/>
  </si>
  <si>
    <t>IR AVG(LCD)</t>
    <phoneticPr fontId="3" type="noConversion"/>
  </si>
  <si>
    <t>A</t>
    <phoneticPr fontId="3" type="noConversion"/>
  </si>
  <si>
    <t>IR OCP</t>
    <phoneticPr fontId="3" type="noConversion"/>
  </si>
  <si>
    <t>AD REF
(4 ~ 20mA)</t>
    <phoneticPr fontId="3" type="noConversion"/>
  </si>
  <si>
    <t xml:space="preserve">kW </t>
    <phoneticPr fontId="3" type="noConversion"/>
  </si>
  <si>
    <t>DA POWER</t>
    <phoneticPr fontId="3" type="noConversion"/>
  </si>
  <si>
    <t>DA FREQUENCY</t>
    <phoneticPr fontId="3" type="noConversion"/>
  </si>
  <si>
    <t>MAXIMUM</t>
    <phoneticPr fontId="3" type="noConversion"/>
  </si>
  <si>
    <t>Hz</t>
    <phoneticPr fontId="3" type="noConversion"/>
  </si>
  <si>
    <t>MINIMUM</t>
    <phoneticPr fontId="3" type="noConversion"/>
  </si>
  <si>
    <t>Hz</t>
    <phoneticPr fontId="3" type="noConversion"/>
  </si>
  <si>
    <t>공진 CAP</t>
    <phoneticPr fontId="3" type="noConversion"/>
  </si>
  <si>
    <t>RESONANT_CAP</t>
    <phoneticPr fontId="3" type="noConversion"/>
  </si>
  <si>
    <t xml:space="preserve">uF </t>
    <phoneticPr fontId="3" type="noConversion"/>
  </si>
  <si>
    <t>VOLTAGE</t>
    <phoneticPr fontId="3" type="noConversion"/>
  </si>
  <si>
    <t>V</t>
    <phoneticPr fontId="3" type="noConversion"/>
  </si>
  <si>
    <t>SET_Vr</t>
    <phoneticPr fontId="3" type="noConversion"/>
  </si>
  <si>
    <t>M/T</t>
    <phoneticPr fontId="3" type="noConversion"/>
  </si>
  <si>
    <t>SET_TURN_RATIO</t>
  </si>
  <si>
    <t>:1</t>
    <phoneticPr fontId="3" type="noConversion"/>
  </si>
  <si>
    <t>동작 주파수</t>
    <phoneticPr fontId="3" type="noConversion"/>
  </si>
  <si>
    <t>MINIMUM</t>
    <phoneticPr fontId="3" type="noConversion"/>
  </si>
  <si>
    <t>Hz</t>
    <phoneticPr fontId="3" type="noConversion"/>
  </si>
  <si>
    <t>START FREQUENCY</t>
    <phoneticPr fontId="3" type="noConversion"/>
  </si>
  <si>
    <t>PWM FREQUENCY</t>
    <phoneticPr fontId="3" type="noConversion"/>
  </si>
  <si>
    <t>DEAD TIME</t>
    <phoneticPr fontId="3" type="noConversion"/>
  </si>
  <si>
    <t xml:space="preserve">uS </t>
    <phoneticPr fontId="3" type="noConversion"/>
  </si>
  <si>
    <t>EXT FAULT</t>
    <phoneticPr fontId="3" type="noConversion"/>
  </si>
  <si>
    <t>FLT1</t>
    <phoneticPr fontId="3" type="noConversion"/>
  </si>
  <si>
    <t>DOOR OPEN</t>
    <phoneticPr fontId="3" type="noConversion"/>
  </si>
  <si>
    <t>○</t>
    <phoneticPr fontId="3" type="noConversion"/>
  </si>
  <si>
    <t>○</t>
    <phoneticPr fontId="3" type="noConversion"/>
  </si>
  <si>
    <t>FLT2</t>
  </si>
  <si>
    <t>OPP CAP</t>
    <phoneticPr fontId="3" type="noConversion"/>
  </si>
  <si>
    <t>○</t>
    <phoneticPr fontId="3" type="noConversion"/>
  </si>
  <si>
    <t>FLT3</t>
  </si>
  <si>
    <t>OTP WATER</t>
    <phoneticPr fontId="3" type="noConversion"/>
  </si>
  <si>
    <t>FLT4</t>
  </si>
  <si>
    <t>FLOW WATER</t>
    <phoneticPr fontId="3" type="noConversion"/>
  </si>
  <si>
    <t>FLT5</t>
  </si>
  <si>
    <t>MA/CB AUX</t>
    <phoneticPr fontId="3" type="noConversion"/>
  </si>
  <si>
    <t>FLT6</t>
  </si>
  <si>
    <t>SPARE</t>
    <phoneticPr fontId="3" type="noConversion"/>
  </si>
  <si>
    <t>X</t>
    <phoneticPr fontId="3" type="noConversion"/>
  </si>
  <si>
    <t>FLT7</t>
  </si>
  <si>
    <t>LEAK WATER</t>
    <phoneticPr fontId="3" type="noConversion"/>
  </si>
  <si>
    <t>FLT8</t>
    <phoneticPr fontId="2" type="noConversion"/>
  </si>
  <si>
    <t>COIL TOUCH(열처리)
GOUND LEAK(용해로)</t>
    <phoneticPr fontId="2" type="noConversion"/>
  </si>
  <si>
    <t>○</t>
    <phoneticPr fontId="2" type="noConversion"/>
  </si>
  <si>
    <t>FLT9</t>
    <phoneticPr fontId="3" type="noConversion"/>
  </si>
  <si>
    <t>FUSE OPEN</t>
    <phoneticPr fontId="3" type="noConversion"/>
  </si>
  <si>
    <t>FLT10</t>
    <phoneticPr fontId="3" type="noConversion"/>
  </si>
  <si>
    <t>OVGR</t>
    <phoneticPr fontId="3" type="noConversion"/>
  </si>
  <si>
    <t>IIN OCP</t>
    <phoneticPr fontId="3" type="noConversion"/>
  </si>
  <si>
    <t>MD FAULT</t>
    <phoneticPr fontId="3" type="noConversion"/>
  </si>
  <si>
    <t>CONTROL MODE</t>
    <phoneticPr fontId="3" type="noConversion"/>
  </si>
  <si>
    <t>공진회로</t>
    <phoneticPr fontId="3" type="noConversion"/>
  </si>
  <si>
    <t>특이 사항</t>
    <phoneticPr fontId="3" type="noConversion"/>
  </si>
  <si>
    <t>실제 CURRENT (MAX)</t>
    <phoneticPr fontId="3" type="noConversion"/>
  </si>
  <si>
    <t>IH_DIGITAL CONTROL_V3.8</t>
    <phoneticPr fontId="2" type="noConversion"/>
  </si>
  <si>
    <t>MDD312-16N1</t>
    <phoneticPr fontId="7" type="noConversion"/>
  </si>
  <si>
    <t>ok</t>
    <phoneticPr fontId="2" type="noConversion"/>
  </si>
  <si>
    <t>ok</t>
    <phoneticPr fontId="2" type="noConversion"/>
  </si>
  <si>
    <r>
      <t>o</t>
    </r>
    <r>
      <rPr>
        <sz val="11"/>
        <rFont val="돋움"/>
        <family val="3"/>
        <charset val="129"/>
      </rPr>
      <t>k</t>
    </r>
    <phoneticPr fontId="2" type="noConversion"/>
  </si>
  <si>
    <r>
      <t>o</t>
    </r>
    <r>
      <rPr>
        <sz val="11"/>
        <rFont val="돋움"/>
        <family val="3"/>
        <charset val="129"/>
      </rPr>
      <t>k</t>
    </r>
    <phoneticPr fontId="2" type="noConversion"/>
  </si>
  <si>
    <t>디지털 컨트롤보드 적용</t>
    <phoneticPr fontId="2" type="noConversion"/>
  </si>
  <si>
    <t>X</t>
    <phoneticPr fontId="3" type="noConversion"/>
  </si>
  <si>
    <t>800A</t>
    <phoneticPr fontId="7" type="noConversion"/>
  </si>
  <si>
    <t>냉재 400도</t>
    <phoneticPr fontId="2" type="noConversion"/>
  </si>
  <si>
    <t>온재 780도</t>
    <phoneticPr fontId="2" type="noConversion"/>
  </si>
  <si>
    <t>일진글로벌</t>
    <phoneticPr fontId="7" type="noConversion"/>
  </si>
  <si>
    <t>50uF * 56EA = 2800uF</t>
    <phoneticPr fontId="2" type="noConversion"/>
  </si>
  <si>
    <t>M/T(Matching Transformer)</t>
    <phoneticPr fontId="2" type="noConversion"/>
  </si>
  <si>
    <t xml:space="preserve">고객사 제작, 생산의뢰서 참조 </t>
    <phoneticPr fontId="2" type="noConversion"/>
  </si>
  <si>
    <t>MAIN C/T</t>
    <phoneticPr fontId="2" type="noConversion"/>
  </si>
  <si>
    <t>FM+LBPWM</t>
    <phoneticPr fontId="7" type="noConversion"/>
  </si>
  <si>
    <t>[6.9URD33TTF0800] 690V 800A</t>
    <phoneticPr fontId="7" type="noConversion"/>
  </si>
  <si>
    <t>X</t>
    <phoneticPr fontId="3" type="noConversion"/>
  </si>
  <si>
    <t>직렬공진회로(Full Bridge)</t>
    <phoneticPr fontId="3" type="noConversion"/>
  </si>
  <si>
    <t>FM+LBPWM</t>
    <phoneticPr fontId="3" type="noConversion"/>
  </si>
  <si>
    <t>MCCB</t>
    <phoneticPr fontId="3" type="noConversion"/>
  </si>
  <si>
    <t>MCCB(핸들)</t>
    <phoneticPr fontId="2" type="noConversion"/>
  </si>
  <si>
    <t>MAIN MC</t>
    <phoneticPr fontId="2" type="noConversion"/>
  </si>
  <si>
    <t>CT탭비</t>
    <phoneticPr fontId="2" type="noConversion"/>
  </si>
  <si>
    <t>사용안함</t>
    <phoneticPr fontId="3" type="noConversion"/>
  </si>
  <si>
    <t>405A</t>
    <phoneticPr fontId="7" type="noConversion"/>
  </si>
  <si>
    <t>432A</t>
    <phoneticPr fontId="7" type="noConversion"/>
  </si>
  <si>
    <t>2021.08.16</t>
    <phoneticPr fontId="3" type="noConversion"/>
  </si>
  <si>
    <t>2021.09.15</t>
    <phoneticPr fontId="2" type="noConversion"/>
  </si>
  <si>
    <t>GEN1_SCAN 가열</t>
    <phoneticPr fontId="7" type="noConversion"/>
  </si>
  <si>
    <t>50kHz</t>
    <phoneticPr fontId="7" type="noConversion"/>
  </si>
  <si>
    <t>IMF2HD12 : 800A IGBT용_내부 2병렬 구조</t>
    <phoneticPr fontId="2" type="noConversion"/>
  </si>
  <si>
    <r>
      <t>[FZ800R12KS4_B2] 1200V, 800A, MODULE</t>
    </r>
    <r>
      <rPr>
        <sz val="10"/>
        <color indexed="8"/>
        <rFont val="맑은 고딕"/>
        <family val="3"/>
        <charset val="129"/>
      </rPr>
      <t xml:space="preserve"> , Full Bridge 2병렬</t>
    </r>
    <phoneticPr fontId="7" type="noConversion"/>
  </si>
  <si>
    <t>[CT-T96F-T300_1] 전류검출용 CT 300:1, 차폐케이스 적용</t>
    <phoneticPr fontId="2" type="noConversion"/>
  </si>
  <si>
    <t>CI3D0009</t>
  </si>
  <si>
    <t>[PSPC0200-S] 2UF 525VAC 800A, 6m 동판, 동판 한쪽 면: 탭 , 동판 다른 면: 모서리  HOLE 가공</t>
  </si>
  <si>
    <t>I118+I140 조합</t>
    <phoneticPr fontId="2" type="noConversion"/>
  </si>
  <si>
    <t>4~5 (3~6까지 설계)</t>
    <phoneticPr fontId="7" type="noConversion"/>
  </si>
  <si>
    <t>최대 850A (150kW 기준 700A)</t>
    <phoneticPr fontId="2" type="noConversion"/>
  </si>
  <si>
    <t>최대 5200A (150kW 기준 4000A)</t>
    <phoneticPr fontId="2" type="noConversion"/>
  </si>
  <si>
    <t>IH GATE_DRIVER_100W_V1.1(2016.07.04)</t>
    <phoneticPr fontId="2" type="noConversion"/>
  </si>
  <si>
    <t>일진글로벌_GEN1_SCAN</t>
    <phoneticPr fontId="3" type="noConversion"/>
  </si>
  <si>
    <t>2021.07.27</t>
    <phoneticPr fontId="2" type="noConversion"/>
  </si>
  <si>
    <t>LCD 최대 설정값: 800A</t>
    <phoneticPr fontId="2" type="noConversion"/>
  </si>
  <si>
    <t>LTT00043</t>
    <phoneticPr fontId="2" type="noConversion"/>
  </si>
  <si>
    <t>4직렬 3병렬, TOTAL: 1.5uF 2100V 2400A, 부스바 4직4병 가능구조 필요</t>
    <phoneticPr fontId="3" type="noConversion"/>
  </si>
  <si>
    <t>EBS203c, 250A</t>
    <phoneticPr fontId="3" type="noConversion"/>
  </si>
  <si>
    <t>[DH250]250AF 외부조작핸들(직결형)</t>
    <phoneticPr fontId="2" type="noConversion"/>
  </si>
  <si>
    <t>MC-265a</t>
    <phoneticPr fontId="2" type="noConversion"/>
  </si>
  <si>
    <t>350(150)kW_440V</t>
    <phoneticPr fontId="7" type="noConversion"/>
  </si>
  <si>
    <t>GEN1_SCAN_50kHz</t>
    <phoneticPr fontId="2" type="noConversion"/>
  </si>
  <si>
    <t>GEN1_SCAN_40kHz</t>
    <phoneticPr fontId="2" type="noConversion"/>
  </si>
  <si>
    <t>50uF * 56EA = 2800uF</t>
    <phoneticPr fontId="2" type="noConversion"/>
  </si>
  <si>
    <t>40kHz</t>
    <phoneticPr fontId="7" type="noConversion"/>
  </si>
  <si>
    <r>
      <rPr>
        <sz val="10"/>
        <color rgb="FFFF0000"/>
        <rFont val="맑은 고딕"/>
        <family val="3"/>
        <charset val="129"/>
        <scheme val="minor"/>
      </rPr>
      <t>3직렬 3병렬</t>
    </r>
    <r>
      <rPr>
        <sz val="10"/>
        <color theme="1"/>
        <rFont val="맑은 고딕"/>
        <family val="3"/>
        <charset val="129"/>
        <scheme val="minor"/>
      </rPr>
      <t xml:space="preserve">, </t>
    </r>
    <r>
      <rPr>
        <sz val="10"/>
        <color rgb="FFFF0000"/>
        <rFont val="맑은 고딕"/>
        <family val="3"/>
        <charset val="129"/>
        <scheme val="minor"/>
      </rPr>
      <t>TOTAL: 2uF 1575V 1600A</t>
    </r>
    <r>
      <rPr>
        <sz val="10"/>
        <color theme="1"/>
        <rFont val="맑은 고딕"/>
        <family val="3"/>
        <charset val="129"/>
        <scheme val="minor"/>
      </rPr>
      <t>, 부스바 4직4병 가능구조 필요</t>
    </r>
    <phoneticPr fontId="3" type="noConversion"/>
  </si>
  <si>
    <r>
      <t>I118+I140 조합, 중족단면적 78.54cm^2, 권선 몰드형, 냉각판 적용
1차: 0, 1, 2 , 12 , 13, 14  2차: 2/2/2/2/…….</t>
    </r>
    <r>
      <rPr>
        <sz val="10"/>
        <color rgb="FFFF0000"/>
        <rFont val="맑은 고딕"/>
        <family val="3"/>
        <charset val="129"/>
        <scheme val="minor"/>
      </rPr>
      <t>기본 탭비 14:2 (7:1)</t>
    </r>
    <r>
      <rPr>
        <sz val="10"/>
        <color theme="1"/>
        <rFont val="맑은 고딕"/>
        <family val="3"/>
        <charset val="129"/>
        <scheme val="minor"/>
      </rPr>
      <t xml:space="preserve">
상세사양 개발팀 문의</t>
    </r>
    <phoneticPr fontId="2" type="noConversion"/>
  </si>
  <si>
    <t>I118+I140 조합, 중족단면적 78.54cm^2, 권선 몰드형, 냉각판 적용
1차: 0, 1, 2 , 12 , 13, 14  2차: 2/2/2/2/…….기본 탭비 12:2 (6:1)
상세사양 개발팀 문의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</si>
</sst>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41" formatCode="_-* #,##0_-;\-* #,##0_-;_-* &quot;-&quot;_-;_-@_-"/>
    <numFmt numFmtId="176" formatCode="0.00_ "/>
    <numFmt numFmtId="177" formatCode="0.0000_ "/>
    <numFmt numFmtId="178" formatCode="0.000_ "/>
    <numFmt numFmtId="179" formatCode="0.0_ "/>
    <numFmt numFmtId="180" formatCode="0_ "/>
    <numFmt numFmtId="181" formatCode="0_);[Red]\(0\)"/>
    <numFmt numFmtId="182" formatCode="0.0_);[Red]\(0.0\)"/>
    <numFmt numFmtId="183" formatCode="0.000_);[Red]\(0.000\)"/>
    <numFmt numFmtId="184" formatCode="#,##0_);[Red]\(#,##0\)"/>
    <numFmt numFmtId="185" formatCode="_-* #,##0.0_-;\-* #,##0.0_-;_-* &quot;-&quot;_-;_-@_-"/>
    <numFmt numFmtId="186" formatCode="_-* #,##0.00_-;\-* #,##0.00_-;_-* &quot;-&quot;_-;_-@_-"/>
    <numFmt numFmtId="187" formatCode="General&quot;:1&quot;"/>
  </numFmts>
  <fonts count="25">
    <font>
      <sz val="11"/>
      <name val="돋움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8"/>
      <name val="맑은 고딕"/>
      <family val="3"/>
      <charset val="129"/>
    </font>
    <font>
      <sz val="8"/>
      <name val="맑은 고딕"/>
      <family val="3"/>
      <charset val="129"/>
    </font>
    <font>
      <sz val="8"/>
      <name val="맑은 고딕"/>
      <family val="3"/>
      <charset val="129"/>
    </font>
    <font>
      <sz val="8"/>
      <name val="맑은 고딕"/>
      <family val="3"/>
      <charset val="129"/>
    </font>
    <font>
      <sz val="8"/>
      <name val="맑은 고딕"/>
      <family val="3"/>
      <charset val="129"/>
    </font>
    <font>
      <sz val="8"/>
      <name val="맑은 고딕"/>
      <family val="3"/>
      <charset val="129"/>
    </font>
    <font>
      <sz val="10"/>
      <color indexed="8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b/>
      <sz val="12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name val="맑은 고딕"/>
      <family val="3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b/>
      <sz val="14"/>
      <color rgb="FFFF0000"/>
      <name val="맑은 고딕"/>
      <family val="3"/>
      <charset val="129"/>
      <scheme val="minor"/>
    </font>
    <font>
      <sz val="11"/>
      <color rgb="FFFF0000"/>
      <name val="돋움"/>
      <family val="3"/>
      <charset val="129"/>
    </font>
    <font>
      <sz val="10"/>
      <color rgb="FFFF0000"/>
      <name val="맑은 고딕"/>
      <family val="3"/>
      <charset val="129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4506668294322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double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FF0000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 style="thin">
        <color indexed="64"/>
      </right>
      <top style="thin">
        <color indexed="64"/>
      </top>
      <bottom style="medium">
        <color rgb="FFFF0000"/>
      </bottom>
      <diagonal/>
    </border>
    <border>
      <left style="thin">
        <color indexed="64"/>
      </left>
      <right style="medium">
        <color rgb="FFFF0000"/>
      </right>
      <top style="thin">
        <color indexed="64"/>
      </top>
      <bottom style="medium">
        <color rgb="FFFF0000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1" fontId="1" fillId="0" borderId="0" applyFont="0" applyFill="0" applyBorder="0" applyAlignment="0" applyProtection="0"/>
    <xf numFmtId="0" fontId="1" fillId="0" borderId="0">
      <alignment vertical="center"/>
    </xf>
  </cellStyleXfs>
  <cellXfs count="301">
    <xf numFmtId="0" fontId="0" fillId="0" borderId="0" xfId="0"/>
    <xf numFmtId="0" fontId="1" fillId="0" borderId="0" xfId="2">
      <alignment vertical="center"/>
    </xf>
    <xf numFmtId="0" fontId="0" fillId="0" borderId="0" xfId="2" applyFont="1">
      <alignment vertical="center"/>
    </xf>
    <xf numFmtId="0" fontId="11" fillId="0" borderId="1" xfId="0" applyFont="1" applyBorder="1" applyAlignment="1">
      <alignment vertical="center"/>
    </xf>
    <xf numFmtId="178" fontId="10" fillId="0" borderId="1" xfId="0" applyNumberFormat="1" applyFont="1" applyBorder="1" applyAlignment="1">
      <alignment vertical="center"/>
    </xf>
    <xf numFmtId="0" fontId="12" fillId="0" borderId="1" xfId="0" applyFont="1" applyBorder="1" applyAlignment="1">
      <alignment vertical="center"/>
    </xf>
    <xf numFmtId="0" fontId="12" fillId="5" borderId="1" xfId="0" applyFont="1" applyFill="1" applyBorder="1" applyAlignment="1">
      <alignment vertical="center"/>
    </xf>
    <xf numFmtId="0" fontId="12" fillId="4" borderId="1" xfId="0" applyFont="1" applyFill="1" applyBorder="1" applyAlignment="1">
      <alignment vertical="center"/>
    </xf>
    <xf numFmtId="0" fontId="12" fillId="3" borderId="1" xfId="0" applyFont="1" applyFill="1" applyBorder="1" applyAlignment="1">
      <alignment vertical="center"/>
    </xf>
    <xf numFmtId="0" fontId="12" fillId="6" borderId="1" xfId="0" applyFont="1" applyFill="1" applyBorder="1" applyAlignment="1">
      <alignment vertical="center"/>
    </xf>
    <xf numFmtId="179" fontId="12" fillId="3" borderId="1" xfId="0" applyNumberFormat="1" applyFont="1" applyFill="1" applyBorder="1" applyAlignment="1">
      <alignment vertical="center"/>
    </xf>
    <xf numFmtId="0" fontId="12" fillId="0" borderId="1" xfId="0" applyFont="1" applyFill="1" applyBorder="1" applyAlignment="1">
      <alignment vertical="center"/>
    </xf>
    <xf numFmtId="0" fontId="10" fillId="0" borderId="1" xfId="0" applyFont="1" applyBorder="1" applyAlignment="1">
      <alignment vertical="center"/>
    </xf>
    <xf numFmtId="0" fontId="12" fillId="0" borderId="0" xfId="2" applyFont="1" applyAlignment="1">
      <alignment vertical="center"/>
    </xf>
    <xf numFmtId="0" fontId="1" fillId="0" borderId="0" xfId="2" applyAlignment="1">
      <alignment vertical="center"/>
    </xf>
    <xf numFmtId="0" fontId="11" fillId="0" borderId="1" xfId="0" applyNumberFormat="1" applyFont="1" applyBorder="1" applyAlignment="1">
      <alignment vertical="center"/>
    </xf>
    <xf numFmtId="0" fontId="10" fillId="0" borderId="1" xfId="0" applyNumberFormat="1" applyFont="1" applyBorder="1" applyAlignment="1">
      <alignment vertical="center"/>
    </xf>
    <xf numFmtId="0" fontId="11" fillId="5" borderId="1" xfId="0" applyNumberFormat="1" applyFont="1" applyFill="1" applyBorder="1" applyAlignment="1">
      <alignment vertical="center"/>
    </xf>
    <xf numFmtId="1" fontId="11" fillId="0" borderId="1" xfId="0" applyNumberFormat="1" applyFont="1" applyBorder="1" applyAlignment="1">
      <alignment vertical="center"/>
    </xf>
    <xf numFmtId="0" fontId="10" fillId="4" borderId="1" xfId="0" applyNumberFormat="1" applyFont="1" applyFill="1" applyBorder="1" applyAlignment="1">
      <alignment vertical="center"/>
    </xf>
    <xf numFmtId="0" fontId="12" fillId="4" borderId="1" xfId="0" applyNumberFormat="1" applyFont="1" applyFill="1" applyBorder="1" applyAlignment="1">
      <alignment vertical="center"/>
    </xf>
    <xf numFmtId="0" fontId="12" fillId="0" borderId="1" xfId="2" applyFont="1" applyBorder="1" applyAlignment="1">
      <alignment vertical="center"/>
    </xf>
    <xf numFmtId="0" fontId="12" fillId="4" borderId="1" xfId="2" applyFont="1" applyFill="1" applyBorder="1" applyAlignment="1">
      <alignment vertical="center"/>
    </xf>
    <xf numFmtId="0" fontId="12" fillId="3" borderId="1" xfId="2" applyFont="1" applyFill="1" applyBorder="1" applyAlignment="1">
      <alignment vertical="center"/>
    </xf>
    <xf numFmtId="179" fontId="13" fillId="3" borderId="1" xfId="0" applyNumberFormat="1" applyFont="1" applyFill="1" applyBorder="1" applyAlignment="1">
      <alignment vertical="center"/>
    </xf>
    <xf numFmtId="0" fontId="13" fillId="3" borderId="1" xfId="0" applyFont="1" applyFill="1" applyBorder="1" applyAlignment="1">
      <alignment vertical="center"/>
    </xf>
    <xf numFmtId="179" fontId="10" fillId="4" borderId="1" xfId="0" applyNumberFormat="1" applyFont="1" applyFill="1" applyBorder="1" applyAlignment="1">
      <alignment vertical="center"/>
    </xf>
    <xf numFmtId="179" fontId="10" fillId="3" borderId="1" xfId="0" applyNumberFormat="1" applyFont="1" applyFill="1" applyBorder="1" applyAlignment="1">
      <alignment vertical="center"/>
    </xf>
    <xf numFmtId="179" fontId="13" fillId="7" borderId="1" xfId="0" applyNumberFormat="1" applyFont="1" applyFill="1" applyBorder="1" applyAlignment="1">
      <alignment vertical="center"/>
    </xf>
    <xf numFmtId="0" fontId="13" fillId="3" borderId="1" xfId="2" applyFont="1" applyFill="1" applyBorder="1" applyAlignment="1">
      <alignment vertical="center"/>
    </xf>
    <xf numFmtId="183" fontId="13" fillId="3" borderId="1" xfId="0" applyNumberFormat="1" applyFont="1" applyFill="1" applyBorder="1" applyAlignment="1">
      <alignment vertical="center"/>
    </xf>
    <xf numFmtId="179" fontId="11" fillId="3" borderId="1" xfId="0" applyNumberFormat="1" applyFont="1" applyFill="1" applyBorder="1" applyAlignment="1">
      <alignment vertical="center"/>
    </xf>
    <xf numFmtId="0" fontId="12" fillId="0" borderId="1" xfId="0" applyFont="1" applyBorder="1"/>
    <xf numFmtId="0" fontId="12" fillId="4" borderId="1" xfId="0" applyFont="1" applyFill="1" applyBorder="1"/>
    <xf numFmtId="0" fontId="12" fillId="4" borderId="1" xfId="0" applyFont="1" applyFill="1" applyBorder="1" applyAlignment="1">
      <alignment horizontal="right"/>
    </xf>
    <xf numFmtId="0" fontId="13" fillId="0" borderId="1" xfId="0" applyFont="1" applyBorder="1"/>
    <xf numFmtId="179" fontId="13" fillId="3" borderId="1" xfId="0" applyNumberFormat="1" applyFont="1" applyFill="1" applyBorder="1"/>
    <xf numFmtId="0" fontId="12" fillId="0" borderId="1" xfId="0" applyFont="1" applyFill="1" applyBorder="1"/>
    <xf numFmtId="179" fontId="12" fillId="4" borderId="1" xfId="0" applyNumberFormat="1" applyFont="1" applyFill="1" applyBorder="1" applyAlignment="1">
      <alignment horizontal="right"/>
    </xf>
    <xf numFmtId="179" fontId="12" fillId="8" borderId="1" xfId="0" applyNumberFormat="1" applyFont="1" applyFill="1" applyBorder="1" applyAlignment="1">
      <alignment horizontal="right"/>
    </xf>
    <xf numFmtId="179" fontId="12" fillId="8" borderId="1" xfId="0" applyNumberFormat="1" applyFont="1" applyFill="1" applyBorder="1"/>
    <xf numFmtId="179" fontId="14" fillId="3" borderId="1" xfId="0" applyNumberFormat="1" applyFont="1" applyFill="1" applyBorder="1" applyAlignment="1">
      <alignment horizontal="right"/>
    </xf>
    <xf numFmtId="179" fontId="12" fillId="5" borderId="1" xfId="0" applyNumberFormat="1" applyFont="1" applyFill="1" applyBorder="1" applyAlignment="1">
      <alignment horizontal="right"/>
    </xf>
    <xf numFmtId="179" fontId="11" fillId="3" borderId="1" xfId="0" applyNumberFormat="1" applyFont="1" applyFill="1" applyBorder="1" applyAlignment="1">
      <alignment horizontal="right"/>
    </xf>
    <xf numFmtId="179" fontId="13" fillId="3" borderId="1" xfId="0" applyNumberFormat="1" applyFont="1" applyFill="1" applyBorder="1" applyAlignment="1">
      <alignment horizontal="right"/>
    </xf>
    <xf numFmtId="179" fontId="14" fillId="4" borderId="1" xfId="0" applyNumberFormat="1" applyFont="1" applyFill="1" applyBorder="1" applyAlignment="1">
      <alignment horizontal="right"/>
    </xf>
    <xf numFmtId="0" fontId="12" fillId="9" borderId="1" xfId="2" applyFont="1" applyFill="1" applyBorder="1">
      <alignment vertical="center"/>
    </xf>
    <xf numFmtId="0" fontId="12" fillId="0" borderId="0" xfId="2" applyFont="1">
      <alignment vertical="center"/>
    </xf>
    <xf numFmtId="0" fontId="12" fillId="0" borderId="1" xfId="2" applyFont="1" applyBorder="1">
      <alignment vertical="center"/>
    </xf>
    <xf numFmtId="0" fontId="14" fillId="0" borderId="1" xfId="2" applyFont="1" applyBorder="1" applyAlignment="1">
      <alignment horizontal="center" vertical="center"/>
    </xf>
    <xf numFmtId="0" fontId="13" fillId="0" borderId="1" xfId="2" applyFont="1" applyBorder="1">
      <alignment vertical="center"/>
    </xf>
    <xf numFmtId="0" fontId="14" fillId="0" borderId="1" xfId="2" applyFont="1" applyBorder="1">
      <alignment vertical="center"/>
    </xf>
    <xf numFmtId="0" fontId="14" fillId="0" borderId="1" xfId="2" applyFont="1" applyBorder="1" applyAlignment="1">
      <alignment vertical="center" wrapText="1"/>
    </xf>
    <xf numFmtId="0" fontId="14" fillId="0" borderId="1" xfId="0" applyFont="1" applyBorder="1"/>
    <xf numFmtId="0" fontId="12" fillId="5" borderId="1" xfId="0" applyFont="1" applyFill="1" applyBorder="1"/>
    <xf numFmtId="179" fontId="12" fillId="5" borderId="1" xfId="0" applyNumberFormat="1" applyFont="1" applyFill="1" applyBorder="1"/>
    <xf numFmtId="179" fontId="11" fillId="5" borderId="1" xfId="0" applyNumberFormat="1" applyFont="1" applyFill="1" applyBorder="1"/>
    <xf numFmtId="0" fontId="12" fillId="4" borderId="1" xfId="2" applyFont="1" applyFill="1" applyBorder="1">
      <alignment vertical="center"/>
    </xf>
    <xf numFmtId="0" fontId="15" fillId="0" borderId="0" xfId="2" applyFont="1">
      <alignment vertical="center"/>
    </xf>
    <xf numFmtId="0" fontId="10" fillId="0" borderId="1" xfId="0" applyFont="1" applyBorder="1" applyAlignment="1">
      <alignment horizontal="left" vertical="center"/>
    </xf>
    <xf numFmtId="0" fontId="12" fillId="3" borderId="1" xfId="2" applyFont="1" applyFill="1" applyBorder="1">
      <alignment vertical="center"/>
    </xf>
    <xf numFmtId="0" fontId="13" fillId="7" borderId="1" xfId="2" applyFont="1" applyFill="1" applyBorder="1">
      <alignment vertical="center"/>
    </xf>
    <xf numFmtId="0" fontId="13" fillId="7" borderId="1" xfId="2" quotePrefix="1" applyFont="1" applyFill="1" applyBorder="1" applyAlignment="1">
      <alignment vertical="center"/>
    </xf>
    <xf numFmtId="0" fontId="13" fillId="7" borderId="1" xfId="0" applyFont="1" applyFill="1" applyBorder="1"/>
    <xf numFmtId="177" fontId="12" fillId="4" borderId="1" xfId="0" applyNumberFormat="1" applyFont="1" applyFill="1" applyBorder="1"/>
    <xf numFmtId="0" fontId="12" fillId="0" borderId="1" xfId="0" applyFont="1" applyBorder="1" applyAlignment="1">
      <alignment horizontal="left" vertical="center"/>
    </xf>
    <xf numFmtId="0" fontId="18" fillId="0" borderId="5" xfId="0" applyFont="1" applyBorder="1" applyAlignment="1">
      <alignment vertical="center"/>
    </xf>
    <xf numFmtId="0" fontId="18" fillId="0" borderId="5" xfId="0" applyFont="1" applyBorder="1" applyAlignment="1">
      <alignment horizontal="center" vertical="center"/>
    </xf>
    <xf numFmtId="0" fontId="18" fillId="0" borderId="5" xfId="0" applyFont="1" applyBorder="1" applyAlignment="1">
      <alignment horizontal="left" vertical="center"/>
    </xf>
    <xf numFmtId="0" fontId="18" fillId="0" borderId="6" xfId="0" applyFont="1" applyBorder="1" applyAlignment="1">
      <alignment vertical="center"/>
    </xf>
    <xf numFmtId="0" fontId="18" fillId="5" borderId="7" xfId="0" applyFont="1" applyFill="1" applyBorder="1" applyAlignment="1">
      <alignment vertical="center"/>
    </xf>
    <xf numFmtId="0" fontId="18" fillId="5" borderId="6" xfId="0" applyFont="1" applyFill="1" applyBorder="1" applyAlignment="1">
      <alignment vertical="center"/>
    </xf>
    <xf numFmtId="0" fontId="18" fillId="5" borderId="6" xfId="0" applyFont="1" applyFill="1" applyBorder="1" applyAlignment="1">
      <alignment vertical="center" wrapText="1"/>
    </xf>
    <xf numFmtId="0" fontId="19" fillId="0" borderId="6" xfId="0" applyFont="1" applyBorder="1" applyAlignment="1">
      <alignment vertical="center" wrapText="1"/>
    </xf>
    <xf numFmtId="0" fontId="18" fillId="0" borderId="8" xfId="0" applyFont="1" applyBorder="1" applyAlignment="1">
      <alignment vertical="center"/>
    </xf>
    <xf numFmtId="0" fontId="18" fillId="0" borderId="9" xfId="0" applyFont="1" applyBorder="1" applyAlignment="1">
      <alignment vertical="center"/>
    </xf>
    <xf numFmtId="0" fontId="12" fillId="0" borderId="1" xfId="0" applyFont="1" applyBorder="1" applyAlignment="1">
      <alignment horizontal="left"/>
    </xf>
    <xf numFmtId="0" fontId="20" fillId="0" borderId="1" xfId="0" applyFont="1" applyBorder="1" applyAlignment="1">
      <alignment horizontal="left"/>
    </xf>
    <xf numFmtId="0" fontId="20" fillId="6" borderId="1" xfId="0" applyFont="1" applyFill="1" applyBorder="1" applyAlignment="1">
      <alignment horizontal="left"/>
    </xf>
    <xf numFmtId="0" fontId="12" fillId="6" borderId="1" xfId="2" applyFont="1" applyFill="1" applyBorder="1">
      <alignment vertical="center"/>
    </xf>
    <xf numFmtId="0" fontId="13" fillId="3" borderId="1" xfId="2" applyFont="1" applyFill="1" applyBorder="1">
      <alignment vertical="center"/>
    </xf>
    <xf numFmtId="0" fontId="12" fillId="6" borderId="1" xfId="2" applyFont="1" applyFill="1" applyBorder="1" applyAlignment="1">
      <alignment vertical="center"/>
    </xf>
    <xf numFmtId="0" fontId="12" fillId="3" borderId="10" xfId="0" applyFont="1" applyFill="1" applyBorder="1" applyAlignment="1">
      <alignment horizontal="center" vertical="center"/>
    </xf>
    <xf numFmtId="0" fontId="12" fillId="9" borderId="11" xfId="0" applyFont="1" applyFill="1" applyBorder="1" applyAlignment="1">
      <alignment horizontal="center" vertical="center"/>
    </xf>
    <xf numFmtId="0" fontId="12" fillId="5" borderId="12" xfId="0" applyFont="1" applyFill="1" applyBorder="1" applyAlignment="1">
      <alignment horizontal="left" vertical="center"/>
    </xf>
    <xf numFmtId="0" fontId="12" fillId="5" borderId="12" xfId="0" applyFont="1" applyFill="1" applyBorder="1" applyAlignment="1">
      <alignment horizontal="left"/>
    </xf>
    <xf numFmtId="181" fontId="12" fillId="5" borderId="12" xfId="0" applyNumberFormat="1" applyFont="1" applyFill="1" applyBorder="1" applyAlignment="1">
      <alignment horizontal="left" vertical="center"/>
    </xf>
    <xf numFmtId="182" fontId="12" fillId="5" borderId="12" xfId="0" applyNumberFormat="1" applyFont="1" applyFill="1" applyBorder="1" applyAlignment="1">
      <alignment horizontal="left" vertical="center"/>
    </xf>
    <xf numFmtId="180" fontId="12" fillId="5" borderId="12" xfId="0" applyNumberFormat="1" applyFont="1" applyFill="1" applyBorder="1" applyAlignment="1">
      <alignment horizontal="left" vertical="center"/>
    </xf>
    <xf numFmtId="0" fontId="12" fillId="5" borderId="13" xfId="0" applyFont="1" applyFill="1" applyBorder="1" applyAlignment="1">
      <alignment horizontal="left" vertical="center"/>
    </xf>
    <xf numFmtId="0" fontId="12" fillId="5" borderId="14" xfId="0" applyFont="1" applyFill="1" applyBorder="1" applyAlignment="1">
      <alignment horizontal="center" vertical="center"/>
    </xf>
    <xf numFmtId="0" fontId="12" fillId="5" borderId="12" xfId="0" applyFont="1" applyFill="1" applyBorder="1" applyAlignment="1">
      <alignment horizontal="center" vertical="center"/>
    </xf>
    <xf numFmtId="0" fontId="12" fillId="0" borderId="14" xfId="0" applyFont="1" applyBorder="1" applyAlignment="1">
      <alignment horizontal="left" vertical="center"/>
    </xf>
    <xf numFmtId="0" fontId="12" fillId="9" borderId="15" xfId="0" applyFont="1" applyFill="1" applyBorder="1" applyAlignment="1">
      <alignment horizontal="center" vertical="center"/>
    </xf>
    <xf numFmtId="181" fontId="12" fillId="5" borderId="16" xfId="0" applyNumberFormat="1" applyFont="1" applyFill="1" applyBorder="1" applyAlignment="1">
      <alignment horizontal="left" vertical="center"/>
    </xf>
    <xf numFmtId="0" fontId="12" fillId="5" borderId="16" xfId="0" applyFont="1" applyFill="1" applyBorder="1" applyAlignment="1">
      <alignment horizontal="left" vertical="center"/>
    </xf>
    <xf numFmtId="0" fontId="12" fillId="5" borderId="16" xfId="0" applyFont="1" applyFill="1" applyBorder="1" applyAlignment="1">
      <alignment horizontal="left"/>
    </xf>
    <xf numFmtId="182" fontId="12" fillId="5" borderId="16" xfId="0" applyNumberFormat="1" applyFont="1" applyFill="1" applyBorder="1" applyAlignment="1">
      <alignment horizontal="left" vertical="center"/>
    </xf>
    <xf numFmtId="180" fontId="12" fillId="5" borderId="16" xfId="0" applyNumberFormat="1" applyFont="1" applyFill="1" applyBorder="1" applyAlignment="1">
      <alignment horizontal="left" vertical="center"/>
    </xf>
    <xf numFmtId="0" fontId="12" fillId="5" borderId="16" xfId="0" applyFont="1" applyFill="1" applyBorder="1" applyAlignment="1">
      <alignment horizontal="center" vertical="center"/>
    </xf>
    <xf numFmtId="0" fontId="12" fillId="5" borderId="17" xfId="0" applyFont="1" applyFill="1" applyBorder="1" applyAlignment="1">
      <alignment horizontal="left" vertical="center"/>
    </xf>
    <xf numFmtId="0" fontId="12" fillId="0" borderId="18" xfId="0" applyFont="1" applyBorder="1" applyAlignment="1">
      <alignment horizontal="left" vertical="center"/>
    </xf>
    <xf numFmtId="0" fontId="12" fillId="9" borderId="19" xfId="0" applyFont="1" applyFill="1" applyBorder="1" applyAlignment="1">
      <alignment horizontal="center" vertical="center"/>
    </xf>
    <xf numFmtId="0" fontId="12" fillId="5" borderId="20" xfId="0" applyFont="1" applyFill="1" applyBorder="1" applyAlignment="1">
      <alignment horizontal="left" vertical="center"/>
    </xf>
    <xf numFmtId="0" fontId="12" fillId="5" borderId="20" xfId="0" applyFont="1" applyFill="1" applyBorder="1" applyAlignment="1">
      <alignment horizontal="left"/>
    </xf>
    <xf numFmtId="181" fontId="12" fillId="5" borderId="20" xfId="0" applyNumberFormat="1" applyFont="1" applyFill="1" applyBorder="1" applyAlignment="1">
      <alignment horizontal="left" vertical="center"/>
    </xf>
    <xf numFmtId="182" fontId="12" fillId="5" borderId="20" xfId="0" applyNumberFormat="1" applyFont="1" applyFill="1" applyBorder="1" applyAlignment="1">
      <alignment horizontal="left" vertical="center"/>
    </xf>
    <xf numFmtId="180" fontId="12" fillId="5" borderId="20" xfId="0" applyNumberFormat="1" applyFont="1" applyFill="1" applyBorder="1" applyAlignment="1">
      <alignment horizontal="left" vertical="center"/>
    </xf>
    <xf numFmtId="0" fontId="12" fillId="5" borderId="20" xfId="0" applyFont="1" applyFill="1" applyBorder="1" applyAlignment="1">
      <alignment horizontal="center" vertical="center"/>
    </xf>
    <xf numFmtId="0" fontId="12" fillId="5" borderId="21" xfId="0" applyFont="1" applyFill="1" applyBorder="1" applyAlignment="1">
      <alignment horizontal="left" vertical="center"/>
    </xf>
    <xf numFmtId="0" fontId="12" fillId="0" borderId="22" xfId="0" applyFont="1" applyBorder="1" applyAlignment="1">
      <alignment horizontal="left" vertical="center"/>
    </xf>
    <xf numFmtId="0" fontId="12" fillId="0" borderId="1" xfId="0" applyFont="1" applyBorder="1" applyAlignment="1">
      <alignment horizontal="center" vertical="center"/>
    </xf>
    <xf numFmtId="183" fontId="12" fillId="4" borderId="1" xfId="0" applyNumberFormat="1" applyFont="1" applyFill="1" applyBorder="1" applyAlignment="1">
      <alignment vertical="center"/>
    </xf>
    <xf numFmtId="181" fontId="18" fillId="5" borderId="6" xfId="0" applyNumberFormat="1" applyFont="1" applyFill="1" applyBorder="1" applyAlignment="1">
      <alignment vertical="center"/>
    </xf>
    <xf numFmtId="0" fontId="23" fillId="0" borderId="0" xfId="0" applyFont="1"/>
    <xf numFmtId="0" fontId="16" fillId="5" borderId="3" xfId="0" applyFont="1" applyFill="1" applyBorder="1" applyAlignment="1">
      <alignment horizontal="center" vertical="center"/>
    </xf>
    <xf numFmtId="0" fontId="17" fillId="5" borderId="3" xfId="0" applyFont="1" applyFill="1" applyBorder="1" applyAlignment="1">
      <alignment horizontal="center" vertical="center"/>
    </xf>
    <xf numFmtId="0" fontId="16" fillId="5" borderId="1" xfId="0" applyFont="1" applyFill="1" applyBorder="1" applyAlignment="1">
      <alignment horizontal="center" vertical="center"/>
    </xf>
    <xf numFmtId="0" fontId="17" fillId="5" borderId="4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/>
    </xf>
    <xf numFmtId="184" fontId="10" fillId="5" borderId="1" xfId="0" applyNumberFormat="1" applyFont="1" applyFill="1" applyBorder="1" applyAlignment="1">
      <alignment vertical="center"/>
    </xf>
    <xf numFmtId="41" fontId="12" fillId="5" borderId="1" xfId="1" applyFont="1" applyFill="1" applyBorder="1" applyAlignment="1">
      <alignment vertical="center"/>
    </xf>
    <xf numFmtId="184" fontId="11" fillId="5" borderId="1" xfId="0" applyNumberFormat="1" applyFont="1" applyFill="1" applyBorder="1" applyAlignment="1">
      <alignment vertical="center"/>
    </xf>
    <xf numFmtId="0" fontId="12" fillId="5" borderId="0" xfId="0" applyFont="1" applyFill="1" applyAlignment="1">
      <alignment vertical="center"/>
    </xf>
    <xf numFmtId="184" fontId="12" fillId="5" borderId="1" xfId="0" applyNumberFormat="1" applyFont="1" applyFill="1" applyBorder="1" applyAlignment="1">
      <alignment vertical="center"/>
    </xf>
    <xf numFmtId="185" fontId="12" fillId="5" borderId="1" xfId="1" applyNumberFormat="1" applyFont="1" applyFill="1" applyBorder="1" applyAlignment="1">
      <alignment vertical="center"/>
    </xf>
    <xf numFmtId="0" fontId="10" fillId="5" borderId="1" xfId="0" applyFont="1" applyFill="1" applyBorder="1" applyAlignment="1">
      <alignment vertical="center"/>
    </xf>
    <xf numFmtId="0" fontId="11" fillId="5" borderId="1" xfId="0" applyFont="1" applyFill="1" applyBorder="1" applyAlignment="1">
      <alignment vertical="center"/>
    </xf>
    <xf numFmtId="41" fontId="12" fillId="5" borderId="1" xfId="1" applyNumberFormat="1" applyFont="1" applyFill="1" applyBorder="1" applyAlignment="1">
      <alignment vertical="center"/>
    </xf>
    <xf numFmtId="41" fontId="10" fillId="5" borderId="1" xfId="1" applyFont="1" applyFill="1" applyBorder="1" applyAlignment="1">
      <alignment vertical="center"/>
    </xf>
    <xf numFmtId="186" fontId="10" fillId="5" borderId="1" xfId="1" applyNumberFormat="1" applyFont="1" applyFill="1" applyBorder="1" applyAlignment="1">
      <alignment vertical="center"/>
    </xf>
    <xf numFmtId="41" fontId="10" fillId="5" borderId="1" xfId="1" applyNumberFormat="1" applyFont="1" applyFill="1" applyBorder="1" applyAlignment="1">
      <alignment vertical="center"/>
    </xf>
    <xf numFmtId="0" fontId="12" fillId="5" borderId="24" xfId="0" applyFont="1" applyFill="1" applyBorder="1" applyAlignment="1">
      <alignment horizontal="center" vertical="center"/>
    </xf>
    <xf numFmtId="0" fontId="12" fillId="5" borderId="24" xfId="0" applyFont="1" applyFill="1" applyBorder="1" applyAlignment="1">
      <alignment horizontal="left" vertical="center"/>
    </xf>
    <xf numFmtId="179" fontId="10" fillId="5" borderId="1" xfId="0" applyNumberFormat="1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vertical="center" wrapText="1"/>
    </xf>
    <xf numFmtId="181" fontId="12" fillId="5" borderId="1" xfId="1" applyNumberFormat="1" applyFont="1" applyFill="1" applyBorder="1" applyAlignment="1">
      <alignment vertical="center"/>
    </xf>
    <xf numFmtId="0" fontId="12" fillId="5" borderId="1" xfId="0" applyFont="1" applyFill="1" applyBorder="1" applyAlignment="1">
      <alignment horizontal="left" vertical="center"/>
    </xf>
    <xf numFmtId="0" fontId="0" fillId="5" borderId="3" xfId="0" applyFill="1" applyBorder="1" applyAlignment="1">
      <alignment vertical="center"/>
    </xf>
    <xf numFmtId="0" fontId="0" fillId="5" borderId="27" xfId="0" applyFill="1" applyBorder="1" applyAlignment="1">
      <alignment vertical="center"/>
    </xf>
    <xf numFmtId="41" fontId="0" fillId="5" borderId="27" xfId="1" applyFont="1" applyFill="1" applyBorder="1" applyAlignment="1">
      <alignment vertical="center"/>
    </xf>
    <xf numFmtId="0" fontId="0" fillId="5" borderId="4" xfId="0" applyFill="1" applyBorder="1" applyAlignment="1">
      <alignment vertical="center"/>
    </xf>
    <xf numFmtId="0" fontId="0" fillId="5" borderId="1" xfId="0" applyFill="1" applyBorder="1" applyAlignment="1">
      <alignment horizontal="center" vertical="center"/>
    </xf>
    <xf numFmtId="0" fontId="0" fillId="0" borderId="0" xfId="2" applyFont="1" applyAlignment="1">
      <alignment vertical="center"/>
    </xf>
    <xf numFmtId="0" fontId="12" fillId="4" borderId="3" xfId="2" applyFont="1" applyFill="1" applyBorder="1">
      <alignment vertical="center"/>
    </xf>
    <xf numFmtId="2" fontId="12" fillId="5" borderId="3" xfId="2" applyNumberFormat="1" applyFont="1" applyFill="1" applyBorder="1">
      <alignment vertical="center"/>
    </xf>
    <xf numFmtId="0" fontId="12" fillId="8" borderId="3" xfId="2" applyFont="1" applyFill="1" applyBorder="1">
      <alignment vertical="center"/>
    </xf>
    <xf numFmtId="0" fontId="12" fillId="5" borderId="3" xfId="2" applyFont="1" applyFill="1" applyBorder="1">
      <alignment vertical="center"/>
    </xf>
    <xf numFmtId="0" fontId="12" fillId="0" borderId="3" xfId="2" applyFont="1" applyBorder="1">
      <alignment vertical="center"/>
    </xf>
    <xf numFmtId="176" fontId="12" fillId="8" borderId="3" xfId="2" applyNumberFormat="1" applyFont="1" applyFill="1" applyBorder="1">
      <alignment vertical="center"/>
    </xf>
    <xf numFmtId="2" fontId="12" fillId="4" borderId="3" xfId="2" applyNumberFormat="1" applyFont="1" applyFill="1" applyBorder="1">
      <alignment vertical="center"/>
    </xf>
    <xf numFmtId="178" fontId="12" fillId="3" borderId="3" xfId="2" applyNumberFormat="1" applyFont="1" applyFill="1" applyBorder="1">
      <alignment vertical="center"/>
    </xf>
    <xf numFmtId="179" fontId="12" fillId="5" borderId="3" xfId="2" applyNumberFormat="1" applyFont="1" applyFill="1" applyBorder="1">
      <alignment vertical="center"/>
    </xf>
    <xf numFmtId="176" fontId="12" fillId="5" borderId="3" xfId="2" applyNumberFormat="1" applyFont="1" applyFill="1" applyBorder="1">
      <alignment vertical="center"/>
    </xf>
    <xf numFmtId="179" fontId="12" fillId="0" borderId="3" xfId="2" applyNumberFormat="1" applyFont="1" applyBorder="1">
      <alignment vertical="center"/>
    </xf>
    <xf numFmtId="179" fontId="12" fillId="3" borderId="3" xfId="2" applyNumberFormat="1" applyFont="1" applyFill="1" applyBorder="1">
      <alignment vertical="center"/>
    </xf>
    <xf numFmtId="178" fontId="12" fillId="5" borderId="3" xfId="2" applyNumberFormat="1" applyFont="1" applyFill="1" applyBorder="1">
      <alignment vertical="center"/>
    </xf>
    <xf numFmtId="179" fontId="12" fillId="9" borderId="3" xfId="2" applyNumberFormat="1" applyFont="1" applyFill="1" applyBorder="1">
      <alignment vertical="center"/>
    </xf>
    <xf numFmtId="0" fontId="12" fillId="4" borderId="4" xfId="2" applyFont="1" applyFill="1" applyBorder="1">
      <alignment vertical="center"/>
    </xf>
    <xf numFmtId="2" fontId="12" fillId="5" borderId="4" xfId="2" applyNumberFormat="1" applyFont="1" applyFill="1" applyBorder="1">
      <alignment vertical="center"/>
    </xf>
    <xf numFmtId="0" fontId="12" fillId="8" borderId="4" xfId="2" applyFont="1" applyFill="1" applyBorder="1">
      <alignment vertical="center"/>
    </xf>
    <xf numFmtId="0" fontId="12" fillId="5" borderId="4" xfId="2" applyFont="1" applyFill="1" applyBorder="1">
      <alignment vertical="center"/>
    </xf>
    <xf numFmtId="0" fontId="12" fillId="0" borderId="4" xfId="2" applyFont="1" applyBorder="1">
      <alignment vertical="center"/>
    </xf>
    <xf numFmtId="176" fontId="12" fillId="8" borderId="4" xfId="2" applyNumberFormat="1" applyFont="1" applyFill="1" applyBorder="1">
      <alignment vertical="center"/>
    </xf>
    <xf numFmtId="2" fontId="12" fillId="4" borderId="4" xfId="2" applyNumberFormat="1" applyFont="1" applyFill="1" applyBorder="1">
      <alignment vertical="center"/>
    </xf>
    <xf numFmtId="178" fontId="12" fillId="3" borderId="4" xfId="2" applyNumberFormat="1" applyFont="1" applyFill="1" applyBorder="1">
      <alignment vertical="center"/>
    </xf>
    <xf numFmtId="179" fontId="12" fillId="5" borderId="4" xfId="2" applyNumberFormat="1" applyFont="1" applyFill="1" applyBorder="1">
      <alignment vertical="center"/>
    </xf>
    <xf numFmtId="176" fontId="12" fillId="5" borderId="4" xfId="2" applyNumberFormat="1" applyFont="1" applyFill="1" applyBorder="1">
      <alignment vertical="center"/>
    </xf>
    <xf numFmtId="179" fontId="12" fillId="0" borderId="4" xfId="2" applyNumberFormat="1" applyFont="1" applyBorder="1">
      <alignment vertical="center"/>
    </xf>
    <xf numFmtId="179" fontId="12" fillId="3" borderId="4" xfId="2" applyNumberFormat="1" applyFont="1" applyFill="1" applyBorder="1">
      <alignment vertical="center"/>
    </xf>
    <xf numFmtId="178" fontId="12" fillId="5" borderId="4" xfId="2" applyNumberFormat="1" applyFont="1" applyFill="1" applyBorder="1">
      <alignment vertical="center"/>
    </xf>
    <xf numFmtId="179" fontId="12" fillId="9" borderId="4" xfId="2" applyNumberFormat="1" applyFont="1" applyFill="1" applyBorder="1">
      <alignment vertical="center"/>
    </xf>
    <xf numFmtId="0" fontId="12" fillId="0" borderId="33" xfId="2" applyFont="1" applyBorder="1">
      <alignment vertical="center"/>
    </xf>
    <xf numFmtId="0" fontId="12" fillId="0" borderId="34" xfId="2" applyFont="1" applyBorder="1">
      <alignment vertical="center"/>
    </xf>
    <xf numFmtId="0" fontId="12" fillId="4" borderId="35" xfId="2" applyFont="1" applyFill="1" applyBorder="1">
      <alignment vertical="center"/>
    </xf>
    <xf numFmtId="0" fontId="12" fillId="4" borderId="36" xfId="2" applyFont="1" applyFill="1" applyBorder="1">
      <alignment vertical="center"/>
    </xf>
    <xf numFmtId="2" fontId="12" fillId="5" borderId="35" xfId="2" applyNumberFormat="1" applyFont="1" applyFill="1" applyBorder="1">
      <alignment vertical="center"/>
    </xf>
    <xf numFmtId="2" fontId="12" fillId="5" borderId="36" xfId="2" applyNumberFormat="1" applyFont="1" applyFill="1" applyBorder="1">
      <alignment vertical="center"/>
    </xf>
    <xf numFmtId="0" fontId="12" fillId="8" borderId="35" xfId="2" applyFont="1" applyFill="1" applyBorder="1">
      <alignment vertical="center"/>
    </xf>
    <xf numFmtId="0" fontId="12" fillId="8" borderId="36" xfId="2" applyFont="1" applyFill="1" applyBorder="1">
      <alignment vertical="center"/>
    </xf>
    <xf numFmtId="0" fontId="12" fillId="5" borderId="35" xfId="2" applyFont="1" applyFill="1" applyBorder="1">
      <alignment vertical="center"/>
    </xf>
    <xf numFmtId="0" fontId="12" fillId="5" borderId="36" xfId="2" applyFont="1" applyFill="1" applyBorder="1">
      <alignment vertical="center"/>
    </xf>
    <xf numFmtId="0" fontId="12" fillId="0" borderId="35" xfId="2" applyFont="1" applyBorder="1">
      <alignment vertical="center"/>
    </xf>
    <xf numFmtId="0" fontId="12" fillId="0" borderId="36" xfId="2" applyFont="1" applyBorder="1">
      <alignment vertical="center"/>
    </xf>
    <xf numFmtId="176" fontId="12" fillId="8" borderId="35" xfId="2" applyNumberFormat="1" applyFont="1" applyFill="1" applyBorder="1">
      <alignment vertical="center"/>
    </xf>
    <xf numFmtId="176" fontId="12" fillId="8" borderId="36" xfId="2" applyNumberFormat="1" applyFont="1" applyFill="1" applyBorder="1">
      <alignment vertical="center"/>
    </xf>
    <xf numFmtId="2" fontId="12" fillId="4" borderId="35" xfId="2" applyNumberFormat="1" applyFont="1" applyFill="1" applyBorder="1">
      <alignment vertical="center"/>
    </xf>
    <xf numFmtId="2" fontId="12" fillId="4" borderId="36" xfId="2" applyNumberFormat="1" applyFont="1" applyFill="1" applyBorder="1">
      <alignment vertical="center"/>
    </xf>
    <xf numFmtId="178" fontId="12" fillId="3" borderId="35" xfId="2" applyNumberFormat="1" applyFont="1" applyFill="1" applyBorder="1">
      <alignment vertical="center"/>
    </xf>
    <xf numFmtId="178" fontId="12" fillId="3" borderId="36" xfId="2" applyNumberFormat="1" applyFont="1" applyFill="1" applyBorder="1">
      <alignment vertical="center"/>
    </xf>
    <xf numFmtId="179" fontId="12" fillId="5" borderId="35" xfId="2" applyNumberFormat="1" applyFont="1" applyFill="1" applyBorder="1">
      <alignment vertical="center"/>
    </xf>
    <xf numFmtId="179" fontId="12" fillId="5" borderId="36" xfId="2" applyNumberFormat="1" applyFont="1" applyFill="1" applyBorder="1">
      <alignment vertical="center"/>
    </xf>
    <xf numFmtId="176" fontId="12" fillId="5" borderId="35" xfId="2" applyNumberFormat="1" applyFont="1" applyFill="1" applyBorder="1">
      <alignment vertical="center"/>
    </xf>
    <xf numFmtId="176" fontId="12" fillId="5" borderId="36" xfId="2" applyNumberFormat="1" applyFont="1" applyFill="1" applyBorder="1">
      <alignment vertical="center"/>
    </xf>
    <xf numFmtId="179" fontId="12" fillId="0" borderId="35" xfId="2" applyNumberFormat="1" applyFont="1" applyBorder="1">
      <alignment vertical="center"/>
    </xf>
    <xf numFmtId="179" fontId="12" fillId="0" borderId="36" xfId="2" applyNumberFormat="1" applyFont="1" applyBorder="1">
      <alignment vertical="center"/>
    </xf>
    <xf numFmtId="179" fontId="12" fillId="3" borderId="35" xfId="2" applyNumberFormat="1" applyFont="1" applyFill="1" applyBorder="1">
      <alignment vertical="center"/>
    </xf>
    <xf numFmtId="179" fontId="12" fillId="3" borderId="36" xfId="2" applyNumberFormat="1" applyFont="1" applyFill="1" applyBorder="1">
      <alignment vertical="center"/>
    </xf>
    <xf numFmtId="178" fontId="12" fillId="5" borderId="35" xfId="2" applyNumberFormat="1" applyFont="1" applyFill="1" applyBorder="1">
      <alignment vertical="center"/>
    </xf>
    <xf numFmtId="178" fontId="12" fillId="5" borderId="36" xfId="2" applyNumberFormat="1" applyFont="1" applyFill="1" applyBorder="1">
      <alignment vertical="center"/>
    </xf>
    <xf numFmtId="179" fontId="12" fillId="9" borderId="35" xfId="2" applyNumberFormat="1" applyFont="1" applyFill="1" applyBorder="1">
      <alignment vertical="center"/>
    </xf>
    <xf numFmtId="179" fontId="12" fillId="9" borderId="36" xfId="2" applyNumberFormat="1" applyFont="1" applyFill="1" applyBorder="1">
      <alignment vertical="center"/>
    </xf>
    <xf numFmtId="176" fontId="12" fillId="5" borderId="37" xfId="2" applyNumberFormat="1" applyFont="1" applyFill="1" applyBorder="1">
      <alignment vertical="center"/>
    </xf>
    <xf numFmtId="176" fontId="12" fillId="5" borderId="38" xfId="2" applyNumberFormat="1" applyFont="1" applyFill="1" applyBorder="1">
      <alignment vertical="center"/>
    </xf>
    <xf numFmtId="0" fontId="12" fillId="0" borderId="39" xfId="2" applyFont="1" applyBorder="1">
      <alignment vertical="center"/>
    </xf>
    <xf numFmtId="0" fontId="12" fillId="0" borderId="0" xfId="2" applyFont="1" applyBorder="1">
      <alignment vertical="center"/>
    </xf>
    <xf numFmtId="185" fontId="10" fillId="5" borderId="1" xfId="1" applyNumberFormat="1" applyFont="1" applyFill="1" applyBorder="1" applyAlignment="1">
      <alignment vertical="center"/>
    </xf>
    <xf numFmtId="0" fontId="12" fillId="5" borderId="0" xfId="0" applyFont="1" applyFill="1" applyBorder="1" applyAlignment="1">
      <alignment vertical="center"/>
    </xf>
    <xf numFmtId="183" fontId="13" fillId="3" borderId="0" xfId="0" applyNumberFormat="1" applyFont="1" applyFill="1" applyBorder="1" applyAlignment="1">
      <alignment vertical="center"/>
    </xf>
    <xf numFmtId="0" fontId="12" fillId="0" borderId="0" xfId="0" applyFont="1" applyBorder="1" applyAlignment="1">
      <alignment vertical="center"/>
    </xf>
    <xf numFmtId="187" fontId="12" fillId="4" borderId="3" xfId="2" applyNumberFormat="1" applyFont="1" applyFill="1" applyBorder="1">
      <alignment vertical="center"/>
    </xf>
    <xf numFmtId="187" fontId="12" fillId="4" borderId="35" xfId="2" applyNumberFormat="1" applyFont="1" applyFill="1" applyBorder="1">
      <alignment vertical="center"/>
    </xf>
    <xf numFmtId="187" fontId="12" fillId="4" borderId="36" xfId="2" applyNumberFormat="1" applyFont="1" applyFill="1" applyBorder="1">
      <alignment vertical="center"/>
    </xf>
    <xf numFmtId="187" fontId="12" fillId="4" borderId="4" xfId="2" applyNumberFormat="1" applyFont="1" applyFill="1" applyBorder="1">
      <alignment vertical="center"/>
    </xf>
    <xf numFmtId="181" fontId="24" fillId="5" borderId="6" xfId="0" applyNumberFormat="1" applyFont="1" applyFill="1" applyBorder="1" applyAlignment="1">
      <alignment vertical="center" wrapText="1"/>
    </xf>
    <xf numFmtId="0" fontId="1" fillId="0" borderId="0" xfId="2" applyAlignment="1">
      <alignment horizontal="center" vertical="center"/>
    </xf>
    <xf numFmtId="2" fontId="12" fillId="0" borderId="35" xfId="2" applyNumberFormat="1" applyFont="1" applyBorder="1">
      <alignment vertical="center"/>
    </xf>
    <xf numFmtId="0" fontId="12" fillId="4" borderId="27" xfId="2" applyFont="1" applyFill="1" applyBorder="1">
      <alignment vertical="center"/>
    </xf>
    <xf numFmtId="2" fontId="12" fillId="5" borderId="27" xfId="2" applyNumberFormat="1" applyFont="1" applyFill="1" applyBorder="1">
      <alignment vertical="center"/>
    </xf>
    <xf numFmtId="0" fontId="12" fillId="8" borderId="27" xfId="2" applyFont="1" applyFill="1" applyBorder="1">
      <alignment vertical="center"/>
    </xf>
    <xf numFmtId="0" fontId="12" fillId="5" borderId="27" xfId="2" applyFont="1" applyFill="1" applyBorder="1">
      <alignment vertical="center"/>
    </xf>
    <xf numFmtId="0" fontId="12" fillId="0" borderId="27" xfId="2" applyFont="1" applyBorder="1">
      <alignment vertical="center"/>
    </xf>
    <xf numFmtId="187" fontId="12" fillId="4" borderId="27" xfId="2" applyNumberFormat="1" applyFont="1" applyFill="1" applyBorder="1">
      <alignment vertical="center"/>
    </xf>
    <xf numFmtId="176" fontId="12" fillId="8" borderId="27" xfId="2" applyNumberFormat="1" applyFont="1" applyFill="1" applyBorder="1">
      <alignment vertical="center"/>
    </xf>
    <xf numFmtId="2" fontId="12" fillId="0" borderId="4" xfId="2" applyNumberFormat="1" applyFont="1" applyBorder="1">
      <alignment vertical="center"/>
    </xf>
    <xf numFmtId="2" fontId="12" fillId="4" borderId="27" xfId="2" applyNumberFormat="1" applyFont="1" applyFill="1" applyBorder="1">
      <alignment vertical="center"/>
    </xf>
    <xf numFmtId="178" fontId="12" fillId="3" borderId="27" xfId="2" applyNumberFormat="1" applyFont="1" applyFill="1" applyBorder="1">
      <alignment vertical="center"/>
    </xf>
    <xf numFmtId="179" fontId="12" fillId="5" borderId="27" xfId="2" applyNumberFormat="1" applyFont="1" applyFill="1" applyBorder="1">
      <alignment vertical="center"/>
    </xf>
    <xf numFmtId="176" fontId="12" fillId="5" borderId="27" xfId="2" applyNumberFormat="1" applyFont="1" applyFill="1" applyBorder="1">
      <alignment vertical="center"/>
    </xf>
    <xf numFmtId="179" fontId="12" fillId="0" borderId="27" xfId="2" applyNumberFormat="1" applyFont="1" applyBorder="1">
      <alignment vertical="center"/>
    </xf>
    <xf numFmtId="179" fontId="12" fillId="3" borderId="27" xfId="2" applyNumberFormat="1" applyFont="1" applyFill="1" applyBorder="1">
      <alignment vertical="center"/>
    </xf>
    <xf numFmtId="178" fontId="12" fillId="5" borderId="27" xfId="2" applyNumberFormat="1" applyFont="1" applyFill="1" applyBorder="1">
      <alignment vertical="center"/>
    </xf>
    <xf numFmtId="179" fontId="12" fillId="9" borderId="27" xfId="2" applyNumberFormat="1" applyFont="1" applyFill="1" applyBorder="1">
      <alignment vertical="center"/>
    </xf>
    <xf numFmtId="176" fontId="12" fillId="5" borderId="39" xfId="2" applyNumberFormat="1" applyFont="1" applyFill="1" applyBorder="1">
      <alignment vertical="center"/>
    </xf>
    <xf numFmtId="2" fontId="12" fillId="5" borderId="1" xfId="2" applyNumberFormat="1" applyFont="1" applyFill="1" applyBorder="1">
      <alignment vertical="center"/>
    </xf>
    <xf numFmtId="0" fontId="12" fillId="8" borderId="1" xfId="2" applyFont="1" applyFill="1" applyBorder="1">
      <alignment vertical="center"/>
    </xf>
    <xf numFmtId="0" fontId="12" fillId="5" borderId="1" xfId="2" applyFont="1" applyFill="1" applyBorder="1">
      <alignment vertical="center"/>
    </xf>
    <xf numFmtId="187" fontId="12" fillId="4" borderId="1" xfId="2" applyNumberFormat="1" applyFont="1" applyFill="1" applyBorder="1">
      <alignment vertical="center"/>
    </xf>
    <xf numFmtId="176" fontId="12" fillId="8" borderId="1" xfId="2" applyNumberFormat="1" applyFont="1" applyFill="1" applyBorder="1">
      <alignment vertical="center"/>
    </xf>
    <xf numFmtId="2" fontId="12" fillId="0" borderId="1" xfId="2" applyNumberFormat="1" applyFont="1" applyBorder="1">
      <alignment vertical="center"/>
    </xf>
    <xf numFmtId="2" fontId="12" fillId="4" borderId="1" xfId="2" applyNumberFormat="1" applyFont="1" applyFill="1" applyBorder="1">
      <alignment vertical="center"/>
    </xf>
    <xf numFmtId="178" fontId="12" fillId="3" borderId="1" xfId="2" applyNumberFormat="1" applyFont="1" applyFill="1" applyBorder="1">
      <alignment vertical="center"/>
    </xf>
    <xf numFmtId="179" fontId="12" fillId="5" borderId="1" xfId="2" applyNumberFormat="1" applyFont="1" applyFill="1" applyBorder="1">
      <alignment vertical="center"/>
    </xf>
    <xf numFmtId="176" fontId="12" fillId="5" borderId="1" xfId="2" applyNumberFormat="1" applyFont="1" applyFill="1" applyBorder="1">
      <alignment vertical="center"/>
    </xf>
    <xf numFmtId="179" fontId="12" fillId="0" borderId="1" xfId="2" applyNumberFormat="1" applyFont="1" applyBorder="1">
      <alignment vertical="center"/>
    </xf>
    <xf numFmtId="179" fontId="12" fillId="3" borderId="1" xfId="2" applyNumberFormat="1" applyFont="1" applyFill="1" applyBorder="1">
      <alignment vertical="center"/>
    </xf>
    <xf numFmtId="178" fontId="12" fillId="5" borderId="1" xfId="2" applyNumberFormat="1" applyFont="1" applyFill="1" applyBorder="1">
      <alignment vertical="center"/>
    </xf>
    <xf numFmtId="179" fontId="12" fillId="9" borderId="1" xfId="2" applyNumberFormat="1" applyFont="1" applyFill="1" applyBorder="1">
      <alignment vertical="center"/>
    </xf>
    <xf numFmtId="0" fontId="0" fillId="0" borderId="0" xfId="2" applyFont="1" applyAlignment="1">
      <alignment horizontal="center" vertical="center"/>
    </xf>
    <xf numFmtId="0" fontId="1" fillId="0" borderId="0" xfId="2" applyAlignment="1">
      <alignment horizontal="center" vertical="center"/>
    </xf>
    <xf numFmtId="0" fontId="14" fillId="0" borderId="23" xfId="0" applyFont="1" applyBorder="1" applyAlignment="1">
      <alignment horizontal="left"/>
    </xf>
    <xf numFmtId="0" fontId="14" fillId="0" borderId="23" xfId="2" applyFont="1" applyBorder="1" applyAlignment="1">
      <alignment horizontal="left" vertical="center"/>
    </xf>
    <xf numFmtId="0" fontId="14" fillId="0" borderId="0" xfId="2" applyFont="1" applyAlignment="1">
      <alignment horizontal="left" vertical="center"/>
    </xf>
    <xf numFmtId="0" fontId="12" fillId="6" borderId="1" xfId="0" applyFont="1" applyFill="1" applyBorder="1" applyAlignment="1">
      <alignment horizontal="center" vertical="center"/>
    </xf>
    <xf numFmtId="0" fontId="12" fillId="5" borderId="24" xfId="0" applyFont="1" applyFill="1" applyBorder="1" applyAlignment="1">
      <alignment horizontal="center" vertical="center"/>
    </xf>
    <xf numFmtId="0" fontId="12" fillId="5" borderId="25" xfId="0" applyFont="1" applyFill="1" applyBorder="1" applyAlignment="1">
      <alignment horizontal="center" vertical="center"/>
    </xf>
    <xf numFmtId="0" fontId="12" fillId="5" borderId="26" xfId="0" applyFont="1" applyFill="1" applyBorder="1" applyAlignment="1">
      <alignment horizontal="center" vertical="center"/>
    </xf>
    <xf numFmtId="0" fontId="12" fillId="5" borderId="24" xfId="0" applyFont="1" applyFill="1" applyBorder="1" applyAlignment="1">
      <alignment horizontal="left" vertical="center"/>
    </xf>
    <xf numFmtId="0" fontId="12" fillId="5" borderId="25" xfId="0" applyFont="1" applyFill="1" applyBorder="1" applyAlignment="1">
      <alignment horizontal="left" vertical="center"/>
    </xf>
    <xf numFmtId="41" fontId="12" fillId="5" borderId="3" xfId="1" applyFont="1" applyFill="1" applyBorder="1" applyAlignment="1">
      <alignment horizontal="center" vertical="center"/>
    </xf>
    <xf numFmtId="41" fontId="12" fillId="5" borderId="27" xfId="1" applyFont="1" applyFill="1" applyBorder="1" applyAlignment="1">
      <alignment horizontal="center" vertical="center"/>
    </xf>
    <xf numFmtId="41" fontId="12" fillId="5" borderId="4" xfId="1" applyFont="1" applyFill="1" applyBorder="1" applyAlignment="1">
      <alignment horizontal="center" vertical="center"/>
    </xf>
    <xf numFmtId="0" fontId="0" fillId="5" borderId="27" xfId="0" applyFill="1" applyBorder="1" applyAlignment="1">
      <alignment horizontal="left" vertical="center" wrapText="1"/>
    </xf>
    <xf numFmtId="0" fontId="0" fillId="5" borderId="27" xfId="0" applyFill="1" applyBorder="1" applyAlignment="1">
      <alignment horizontal="left" vertical="center"/>
    </xf>
    <xf numFmtId="0" fontId="0" fillId="5" borderId="4" xfId="0" applyFill="1" applyBorder="1" applyAlignment="1">
      <alignment horizontal="left" vertical="center"/>
    </xf>
    <xf numFmtId="0" fontId="12" fillId="5" borderId="26" xfId="0" applyFont="1" applyFill="1" applyBorder="1" applyAlignment="1">
      <alignment horizontal="left" vertical="center"/>
    </xf>
    <xf numFmtId="0" fontId="12" fillId="5" borderId="24" xfId="0" applyFont="1" applyFill="1" applyBorder="1" applyAlignment="1">
      <alignment horizontal="left" vertical="center" wrapText="1"/>
    </xf>
    <xf numFmtId="0" fontId="17" fillId="5" borderId="3" xfId="0" applyFont="1" applyFill="1" applyBorder="1" applyAlignment="1">
      <alignment horizontal="center" vertical="center"/>
    </xf>
    <xf numFmtId="0" fontId="17" fillId="5" borderId="27" xfId="0" applyFont="1" applyFill="1" applyBorder="1" applyAlignment="1">
      <alignment horizontal="center" vertical="center"/>
    </xf>
    <xf numFmtId="0" fontId="17" fillId="5" borderId="4" xfId="0" applyFont="1" applyFill="1" applyBorder="1" applyAlignment="1">
      <alignment horizontal="center" vertical="center"/>
    </xf>
    <xf numFmtId="0" fontId="21" fillId="5" borderId="3" xfId="0" applyFont="1" applyFill="1" applyBorder="1" applyAlignment="1">
      <alignment horizontal="center" vertical="center"/>
    </xf>
    <xf numFmtId="0" fontId="21" fillId="5" borderId="27" xfId="0" applyFont="1" applyFill="1" applyBorder="1" applyAlignment="1">
      <alignment horizontal="center" vertical="center"/>
    </xf>
    <xf numFmtId="0" fontId="21" fillId="5" borderId="4" xfId="0" applyFont="1" applyFill="1" applyBorder="1" applyAlignment="1">
      <alignment horizontal="center" vertical="center"/>
    </xf>
    <xf numFmtId="0" fontId="17" fillId="5" borderId="1" xfId="0" applyFont="1" applyFill="1" applyBorder="1" applyAlignment="1">
      <alignment horizontal="center" vertical="center"/>
    </xf>
    <xf numFmtId="0" fontId="22" fillId="5" borderId="3" xfId="0" applyFont="1" applyFill="1" applyBorder="1" applyAlignment="1">
      <alignment horizontal="center" vertical="center"/>
    </xf>
    <xf numFmtId="0" fontId="22" fillId="5" borderId="4" xfId="0" applyFont="1" applyFill="1" applyBorder="1" applyAlignment="1">
      <alignment horizontal="center" vertical="center"/>
    </xf>
    <xf numFmtId="0" fontId="12" fillId="4" borderId="5" xfId="0" applyFont="1" applyFill="1" applyBorder="1" applyAlignment="1">
      <alignment horizontal="center" vertical="center"/>
    </xf>
    <xf numFmtId="0" fontId="12" fillId="4" borderId="10" xfId="0" applyFont="1" applyFill="1" applyBorder="1" applyAlignment="1">
      <alignment horizontal="center" vertical="center"/>
    </xf>
    <xf numFmtId="0" fontId="12" fillId="10" borderId="5" xfId="0" applyFont="1" applyFill="1" applyBorder="1" applyAlignment="1">
      <alignment horizontal="center" vertical="center"/>
    </xf>
    <xf numFmtId="0" fontId="12" fillId="10" borderId="10" xfId="0" applyFont="1" applyFill="1" applyBorder="1" applyAlignment="1">
      <alignment horizontal="center" vertical="center"/>
    </xf>
    <xf numFmtId="0" fontId="12" fillId="3" borderId="5" xfId="0" applyFont="1" applyFill="1" applyBorder="1" applyAlignment="1">
      <alignment horizontal="center" vertical="center"/>
    </xf>
    <xf numFmtId="0" fontId="12" fillId="3" borderId="10" xfId="0" applyFont="1" applyFill="1" applyBorder="1" applyAlignment="1">
      <alignment horizontal="center" vertical="center"/>
    </xf>
    <xf numFmtId="0" fontId="12" fillId="3" borderId="31" xfId="0" applyFont="1" applyFill="1" applyBorder="1" applyAlignment="1">
      <alignment horizontal="center" vertical="center"/>
    </xf>
    <xf numFmtId="0" fontId="12" fillId="3" borderId="32" xfId="0" applyFont="1" applyFill="1" applyBorder="1" applyAlignment="1">
      <alignment horizontal="center" vertical="center"/>
    </xf>
    <xf numFmtId="0" fontId="12" fillId="2" borderId="5" xfId="0" applyFont="1" applyFill="1" applyBorder="1" applyAlignment="1">
      <alignment horizontal="center" vertical="center"/>
    </xf>
    <xf numFmtId="0" fontId="12" fillId="2" borderId="10" xfId="0" applyFont="1" applyFill="1" applyBorder="1" applyAlignment="1">
      <alignment horizontal="center" vertical="center"/>
    </xf>
    <xf numFmtId="0" fontId="12" fillId="5" borderId="13" xfId="0" applyFont="1" applyFill="1" applyBorder="1" applyAlignment="1">
      <alignment horizontal="left" vertical="center"/>
    </xf>
    <xf numFmtId="0" fontId="12" fillId="5" borderId="2" xfId="0" applyFont="1" applyFill="1" applyBorder="1" applyAlignment="1">
      <alignment horizontal="left" vertical="center"/>
    </xf>
    <xf numFmtId="0" fontId="12" fillId="3" borderId="28" xfId="0" applyFont="1" applyFill="1" applyBorder="1" applyAlignment="1">
      <alignment horizontal="center" vertical="center"/>
    </xf>
    <xf numFmtId="0" fontId="12" fillId="3" borderId="29" xfId="0" applyFont="1" applyFill="1" applyBorder="1" applyAlignment="1">
      <alignment horizontal="center" vertical="center"/>
    </xf>
    <xf numFmtId="0" fontId="12" fillId="3" borderId="30" xfId="0" applyFont="1" applyFill="1" applyBorder="1" applyAlignment="1">
      <alignment horizontal="center" vertical="center"/>
    </xf>
    <xf numFmtId="0" fontId="12" fillId="3" borderId="9" xfId="0" applyFont="1" applyFill="1" applyBorder="1" applyAlignment="1">
      <alignment horizontal="center" vertical="center"/>
    </xf>
    <xf numFmtId="0" fontId="18" fillId="2" borderId="5" xfId="0" applyFont="1" applyFill="1" applyBorder="1" applyAlignment="1">
      <alignment horizontal="center" vertical="center"/>
    </xf>
    <xf numFmtId="0" fontId="18" fillId="2" borderId="5" xfId="0" applyFont="1" applyFill="1" applyBorder="1" applyAlignment="1">
      <alignment vertical="center"/>
    </xf>
    <xf numFmtId="0" fontId="18" fillId="2" borderId="7" xfId="0" applyFont="1" applyFill="1" applyBorder="1" applyAlignment="1">
      <alignment vertical="center"/>
    </xf>
    <xf numFmtId="0" fontId="18" fillId="2" borderId="6" xfId="0" applyFont="1" applyFill="1" applyBorder="1" applyAlignment="1">
      <alignment vertical="center"/>
    </xf>
    <xf numFmtId="0" fontId="18" fillId="2" borderId="6" xfId="0" applyFont="1" applyFill="1" applyBorder="1" applyAlignment="1">
      <alignment vertical="center" wrapText="1"/>
    </xf>
    <xf numFmtId="181" fontId="18" fillId="2" borderId="6" xfId="0" applyNumberFormat="1" applyFont="1" applyFill="1" applyBorder="1" applyAlignment="1">
      <alignment vertical="center"/>
    </xf>
    <xf numFmtId="181" fontId="24" fillId="2" borderId="6" xfId="0" applyNumberFormat="1" applyFont="1" applyFill="1" applyBorder="1" applyAlignment="1">
      <alignment vertical="center" wrapText="1"/>
    </xf>
    <xf numFmtId="0" fontId="18" fillId="2" borderId="8" xfId="0" applyFont="1" applyFill="1" applyBorder="1" applyAlignment="1">
      <alignment vertical="center"/>
    </xf>
    <xf numFmtId="0" fontId="18" fillId="2" borderId="9" xfId="0" applyFont="1" applyFill="1" applyBorder="1" applyAlignment="1">
      <alignment vertical="center"/>
    </xf>
  </cellXfs>
  <cellStyles count="3">
    <cellStyle name="쉼표 [0]" xfId="1" builtinId="6"/>
    <cellStyle name="표준" xfId="0" builtinId="0"/>
    <cellStyle name="표준_20080312_동작점설계_해송_150MF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1557705</xdr:colOff>
      <xdr:row>20</xdr:row>
      <xdr:rowOff>58555</xdr:rowOff>
    </xdr:from>
    <xdr:to>
      <xdr:col>28</xdr:col>
      <xdr:colOff>1651260</xdr:colOff>
      <xdr:row>20</xdr:row>
      <xdr:rowOff>148340</xdr:rowOff>
    </xdr:to>
    <xdr:sp macro="" textlink="">
      <xdr:nvSpPr>
        <xdr:cNvPr id="2" name="타원 1"/>
        <xdr:cNvSpPr/>
      </xdr:nvSpPr>
      <xdr:spPr>
        <a:xfrm>
          <a:off x="31142355" y="4049530"/>
          <a:ext cx="93555" cy="8978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28</xdr:col>
      <xdr:colOff>1695356</xdr:colOff>
      <xdr:row>20</xdr:row>
      <xdr:rowOff>55621</xdr:rowOff>
    </xdr:from>
    <xdr:to>
      <xdr:col>28</xdr:col>
      <xdr:colOff>1786806</xdr:colOff>
      <xdr:row>20</xdr:row>
      <xdr:rowOff>147459</xdr:rowOff>
    </xdr:to>
    <xdr:sp macro="" textlink="">
      <xdr:nvSpPr>
        <xdr:cNvPr id="3" name="타원 2"/>
        <xdr:cNvSpPr/>
      </xdr:nvSpPr>
      <xdr:spPr>
        <a:xfrm>
          <a:off x="32484745" y="4029006"/>
          <a:ext cx="91450" cy="91838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28</xdr:col>
      <xdr:colOff>1557705</xdr:colOff>
      <xdr:row>24</xdr:row>
      <xdr:rowOff>56203</xdr:rowOff>
    </xdr:from>
    <xdr:to>
      <xdr:col>28</xdr:col>
      <xdr:colOff>1651260</xdr:colOff>
      <xdr:row>24</xdr:row>
      <xdr:rowOff>148340</xdr:rowOff>
    </xdr:to>
    <xdr:sp macro="" textlink="">
      <xdr:nvSpPr>
        <xdr:cNvPr id="4" name="타원 3"/>
        <xdr:cNvSpPr/>
      </xdr:nvSpPr>
      <xdr:spPr>
        <a:xfrm>
          <a:off x="32360135" y="4895613"/>
          <a:ext cx="93555" cy="92137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28</xdr:col>
      <xdr:colOff>1690298</xdr:colOff>
      <xdr:row>24</xdr:row>
      <xdr:rowOff>54429</xdr:rowOff>
    </xdr:from>
    <xdr:to>
      <xdr:col>28</xdr:col>
      <xdr:colOff>1779854</xdr:colOff>
      <xdr:row>24</xdr:row>
      <xdr:rowOff>140533</xdr:rowOff>
    </xdr:to>
    <xdr:sp macro="" textlink="">
      <xdr:nvSpPr>
        <xdr:cNvPr id="5" name="타원 4"/>
        <xdr:cNvSpPr/>
      </xdr:nvSpPr>
      <xdr:spPr>
        <a:xfrm>
          <a:off x="32482593" y="4910618"/>
          <a:ext cx="89556" cy="86104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28</xdr:col>
      <xdr:colOff>1819409</xdr:colOff>
      <xdr:row>24</xdr:row>
      <xdr:rowOff>53245</xdr:rowOff>
    </xdr:from>
    <xdr:to>
      <xdr:col>28</xdr:col>
      <xdr:colOff>1912964</xdr:colOff>
      <xdr:row>24</xdr:row>
      <xdr:rowOff>144592</xdr:rowOff>
    </xdr:to>
    <xdr:sp macro="" textlink="">
      <xdr:nvSpPr>
        <xdr:cNvPr id="6" name="타원 5"/>
        <xdr:cNvSpPr/>
      </xdr:nvSpPr>
      <xdr:spPr>
        <a:xfrm>
          <a:off x="32621839" y="4892655"/>
          <a:ext cx="93555" cy="91347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28</xdr:col>
      <xdr:colOff>1950107</xdr:colOff>
      <xdr:row>24</xdr:row>
      <xdr:rowOff>54428</xdr:rowOff>
    </xdr:from>
    <xdr:to>
      <xdr:col>28</xdr:col>
      <xdr:colOff>2047875</xdr:colOff>
      <xdr:row>24</xdr:row>
      <xdr:rowOff>146277</xdr:rowOff>
    </xdr:to>
    <xdr:sp macro="" textlink="">
      <xdr:nvSpPr>
        <xdr:cNvPr id="7" name="타원 6"/>
        <xdr:cNvSpPr/>
      </xdr:nvSpPr>
      <xdr:spPr>
        <a:xfrm>
          <a:off x="32746473" y="4912178"/>
          <a:ext cx="97768" cy="91849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28</xdr:col>
      <xdr:colOff>1553159</xdr:colOff>
      <xdr:row>28</xdr:row>
      <xdr:rowOff>23664</xdr:rowOff>
    </xdr:from>
    <xdr:to>
      <xdr:col>28</xdr:col>
      <xdr:colOff>1632857</xdr:colOff>
      <xdr:row>28</xdr:row>
      <xdr:rowOff>94657</xdr:rowOff>
    </xdr:to>
    <xdr:sp macro="" textlink="">
      <xdr:nvSpPr>
        <xdr:cNvPr id="8" name="타원 7"/>
        <xdr:cNvSpPr/>
      </xdr:nvSpPr>
      <xdr:spPr>
        <a:xfrm>
          <a:off x="32355589" y="5703167"/>
          <a:ext cx="79698" cy="7099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28</xdr:col>
      <xdr:colOff>1668030</xdr:colOff>
      <xdr:row>28</xdr:row>
      <xdr:rowOff>23230</xdr:rowOff>
    </xdr:from>
    <xdr:to>
      <xdr:col>28</xdr:col>
      <xdr:colOff>1738638</xdr:colOff>
      <xdr:row>28</xdr:row>
      <xdr:rowOff>91335</xdr:rowOff>
    </xdr:to>
    <xdr:sp macro="" textlink="">
      <xdr:nvSpPr>
        <xdr:cNvPr id="9" name="타원 8"/>
        <xdr:cNvSpPr/>
      </xdr:nvSpPr>
      <xdr:spPr>
        <a:xfrm>
          <a:off x="32467705" y="5669728"/>
          <a:ext cx="70608" cy="68105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28</xdr:col>
      <xdr:colOff>1664555</xdr:colOff>
      <xdr:row>28</xdr:row>
      <xdr:rowOff>120160</xdr:rowOff>
    </xdr:from>
    <xdr:to>
      <xdr:col>28</xdr:col>
      <xdr:colOff>1737784</xdr:colOff>
      <xdr:row>28</xdr:row>
      <xdr:rowOff>184948</xdr:rowOff>
    </xdr:to>
    <xdr:sp macro="" textlink="">
      <xdr:nvSpPr>
        <xdr:cNvPr id="10" name="타원 9"/>
        <xdr:cNvSpPr/>
      </xdr:nvSpPr>
      <xdr:spPr>
        <a:xfrm>
          <a:off x="32464230" y="5766658"/>
          <a:ext cx="73229" cy="64788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28</xdr:col>
      <xdr:colOff>1556525</xdr:colOff>
      <xdr:row>28</xdr:row>
      <xdr:rowOff>124239</xdr:rowOff>
    </xdr:from>
    <xdr:to>
      <xdr:col>28</xdr:col>
      <xdr:colOff>1627839</xdr:colOff>
      <xdr:row>28</xdr:row>
      <xdr:rowOff>185853</xdr:rowOff>
    </xdr:to>
    <xdr:sp macro="" textlink="">
      <xdr:nvSpPr>
        <xdr:cNvPr id="11" name="타원 10"/>
        <xdr:cNvSpPr/>
      </xdr:nvSpPr>
      <xdr:spPr>
        <a:xfrm>
          <a:off x="32358955" y="5803742"/>
          <a:ext cx="71314" cy="61614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F93"/>
  <sheetViews>
    <sheetView zoomScale="80" zoomScaleNormal="80" workbookViewId="0">
      <selection activeCell="J95" sqref="J95"/>
    </sheetView>
  </sheetViews>
  <sheetFormatPr defaultColWidth="8.88671875" defaultRowHeight="13.5"/>
  <cols>
    <col min="1" max="1" width="8.88671875" style="1"/>
    <col min="2" max="2" width="40.77734375" style="1" customWidth="1"/>
    <col min="3" max="6" width="9.33203125" style="1" customWidth="1"/>
    <col min="7" max="7" width="2.109375" style="1" customWidth="1"/>
    <col min="8" max="11" width="9.33203125" style="1" customWidth="1"/>
    <col min="12" max="12" width="2.88671875" style="1" customWidth="1"/>
    <col min="13" max="13" width="6.33203125" style="1" customWidth="1"/>
    <col min="14" max="14" width="8.21875" style="1" bestFit="1" customWidth="1"/>
    <col min="15" max="15" width="67.33203125" style="1" customWidth="1"/>
    <col min="16" max="16" width="4" style="1" customWidth="1"/>
    <col min="17" max="17" width="19.109375" style="1" customWidth="1"/>
    <col min="18" max="19" width="12.77734375" style="1" bestFit="1" customWidth="1"/>
    <col min="20" max="20" width="12.109375" style="1" bestFit="1" customWidth="1"/>
    <col min="21" max="21" width="20.88671875" style="1" bestFit="1" customWidth="1"/>
    <col min="22" max="22" width="10.109375" style="1" bestFit="1" customWidth="1"/>
    <col min="23" max="23" width="8.88671875" style="1"/>
    <col min="24" max="24" width="4.44140625" style="1" customWidth="1"/>
    <col min="25" max="25" width="17.5546875" style="1" bestFit="1" customWidth="1"/>
    <col min="26" max="26" width="8.88671875" style="1"/>
    <col min="27" max="27" width="10.77734375" style="1" bestFit="1" customWidth="1"/>
    <col min="28" max="28" width="4.5546875" style="1" customWidth="1"/>
    <col min="29" max="29" width="30.6640625" style="1" customWidth="1"/>
    <col min="30" max="30" width="9" style="1" bestFit="1" customWidth="1"/>
    <col min="31" max="31" width="8.77734375" style="1" bestFit="1" customWidth="1"/>
    <col min="32" max="16384" width="8.88671875" style="1"/>
  </cols>
  <sheetData>
    <row r="1" spans="2:32" ht="18" thickBot="1">
      <c r="B1" s="58" t="s">
        <v>290</v>
      </c>
      <c r="C1" s="248" t="s">
        <v>677</v>
      </c>
      <c r="D1" s="249"/>
      <c r="E1" s="249"/>
      <c r="F1" s="249"/>
      <c r="G1" s="215"/>
      <c r="H1" s="248" t="s">
        <v>678</v>
      </c>
      <c r="I1" s="249"/>
      <c r="J1" s="249"/>
      <c r="K1" s="249"/>
    </row>
    <row r="2" spans="2:32" ht="16.5">
      <c r="B2" s="46" t="s">
        <v>216</v>
      </c>
      <c r="C2" s="47"/>
      <c r="D2" s="172" t="s">
        <v>635</v>
      </c>
      <c r="E2" s="173" t="s">
        <v>636</v>
      </c>
      <c r="F2" s="47"/>
      <c r="G2" s="47"/>
      <c r="H2" s="47"/>
      <c r="I2" s="172" t="s">
        <v>635</v>
      </c>
      <c r="J2" s="173" t="s">
        <v>636</v>
      </c>
      <c r="K2" s="47"/>
      <c r="L2" s="47"/>
      <c r="M2" s="47"/>
      <c r="N2" s="47" t="s">
        <v>273</v>
      </c>
      <c r="O2" s="47" t="s">
        <v>221</v>
      </c>
    </row>
    <row r="3" spans="2:32" ht="16.5">
      <c r="B3" s="48" t="s">
        <v>18</v>
      </c>
      <c r="C3" s="144">
        <v>150</v>
      </c>
      <c r="D3" s="174">
        <v>150</v>
      </c>
      <c r="E3" s="175">
        <v>150</v>
      </c>
      <c r="F3" s="158">
        <v>150</v>
      </c>
      <c r="G3" s="217"/>
      <c r="H3" s="57">
        <v>150</v>
      </c>
      <c r="I3" s="174">
        <v>150</v>
      </c>
      <c r="J3" s="175">
        <v>150</v>
      </c>
      <c r="K3" s="57">
        <v>150</v>
      </c>
      <c r="L3" s="158"/>
      <c r="M3" s="48" t="s">
        <v>1</v>
      </c>
      <c r="N3" s="49">
        <v>1</v>
      </c>
      <c r="O3" s="50" t="s">
        <v>219</v>
      </c>
      <c r="Q3" s="251" t="s">
        <v>258</v>
      </c>
      <c r="R3" s="251"/>
      <c r="S3" s="251"/>
      <c r="T3" s="13"/>
      <c r="U3" s="252" t="s">
        <v>217</v>
      </c>
      <c r="V3" s="252"/>
      <c r="W3" s="252"/>
      <c r="X3" s="13"/>
      <c r="Y3" s="252" t="s">
        <v>488</v>
      </c>
      <c r="Z3" s="252"/>
      <c r="AA3" s="252"/>
      <c r="AB3" s="13"/>
      <c r="AC3" s="251" t="s">
        <v>238</v>
      </c>
      <c r="AD3" s="251"/>
      <c r="AE3" s="251"/>
      <c r="AF3" s="14"/>
    </row>
    <row r="4" spans="2:32" ht="16.5">
      <c r="B4" s="48" t="s">
        <v>499</v>
      </c>
      <c r="C4" s="144">
        <v>440</v>
      </c>
      <c r="D4" s="174">
        <v>440</v>
      </c>
      <c r="E4" s="175">
        <v>440</v>
      </c>
      <c r="F4" s="158">
        <v>440</v>
      </c>
      <c r="G4" s="217"/>
      <c r="H4" s="57">
        <v>440</v>
      </c>
      <c r="I4" s="174">
        <v>440</v>
      </c>
      <c r="J4" s="175">
        <v>440</v>
      </c>
      <c r="K4" s="57">
        <v>440</v>
      </c>
      <c r="L4" s="158"/>
      <c r="M4" s="48" t="s">
        <v>0</v>
      </c>
      <c r="N4" s="49">
        <v>2</v>
      </c>
      <c r="O4" s="50" t="s">
        <v>220</v>
      </c>
      <c r="Q4" s="5" t="s">
        <v>10</v>
      </c>
      <c r="R4" s="7">
        <v>1</v>
      </c>
      <c r="S4" s="5" t="s">
        <v>11</v>
      </c>
      <c r="T4" s="13" t="s">
        <v>628</v>
      </c>
      <c r="U4" s="5" t="s">
        <v>20</v>
      </c>
      <c r="V4" s="7">
        <v>400</v>
      </c>
      <c r="W4" s="5" t="s">
        <v>0</v>
      </c>
      <c r="X4" s="13"/>
      <c r="Y4" s="5" t="s">
        <v>188</v>
      </c>
      <c r="Z4" s="3" t="s">
        <v>189</v>
      </c>
      <c r="AA4" s="3"/>
      <c r="AB4" s="13"/>
      <c r="AC4" s="6" t="s">
        <v>106</v>
      </c>
      <c r="AD4" s="7">
        <v>16.329999999999998</v>
      </c>
      <c r="AE4" s="6" t="s">
        <v>15</v>
      </c>
      <c r="AF4" s="143" t="s">
        <v>630</v>
      </c>
    </row>
    <row r="5" spans="2:32" ht="16.5">
      <c r="B5" s="48" t="s">
        <v>73</v>
      </c>
      <c r="C5" s="145">
        <v>0.9</v>
      </c>
      <c r="D5" s="176">
        <v>0.9</v>
      </c>
      <c r="E5" s="177">
        <v>0.9</v>
      </c>
      <c r="F5" s="159">
        <v>0.9</v>
      </c>
      <c r="G5" s="218"/>
      <c r="H5" s="234">
        <v>0.9</v>
      </c>
      <c r="I5" s="176">
        <v>0.9</v>
      </c>
      <c r="J5" s="177">
        <v>0.9</v>
      </c>
      <c r="K5" s="234">
        <v>0.9</v>
      </c>
      <c r="L5" s="159"/>
      <c r="M5" s="162"/>
      <c r="N5" s="49"/>
      <c r="O5" s="48" t="s">
        <v>478</v>
      </c>
      <c r="Q5" s="5" t="s">
        <v>12</v>
      </c>
      <c r="R5" s="7">
        <v>128</v>
      </c>
      <c r="S5" s="5" t="s">
        <v>13</v>
      </c>
      <c r="T5" s="13"/>
      <c r="U5" s="5" t="s">
        <v>466</v>
      </c>
      <c r="V5" s="7">
        <v>0.04</v>
      </c>
      <c r="W5" s="5" t="s">
        <v>19</v>
      </c>
      <c r="X5" s="13"/>
      <c r="Y5" s="12" t="s">
        <v>190</v>
      </c>
      <c r="Z5" s="15">
        <v>1.75</v>
      </c>
      <c r="AA5" s="12" t="s">
        <v>191</v>
      </c>
      <c r="AB5" s="13"/>
      <c r="AC5" s="6" t="s">
        <v>107</v>
      </c>
      <c r="AD5" s="7">
        <v>1400</v>
      </c>
      <c r="AE5" s="6" t="s">
        <v>2</v>
      </c>
      <c r="AF5" s="14"/>
    </row>
    <row r="6" spans="2:32" ht="16.5">
      <c r="B6" s="48" t="s">
        <v>64</v>
      </c>
      <c r="C6" s="146">
        <f t="shared" ref="C6" si="0">ROUND(C3*1000/(C4*0.9)/1.732/C5,1)</f>
        <v>243</v>
      </c>
      <c r="D6" s="178">
        <f t="shared" ref="D6" si="1">ROUND(D3*1000/(D4*0.9)/1.732/D5,1)</f>
        <v>243</v>
      </c>
      <c r="E6" s="179">
        <f t="shared" ref="E6" si="2">ROUND(E3*1000/(E4*0.9)/1.732/E5,1)</f>
        <v>243</v>
      </c>
      <c r="F6" s="160">
        <f t="shared" ref="F6:J6" si="3">ROUND(F3*1000/(F4*0.9)/1.732/F5,1)</f>
        <v>243</v>
      </c>
      <c r="G6" s="219"/>
      <c r="H6" s="235">
        <f t="shared" ref="H6" si="4">ROUND(H3*1000/(H4*0.9)/1.732/H5,1)</f>
        <v>243</v>
      </c>
      <c r="I6" s="178">
        <f t="shared" si="3"/>
        <v>243</v>
      </c>
      <c r="J6" s="179">
        <f t="shared" si="3"/>
        <v>243</v>
      </c>
      <c r="K6" s="235">
        <f t="shared" ref="K6" si="5">ROUND(K3*1000/(K4*0.9)/1.732/K5,1)</f>
        <v>243</v>
      </c>
      <c r="L6" s="160"/>
      <c r="M6" s="162" t="s">
        <v>2</v>
      </c>
      <c r="N6" s="49"/>
      <c r="O6" s="48" t="s">
        <v>270</v>
      </c>
      <c r="Q6" s="5" t="s">
        <v>14</v>
      </c>
      <c r="R6" s="7">
        <v>8</v>
      </c>
      <c r="S6" s="5" t="s">
        <v>13</v>
      </c>
      <c r="T6" s="13"/>
      <c r="U6" s="5" t="s">
        <v>21</v>
      </c>
      <c r="V6" s="7">
        <v>36</v>
      </c>
      <c r="W6" s="5" t="s">
        <v>22</v>
      </c>
      <c r="X6" s="13"/>
      <c r="Y6" s="12" t="s">
        <v>192</v>
      </c>
      <c r="Z6" s="16">
        <v>3.8999999999999998E-3</v>
      </c>
      <c r="AA6" s="12" t="s">
        <v>193</v>
      </c>
      <c r="AB6" s="13"/>
      <c r="AC6" s="6" t="s">
        <v>108</v>
      </c>
      <c r="AD6" s="7">
        <v>2800</v>
      </c>
      <c r="AE6" s="6" t="s">
        <v>27</v>
      </c>
      <c r="AF6" s="14"/>
    </row>
    <row r="7" spans="2:32" ht="16.5">
      <c r="B7" s="48" t="s">
        <v>51</v>
      </c>
      <c r="C7" s="147">
        <v>2</v>
      </c>
      <c r="D7" s="180">
        <v>2</v>
      </c>
      <c r="E7" s="181">
        <v>2</v>
      </c>
      <c r="F7" s="161">
        <v>2</v>
      </c>
      <c r="G7" s="220"/>
      <c r="H7" s="236">
        <v>2</v>
      </c>
      <c r="I7" s="180">
        <v>2</v>
      </c>
      <c r="J7" s="181">
        <v>2</v>
      </c>
      <c r="K7" s="236">
        <v>2</v>
      </c>
      <c r="L7" s="161"/>
      <c r="M7" s="162" t="s">
        <v>74</v>
      </c>
      <c r="N7" s="49"/>
      <c r="O7" s="48"/>
      <c r="Q7" s="5" t="s">
        <v>97</v>
      </c>
      <c r="R7" s="8">
        <f>(R5*R4)*(R5*R4)/(101.6*(4.5*R5+10*R6))</f>
        <v>0.24582293067025163</v>
      </c>
      <c r="S7" s="5" t="s">
        <v>15</v>
      </c>
      <c r="T7" s="13"/>
      <c r="U7" s="5" t="s">
        <v>23</v>
      </c>
      <c r="V7" s="7">
        <v>400000</v>
      </c>
      <c r="W7" s="5" t="s">
        <v>24</v>
      </c>
      <c r="X7" s="13"/>
      <c r="Y7" s="12" t="s">
        <v>194</v>
      </c>
      <c r="Z7" s="17">
        <v>45</v>
      </c>
      <c r="AA7" s="12" t="s">
        <v>48</v>
      </c>
      <c r="AB7" s="13"/>
      <c r="AC7" s="6" t="s">
        <v>262</v>
      </c>
      <c r="AD7" s="7">
        <v>580</v>
      </c>
      <c r="AE7" s="6" t="s">
        <v>0</v>
      </c>
      <c r="AF7" s="14"/>
    </row>
    <row r="8" spans="2:32" ht="16.5">
      <c r="B8" s="48" t="s">
        <v>65</v>
      </c>
      <c r="C8" s="147">
        <f t="shared" ref="C8" si="6">ROUND(C6/C7,0)</f>
        <v>122</v>
      </c>
      <c r="D8" s="180">
        <f t="shared" ref="D8" si="7">ROUND(D6/D7,0)</f>
        <v>122</v>
      </c>
      <c r="E8" s="181">
        <f t="shared" ref="E8" si="8">ROUND(E6/E7,0)</f>
        <v>122</v>
      </c>
      <c r="F8" s="161">
        <f t="shared" ref="F8:J8" si="9">ROUND(F6/F7,0)</f>
        <v>122</v>
      </c>
      <c r="G8" s="220"/>
      <c r="H8" s="236">
        <f t="shared" ref="H8" si="10">ROUND(H6/H7,0)</f>
        <v>122</v>
      </c>
      <c r="I8" s="180">
        <f t="shared" si="9"/>
        <v>122</v>
      </c>
      <c r="J8" s="181">
        <f t="shared" si="9"/>
        <v>122</v>
      </c>
      <c r="K8" s="236">
        <f t="shared" ref="K8" si="11">ROUND(K6/K7,0)</f>
        <v>122</v>
      </c>
      <c r="L8" s="161"/>
      <c r="M8" s="162" t="s">
        <v>3</v>
      </c>
      <c r="N8" s="49"/>
      <c r="O8" s="48"/>
      <c r="Q8" s="5" t="s">
        <v>98</v>
      </c>
      <c r="R8" s="7">
        <v>100</v>
      </c>
      <c r="S8" s="5" t="s">
        <v>7</v>
      </c>
      <c r="T8" s="13"/>
      <c r="U8" s="5" t="s">
        <v>25</v>
      </c>
      <c r="V8" s="25">
        <f>(5000*V4)/(V5*V6*V7)</f>
        <v>3.4722222222222223</v>
      </c>
      <c r="W8" s="5" t="s">
        <v>218</v>
      </c>
      <c r="X8" s="13"/>
      <c r="Y8" s="12" t="s">
        <v>195</v>
      </c>
      <c r="Z8" s="16">
        <f>Z5*(1+Z6*(Z7-20))</f>
        <v>1.9206249999999998</v>
      </c>
      <c r="AA8" s="12" t="s">
        <v>191</v>
      </c>
      <c r="AB8" s="13"/>
      <c r="AC8" s="6" t="s">
        <v>261</v>
      </c>
      <c r="AD8" s="25">
        <f>SQRT(AD7^2+AD4*AD5^2/AD6)</f>
        <v>589.77198984014149</v>
      </c>
      <c r="AE8" s="6" t="s">
        <v>0</v>
      </c>
      <c r="AF8" s="14"/>
    </row>
    <row r="9" spans="2:32" ht="16.5">
      <c r="B9" s="48"/>
      <c r="C9" s="148"/>
      <c r="D9" s="182"/>
      <c r="E9" s="183"/>
      <c r="F9" s="162"/>
      <c r="G9" s="221"/>
      <c r="H9" s="48"/>
      <c r="I9" s="182"/>
      <c r="J9" s="183"/>
      <c r="K9" s="48"/>
      <c r="L9" s="162"/>
      <c r="M9" s="162"/>
      <c r="N9" s="49"/>
      <c r="O9" s="48"/>
      <c r="Q9" s="5" t="s">
        <v>95</v>
      </c>
      <c r="R9" s="8">
        <f>R7*R8/100</f>
        <v>0.24582293067025163</v>
      </c>
      <c r="S9" s="5" t="s">
        <v>15</v>
      </c>
      <c r="T9" s="13"/>
      <c r="U9" s="13"/>
      <c r="V9" s="13"/>
      <c r="W9" s="13"/>
      <c r="X9" s="13"/>
      <c r="Y9" s="12" t="s">
        <v>196</v>
      </c>
      <c r="Z9" s="18">
        <f>1/(Z8/100000000)</f>
        <v>52066384.64041654</v>
      </c>
      <c r="AA9" s="12" t="s">
        <v>197</v>
      </c>
      <c r="AB9" s="13"/>
      <c r="AC9" s="13"/>
      <c r="AD9" s="13"/>
      <c r="AE9" s="13"/>
      <c r="AF9" s="14"/>
    </row>
    <row r="10" spans="2:32" ht="16.5">
      <c r="B10" s="48" t="s">
        <v>16</v>
      </c>
      <c r="C10" s="146">
        <f t="shared" ref="C10" si="12">ROUND(C4*2^0.5*0.93,1)</f>
        <v>578.70000000000005</v>
      </c>
      <c r="D10" s="178">
        <f t="shared" ref="D10" si="13">ROUND(D4*2^0.5*0.93,1)</f>
        <v>578.70000000000005</v>
      </c>
      <c r="E10" s="179">
        <f t="shared" ref="E10" si="14">ROUND(E4*2^0.5*0.93,1)</f>
        <v>578.70000000000005</v>
      </c>
      <c r="F10" s="160">
        <f t="shared" ref="F10:J10" si="15">ROUND(F4*2^0.5*0.93,1)</f>
        <v>578.70000000000005</v>
      </c>
      <c r="G10" s="219"/>
      <c r="H10" s="235">
        <f t="shared" ref="H10" si="16">ROUND(H4*2^0.5*0.93,1)</f>
        <v>578.70000000000005</v>
      </c>
      <c r="I10" s="178">
        <f t="shared" si="15"/>
        <v>578.70000000000005</v>
      </c>
      <c r="J10" s="179">
        <f t="shared" si="15"/>
        <v>578.70000000000005</v>
      </c>
      <c r="K10" s="235">
        <f t="shared" ref="K10" si="17">ROUND(K4*2^0.5*0.93,1)</f>
        <v>578.70000000000005</v>
      </c>
      <c r="L10" s="160"/>
      <c r="M10" s="162" t="s">
        <v>0</v>
      </c>
      <c r="N10" s="49"/>
      <c r="O10" s="48" t="s">
        <v>269</v>
      </c>
      <c r="Q10" s="6" t="s">
        <v>94</v>
      </c>
      <c r="R10" s="7">
        <v>2</v>
      </c>
      <c r="S10" s="5" t="s">
        <v>15</v>
      </c>
      <c r="T10" s="13"/>
      <c r="U10" s="252" t="s">
        <v>501</v>
      </c>
      <c r="V10" s="252"/>
      <c r="W10" s="252"/>
      <c r="X10" s="13"/>
      <c r="Y10" s="12" t="s">
        <v>198</v>
      </c>
      <c r="Z10" s="3">
        <v>1</v>
      </c>
      <c r="AA10" s="12" t="s">
        <v>199</v>
      </c>
      <c r="AB10" s="13"/>
      <c r="AC10" s="251" t="s">
        <v>249</v>
      </c>
      <c r="AD10" s="251"/>
      <c r="AE10" s="251"/>
      <c r="AF10" s="14"/>
    </row>
    <row r="11" spans="2:32" ht="16.5">
      <c r="B11" s="48" t="s">
        <v>17</v>
      </c>
      <c r="C11" s="146">
        <f t="shared" ref="C11" si="18">ROUND(C3*1000/C10,1)</f>
        <v>259.2</v>
      </c>
      <c r="D11" s="178">
        <f t="shared" ref="D11" si="19">ROUND(D3*1000/D10,1)</f>
        <v>259.2</v>
      </c>
      <c r="E11" s="179">
        <f t="shared" ref="E11" si="20">ROUND(E3*1000/E10,1)</f>
        <v>259.2</v>
      </c>
      <c r="F11" s="160">
        <f t="shared" ref="F11:J11" si="21">ROUND(F3*1000/F10,1)</f>
        <v>259.2</v>
      </c>
      <c r="G11" s="219"/>
      <c r="H11" s="235">
        <f t="shared" ref="H11" si="22">ROUND(H3*1000/H10,1)</f>
        <v>259.2</v>
      </c>
      <c r="I11" s="178">
        <f t="shared" si="21"/>
        <v>259.2</v>
      </c>
      <c r="J11" s="179">
        <f t="shared" si="21"/>
        <v>259.2</v>
      </c>
      <c r="K11" s="235">
        <f t="shared" ref="K11" si="23">ROUND(K3*1000/K10,1)</f>
        <v>259.2</v>
      </c>
      <c r="L11" s="160"/>
      <c r="M11" s="162" t="s">
        <v>2</v>
      </c>
      <c r="N11" s="49"/>
      <c r="O11" s="48" t="s">
        <v>271</v>
      </c>
      <c r="Q11" s="6" t="s">
        <v>259</v>
      </c>
      <c r="R11" s="7">
        <v>11</v>
      </c>
      <c r="S11" s="5" t="s">
        <v>42</v>
      </c>
      <c r="T11" s="13"/>
      <c r="U11" s="5" t="s">
        <v>26</v>
      </c>
      <c r="V11" s="7">
        <f>R25</f>
        <v>2</v>
      </c>
      <c r="W11" s="5" t="s">
        <v>27</v>
      </c>
      <c r="X11" s="13"/>
      <c r="Y11" s="12" t="s">
        <v>37</v>
      </c>
      <c r="Z11" s="19">
        <v>1000</v>
      </c>
      <c r="AA11" s="12" t="s">
        <v>200</v>
      </c>
      <c r="AB11" s="13"/>
      <c r="AC11" s="5" t="s">
        <v>108</v>
      </c>
      <c r="AD11" s="7">
        <v>2800</v>
      </c>
      <c r="AE11" s="5" t="s">
        <v>27</v>
      </c>
      <c r="AF11" s="143" t="s">
        <v>630</v>
      </c>
    </row>
    <row r="12" spans="2:32" ht="16.5">
      <c r="B12" s="48"/>
      <c r="C12" s="148"/>
      <c r="D12" s="182"/>
      <c r="E12" s="183"/>
      <c r="F12" s="162"/>
      <c r="G12" s="221"/>
      <c r="H12" s="48"/>
      <c r="I12" s="182"/>
      <c r="J12" s="183"/>
      <c r="K12" s="48"/>
      <c r="L12" s="162"/>
      <c r="M12" s="162"/>
      <c r="N12" s="49"/>
      <c r="O12" s="48"/>
      <c r="Q12" s="6" t="s">
        <v>96</v>
      </c>
      <c r="R12" s="7">
        <v>1</v>
      </c>
      <c r="S12" s="5" t="s">
        <v>66</v>
      </c>
      <c r="T12" s="13"/>
      <c r="U12" s="5" t="s">
        <v>28</v>
      </c>
      <c r="V12" s="112">
        <f>R14</f>
        <v>31.744574611100447</v>
      </c>
      <c r="W12" s="5" t="s">
        <v>15</v>
      </c>
      <c r="X12" s="13"/>
      <c r="Y12" s="12" t="s">
        <v>230</v>
      </c>
      <c r="Z12" s="31">
        <f>503.3*SQRT((Z8/100000000)/(Z10*Z11))*1000</f>
        <v>2.205709020034714</v>
      </c>
      <c r="AA12" s="12" t="s">
        <v>201</v>
      </c>
      <c r="AB12" s="13"/>
      <c r="AC12" s="5" t="s">
        <v>110</v>
      </c>
      <c r="AD12" s="7">
        <v>580</v>
      </c>
      <c r="AE12" s="5" t="s">
        <v>0</v>
      </c>
      <c r="AF12" s="14"/>
    </row>
    <row r="13" spans="2:32" ht="16.5">
      <c r="B13" s="46" t="s">
        <v>215</v>
      </c>
      <c r="C13" s="148"/>
      <c r="D13" s="182"/>
      <c r="E13" s="183"/>
      <c r="F13" s="162"/>
      <c r="G13" s="221"/>
      <c r="H13" s="48"/>
      <c r="I13" s="182"/>
      <c r="J13" s="183"/>
      <c r="K13" s="48"/>
      <c r="L13" s="162"/>
      <c r="M13" s="162"/>
      <c r="N13" s="49"/>
      <c r="O13" s="48"/>
      <c r="Q13" s="6" t="s">
        <v>99</v>
      </c>
      <c r="R13" s="20">
        <v>1</v>
      </c>
      <c r="S13" s="5" t="s">
        <v>67</v>
      </c>
      <c r="T13" s="13"/>
      <c r="U13" s="5" t="s">
        <v>29</v>
      </c>
      <c r="V13" s="25">
        <f>1/(2*3.14*SQRT((V11/1000000)*(V12/1000000)))</f>
        <v>19984.376475436315</v>
      </c>
      <c r="W13" s="5" t="s">
        <v>30</v>
      </c>
      <c r="X13" s="13"/>
      <c r="Y13" s="12" t="s">
        <v>231</v>
      </c>
      <c r="Z13" s="26">
        <v>6126</v>
      </c>
      <c r="AA13" s="12" t="s">
        <v>201</v>
      </c>
      <c r="AB13" s="13"/>
      <c r="AC13" s="5" t="s">
        <v>107</v>
      </c>
      <c r="AD13" s="7">
        <v>1400</v>
      </c>
      <c r="AE13" s="5" t="s">
        <v>2</v>
      </c>
      <c r="AF13" s="14"/>
    </row>
    <row r="14" spans="2:32" ht="16.5">
      <c r="B14" s="48" t="s">
        <v>75</v>
      </c>
      <c r="C14" s="144">
        <v>9.9700000000000006</v>
      </c>
      <c r="D14" s="174">
        <v>9.9700000000000006</v>
      </c>
      <c r="E14" s="175">
        <v>6.05</v>
      </c>
      <c r="F14" s="158">
        <v>6.05</v>
      </c>
      <c r="G14" s="217"/>
      <c r="H14" s="57">
        <v>12.97</v>
      </c>
      <c r="I14" s="174">
        <v>12.97</v>
      </c>
      <c r="J14" s="175">
        <v>7.64</v>
      </c>
      <c r="K14" s="57">
        <v>7.64</v>
      </c>
      <c r="L14" s="158"/>
      <c r="M14" s="162" t="s">
        <v>15</v>
      </c>
      <c r="N14" s="49">
        <v>3</v>
      </c>
      <c r="O14" s="50" t="s">
        <v>267</v>
      </c>
      <c r="Q14" s="6" t="s">
        <v>260</v>
      </c>
      <c r="R14" s="30">
        <f>R9/R12*R13*R11^2+R10</f>
        <v>31.744574611100447</v>
      </c>
      <c r="S14" s="5" t="s">
        <v>15</v>
      </c>
      <c r="T14" s="13"/>
      <c r="U14" s="13"/>
      <c r="V14" s="13"/>
      <c r="W14" s="13"/>
      <c r="X14" s="13"/>
      <c r="Y14" s="12" t="s">
        <v>257</v>
      </c>
      <c r="Z14" s="26">
        <v>2</v>
      </c>
      <c r="AA14" s="12" t="s">
        <v>201</v>
      </c>
      <c r="AB14" s="13"/>
      <c r="AC14" s="5" t="s">
        <v>112</v>
      </c>
      <c r="AD14" s="7">
        <v>8000</v>
      </c>
      <c r="AE14" s="5" t="s">
        <v>24</v>
      </c>
      <c r="AF14" s="14"/>
    </row>
    <row r="15" spans="2:32" ht="16.5">
      <c r="B15" s="48" t="s">
        <v>650</v>
      </c>
      <c r="C15" s="210">
        <v>6</v>
      </c>
      <c r="D15" s="211">
        <v>6</v>
      </c>
      <c r="E15" s="212">
        <v>6</v>
      </c>
      <c r="F15" s="213">
        <v>6</v>
      </c>
      <c r="G15" s="222"/>
      <c r="H15" s="237">
        <v>7</v>
      </c>
      <c r="I15" s="211">
        <v>7</v>
      </c>
      <c r="J15" s="212">
        <v>7</v>
      </c>
      <c r="K15" s="237">
        <v>7</v>
      </c>
      <c r="L15" s="213"/>
      <c r="M15" s="162"/>
      <c r="N15" s="49"/>
      <c r="O15" s="50"/>
      <c r="Q15" s="207"/>
      <c r="R15" s="208"/>
      <c r="S15" s="209"/>
      <c r="T15" s="13"/>
      <c r="U15" s="13"/>
      <c r="V15" s="13"/>
      <c r="W15" s="13"/>
      <c r="X15" s="13"/>
      <c r="Y15" s="12"/>
      <c r="Z15" s="26"/>
      <c r="AA15" s="12"/>
      <c r="AB15" s="13"/>
      <c r="AC15" s="5"/>
      <c r="AD15" s="7"/>
      <c r="AE15" s="5"/>
      <c r="AF15" s="14"/>
    </row>
    <row r="16" spans="2:32" ht="16.5">
      <c r="B16" s="48" t="s">
        <v>76</v>
      </c>
      <c r="C16" s="144">
        <v>1.5</v>
      </c>
      <c r="D16" s="174">
        <v>1.5</v>
      </c>
      <c r="E16" s="175">
        <v>1.5</v>
      </c>
      <c r="F16" s="158">
        <v>1.5</v>
      </c>
      <c r="G16" s="217"/>
      <c r="H16" s="57">
        <v>2</v>
      </c>
      <c r="I16" s="174">
        <v>2</v>
      </c>
      <c r="J16" s="175">
        <v>2</v>
      </c>
      <c r="K16" s="57">
        <v>2</v>
      </c>
      <c r="L16" s="158"/>
      <c r="M16" s="162" t="s">
        <v>27</v>
      </c>
      <c r="N16" s="49">
        <v>4</v>
      </c>
      <c r="O16" s="50" t="s">
        <v>272</v>
      </c>
      <c r="P16" s="2"/>
      <c r="Q16" s="13"/>
      <c r="R16" s="13"/>
      <c r="S16" s="13"/>
      <c r="T16" s="13"/>
      <c r="U16" s="252" t="s">
        <v>224</v>
      </c>
      <c r="V16" s="252"/>
      <c r="W16" s="252"/>
      <c r="X16" s="13"/>
      <c r="Y16" s="12" t="s">
        <v>255</v>
      </c>
      <c r="Z16" s="27">
        <f>MIN(Z12,Z14)</f>
        <v>2</v>
      </c>
      <c r="AA16" s="12" t="s">
        <v>201</v>
      </c>
      <c r="AB16" s="13"/>
      <c r="AC16" s="5" t="s">
        <v>113</v>
      </c>
      <c r="AD16" s="8">
        <f>(1.414*AD13*0.421)/(2*3.14159*AD14*AD12*2*AD11*0.000001)*2*100</f>
        <v>1.020948951722338</v>
      </c>
      <c r="AE16" s="5" t="s">
        <v>7</v>
      </c>
      <c r="AF16" s="14"/>
    </row>
    <row r="17" spans="2:32" ht="16.5">
      <c r="B17" s="48" t="s">
        <v>77</v>
      </c>
      <c r="C17" s="149">
        <f t="shared" ref="C17:K17" si="24">1000/(2*PI()*(C14*C16)^0.5)</f>
        <v>41.155409087146175</v>
      </c>
      <c r="D17" s="184">
        <f t="shared" si="24"/>
        <v>41.155409087146175</v>
      </c>
      <c r="E17" s="185">
        <f t="shared" si="24"/>
        <v>52.831971193867936</v>
      </c>
      <c r="F17" s="163">
        <f t="shared" si="24"/>
        <v>52.831971193867936</v>
      </c>
      <c r="G17" s="223"/>
      <c r="H17" s="238">
        <f t="shared" si="24"/>
        <v>31.24892961040192</v>
      </c>
      <c r="I17" s="184">
        <f t="shared" si="24"/>
        <v>31.24892961040192</v>
      </c>
      <c r="J17" s="185">
        <f t="shared" si="24"/>
        <v>40.71537644385657</v>
      </c>
      <c r="K17" s="238">
        <f t="shared" si="24"/>
        <v>40.71537644385657</v>
      </c>
      <c r="L17" s="163"/>
      <c r="M17" s="162" t="s">
        <v>4</v>
      </c>
      <c r="N17" s="49"/>
      <c r="O17" s="48" t="s">
        <v>223</v>
      </c>
      <c r="Q17" s="251" t="s">
        <v>202</v>
      </c>
      <c r="R17" s="251"/>
      <c r="S17" s="251"/>
      <c r="T17" s="13"/>
      <c r="U17" s="5" t="s">
        <v>31</v>
      </c>
      <c r="V17" s="7">
        <v>40</v>
      </c>
      <c r="W17" s="5" t="s">
        <v>32</v>
      </c>
      <c r="X17" s="13"/>
      <c r="Y17" s="12" t="s">
        <v>253</v>
      </c>
      <c r="Z17" s="26">
        <v>60</v>
      </c>
      <c r="AA17" s="12" t="s">
        <v>201</v>
      </c>
      <c r="AB17" s="13"/>
      <c r="AC17" s="5" t="s">
        <v>109</v>
      </c>
      <c r="AD17" s="25">
        <f>AD12*AD16/100</f>
        <v>5.9215039199895605</v>
      </c>
      <c r="AE17" s="5" t="s">
        <v>0</v>
      </c>
      <c r="AF17" s="14"/>
    </row>
    <row r="18" spans="2:32" ht="16.5">
      <c r="B18" s="48" t="s">
        <v>78</v>
      </c>
      <c r="C18" s="144">
        <v>30</v>
      </c>
      <c r="D18" s="174">
        <v>30</v>
      </c>
      <c r="E18" s="175">
        <v>30</v>
      </c>
      <c r="F18" s="158">
        <v>30</v>
      </c>
      <c r="G18" s="217"/>
      <c r="H18" s="57">
        <v>30</v>
      </c>
      <c r="I18" s="174">
        <v>30</v>
      </c>
      <c r="J18" s="175">
        <v>30</v>
      </c>
      <c r="K18" s="57">
        <v>30</v>
      </c>
      <c r="L18" s="158"/>
      <c r="M18" s="162" t="s">
        <v>79</v>
      </c>
      <c r="N18" s="49">
        <v>6</v>
      </c>
      <c r="O18" s="50" t="s">
        <v>250</v>
      </c>
      <c r="Q18" s="21" t="s">
        <v>207</v>
      </c>
      <c r="R18" s="22">
        <v>2</v>
      </c>
      <c r="S18" s="21" t="s">
        <v>27</v>
      </c>
      <c r="T18" s="13" t="s">
        <v>629</v>
      </c>
      <c r="U18" s="5" t="s">
        <v>33</v>
      </c>
      <c r="V18" s="7">
        <v>17.34</v>
      </c>
      <c r="W18" s="5" t="s">
        <v>4</v>
      </c>
      <c r="X18" s="13"/>
      <c r="Y18" s="12" t="s">
        <v>252</v>
      </c>
      <c r="Z18" s="27">
        <f>Z16*Z17</f>
        <v>120</v>
      </c>
      <c r="AA18" s="12" t="s">
        <v>227</v>
      </c>
      <c r="AB18" s="13"/>
      <c r="AC18" s="5" t="s">
        <v>111</v>
      </c>
      <c r="AD18" s="25">
        <f>2*3.14159*AD14*AD11*0.000001*AD17</f>
        <v>833.41160000000013</v>
      </c>
      <c r="AE18" s="5" t="s">
        <v>2</v>
      </c>
      <c r="AF18" s="14"/>
    </row>
    <row r="19" spans="2:32" ht="16.5">
      <c r="B19" s="48" t="s">
        <v>80</v>
      </c>
      <c r="C19" s="147">
        <f t="shared" ref="C19" si="25">ROUNDUP(TAN(PI()*C18/180),3)</f>
        <v>0.57799999999999996</v>
      </c>
      <c r="D19" s="180">
        <f t="shared" ref="D19" si="26">ROUNDUP(TAN(PI()*D18/180),3)</f>
        <v>0.57799999999999996</v>
      </c>
      <c r="E19" s="181">
        <f t="shared" ref="E19" si="27">ROUNDUP(TAN(PI()*E18/180),3)</f>
        <v>0.57799999999999996</v>
      </c>
      <c r="F19" s="161">
        <f t="shared" ref="F19:J19" si="28">ROUNDUP(TAN(PI()*F18/180),3)</f>
        <v>0.57799999999999996</v>
      </c>
      <c r="G19" s="220"/>
      <c r="H19" s="236">
        <f t="shared" ref="H19" si="29">ROUNDUP(TAN(PI()*H18/180),3)</f>
        <v>0.57799999999999996</v>
      </c>
      <c r="I19" s="180">
        <f t="shared" si="28"/>
        <v>0.57799999999999996</v>
      </c>
      <c r="J19" s="181">
        <f t="shared" si="28"/>
        <v>0.57799999999999996</v>
      </c>
      <c r="K19" s="236">
        <f t="shared" ref="K19" si="30">ROUNDUP(TAN(PI()*K18/180),3)</f>
        <v>0.57799999999999996</v>
      </c>
      <c r="L19" s="161"/>
      <c r="M19" s="162"/>
      <c r="N19" s="49"/>
      <c r="O19" s="48"/>
      <c r="Q19" s="21" t="s">
        <v>203</v>
      </c>
      <c r="R19" s="22">
        <v>1</v>
      </c>
      <c r="S19" s="21" t="s">
        <v>210</v>
      </c>
      <c r="T19" s="13"/>
      <c r="U19" s="5" t="s">
        <v>34</v>
      </c>
      <c r="V19" s="7">
        <v>1396</v>
      </c>
      <c r="W19" s="5" t="s">
        <v>2</v>
      </c>
      <c r="X19" s="13"/>
      <c r="Y19" s="12" t="s">
        <v>232</v>
      </c>
      <c r="Z19" s="26">
        <v>850</v>
      </c>
      <c r="AA19" s="4" t="s">
        <v>228</v>
      </c>
      <c r="AB19" s="13"/>
      <c r="AC19" s="13"/>
      <c r="AD19" s="13"/>
      <c r="AE19" s="13"/>
      <c r="AF19" s="14"/>
    </row>
    <row r="20" spans="2:32" ht="16.5">
      <c r="B20" s="48"/>
      <c r="C20" s="148"/>
      <c r="D20" s="182"/>
      <c r="E20" s="183"/>
      <c r="F20" s="162"/>
      <c r="G20" s="221"/>
      <c r="H20" s="239"/>
      <c r="I20" s="216"/>
      <c r="J20" s="224"/>
      <c r="K20" s="216"/>
      <c r="L20" s="162"/>
      <c r="M20" s="162"/>
      <c r="N20" s="49"/>
      <c r="O20" s="48"/>
      <c r="Q20" s="21" t="s">
        <v>205</v>
      </c>
      <c r="R20" s="22">
        <v>525</v>
      </c>
      <c r="S20" s="21" t="s">
        <v>0</v>
      </c>
      <c r="T20" s="13"/>
      <c r="U20" s="5" t="s">
        <v>35</v>
      </c>
      <c r="V20" s="25">
        <f>(V19)/(2*3.14*V18*1000*(V17/1000000))</f>
        <v>320.49162864846198</v>
      </c>
      <c r="W20" s="5" t="s">
        <v>0</v>
      </c>
      <c r="X20" s="13"/>
      <c r="Y20" s="12" t="s">
        <v>491</v>
      </c>
      <c r="Z20" s="28">
        <f>Z19/Z18</f>
        <v>7.083333333333333</v>
      </c>
      <c r="AA20" s="4" t="s">
        <v>228</v>
      </c>
      <c r="AB20" s="13"/>
      <c r="AC20" s="251" t="s">
        <v>486</v>
      </c>
      <c r="AD20" s="251"/>
      <c r="AE20" s="251"/>
      <c r="AF20" s="14"/>
    </row>
    <row r="21" spans="2:32" ht="16.5">
      <c r="B21" s="48" t="s">
        <v>41</v>
      </c>
      <c r="C21" s="150">
        <v>3</v>
      </c>
      <c r="D21" s="186">
        <v>4.78</v>
      </c>
      <c r="E21" s="187">
        <v>4.2699999999999996</v>
      </c>
      <c r="F21" s="164">
        <v>6</v>
      </c>
      <c r="G21" s="225"/>
      <c r="H21" s="240">
        <v>2</v>
      </c>
      <c r="I21" s="186">
        <v>4</v>
      </c>
      <c r="J21" s="187">
        <v>3.5</v>
      </c>
      <c r="K21" s="240">
        <v>6</v>
      </c>
      <c r="L21" s="164"/>
      <c r="M21" s="162"/>
      <c r="N21" s="49">
        <v>5</v>
      </c>
      <c r="O21" s="50" t="s">
        <v>268</v>
      </c>
      <c r="Q21" s="21" t="s">
        <v>206</v>
      </c>
      <c r="R21" s="22">
        <v>800</v>
      </c>
      <c r="S21" s="21" t="s">
        <v>2</v>
      </c>
      <c r="T21" s="13"/>
      <c r="U21" s="13"/>
      <c r="V21" s="13"/>
      <c r="W21" s="13"/>
      <c r="X21" s="13"/>
      <c r="Y21" s="12" t="s">
        <v>233</v>
      </c>
      <c r="Z21" s="28">
        <f>Z8/100000000*(Z19^2)/(Z18/1000000)*Z13/1000</f>
        <v>708.39612265624987</v>
      </c>
      <c r="AA21" s="4" t="s">
        <v>229</v>
      </c>
      <c r="AB21" s="13"/>
      <c r="AC21" s="81" t="s">
        <v>480</v>
      </c>
      <c r="AD21" s="48">
        <v>0.9133</v>
      </c>
      <c r="AE21" s="48" t="s">
        <v>479</v>
      </c>
      <c r="AF21" s="14"/>
    </row>
    <row r="22" spans="2:32" ht="16.5">
      <c r="B22" s="48" t="s">
        <v>81</v>
      </c>
      <c r="C22" s="151">
        <f t="shared" ref="C22" si="31">C17*((C19/C21)+(((C19/C21)^2+4)^0.5))/2</f>
        <v>45.310569217312541</v>
      </c>
      <c r="D22" s="188">
        <f t="shared" ref="D22" si="32">D17*((D19/D21)+(((D19/D21)^2+4)^0.5))/2</f>
        <v>43.71882744122977</v>
      </c>
      <c r="E22" s="189">
        <f t="shared" ref="E22" si="33">E17*((E19/E21)+(((E19/E21)^2+4)^0.5))/2</f>
        <v>56.528585889348328</v>
      </c>
      <c r="F22" s="165">
        <f t="shared" ref="F22:J22" si="34">F17*((F19/F21)+(((F19/F21)^2+4)^0.5))/2</f>
        <v>55.437961455041162</v>
      </c>
      <c r="G22" s="226"/>
      <c r="H22" s="241">
        <f t="shared" ref="H22" si="35">H17*((H19/H21)+(((H19/H21)^2+4)^0.5))/2</f>
        <v>36.088957213829524</v>
      </c>
      <c r="I22" s="188">
        <f t="shared" si="34"/>
        <v>33.588119296503557</v>
      </c>
      <c r="J22" s="189">
        <f t="shared" si="34"/>
        <v>44.215867008727912</v>
      </c>
      <c r="K22" s="241">
        <f t="shared" ref="K22" si="36">K17*((K19/K21)+(((K19/K21)^2+4)^0.5))/2</f>
        <v>42.723703449172007</v>
      </c>
      <c r="L22" s="165"/>
      <c r="M22" s="162" t="s">
        <v>4</v>
      </c>
      <c r="N22" s="49"/>
      <c r="O22" s="51" t="s">
        <v>248</v>
      </c>
      <c r="Q22" s="21" t="s">
        <v>204</v>
      </c>
      <c r="R22" s="22">
        <v>1</v>
      </c>
      <c r="S22" s="21" t="s">
        <v>210</v>
      </c>
      <c r="T22" s="13"/>
      <c r="U22" s="252" t="s">
        <v>225</v>
      </c>
      <c r="V22" s="252"/>
      <c r="W22" s="252"/>
      <c r="X22" s="13"/>
      <c r="Y22" s="13"/>
      <c r="Z22" s="13"/>
      <c r="AA22" s="13"/>
      <c r="AB22" s="13"/>
      <c r="AC22" s="21" t="s">
        <v>481</v>
      </c>
      <c r="AD22" s="57">
        <v>3</v>
      </c>
      <c r="AE22" s="48" t="s">
        <v>305</v>
      </c>
      <c r="AF22" s="14"/>
    </row>
    <row r="23" spans="2:32" ht="16.5">
      <c r="B23" s="48" t="s">
        <v>285</v>
      </c>
      <c r="C23" s="152">
        <f t="shared" ref="C23:J23" si="37">2*PI()*C17*C14</f>
        <v>2578.1130050226016</v>
      </c>
      <c r="D23" s="190">
        <f t="shared" si="37"/>
        <v>2578.1130050226016</v>
      </c>
      <c r="E23" s="191">
        <f t="shared" si="37"/>
        <v>2008.3160441856091</v>
      </c>
      <c r="F23" s="166">
        <f t="shared" si="37"/>
        <v>2008.3160441856091</v>
      </c>
      <c r="G23" s="227"/>
      <c r="H23" s="242">
        <f t="shared" ref="H23" si="38">2*PI()*H17*H14</f>
        <v>2546.5663156493692</v>
      </c>
      <c r="I23" s="190">
        <f t="shared" si="37"/>
        <v>2546.5663156493692</v>
      </c>
      <c r="J23" s="191">
        <f t="shared" si="37"/>
        <v>1954.4820285692062</v>
      </c>
      <c r="K23" s="242">
        <f t="shared" ref="K23" si="39">2*PI()*K17*K14</f>
        <v>1954.4820285692062</v>
      </c>
      <c r="L23" s="166"/>
      <c r="M23" s="162" t="s">
        <v>83</v>
      </c>
      <c r="N23" s="49"/>
      <c r="O23" s="48"/>
      <c r="Q23" s="21" t="s">
        <v>211</v>
      </c>
      <c r="R23" s="22">
        <v>3</v>
      </c>
      <c r="S23" s="21" t="s">
        <v>67</v>
      </c>
      <c r="T23" s="13"/>
      <c r="U23" s="6" t="s">
        <v>152</v>
      </c>
      <c r="V23" s="7">
        <v>600</v>
      </c>
      <c r="W23" s="5" t="s">
        <v>153</v>
      </c>
      <c r="X23" s="13"/>
      <c r="Y23" s="252" t="s">
        <v>489</v>
      </c>
      <c r="Z23" s="252"/>
      <c r="AA23" s="252"/>
      <c r="AB23" s="13"/>
      <c r="AC23" s="21" t="s">
        <v>482</v>
      </c>
      <c r="AD23" s="80">
        <f>AD21*AD22</f>
        <v>2.7399</v>
      </c>
      <c r="AE23" s="48" t="s">
        <v>479</v>
      </c>
      <c r="AF23" s="14"/>
    </row>
    <row r="24" spans="2:32" ht="16.5">
      <c r="B24" s="48" t="s">
        <v>82</v>
      </c>
      <c r="C24" s="152">
        <f t="shared" ref="C24:J24" si="40">2*PI()*C22*C14</f>
        <v>2838.4061865786334</v>
      </c>
      <c r="D24" s="190">
        <f t="shared" si="40"/>
        <v>2738.6941374317703</v>
      </c>
      <c r="E24" s="191">
        <f t="shared" si="40"/>
        <v>2148.8364607883359</v>
      </c>
      <c r="F24" s="166">
        <f t="shared" si="40"/>
        <v>2107.3782584895321</v>
      </c>
      <c r="G24" s="227"/>
      <c r="H24" s="242">
        <f t="shared" ref="H24" si="41">2*PI()*H22*H14</f>
        <v>2940.9942661542427</v>
      </c>
      <c r="I24" s="190">
        <f t="shared" si="40"/>
        <v>2737.1936982448342</v>
      </c>
      <c r="J24" s="191">
        <f t="shared" si="40"/>
        <v>2122.5179525315257</v>
      </c>
      <c r="K24" s="242">
        <f t="shared" ref="K24" si="42">2*PI()*K22*K14</f>
        <v>2050.8888257602339</v>
      </c>
      <c r="L24" s="166"/>
      <c r="M24" s="162" t="s">
        <v>83</v>
      </c>
      <c r="N24" s="49"/>
      <c r="O24" s="48"/>
      <c r="Q24" s="21" t="s">
        <v>212</v>
      </c>
      <c r="R24" s="22">
        <v>3</v>
      </c>
      <c r="S24" s="21" t="s">
        <v>66</v>
      </c>
      <c r="T24" s="13"/>
      <c r="U24" s="6" t="s">
        <v>263</v>
      </c>
      <c r="V24" s="7">
        <v>22</v>
      </c>
      <c r="W24" s="5" t="s">
        <v>154</v>
      </c>
      <c r="X24" s="13"/>
      <c r="Y24" s="5" t="s">
        <v>188</v>
      </c>
      <c r="Z24" s="3" t="s">
        <v>189</v>
      </c>
      <c r="AA24" s="3"/>
      <c r="AB24" s="13"/>
      <c r="AC24" s="21"/>
      <c r="AD24" s="48"/>
      <c r="AE24" s="48"/>
      <c r="AF24" s="14"/>
    </row>
    <row r="25" spans="2:32" ht="16.5">
      <c r="B25" s="48" t="s">
        <v>84</v>
      </c>
      <c r="C25" s="152">
        <f t="shared" ref="C25" si="43">1000000/(2*PI()*C22*C16)</f>
        <v>2341.6897476109457</v>
      </c>
      <c r="D25" s="190">
        <f t="shared" ref="D25" si="44">1000000/(2*PI()*D22*D16)</f>
        <v>2426.9474184143928</v>
      </c>
      <c r="E25" s="191">
        <f t="shared" ref="E25" si="45">1000000/(2*PI()*E22*E16)</f>
        <v>1876.9847808025552</v>
      </c>
      <c r="F25" s="166">
        <f t="shared" ref="F25:J25" si="46">1000000/(2*PI()*F22*F16)</f>
        <v>1913.9104795663184</v>
      </c>
      <c r="G25" s="227"/>
      <c r="H25" s="242">
        <f t="shared" ref="H25" si="47">1000000/(2*PI()*H22*H16)</f>
        <v>2205.0366009315744</v>
      </c>
      <c r="I25" s="190">
        <f t="shared" si="46"/>
        <v>2369.2148656335007</v>
      </c>
      <c r="J25" s="191">
        <f t="shared" si="46"/>
        <v>1799.7492060992408</v>
      </c>
      <c r="K25" s="242">
        <f t="shared" ref="K25" si="48">1000000/(2*PI()*K22*K16)</f>
        <v>1862.6070570080672</v>
      </c>
      <c r="L25" s="166"/>
      <c r="M25" s="162" t="s">
        <v>83</v>
      </c>
      <c r="N25" s="49"/>
      <c r="O25" s="48"/>
      <c r="Q25" s="21" t="s">
        <v>239</v>
      </c>
      <c r="R25" s="29">
        <f>R18*(R22/R19)*R24/R23</f>
        <v>2</v>
      </c>
      <c r="S25" s="21" t="s">
        <v>27</v>
      </c>
      <c r="T25" s="13"/>
      <c r="U25" s="6" t="s">
        <v>157</v>
      </c>
      <c r="V25" s="7">
        <v>66</v>
      </c>
      <c r="W25" s="5" t="s">
        <v>158</v>
      </c>
      <c r="X25" s="13"/>
      <c r="Y25" s="12" t="s">
        <v>190</v>
      </c>
      <c r="Z25" s="15">
        <v>1.75</v>
      </c>
      <c r="AA25" s="12" t="s">
        <v>191</v>
      </c>
      <c r="AB25" s="13"/>
      <c r="AC25" s="81" t="s">
        <v>483</v>
      </c>
      <c r="AD25" s="48">
        <v>0.48</v>
      </c>
      <c r="AE25" s="48" t="s">
        <v>479</v>
      </c>
      <c r="AF25" s="14"/>
    </row>
    <row r="26" spans="2:32" ht="16.5">
      <c r="B26" s="48" t="s">
        <v>68</v>
      </c>
      <c r="C26" s="153">
        <f t="shared" ref="C26" si="49">C23/C21</f>
        <v>859.37100167420056</v>
      </c>
      <c r="D26" s="192">
        <f t="shared" ref="D26" si="50">D23/D21</f>
        <v>539.35418515117181</v>
      </c>
      <c r="E26" s="193">
        <f t="shared" ref="E26" si="51">E23/E21</f>
        <v>470.33162627297645</v>
      </c>
      <c r="F26" s="167">
        <f t="shared" ref="F26:J26" si="52">F23/F21</f>
        <v>334.71934069760152</v>
      </c>
      <c r="G26" s="228"/>
      <c r="H26" s="243">
        <f t="shared" ref="H26" si="53">H23/H21</f>
        <v>1273.2831578246846</v>
      </c>
      <c r="I26" s="192">
        <f t="shared" si="52"/>
        <v>636.64157891234231</v>
      </c>
      <c r="J26" s="193">
        <f t="shared" si="52"/>
        <v>558.4234367340589</v>
      </c>
      <c r="K26" s="243">
        <f t="shared" ref="K26" si="54">K23/K21</f>
        <v>325.74700476153436</v>
      </c>
      <c r="L26" s="167"/>
      <c r="M26" s="162" t="s">
        <v>83</v>
      </c>
      <c r="N26" s="49"/>
      <c r="O26" s="48"/>
      <c r="Q26" s="21" t="s">
        <v>208</v>
      </c>
      <c r="R26" s="23">
        <f>R20*R23</f>
        <v>1575</v>
      </c>
      <c r="S26" s="21" t="s">
        <v>0</v>
      </c>
      <c r="T26" s="13"/>
      <c r="U26" s="6" t="s">
        <v>161</v>
      </c>
      <c r="V26" s="7">
        <v>1</v>
      </c>
      <c r="W26" s="5"/>
      <c r="X26" s="13"/>
      <c r="Y26" s="12" t="s">
        <v>192</v>
      </c>
      <c r="Z26" s="16">
        <v>3.8999999999999998E-3</v>
      </c>
      <c r="AA26" s="12" t="s">
        <v>193</v>
      </c>
      <c r="AB26" s="13"/>
      <c r="AC26" s="21" t="s">
        <v>484</v>
      </c>
      <c r="AD26" s="57">
        <v>5</v>
      </c>
      <c r="AE26" s="48" t="s">
        <v>305</v>
      </c>
      <c r="AF26" s="14"/>
    </row>
    <row r="27" spans="2:32" ht="16.5">
      <c r="B27" s="48" t="s">
        <v>85</v>
      </c>
      <c r="C27" s="152">
        <f t="shared" ref="C27" si="55">(C26^2+(C24-C25)^2)^0.5</f>
        <v>992.59545599365879</v>
      </c>
      <c r="D27" s="190">
        <f t="shared" ref="D27" si="56">(D26^2+(D24-D25)^2)^0.5</f>
        <v>622.96785941024621</v>
      </c>
      <c r="E27" s="191">
        <f t="shared" ref="E27" si="57">(E26^2+(E24-E25)^2)^0.5</f>
        <v>543.24504101158084</v>
      </c>
      <c r="F27" s="166">
        <f t="shared" ref="F27:J27" si="58">(F26^2+(F24-F25)^2)^0.5</f>
        <v>386.60938751990818</v>
      </c>
      <c r="G27" s="227"/>
      <c r="H27" s="242">
        <f t="shared" ref="H27" si="59">(H26^2+(H24-H25)^2)^0.5</f>
        <v>1470.6745680129245</v>
      </c>
      <c r="I27" s="190">
        <f t="shared" si="58"/>
        <v>735.3372840064618</v>
      </c>
      <c r="J27" s="191">
        <f t="shared" si="58"/>
        <v>644.99333203324363</v>
      </c>
      <c r="K27" s="242">
        <f t="shared" ref="K27" si="60">(K26^2+(K24-K25)^2)^0.5</f>
        <v>376.24611035272574</v>
      </c>
      <c r="L27" s="166"/>
      <c r="M27" s="162" t="s">
        <v>83</v>
      </c>
      <c r="N27" s="49"/>
      <c r="O27" s="48"/>
      <c r="Q27" s="21" t="s">
        <v>209</v>
      </c>
      <c r="R27" s="23">
        <f>R21*(R22/R19)*R24</f>
        <v>2400</v>
      </c>
      <c r="S27" s="21" t="s">
        <v>2</v>
      </c>
      <c r="T27" s="13"/>
      <c r="U27" s="6" t="s">
        <v>164</v>
      </c>
      <c r="V27" s="8">
        <f>V24*V25*V26*2</f>
        <v>2904</v>
      </c>
      <c r="W27" s="5" t="s">
        <v>154</v>
      </c>
      <c r="X27" s="13"/>
      <c r="Y27" s="12" t="s">
        <v>194</v>
      </c>
      <c r="Z27" s="17">
        <v>45</v>
      </c>
      <c r="AA27" s="12" t="s">
        <v>48</v>
      </c>
      <c r="AB27" s="13"/>
      <c r="AC27" s="21" t="s">
        <v>485</v>
      </c>
      <c r="AD27" s="80">
        <f>AD25*AD26</f>
        <v>2.4</v>
      </c>
      <c r="AE27" s="48" t="s">
        <v>479</v>
      </c>
      <c r="AF27" s="14"/>
    </row>
    <row r="28" spans="2:32" ht="16.5">
      <c r="B28" s="48"/>
      <c r="C28" s="154"/>
      <c r="D28" s="194"/>
      <c r="E28" s="195"/>
      <c r="F28" s="168"/>
      <c r="G28" s="229"/>
      <c r="H28" s="244"/>
      <c r="I28" s="194"/>
      <c r="J28" s="195"/>
      <c r="K28" s="244"/>
      <c r="L28" s="168"/>
      <c r="M28" s="162"/>
      <c r="N28" s="49"/>
      <c r="O28" s="48"/>
      <c r="Q28" s="21" t="s">
        <v>47</v>
      </c>
      <c r="R28" s="23">
        <f>R26*R27/1000</f>
        <v>3780</v>
      </c>
      <c r="S28" s="21" t="s">
        <v>47</v>
      </c>
      <c r="T28" s="13"/>
      <c r="U28" s="6" t="s">
        <v>167</v>
      </c>
      <c r="V28" s="7">
        <v>6</v>
      </c>
      <c r="W28" s="5" t="s">
        <v>168</v>
      </c>
      <c r="X28" s="13"/>
      <c r="Y28" s="12" t="s">
        <v>195</v>
      </c>
      <c r="Z28" s="16">
        <f>Z25*(1+Z26*(Z27-20))</f>
        <v>1.9206249999999998</v>
      </c>
      <c r="AA28" s="12" t="s">
        <v>191</v>
      </c>
      <c r="AB28" s="13"/>
      <c r="AC28" s="21"/>
      <c r="AD28" s="48"/>
      <c r="AE28" s="48"/>
      <c r="AF28" s="14"/>
    </row>
    <row r="29" spans="2:32" ht="16.5">
      <c r="B29" s="48" t="s">
        <v>105</v>
      </c>
      <c r="C29" s="155">
        <f t="shared" ref="C29:J29" si="61">(C3*1000000/C26)^0.5</f>
        <v>417.78734619294346</v>
      </c>
      <c r="D29" s="196">
        <f t="shared" si="61"/>
        <v>527.36172106507206</v>
      </c>
      <c r="E29" s="197">
        <f t="shared" si="61"/>
        <v>564.73348346571959</v>
      </c>
      <c r="F29" s="169">
        <f t="shared" si="61"/>
        <v>669.43008444405325</v>
      </c>
      <c r="G29" s="230"/>
      <c r="H29" s="245">
        <f t="shared" ref="H29" si="62">(H3*1000000/H26)^0.5</f>
        <v>343.22833396428655</v>
      </c>
      <c r="I29" s="196">
        <f t="shared" si="61"/>
        <v>485.39816488301608</v>
      </c>
      <c r="J29" s="197">
        <f t="shared" si="61"/>
        <v>518.27923728501969</v>
      </c>
      <c r="K29" s="245">
        <f t="shared" ref="K29" si="63">(K3*1000000/K26)^0.5</f>
        <v>678.58681028073761</v>
      </c>
      <c r="L29" s="169"/>
      <c r="M29" s="162" t="s">
        <v>2</v>
      </c>
      <c r="N29" s="49"/>
      <c r="O29" s="51" t="s">
        <v>247</v>
      </c>
      <c r="Q29" s="13"/>
      <c r="R29" s="13"/>
      <c r="S29" s="13"/>
      <c r="T29" s="13"/>
      <c r="U29" s="6" t="s">
        <v>169</v>
      </c>
      <c r="V29" s="7">
        <v>3300</v>
      </c>
      <c r="W29" s="5" t="s">
        <v>170</v>
      </c>
      <c r="X29" s="13"/>
      <c r="Y29" s="12" t="s">
        <v>196</v>
      </c>
      <c r="Z29" s="18">
        <f>1/(Z28/100000000)</f>
        <v>52066384.64041654</v>
      </c>
      <c r="AA29" s="12" t="s">
        <v>197</v>
      </c>
      <c r="AB29" s="13"/>
      <c r="AC29" s="81" t="s">
        <v>483</v>
      </c>
      <c r="AD29" s="48">
        <v>0.4133</v>
      </c>
      <c r="AE29" s="48" t="s">
        <v>479</v>
      </c>
      <c r="AF29" s="14"/>
    </row>
    <row r="30" spans="2:32" ht="16.5">
      <c r="B30" s="48" t="s">
        <v>103</v>
      </c>
      <c r="C30" s="152">
        <f t="shared" ref="C30" si="64">C29*C26/1000</f>
        <v>359.03433018463585</v>
      </c>
      <c r="D30" s="190">
        <f t="shared" ref="D30" si="65">D29*D26/1000</f>
        <v>284.43475134497146</v>
      </c>
      <c r="E30" s="191">
        <f t="shared" ref="E30" si="66">E29*E26/1000</f>
        <v>265.6120176892349</v>
      </c>
      <c r="F30" s="166">
        <f t="shared" ref="F30:J30" si="67">F29*F26/1000</f>
        <v>224.07119650825322</v>
      </c>
      <c r="G30" s="227"/>
      <c r="H30" s="242">
        <f t="shared" ref="H30" si="68">H29*H26/1000</f>
        <v>437.02685692495226</v>
      </c>
      <c r="I30" s="190">
        <f t="shared" si="67"/>
        <v>309.02465409227682</v>
      </c>
      <c r="J30" s="191">
        <f t="shared" si="67"/>
        <v>289.41927287260751</v>
      </c>
      <c r="K30" s="242">
        <f t="shared" ref="K30" si="69">K29*K26/1000</f>
        <v>221.04762091963383</v>
      </c>
      <c r="L30" s="166"/>
      <c r="M30" s="162" t="s">
        <v>0</v>
      </c>
      <c r="N30" s="49"/>
      <c r="O30" s="48"/>
      <c r="Q30" s="251" t="s">
        <v>213</v>
      </c>
      <c r="R30" s="251"/>
      <c r="S30" s="251"/>
      <c r="T30" s="13"/>
      <c r="U30" s="6" t="s">
        <v>171</v>
      </c>
      <c r="V30" s="7">
        <v>1</v>
      </c>
      <c r="W30" s="5" t="s">
        <v>172</v>
      </c>
      <c r="X30" s="13"/>
      <c r="Y30" s="12" t="s">
        <v>198</v>
      </c>
      <c r="Z30" s="3">
        <v>1</v>
      </c>
      <c r="AA30" s="12" t="s">
        <v>199</v>
      </c>
      <c r="AB30" s="13"/>
      <c r="AC30" s="21" t="s">
        <v>484</v>
      </c>
      <c r="AD30" s="57">
        <v>5</v>
      </c>
      <c r="AE30" s="48" t="s">
        <v>305</v>
      </c>
      <c r="AF30" s="14"/>
    </row>
    <row r="31" spans="2:32" ht="16.5">
      <c r="B31" s="48" t="s">
        <v>286</v>
      </c>
      <c r="C31" s="155">
        <f t="shared" ref="C31" si="70">C29/(2*3.14159*C22*1000*C16/1000000)</f>
        <v>978.32917162089996</v>
      </c>
      <c r="D31" s="196">
        <f t="shared" ref="D31" si="71">D29/(2*3.14159*D22*1000*D16/1000000)</f>
        <v>1279.880248578045</v>
      </c>
      <c r="E31" s="197">
        <f t="shared" ref="E31" si="72">E29/(2*3.14159*E22*1000*E16/1000000)</f>
        <v>1059.9970490159717</v>
      </c>
      <c r="F31" s="169">
        <f t="shared" ref="F31:J31" si="73">F29/(2*3.14159*F22*1000*F16/1000000)</f>
        <v>1281.2303361634067</v>
      </c>
      <c r="G31" s="230"/>
      <c r="H31" s="245">
        <f t="shared" ref="H31" si="74">H29/(2*3.14159*H22*1000*H16/1000000)</f>
        <v>756.83167813638806</v>
      </c>
      <c r="I31" s="196">
        <f t="shared" si="73"/>
        <v>1150.0135193669271</v>
      </c>
      <c r="J31" s="197">
        <f t="shared" si="73"/>
        <v>932.77343372144799</v>
      </c>
      <c r="K31" s="245">
        <f t="shared" ref="K31" si="75">K29/(2*3.14159*K22*1000*K16/1000000)</f>
        <v>1263.9416492273349</v>
      </c>
      <c r="L31" s="169"/>
      <c r="M31" s="162" t="s">
        <v>0</v>
      </c>
      <c r="N31" s="49"/>
      <c r="O31" s="51" t="s">
        <v>71</v>
      </c>
      <c r="Q31" s="6" t="s">
        <v>37</v>
      </c>
      <c r="R31" s="7">
        <v>11095</v>
      </c>
      <c r="S31" s="6" t="s">
        <v>24</v>
      </c>
      <c r="T31" s="13"/>
      <c r="U31" s="6" t="s">
        <v>173</v>
      </c>
      <c r="V31" s="8">
        <f>V29*V30</f>
        <v>3300</v>
      </c>
      <c r="W31" s="5" t="s">
        <v>170</v>
      </c>
      <c r="X31" s="13"/>
      <c r="Y31" s="12" t="s">
        <v>37</v>
      </c>
      <c r="Z31" s="19">
        <v>1000</v>
      </c>
      <c r="AA31" s="12" t="s">
        <v>200</v>
      </c>
      <c r="AB31" s="13"/>
      <c r="AC31" s="21" t="s">
        <v>485</v>
      </c>
      <c r="AD31" s="80">
        <f>AD29*AD30</f>
        <v>2.0665</v>
      </c>
      <c r="AE31" s="48" t="s">
        <v>479</v>
      </c>
      <c r="AF31" s="14"/>
    </row>
    <row r="32" spans="2:32" ht="16.5">
      <c r="B32" s="48" t="s">
        <v>104</v>
      </c>
      <c r="C32" s="152">
        <f t="shared" ref="C32" si="76">C29*C27/1000</f>
        <v>414.69382140276531</v>
      </c>
      <c r="D32" s="190">
        <f t="shared" ref="D32" si="77">D29*D27/1000</f>
        <v>328.52940250681132</v>
      </c>
      <c r="E32" s="191">
        <f t="shared" ref="E32" si="78">E29*E27/1000</f>
        <v>306.78866438594775</v>
      </c>
      <c r="F32" s="166">
        <f t="shared" ref="F32:J32" si="79">F29*F27/1000</f>
        <v>258.80795493431583</v>
      </c>
      <c r="G32" s="227"/>
      <c r="H32" s="242">
        <f t="shared" ref="H32" si="80">H29*H27/1000</f>
        <v>504.77718178272289</v>
      </c>
      <c r="I32" s="190">
        <f t="shared" si="79"/>
        <v>356.93136822679776</v>
      </c>
      <c r="J32" s="191">
        <f t="shared" si="79"/>
        <v>334.28665218011298</v>
      </c>
      <c r="K32" s="242">
        <f t="shared" ref="K32" si="81">K29*K27/1000</f>
        <v>255.31564790479055</v>
      </c>
      <c r="L32" s="166"/>
      <c r="M32" s="162" t="s">
        <v>0</v>
      </c>
      <c r="N32" s="49"/>
      <c r="O32" s="48"/>
      <c r="Q32" s="6" t="s">
        <v>52</v>
      </c>
      <c r="R32" s="7">
        <v>12.33</v>
      </c>
      <c r="S32" s="6" t="s">
        <v>27</v>
      </c>
      <c r="T32" s="13"/>
      <c r="U32" s="5"/>
      <c r="V32" s="5"/>
      <c r="W32" s="5"/>
      <c r="X32" s="13"/>
      <c r="Y32" s="12" t="s">
        <v>230</v>
      </c>
      <c r="Z32" s="31">
        <f>503.3*SQRT((Z28/100000000)/(Z30*Z31))*1000</f>
        <v>2.205709020034714</v>
      </c>
      <c r="AA32" s="12" t="s">
        <v>201</v>
      </c>
      <c r="AB32" s="13"/>
      <c r="AC32" s="13"/>
      <c r="AD32" s="13"/>
      <c r="AE32" s="13"/>
      <c r="AF32" s="14"/>
    </row>
    <row r="33" spans="2:32" ht="16.5">
      <c r="B33" s="48" t="s">
        <v>102</v>
      </c>
      <c r="C33" s="156">
        <f t="shared" ref="C33" si="82">ROUNDUP(COS(PI()*C18/180),3)</f>
        <v>0.86699999999999999</v>
      </c>
      <c r="D33" s="198">
        <f t="shared" ref="D33" si="83">ROUNDUP(COS(PI()*D18/180),3)</f>
        <v>0.86699999999999999</v>
      </c>
      <c r="E33" s="199">
        <f t="shared" ref="E33" si="84">ROUNDUP(COS(PI()*E18/180),3)</f>
        <v>0.86699999999999999</v>
      </c>
      <c r="F33" s="170">
        <f t="shared" ref="F33:J33" si="85">ROUNDUP(COS(PI()*F18/180),3)</f>
        <v>0.86699999999999999</v>
      </c>
      <c r="G33" s="231"/>
      <c r="H33" s="246">
        <f t="shared" ref="H33" si="86">ROUNDUP(COS(PI()*H18/180),3)</f>
        <v>0.86699999999999999</v>
      </c>
      <c r="I33" s="198">
        <f t="shared" si="85"/>
        <v>0.86699999999999999</v>
      </c>
      <c r="J33" s="199">
        <f t="shared" si="85"/>
        <v>0.86699999999999999</v>
      </c>
      <c r="K33" s="246">
        <f t="shared" ref="K33" si="87">ROUNDUP(COS(PI()*K18/180),3)</f>
        <v>0.86699999999999999</v>
      </c>
      <c r="L33" s="170"/>
      <c r="M33" s="162"/>
      <c r="N33" s="49"/>
      <c r="O33" s="48"/>
      <c r="Q33" s="6" t="s">
        <v>53</v>
      </c>
      <c r="R33" s="7">
        <v>660</v>
      </c>
      <c r="S33" s="6" t="s">
        <v>2</v>
      </c>
      <c r="T33" s="13"/>
      <c r="U33" s="9" t="s">
        <v>174</v>
      </c>
      <c r="V33" s="253" t="s">
        <v>175</v>
      </c>
      <c r="W33" s="253"/>
      <c r="X33" s="13"/>
      <c r="Y33" s="12" t="s">
        <v>231</v>
      </c>
      <c r="Z33" s="26">
        <v>6126</v>
      </c>
      <c r="AA33" s="12" t="s">
        <v>201</v>
      </c>
      <c r="AB33" s="13"/>
      <c r="AC33" s="252" t="s">
        <v>493</v>
      </c>
      <c r="AD33" s="252"/>
      <c r="AE33" s="252"/>
      <c r="AF33" s="14"/>
    </row>
    <row r="34" spans="2:32" ht="16.5">
      <c r="B34" s="48" t="s">
        <v>101</v>
      </c>
      <c r="C34" s="157">
        <f t="shared" ref="C34" si="88">C31/(C26*C29/1000)</f>
        <v>2.7248903220975764</v>
      </c>
      <c r="D34" s="200">
        <f t="shared" ref="D34" si="89">D31/(D26*D29/1000)</f>
        <v>4.4997323376487346</v>
      </c>
      <c r="E34" s="201">
        <f t="shared" ref="E34" si="90">E31/(E26*E29/1000)</f>
        <v>3.9907721730278198</v>
      </c>
      <c r="F34" s="171">
        <f t="shared" ref="F34:J34" si="91">F31/(F26*F29/1000)</f>
        <v>5.7179608808676807</v>
      </c>
      <c r="G34" s="232"/>
      <c r="H34" s="247">
        <f t="shared" ref="H34" si="92">H31/(H26*H29/1000)</f>
        <v>1.7317738398543177</v>
      </c>
      <c r="I34" s="200">
        <f t="shared" si="91"/>
        <v>3.7214296792757686</v>
      </c>
      <c r="J34" s="201">
        <f t="shared" si="91"/>
        <v>3.2229140252592061</v>
      </c>
      <c r="K34" s="247">
        <f t="shared" ref="K34" si="93">K31/(K26*K29/1000)</f>
        <v>5.7179608808676816</v>
      </c>
      <c r="L34" s="171"/>
      <c r="M34" s="162"/>
      <c r="N34" s="49"/>
      <c r="O34" s="51" t="s">
        <v>244</v>
      </c>
      <c r="Q34" s="6" t="s">
        <v>54</v>
      </c>
      <c r="R34" s="7">
        <v>158</v>
      </c>
      <c r="S34" s="6" t="s">
        <v>1</v>
      </c>
      <c r="T34" s="13"/>
      <c r="U34" s="6" t="s">
        <v>176</v>
      </c>
      <c r="V34" s="7">
        <v>30</v>
      </c>
      <c r="W34" s="5" t="s">
        <v>177</v>
      </c>
      <c r="X34" s="13"/>
      <c r="Y34" s="12" t="s">
        <v>256</v>
      </c>
      <c r="Z34" s="26">
        <v>2</v>
      </c>
      <c r="AA34" s="12" t="s">
        <v>201</v>
      </c>
      <c r="AB34" s="13"/>
      <c r="AC34" s="5" t="s">
        <v>494</v>
      </c>
      <c r="AD34" s="7">
        <v>440</v>
      </c>
      <c r="AE34" s="5" t="s">
        <v>0</v>
      </c>
      <c r="AF34" s="14"/>
    </row>
    <row r="35" spans="2:32" ht="16.5">
      <c r="B35" s="48" t="s">
        <v>287</v>
      </c>
      <c r="C35" s="155">
        <f t="shared" ref="C35" si="94">C31+C29*C19*C26/1000</f>
        <v>1185.8510144676195</v>
      </c>
      <c r="D35" s="196">
        <f t="shared" ref="D35" si="95">D31+D29*D19*D26/1000</f>
        <v>1444.2835348554386</v>
      </c>
      <c r="E35" s="197">
        <f t="shared" ref="E35" si="96">E31+E29*E19*E26/1000</f>
        <v>1213.5207952403496</v>
      </c>
      <c r="F35" s="169">
        <f t="shared" ref="F35:J35" si="97">F31+F29*F19*F26/1000</f>
        <v>1410.7434877451772</v>
      </c>
      <c r="G35" s="230"/>
      <c r="H35" s="245">
        <f t="shared" ref="H35" si="98">H31+H29*H19*H26/1000</f>
        <v>1009.4332014390104</v>
      </c>
      <c r="I35" s="196">
        <f t="shared" si="97"/>
        <v>1328.6297694322632</v>
      </c>
      <c r="J35" s="197">
        <f t="shared" si="97"/>
        <v>1100.0577734418152</v>
      </c>
      <c r="K35" s="245">
        <f t="shared" ref="K35" si="99">K31+K29*K19*K26/1000</f>
        <v>1391.7071741188834</v>
      </c>
      <c r="L35" s="169"/>
      <c r="M35" s="162" t="s">
        <v>0</v>
      </c>
      <c r="N35" s="49"/>
      <c r="O35" s="51" t="s">
        <v>243</v>
      </c>
      <c r="Q35" s="6" t="s">
        <v>264</v>
      </c>
      <c r="R35" s="7">
        <v>1</v>
      </c>
      <c r="S35" s="6" t="s">
        <v>42</v>
      </c>
      <c r="T35" s="13"/>
      <c r="U35" s="6" t="s">
        <v>178</v>
      </c>
      <c r="V35" s="10">
        <f>V29*SQRT(2)*SIN(V34*PI()/180)</f>
        <v>2333.4523779156066</v>
      </c>
      <c r="W35" s="5" t="s">
        <v>179</v>
      </c>
      <c r="X35" s="13"/>
      <c r="Y35" s="12" t="s">
        <v>255</v>
      </c>
      <c r="Z35" s="27">
        <f>MIN(Z32,Z34)</f>
        <v>2</v>
      </c>
      <c r="AA35" s="12" t="s">
        <v>201</v>
      </c>
      <c r="AB35" s="13"/>
      <c r="AC35" s="5" t="s">
        <v>64</v>
      </c>
      <c r="AD35" s="7">
        <v>567</v>
      </c>
      <c r="AE35" s="5" t="s">
        <v>2</v>
      </c>
      <c r="AF35" s="14"/>
    </row>
    <row r="36" spans="2:32" ht="16.5">
      <c r="B36" s="48"/>
      <c r="C36" s="148"/>
      <c r="D36" s="182"/>
      <c r="E36" s="183"/>
      <c r="F36" s="162"/>
      <c r="G36" s="221"/>
      <c r="H36" s="48"/>
      <c r="I36" s="182"/>
      <c r="J36" s="183"/>
      <c r="K36" s="48"/>
      <c r="L36" s="162"/>
      <c r="M36" s="162"/>
      <c r="N36" s="49"/>
      <c r="O36" s="48"/>
      <c r="Q36" s="6" t="s">
        <v>55</v>
      </c>
      <c r="R36" s="8">
        <f>(R33*R35)/(2*3.1415*R31*(R32/1000000))</f>
        <v>767.86786458304721</v>
      </c>
      <c r="S36" s="6" t="s">
        <v>56</v>
      </c>
      <c r="T36" s="13"/>
      <c r="U36" s="6" t="s">
        <v>180</v>
      </c>
      <c r="V36" s="24">
        <f>V23*V27/V35</f>
        <v>746.7047609329943</v>
      </c>
      <c r="W36" s="5" t="s">
        <v>181</v>
      </c>
      <c r="X36" s="13"/>
      <c r="Y36" s="12" t="s">
        <v>234</v>
      </c>
      <c r="Z36" s="26">
        <v>30</v>
      </c>
      <c r="AA36" s="12" t="s">
        <v>201</v>
      </c>
      <c r="AB36" s="13"/>
      <c r="AC36" s="5" t="s">
        <v>497</v>
      </c>
      <c r="AD36" s="25">
        <f>AD34</f>
        <v>440</v>
      </c>
      <c r="AE36" s="5" t="s">
        <v>495</v>
      </c>
      <c r="AF36" s="14"/>
    </row>
    <row r="37" spans="2:32" ht="16.5">
      <c r="B37" s="48" t="s">
        <v>86</v>
      </c>
      <c r="C37" s="147">
        <v>1</v>
      </c>
      <c r="D37" s="180">
        <v>1</v>
      </c>
      <c r="E37" s="181">
        <v>1</v>
      </c>
      <c r="F37" s="161">
        <v>1</v>
      </c>
      <c r="G37" s="220"/>
      <c r="H37" s="236">
        <v>1</v>
      </c>
      <c r="I37" s="180">
        <v>1</v>
      </c>
      <c r="J37" s="181">
        <v>1</v>
      </c>
      <c r="K37" s="236">
        <v>1</v>
      </c>
      <c r="L37" s="161"/>
      <c r="M37" s="162"/>
      <c r="N37" s="49"/>
      <c r="O37" s="48" t="s">
        <v>87</v>
      </c>
      <c r="Q37" s="6" t="s">
        <v>57</v>
      </c>
      <c r="R37" s="8">
        <f>R33*R35</f>
        <v>660</v>
      </c>
      <c r="S37" s="6"/>
      <c r="T37" s="13"/>
      <c r="U37" s="5"/>
      <c r="V37" s="5"/>
      <c r="W37" s="5"/>
      <c r="X37" s="13"/>
      <c r="Y37" s="12" t="s">
        <v>254</v>
      </c>
      <c r="Z37" s="27">
        <f>(PI()*(Z36/2)^2)-(PI()*(Z36/2-Z35)^2)</f>
        <v>175.92918860102839</v>
      </c>
      <c r="AA37" s="12" t="s">
        <v>227</v>
      </c>
      <c r="AB37" s="13"/>
      <c r="AC37" s="5" t="s">
        <v>498</v>
      </c>
      <c r="AD37" s="25">
        <f>AD35*1.25</f>
        <v>708.75</v>
      </c>
      <c r="AE37" s="5" t="s">
        <v>496</v>
      </c>
      <c r="AF37" s="14"/>
    </row>
    <row r="38" spans="2:32" ht="16.5">
      <c r="B38" s="48" t="s">
        <v>288</v>
      </c>
      <c r="C38" s="152">
        <f t="shared" ref="C38:K38" si="100">C10/C37*4/PI()/2^0.5</f>
        <v>521.01305216011724</v>
      </c>
      <c r="D38" s="190">
        <f t="shared" si="100"/>
        <v>521.01305216011724</v>
      </c>
      <c r="E38" s="191">
        <f t="shared" si="100"/>
        <v>521.01305216011724</v>
      </c>
      <c r="F38" s="166">
        <f t="shared" si="100"/>
        <v>521.01305216011724</v>
      </c>
      <c r="G38" s="227"/>
      <c r="H38" s="242">
        <f t="shared" si="100"/>
        <v>521.01305216011724</v>
      </c>
      <c r="I38" s="190">
        <f t="shared" si="100"/>
        <v>521.01305216011724</v>
      </c>
      <c r="J38" s="191">
        <f t="shared" si="100"/>
        <v>521.01305216011724</v>
      </c>
      <c r="K38" s="242">
        <f t="shared" si="100"/>
        <v>521.01305216011724</v>
      </c>
      <c r="L38" s="166"/>
      <c r="M38" s="162" t="s">
        <v>0</v>
      </c>
      <c r="N38" s="49"/>
      <c r="O38" s="48" t="s">
        <v>222</v>
      </c>
      <c r="Q38" s="6" t="s">
        <v>47</v>
      </c>
      <c r="R38" s="8">
        <f>R36*R37/1000</f>
        <v>506.79279062481112</v>
      </c>
      <c r="S38" s="6" t="s">
        <v>47</v>
      </c>
      <c r="T38" s="13"/>
      <c r="U38" s="9" t="s">
        <v>182</v>
      </c>
      <c r="V38" s="6"/>
      <c r="W38" s="6"/>
      <c r="X38" s="13"/>
      <c r="Y38" s="12" t="s">
        <v>232</v>
      </c>
      <c r="Z38" s="26">
        <v>850</v>
      </c>
      <c r="AA38" s="4" t="s">
        <v>228</v>
      </c>
      <c r="AB38" s="13"/>
      <c r="AC38" s="13"/>
      <c r="AD38" s="13"/>
      <c r="AE38" s="13"/>
      <c r="AF38" s="14"/>
    </row>
    <row r="39" spans="2:32" ht="16.5">
      <c r="B39" s="48" t="s">
        <v>88</v>
      </c>
      <c r="C39" s="147">
        <v>1</v>
      </c>
      <c r="D39" s="180">
        <v>1</v>
      </c>
      <c r="E39" s="181">
        <v>1</v>
      </c>
      <c r="F39" s="161">
        <v>1</v>
      </c>
      <c r="G39" s="220"/>
      <c r="H39" s="236">
        <v>1</v>
      </c>
      <c r="I39" s="180">
        <v>1</v>
      </c>
      <c r="J39" s="181">
        <v>1</v>
      </c>
      <c r="K39" s="236">
        <v>1</v>
      </c>
      <c r="L39" s="161"/>
      <c r="M39" s="162" t="s">
        <v>42</v>
      </c>
      <c r="N39" s="49"/>
      <c r="O39" s="48" t="s">
        <v>245</v>
      </c>
      <c r="Q39" s="6" t="s">
        <v>41</v>
      </c>
      <c r="R39" s="25">
        <f>R38/R34</f>
        <v>3.207549307751969</v>
      </c>
      <c r="S39" s="6"/>
      <c r="T39" s="13"/>
      <c r="U39" s="6" t="s">
        <v>183</v>
      </c>
      <c r="V39" s="10">
        <f>V23*V27/V28/1000</f>
        <v>290.39999999999998</v>
      </c>
      <c r="W39" s="5" t="s">
        <v>179</v>
      </c>
      <c r="X39" s="13"/>
      <c r="Y39" s="12" t="s">
        <v>491</v>
      </c>
      <c r="Z39" s="28">
        <f>Z38/Z37</f>
        <v>4.8314893438611097</v>
      </c>
      <c r="AA39" s="4" t="s">
        <v>228</v>
      </c>
      <c r="AB39" s="13"/>
      <c r="AC39" s="252" t="s">
        <v>500</v>
      </c>
      <c r="AD39" s="252"/>
      <c r="AE39" s="252"/>
      <c r="AF39" s="14"/>
    </row>
    <row r="40" spans="2:32" ht="16.5">
      <c r="B40" s="48" t="s">
        <v>89</v>
      </c>
      <c r="C40" s="147">
        <f t="shared" ref="C40" si="101">ROUND(C38/C39,1)</f>
        <v>521</v>
      </c>
      <c r="D40" s="180">
        <f t="shared" ref="D40" si="102">ROUND(D38/D39,1)</f>
        <v>521</v>
      </c>
      <c r="E40" s="181">
        <f t="shared" ref="E40" si="103">ROUND(E38/E39,1)</f>
        <v>521</v>
      </c>
      <c r="F40" s="161">
        <f t="shared" ref="F40:J40" si="104">ROUND(F38/F39,1)</f>
        <v>521</v>
      </c>
      <c r="G40" s="220"/>
      <c r="H40" s="236">
        <f t="shared" ref="H40" si="105">ROUND(H38/H39,1)</f>
        <v>521</v>
      </c>
      <c r="I40" s="180">
        <f t="shared" si="104"/>
        <v>521</v>
      </c>
      <c r="J40" s="181">
        <f t="shared" si="104"/>
        <v>521</v>
      </c>
      <c r="K40" s="236">
        <f t="shared" ref="K40" si="106">ROUND(K38/K39,1)</f>
        <v>521</v>
      </c>
      <c r="L40" s="161"/>
      <c r="M40" s="162" t="s">
        <v>0</v>
      </c>
      <c r="N40" s="49"/>
      <c r="O40" s="48" t="s">
        <v>289</v>
      </c>
      <c r="Q40" s="13"/>
      <c r="R40" s="13"/>
      <c r="S40" s="13"/>
      <c r="T40" s="13"/>
      <c r="U40" s="6" t="s">
        <v>184</v>
      </c>
      <c r="V40" s="10">
        <f>V39/SIN(V34*PI()/180)/SQRT(2)</f>
        <v>410.68761851314684</v>
      </c>
      <c r="W40" s="5" t="s">
        <v>170</v>
      </c>
      <c r="X40" s="13"/>
      <c r="Y40" s="12" t="s">
        <v>233</v>
      </c>
      <c r="Z40" s="28">
        <f>Z28/100000000*(Z38^2)/(Z37/1000000)*Z33/1000</f>
        <v>483.19176251946334</v>
      </c>
      <c r="AA40" s="4" t="s">
        <v>229</v>
      </c>
      <c r="AB40" s="13"/>
      <c r="AC40" s="5" t="s">
        <v>26</v>
      </c>
      <c r="AD40" s="7">
        <v>4200</v>
      </c>
      <c r="AE40" s="5" t="s">
        <v>27</v>
      </c>
      <c r="AF40" s="143" t="s">
        <v>631</v>
      </c>
    </row>
    <row r="41" spans="2:32" ht="16.5">
      <c r="B41" s="48"/>
      <c r="C41" s="148"/>
      <c r="D41" s="182"/>
      <c r="E41" s="183"/>
      <c r="F41" s="162"/>
      <c r="G41" s="221"/>
      <c r="H41" s="48"/>
      <c r="I41" s="182"/>
      <c r="J41" s="183"/>
      <c r="K41" s="48"/>
      <c r="L41" s="162"/>
      <c r="M41" s="162"/>
      <c r="N41" s="49"/>
      <c r="O41" s="48"/>
      <c r="Q41" s="251" t="s">
        <v>214</v>
      </c>
      <c r="R41" s="251"/>
      <c r="S41" s="251"/>
      <c r="T41" s="13"/>
      <c r="U41" s="6" t="s">
        <v>173</v>
      </c>
      <c r="V41" s="24">
        <f>V40*V30</f>
        <v>410.68761851314684</v>
      </c>
      <c r="W41" s="5" t="s">
        <v>170</v>
      </c>
      <c r="X41" s="13"/>
      <c r="Y41" s="13"/>
      <c r="Z41" s="13"/>
      <c r="AA41" s="13"/>
      <c r="AB41" s="13"/>
      <c r="AC41" s="5" t="s">
        <v>28</v>
      </c>
      <c r="AD41" s="7">
        <v>375</v>
      </c>
      <c r="AE41" s="5" t="s">
        <v>15</v>
      </c>
      <c r="AF41" s="14"/>
    </row>
    <row r="42" spans="2:32" ht="16.5">
      <c r="B42" s="48" t="s">
        <v>72</v>
      </c>
      <c r="C42" s="157">
        <f t="shared" ref="C42" si="107">C32/C40*100</f>
        <v>79.595743071548043</v>
      </c>
      <c r="D42" s="200">
        <f t="shared" ref="D42" si="108">D32/D40*100</f>
        <v>63.057466891902372</v>
      </c>
      <c r="E42" s="201">
        <f t="shared" ref="E42" si="109">E32/E40*100</f>
        <v>58.884580496343141</v>
      </c>
      <c r="F42" s="171">
        <f t="shared" ref="F42:J42" si="110">F32/F40*100</f>
        <v>49.675231273381158</v>
      </c>
      <c r="G42" s="232"/>
      <c r="H42" s="247">
        <f t="shared" ref="H42" si="111">H32/H40*100</f>
        <v>96.886215313382522</v>
      </c>
      <c r="I42" s="200">
        <f t="shared" si="110"/>
        <v>68.508899851592659</v>
      </c>
      <c r="J42" s="201">
        <f t="shared" si="110"/>
        <v>64.16250521691228</v>
      </c>
      <c r="K42" s="247">
        <f t="shared" ref="K42" si="112">K32/K40*100</f>
        <v>49.00492282241661</v>
      </c>
      <c r="L42" s="171"/>
      <c r="M42" s="162" t="s">
        <v>7</v>
      </c>
      <c r="N42" s="49"/>
      <c r="O42" s="52" t="s">
        <v>251</v>
      </c>
      <c r="Q42" s="21" t="s">
        <v>18</v>
      </c>
      <c r="R42" s="22">
        <v>40</v>
      </c>
      <c r="S42" s="21" t="s">
        <v>240</v>
      </c>
      <c r="T42" s="13"/>
      <c r="U42" s="6" t="s">
        <v>185</v>
      </c>
      <c r="V42" s="10">
        <f>V41/V31*100</f>
        <v>12.445079348883239</v>
      </c>
      <c r="W42" s="11" t="s">
        <v>186</v>
      </c>
      <c r="X42" s="13"/>
      <c r="Y42" s="252" t="s">
        <v>490</v>
      </c>
      <c r="Z42" s="252"/>
      <c r="AA42" s="252"/>
      <c r="AB42" s="13"/>
      <c r="AC42" s="5" t="s">
        <v>29</v>
      </c>
      <c r="AD42" s="25">
        <f>1/(2*3.14*SQRT((AD40/1000000)*(AD41/1000000)))</f>
        <v>126.88201797605028</v>
      </c>
      <c r="AE42" s="5" t="s">
        <v>30</v>
      </c>
      <c r="AF42" s="14"/>
    </row>
    <row r="43" spans="2:32" ht="16.5">
      <c r="B43" s="48"/>
      <c r="C43" s="148"/>
      <c r="D43" s="182"/>
      <c r="E43" s="183"/>
      <c r="F43" s="162"/>
      <c r="G43" s="221"/>
      <c r="H43" s="48"/>
      <c r="I43" s="182"/>
      <c r="J43" s="183"/>
      <c r="K43" s="48"/>
      <c r="L43" s="162"/>
      <c r="M43" s="162"/>
      <c r="N43" s="49"/>
      <c r="O43" s="48"/>
      <c r="Q43" s="21" t="s">
        <v>100</v>
      </c>
      <c r="R43" s="22">
        <v>127</v>
      </c>
      <c r="S43" s="21" t="s">
        <v>2</v>
      </c>
      <c r="T43" s="13"/>
      <c r="U43" s="6" t="s">
        <v>187</v>
      </c>
      <c r="V43" s="10">
        <f>V42*V42/100</f>
        <v>1.5488000000000006</v>
      </c>
      <c r="W43" s="11" t="s">
        <v>186</v>
      </c>
      <c r="X43" s="13"/>
      <c r="Y43" s="5" t="s">
        <v>188</v>
      </c>
      <c r="Z43" s="3" t="s">
        <v>189</v>
      </c>
      <c r="AA43" s="3"/>
      <c r="AB43" s="13"/>
      <c r="AC43" s="13"/>
      <c r="AD43" s="13"/>
      <c r="AE43" s="13"/>
      <c r="AF43" s="14"/>
    </row>
    <row r="44" spans="2:32" ht="16.5">
      <c r="B44" s="48" t="s">
        <v>90</v>
      </c>
      <c r="C44" s="155">
        <f t="shared" ref="C44" si="113">C29/C39</f>
        <v>417.78734619294346</v>
      </c>
      <c r="D44" s="196">
        <f t="shared" ref="D44" si="114">D29/D39</f>
        <v>527.36172106507206</v>
      </c>
      <c r="E44" s="197">
        <f t="shared" ref="E44" si="115">E29/E39</f>
        <v>564.73348346571959</v>
      </c>
      <c r="F44" s="169">
        <f t="shared" ref="F44:J44" si="116">F29/F39</f>
        <v>669.43008444405325</v>
      </c>
      <c r="G44" s="230"/>
      <c r="H44" s="245">
        <f t="shared" ref="H44" si="117">H29/H39</f>
        <v>343.22833396428655</v>
      </c>
      <c r="I44" s="196">
        <f t="shared" si="116"/>
        <v>485.39816488301608</v>
      </c>
      <c r="J44" s="197">
        <f t="shared" si="116"/>
        <v>518.27923728501969</v>
      </c>
      <c r="K44" s="245">
        <f t="shared" ref="K44" si="118">K29/K39</f>
        <v>678.58681028073761</v>
      </c>
      <c r="L44" s="169"/>
      <c r="M44" s="162" t="s">
        <v>2</v>
      </c>
      <c r="N44" s="49"/>
      <c r="O44" s="51" t="s">
        <v>246</v>
      </c>
      <c r="Q44" s="21" t="s">
        <v>44</v>
      </c>
      <c r="R44" s="22">
        <v>401</v>
      </c>
      <c r="S44" s="21" t="s">
        <v>0</v>
      </c>
      <c r="T44" s="13"/>
      <c r="U44" s="13"/>
      <c r="V44" s="13"/>
      <c r="W44" s="13"/>
      <c r="X44" s="13"/>
      <c r="Y44" s="12" t="s">
        <v>190</v>
      </c>
      <c r="Z44" s="15">
        <v>1.75</v>
      </c>
      <c r="AA44" s="12" t="s">
        <v>191</v>
      </c>
      <c r="AB44" s="13"/>
      <c r="AC44" s="13"/>
      <c r="AD44" s="13"/>
      <c r="AE44" s="13"/>
      <c r="AF44" s="14"/>
    </row>
    <row r="45" spans="2:32" ht="16.5">
      <c r="B45" s="48" t="s">
        <v>91</v>
      </c>
      <c r="C45" s="152">
        <f t="shared" ref="C45" si="119">ROUND(C44*2^0.5*2/PI(),0)</f>
        <v>376</v>
      </c>
      <c r="D45" s="190">
        <f t="shared" ref="D45" si="120">ROUND(D44*2^0.5*2/PI(),0)</f>
        <v>475</v>
      </c>
      <c r="E45" s="191">
        <f t="shared" ref="E45" si="121">ROUND(E44*2^0.5*2/PI(),0)</f>
        <v>508</v>
      </c>
      <c r="F45" s="166">
        <f t="shared" ref="F45:J45" si="122">ROUND(F44*2^0.5*2/PI(),0)</f>
        <v>603</v>
      </c>
      <c r="G45" s="227"/>
      <c r="H45" s="242">
        <f t="shared" ref="H45" si="123">ROUND(H44*2^0.5*2/PI(),0)</f>
        <v>309</v>
      </c>
      <c r="I45" s="190">
        <f t="shared" si="122"/>
        <v>437</v>
      </c>
      <c r="J45" s="191">
        <f t="shared" si="122"/>
        <v>467</v>
      </c>
      <c r="K45" s="242">
        <f t="shared" ref="K45" si="124">ROUND(K44*2^0.5*2/PI(),0)</f>
        <v>611</v>
      </c>
      <c r="L45" s="166"/>
      <c r="M45" s="162" t="s">
        <v>2</v>
      </c>
      <c r="N45" s="49"/>
      <c r="O45" s="48"/>
      <c r="Q45" s="21" t="s">
        <v>467</v>
      </c>
      <c r="R45" s="22">
        <v>1</v>
      </c>
      <c r="S45" s="21"/>
      <c r="T45" s="13"/>
      <c r="U45" s="252" t="s">
        <v>226</v>
      </c>
      <c r="V45" s="252"/>
      <c r="W45" s="252"/>
      <c r="X45" s="13"/>
      <c r="Y45" s="12" t="s">
        <v>192</v>
      </c>
      <c r="Z45" s="16">
        <v>3.8999999999999998E-3</v>
      </c>
      <c r="AA45" s="12" t="s">
        <v>193</v>
      </c>
      <c r="AB45" s="13"/>
      <c r="AC45" s="13"/>
      <c r="AD45" s="13"/>
      <c r="AE45" s="13"/>
      <c r="AF45" s="14"/>
    </row>
    <row r="46" spans="2:32" ht="16.5">
      <c r="B46" s="48" t="s">
        <v>92</v>
      </c>
      <c r="C46" s="152">
        <f t="shared" ref="C46" si="125">C45/C37</f>
        <v>376</v>
      </c>
      <c r="D46" s="190">
        <f t="shared" ref="D46" si="126">D45/D37</f>
        <v>475</v>
      </c>
      <c r="E46" s="191">
        <f t="shared" ref="E46" si="127">E45/E37</f>
        <v>508</v>
      </c>
      <c r="F46" s="166">
        <f t="shared" ref="F46:J46" si="128">F45/F37</f>
        <v>603</v>
      </c>
      <c r="G46" s="227"/>
      <c r="H46" s="242">
        <f t="shared" ref="H46" si="129">H45/H37</f>
        <v>309</v>
      </c>
      <c r="I46" s="190">
        <f t="shared" si="128"/>
        <v>437</v>
      </c>
      <c r="J46" s="191">
        <f t="shared" si="128"/>
        <v>467</v>
      </c>
      <c r="K46" s="242">
        <f t="shared" ref="K46" si="130">K45/K37</f>
        <v>611</v>
      </c>
      <c r="L46" s="166"/>
      <c r="M46" s="162" t="s">
        <v>2</v>
      </c>
      <c r="N46" s="49"/>
      <c r="O46" s="48"/>
      <c r="Q46" s="21" t="s">
        <v>56</v>
      </c>
      <c r="R46" s="23">
        <f>R44*0.9/R45</f>
        <v>360.90000000000003</v>
      </c>
      <c r="S46" s="21" t="s">
        <v>0</v>
      </c>
      <c r="T46" s="13"/>
      <c r="U46" s="6" t="s">
        <v>155</v>
      </c>
      <c r="V46" s="7">
        <v>387.2</v>
      </c>
      <c r="W46" s="6" t="s">
        <v>156</v>
      </c>
      <c r="X46" s="13"/>
      <c r="Y46" s="12" t="s">
        <v>194</v>
      </c>
      <c r="Z46" s="17">
        <v>45</v>
      </c>
      <c r="AA46" s="12" t="s">
        <v>48</v>
      </c>
      <c r="AB46" s="13"/>
      <c r="AC46" s="13"/>
      <c r="AD46" s="13"/>
      <c r="AE46" s="13"/>
      <c r="AF46" s="14"/>
    </row>
    <row r="47" spans="2:32" ht="17.25" thickBot="1">
      <c r="B47" s="48" t="s">
        <v>93</v>
      </c>
      <c r="C47" s="153">
        <f t="shared" ref="C47:K47" si="131">ROUND(C46/C11,3)</f>
        <v>1.4510000000000001</v>
      </c>
      <c r="D47" s="202">
        <f t="shared" si="131"/>
        <v>1.833</v>
      </c>
      <c r="E47" s="203">
        <f t="shared" si="131"/>
        <v>1.96</v>
      </c>
      <c r="F47" s="167">
        <f t="shared" si="131"/>
        <v>2.3260000000000001</v>
      </c>
      <c r="G47" s="233"/>
      <c r="H47" s="193">
        <f t="shared" si="131"/>
        <v>1.1919999999999999</v>
      </c>
      <c r="I47" s="202">
        <f t="shared" si="131"/>
        <v>1.6859999999999999</v>
      </c>
      <c r="J47" s="203">
        <f t="shared" si="131"/>
        <v>1.802</v>
      </c>
      <c r="K47" s="192">
        <f t="shared" si="131"/>
        <v>2.3570000000000002</v>
      </c>
      <c r="L47" s="167"/>
      <c r="M47" s="162"/>
      <c r="N47" s="49"/>
      <c r="O47" s="48"/>
      <c r="Q47" s="21" t="s">
        <v>241</v>
      </c>
      <c r="R47" s="23">
        <f>(R42*1000)/(R43*R44*0.9/R45)</f>
        <v>0.87270886650390644</v>
      </c>
      <c r="S47" s="21"/>
      <c r="T47" s="13"/>
      <c r="U47" s="6" t="s">
        <v>159</v>
      </c>
      <c r="V47" s="7">
        <v>500</v>
      </c>
      <c r="W47" s="6" t="s">
        <v>160</v>
      </c>
      <c r="X47" s="13"/>
      <c r="Y47" s="12" t="s">
        <v>195</v>
      </c>
      <c r="Z47" s="16">
        <f>Z44*(1+Z45*(Z46-20))</f>
        <v>1.9206249999999998</v>
      </c>
      <c r="AA47" s="12" t="s">
        <v>191</v>
      </c>
      <c r="AB47" s="13"/>
      <c r="AC47" s="13"/>
      <c r="AD47" s="13"/>
      <c r="AE47" s="13"/>
      <c r="AF47" s="14"/>
    </row>
    <row r="48" spans="2:32" ht="16.5">
      <c r="B48" s="47"/>
      <c r="C48" s="47"/>
      <c r="D48" s="47"/>
      <c r="E48" s="47"/>
      <c r="F48" s="204"/>
      <c r="G48" s="205"/>
      <c r="H48" s="205"/>
      <c r="I48" s="205"/>
      <c r="J48" s="205"/>
      <c r="K48" s="205"/>
      <c r="L48" s="205"/>
      <c r="M48" s="47"/>
      <c r="N48" s="47"/>
      <c r="O48" s="47"/>
      <c r="Q48" s="21" t="s">
        <v>242</v>
      </c>
      <c r="R48" s="62">
        <f>DEGREES(ACOS(R47))</f>
        <v>29.225030363895115</v>
      </c>
      <c r="S48" s="21"/>
      <c r="T48" s="13"/>
      <c r="U48" s="6" t="s">
        <v>162</v>
      </c>
      <c r="V48" s="7">
        <v>100</v>
      </c>
      <c r="W48" s="6" t="s">
        <v>163</v>
      </c>
      <c r="X48" s="13"/>
      <c r="Y48" s="12" t="s">
        <v>196</v>
      </c>
      <c r="Z48" s="18">
        <f>1/(Z47/100000000)</f>
        <v>52066384.64041654</v>
      </c>
      <c r="AA48" s="12" t="s">
        <v>197</v>
      </c>
      <c r="AB48" s="13"/>
      <c r="AC48" s="13"/>
      <c r="AD48" s="13"/>
      <c r="AE48" s="13"/>
      <c r="AF48" s="14"/>
    </row>
    <row r="49" spans="2:32" ht="16.5">
      <c r="B49" s="46" t="s">
        <v>291</v>
      </c>
      <c r="C49" s="47" t="s">
        <v>529</v>
      </c>
      <c r="D49" s="47"/>
      <c r="E49" s="47"/>
      <c r="F49" s="47"/>
      <c r="G49" s="47"/>
      <c r="H49" s="47"/>
      <c r="I49" s="47"/>
      <c r="J49" s="47"/>
      <c r="K49" s="47"/>
      <c r="L49" s="47"/>
      <c r="M49" s="47"/>
      <c r="N49" s="47"/>
      <c r="O49" s="47"/>
      <c r="Q49" s="13"/>
      <c r="R49" s="13"/>
      <c r="S49" s="13"/>
      <c r="T49" s="13"/>
      <c r="U49" s="6" t="s">
        <v>165</v>
      </c>
      <c r="V49" s="25">
        <f>V46*V47/V48</f>
        <v>1936</v>
      </c>
      <c r="W49" s="6" t="s">
        <v>166</v>
      </c>
      <c r="X49" s="13"/>
      <c r="Y49" s="12" t="s">
        <v>198</v>
      </c>
      <c r="Z49" s="3">
        <v>1</v>
      </c>
      <c r="AA49" s="12" t="s">
        <v>199</v>
      </c>
      <c r="AB49" s="13"/>
      <c r="AC49" s="13"/>
      <c r="AD49" s="13"/>
      <c r="AE49" s="13"/>
      <c r="AF49" s="14"/>
    </row>
    <row r="50" spans="2:32" ht="16.5">
      <c r="B50" s="32" t="s">
        <v>275</v>
      </c>
      <c r="C50" s="34">
        <v>1</v>
      </c>
      <c r="D50" s="34">
        <v>1</v>
      </c>
      <c r="E50" s="34">
        <v>1</v>
      </c>
      <c r="F50" s="34">
        <v>1</v>
      </c>
      <c r="G50" s="34"/>
      <c r="H50" s="34">
        <v>1</v>
      </c>
      <c r="I50" s="34">
        <v>1</v>
      </c>
      <c r="J50" s="34">
        <v>1</v>
      </c>
      <c r="K50" s="34">
        <v>1</v>
      </c>
      <c r="L50" s="34"/>
      <c r="M50" s="32" t="s">
        <v>49</v>
      </c>
      <c r="N50" s="49">
        <v>6</v>
      </c>
      <c r="O50" s="35" t="s">
        <v>279</v>
      </c>
      <c r="Q50" s="251" t="s">
        <v>266</v>
      </c>
      <c r="R50" s="251"/>
      <c r="S50" s="251"/>
      <c r="T50" s="13"/>
      <c r="U50" s="13"/>
      <c r="V50" s="13"/>
      <c r="W50" s="13"/>
      <c r="X50" s="13"/>
      <c r="Y50" s="12" t="s">
        <v>37</v>
      </c>
      <c r="Z50" s="19">
        <v>10000</v>
      </c>
      <c r="AA50" s="12" t="s">
        <v>200</v>
      </c>
      <c r="AB50" s="13"/>
      <c r="AC50" s="13"/>
      <c r="AD50" s="13"/>
      <c r="AE50" s="13" t="s">
        <v>235</v>
      </c>
      <c r="AF50" s="14"/>
    </row>
    <row r="51" spans="2:32" ht="16.5">
      <c r="B51" s="32" t="s">
        <v>114</v>
      </c>
      <c r="C51" s="55">
        <f t="shared" ref="C51:F51" si="132">C44/C50</f>
        <v>417.78734619294346</v>
      </c>
      <c r="D51" s="55">
        <f t="shared" si="132"/>
        <v>527.36172106507206</v>
      </c>
      <c r="E51" s="55">
        <f t="shared" si="132"/>
        <v>564.73348346571959</v>
      </c>
      <c r="F51" s="55">
        <f t="shared" si="132"/>
        <v>669.43008444405325</v>
      </c>
      <c r="G51" s="55"/>
      <c r="H51" s="55">
        <f t="shared" ref="H51:K51" si="133">H44/H50</f>
        <v>343.22833396428655</v>
      </c>
      <c r="I51" s="55">
        <f t="shared" ref="I51:K51" si="134">I44/I50</f>
        <v>485.39816488301608</v>
      </c>
      <c r="J51" s="55">
        <f t="shared" si="134"/>
        <v>518.27923728501969</v>
      </c>
      <c r="K51" s="55">
        <f t="shared" si="134"/>
        <v>678.58681028073761</v>
      </c>
      <c r="L51" s="55"/>
      <c r="M51" s="32" t="s">
        <v>2</v>
      </c>
      <c r="N51" s="49"/>
      <c r="O51" s="32" t="s">
        <v>278</v>
      </c>
      <c r="Q51" s="32" t="s">
        <v>36</v>
      </c>
      <c r="R51" s="33">
        <v>200</v>
      </c>
      <c r="S51" s="32" t="s">
        <v>13</v>
      </c>
      <c r="T51" s="13"/>
      <c r="U51" s="252" t="s">
        <v>306</v>
      </c>
      <c r="V51" s="252"/>
      <c r="W51" s="252"/>
      <c r="X51" s="13"/>
      <c r="Y51" s="12" t="s">
        <v>230</v>
      </c>
      <c r="Z51" s="31">
        <f>503.3*SQRT((Z47/100000000)/(Z49*Z50))*1000</f>
        <v>0.69750643588876649</v>
      </c>
      <c r="AA51" s="12" t="s">
        <v>201</v>
      </c>
      <c r="AB51" s="13"/>
      <c r="AC51" s="13"/>
      <c r="AD51" s="13"/>
      <c r="AE51" s="13"/>
      <c r="AF51" s="14"/>
    </row>
    <row r="52" spans="2:32" ht="16.5">
      <c r="B52" s="32" t="s">
        <v>8</v>
      </c>
      <c r="C52" s="38">
        <v>27</v>
      </c>
      <c r="D52" s="38">
        <v>27</v>
      </c>
      <c r="E52" s="38">
        <v>27</v>
      </c>
      <c r="F52" s="38">
        <v>27</v>
      </c>
      <c r="G52" s="38"/>
      <c r="H52" s="38">
        <v>27</v>
      </c>
      <c r="I52" s="38">
        <v>27</v>
      </c>
      <c r="J52" s="38">
        <v>27</v>
      </c>
      <c r="K52" s="38">
        <v>27</v>
      </c>
      <c r="L52" s="38"/>
      <c r="M52" s="32" t="s">
        <v>45</v>
      </c>
      <c r="N52" s="49">
        <v>7</v>
      </c>
      <c r="O52" s="35" t="s">
        <v>117</v>
      </c>
      <c r="Q52" s="32" t="s">
        <v>38</v>
      </c>
      <c r="R52" s="33">
        <v>3</v>
      </c>
      <c r="S52" s="32" t="s">
        <v>13</v>
      </c>
      <c r="T52" s="13"/>
      <c r="U52" s="21" t="s">
        <v>296</v>
      </c>
      <c r="V52" s="22">
        <v>15.4</v>
      </c>
      <c r="W52" s="21" t="s">
        <v>13</v>
      </c>
      <c r="X52" s="13"/>
      <c r="Y52" s="12" t="s">
        <v>231</v>
      </c>
      <c r="Z52" s="26">
        <v>16000</v>
      </c>
      <c r="AA52" s="12" t="s">
        <v>201</v>
      </c>
      <c r="AB52" s="13"/>
      <c r="AC52" s="13"/>
      <c r="AD52" s="13"/>
      <c r="AE52" s="13"/>
      <c r="AF52" s="14"/>
    </row>
    <row r="53" spans="2:32" ht="16.5">
      <c r="B53" s="32" t="s">
        <v>118</v>
      </c>
      <c r="C53" s="38">
        <v>25</v>
      </c>
      <c r="D53" s="38">
        <v>25</v>
      </c>
      <c r="E53" s="38">
        <v>25</v>
      </c>
      <c r="F53" s="38">
        <v>25</v>
      </c>
      <c r="G53" s="38"/>
      <c r="H53" s="38">
        <v>25</v>
      </c>
      <c r="I53" s="38">
        <v>25</v>
      </c>
      <c r="J53" s="38">
        <v>25</v>
      </c>
      <c r="K53" s="38">
        <v>25</v>
      </c>
      <c r="L53" s="38"/>
      <c r="M53" s="32" t="s">
        <v>0</v>
      </c>
      <c r="N53" s="49">
        <v>8</v>
      </c>
      <c r="O53" s="35" t="s">
        <v>119</v>
      </c>
      <c r="Q53" s="32" t="s">
        <v>39</v>
      </c>
      <c r="R53" s="33">
        <v>300</v>
      </c>
      <c r="S53" s="32" t="s">
        <v>13</v>
      </c>
      <c r="T53" s="13"/>
      <c r="U53" s="21" t="s">
        <v>297</v>
      </c>
      <c r="V53" s="22">
        <v>2</v>
      </c>
      <c r="W53" s="21" t="s">
        <v>13</v>
      </c>
      <c r="X53" s="13"/>
      <c r="Y53" s="12" t="s">
        <v>256</v>
      </c>
      <c r="Z53" s="26">
        <v>2</v>
      </c>
      <c r="AA53" s="12" t="s">
        <v>201</v>
      </c>
      <c r="AB53" s="13"/>
      <c r="AC53" s="13"/>
      <c r="AD53" s="13"/>
      <c r="AE53" s="13"/>
      <c r="AF53" s="14"/>
    </row>
    <row r="54" spans="2:32" ht="16.5">
      <c r="B54" s="32" t="s">
        <v>9</v>
      </c>
      <c r="C54" s="42">
        <f t="shared" ref="C54:F54" si="135">C53*C52/1000000*C55*1000</f>
        <v>30.584634221685967</v>
      </c>
      <c r="D54" s="42">
        <f t="shared" si="135"/>
        <v>29.510208522830094</v>
      </c>
      <c r="E54" s="42">
        <f t="shared" si="135"/>
        <v>38.156795475310126</v>
      </c>
      <c r="F54" s="42">
        <f t="shared" si="135"/>
        <v>37.420623982152783</v>
      </c>
      <c r="G54" s="42"/>
      <c r="H54" s="42">
        <f t="shared" ref="H54:K54" si="136">H53*H52/1000000*H55*1000</f>
        <v>24.360046119334932</v>
      </c>
      <c r="I54" s="42">
        <f t="shared" ref="I54:K54" si="137">I53*I52/1000000*I55*1000</f>
        <v>22.671980525139901</v>
      </c>
      <c r="J54" s="42">
        <f t="shared" si="137"/>
        <v>29.845710230891342</v>
      </c>
      <c r="K54" s="42">
        <f t="shared" si="137"/>
        <v>28.838499828191107</v>
      </c>
      <c r="L54" s="42"/>
      <c r="M54" s="32" t="s">
        <v>6</v>
      </c>
      <c r="N54" s="49"/>
      <c r="O54" s="32"/>
      <c r="Q54" s="32" t="s">
        <v>75</v>
      </c>
      <c r="R54" s="63">
        <f>12.5*(R52/10)*(R53/10)/(R51/10)</f>
        <v>5.625</v>
      </c>
      <c r="S54" s="32" t="s">
        <v>40</v>
      </c>
      <c r="T54" s="13"/>
      <c r="U54" s="21" t="s">
        <v>299</v>
      </c>
      <c r="V54" s="23">
        <f>V52+V53*2</f>
        <v>19.399999999999999</v>
      </c>
      <c r="W54" s="21" t="s">
        <v>13</v>
      </c>
      <c r="X54" s="13"/>
      <c r="Y54" s="12" t="s">
        <v>255</v>
      </c>
      <c r="Z54" s="27">
        <f>MIN(Z51,Z53)</f>
        <v>0.69750643588876649</v>
      </c>
      <c r="AA54" s="12" t="s">
        <v>201</v>
      </c>
      <c r="AB54" s="13"/>
      <c r="AC54" s="13"/>
      <c r="AD54" s="13"/>
      <c r="AE54" s="13"/>
      <c r="AF54" s="14"/>
    </row>
    <row r="55" spans="2:32" ht="18" customHeight="1">
      <c r="B55" s="32" t="s">
        <v>116</v>
      </c>
      <c r="C55" s="55">
        <f t="shared" ref="C55:F55" si="138">C22</f>
        <v>45.310569217312541</v>
      </c>
      <c r="D55" s="55">
        <f t="shared" si="138"/>
        <v>43.71882744122977</v>
      </c>
      <c r="E55" s="55">
        <f t="shared" si="138"/>
        <v>56.528585889348328</v>
      </c>
      <c r="F55" s="55">
        <f t="shared" si="138"/>
        <v>55.437961455041162</v>
      </c>
      <c r="G55" s="55"/>
      <c r="H55" s="55">
        <f t="shared" ref="H55:K55" si="139">H22</f>
        <v>36.088957213829524</v>
      </c>
      <c r="I55" s="55">
        <f t="shared" ref="I55:K55" si="140">I22</f>
        <v>33.588119296503557</v>
      </c>
      <c r="J55" s="55">
        <f t="shared" si="140"/>
        <v>44.215867008727912</v>
      </c>
      <c r="K55" s="55">
        <f t="shared" si="140"/>
        <v>42.723703449172007</v>
      </c>
      <c r="L55" s="55"/>
      <c r="M55" s="32" t="s">
        <v>4</v>
      </c>
      <c r="N55" s="49"/>
      <c r="O55" s="32" t="s">
        <v>115</v>
      </c>
      <c r="U55" s="59" t="s">
        <v>300</v>
      </c>
      <c r="V55" s="60">
        <v>8.8539999999999992E-12</v>
      </c>
      <c r="W55" s="48"/>
      <c r="Y55" s="12" t="s">
        <v>236</v>
      </c>
      <c r="Z55" s="26">
        <v>30</v>
      </c>
      <c r="AA55" s="12" t="s">
        <v>201</v>
      </c>
    </row>
    <row r="56" spans="2:32" ht="16.5">
      <c r="B56" s="32" t="s">
        <v>274</v>
      </c>
      <c r="C56" s="41">
        <f t="shared" ref="C56:F56" si="141">C51*1.414</f>
        <v>590.75130751682207</v>
      </c>
      <c r="D56" s="41">
        <f t="shared" si="141"/>
        <v>745.6894735860119</v>
      </c>
      <c r="E56" s="41">
        <f t="shared" si="141"/>
        <v>798.53314562052742</v>
      </c>
      <c r="F56" s="41">
        <f t="shared" si="141"/>
        <v>946.57413940389119</v>
      </c>
      <c r="G56" s="41"/>
      <c r="H56" s="41">
        <f t="shared" ref="H56:K56" si="142">H51*1.414</f>
        <v>485.32486422550113</v>
      </c>
      <c r="I56" s="41">
        <f t="shared" ref="I56:K56" si="143">I51*1.414</f>
        <v>686.3530051445847</v>
      </c>
      <c r="J56" s="41">
        <f t="shared" si="143"/>
        <v>732.84684152101784</v>
      </c>
      <c r="K56" s="41">
        <f t="shared" si="143"/>
        <v>959.52174973696287</v>
      </c>
      <c r="L56" s="41"/>
      <c r="M56" s="32" t="s">
        <v>2</v>
      </c>
      <c r="N56" s="49"/>
      <c r="O56" s="32" t="s">
        <v>280</v>
      </c>
      <c r="Q56" s="251" t="s">
        <v>292</v>
      </c>
      <c r="R56" s="251"/>
      <c r="S56" s="251"/>
      <c r="U56" s="59" t="s">
        <v>301</v>
      </c>
      <c r="V56" s="57">
        <v>2.1</v>
      </c>
      <c r="W56" s="48" t="s">
        <v>295</v>
      </c>
      <c r="Y56" s="12" t="s">
        <v>237</v>
      </c>
      <c r="Z56" s="26">
        <v>2</v>
      </c>
      <c r="AA56" s="12" t="s">
        <v>201</v>
      </c>
    </row>
    <row r="57" spans="2:32" ht="16.5">
      <c r="B57" s="32" t="s">
        <v>120</v>
      </c>
      <c r="C57" s="38">
        <v>580</v>
      </c>
      <c r="D57" s="38">
        <v>600</v>
      </c>
      <c r="E57" s="38">
        <v>620</v>
      </c>
      <c r="F57" s="38">
        <v>650</v>
      </c>
      <c r="G57" s="38"/>
      <c r="H57" s="38">
        <v>650</v>
      </c>
      <c r="I57" s="38">
        <v>650</v>
      </c>
      <c r="J57" s="38">
        <v>650</v>
      </c>
      <c r="K57" s="38">
        <v>650</v>
      </c>
      <c r="L57" s="38"/>
      <c r="M57" s="32" t="s">
        <v>5</v>
      </c>
      <c r="N57" s="49">
        <v>9</v>
      </c>
      <c r="O57" s="35" t="s">
        <v>121</v>
      </c>
      <c r="Q57" s="32" t="s">
        <v>293</v>
      </c>
      <c r="R57" s="33">
        <v>3000</v>
      </c>
      <c r="S57" s="32" t="s">
        <v>50</v>
      </c>
      <c r="U57" s="48" t="s">
        <v>302</v>
      </c>
      <c r="V57" s="60">
        <f>2*PI()*V55*V56/(LN(V54/V52))*1000000000</f>
        <v>0.50594615125588516</v>
      </c>
      <c r="W57" s="48" t="s">
        <v>294</v>
      </c>
      <c r="Y57" s="12" t="s">
        <v>252</v>
      </c>
      <c r="Z57" s="27">
        <f>(Z55*Z56)-((Z55-2*Z54)*(Z56-2*Z54))</f>
        <v>42.694350984456051</v>
      </c>
      <c r="AA57" s="12" t="s">
        <v>227</v>
      </c>
    </row>
    <row r="58" spans="2:32" ht="16.5">
      <c r="B58" s="32" t="s">
        <v>122</v>
      </c>
      <c r="C58" s="42">
        <v>0</v>
      </c>
      <c r="D58" s="42">
        <v>0</v>
      </c>
      <c r="E58" s="42">
        <v>0</v>
      </c>
      <c r="F58" s="42">
        <v>0</v>
      </c>
      <c r="G58" s="42"/>
      <c r="H58" s="42">
        <v>0</v>
      </c>
      <c r="I58" s="42">
        <v>0</v>
      </c>
      <c r="J58" s="42">
        <v>0</v>
      </c>
      <c r="K58" s="42">
        <v>0</v>
      </c>
      <c r="L58" s="42"/>
      <c r="M58" s="32" t="s">
        <v>5</v>
      </c>
      <c r="N58" s="49"/>
      <c r="O58" s="32"/>
      <c r="Q58" s="32" t="s">
        <v>298</v>
      </c>
      <c r="R58" s="33">
        <v>1</v>
      </c>
      <c r="S58" s="32" t="s">
        <v>13</v>
      </c>
      <c r="U58" s="48" t="s">
        <v>303</v>
      </c>
      <c r="V58" s="57">
        <v>10</v>
      </c>
      <c r="W58" s="48" t="s">
        <v>305</v>
      </c>
      <c r="Y58" s="12" t="s">
        <v>232</v>
      </c>
      <c r="Z58" s="26">
        <v>750</v>
      </c>
      <c r="AA58" s="4" t="s">
        <v>228</v>
      </c>
    </row>
    <row r="59" spans="2:32" ht="16.5">
      <c r="B59" s="32" t="s">
        <v>123</v>
      </c>
      <c r="C59" s="42">
        <v>0</v>
      </c>
      <c r="D59" s="42">
        <v>0</v>
      </c>
      <c r="E59" s="42">
        <v>0</v>
      </c>
      <c r="F59" s="42">
        <v>0</v>
      </c>
      <c r="G59" s="42"/>
      <c r="H59" s="42">
        <v>0</v>
      </c>
      <c r="I59" s="42">
        <v>0</v>
      </c>
      <c r="J59" s="42">
        <v>0</v>
      </c>
      <c r="K59" s="42">
        <v>0</v>
      </c>
      <c r="L59" s="42"/>
      <c r="M59" s="32" t="s">
        <v>5</v>
      </c>
      <c r="N59" s="49"/>
      <c r="O59" s="32"/>
      <c r="Q59" s="32" t="s">
        <v>301</v>
      </c>
      <c r="R59" s="33">
        <v>2.1</v>
      </c>
      <c r="S59" s="32" t="s">
        <v>295</v>
      </c>
      <c r="T59" s="2"/>
      <c r="U59" s="48" t="s">
        <v>304</v>
      </c>
      <c r="V59" s="61">
        <f>V57*V58</f>
        <v>5.0594615125588511</v>
      </c>
      <c r="W59" s="48" t="s">
        <v>294</v>
      </c>
      <c r="Y59" s="12" t="s">
        <v>491</v>
      </c>
      <c r="Z59" s="28">
        <f>Z58/Z57</f>
        <v>17.566726808262207</v>
      </c>
      <c r="AA59" s="4" t="s">
        <v>228</v>
      </c>
    </row>
    <row r="60" spans="2:32" ht="16.5">
      <c r="B60" s="32" t="s">
        <v>124</v>
      </c>
      <c r="C60" s="39">
        <f t="shared" ref="C60:F60" si="144">C57*C55+C58*C55</f>
        <v>26280.130146041272</v>
      </c>
      <c r="D60" s="39">
        <f t="shared" si="144"/>
        <v>26231.296464737861</v>
      </c>
      <c r="E60" s="39">
        <f t="shared" si="144"/>
        <v>35047.723251395961</v>
      </c>
      <c r="F60" s="39">
        <f t="shared" si="144"/>
        <v>36034.674945776758</v>
      </c>
      <c r="G60" s="39"/>
      <c r="H60" s="39">
        <f t="shared" ref="H60:K60" si="145">H57*H55+H58*H55</f>
        <v>23457.82218898919</v>
      </c>
      <c r="I60" s="39">
        <f t="shared" ref="I60:K60" si="146">I57*I55+I58*I55</f>
        <v>21832.277542727312</v>
      </c>
      <c r="J60" s="39">
        <f t="shared" si="146"/>
        <v>28740.313555673143</v>
      </c>
      <c r="K60" s="39">
        <f t="shared" si="146"/>
        <v>27770.407241961806</v>
      </c>
      <c r="L60" s="39"/>
      <c r="M60" s="32" t="s">
        <v>6</v>
      </c>
      <c r="N60" s="49"/>
      <c r="O60" s="32"/>
      <c r="Q60" s="32" t="s">
        <v>76</v>
      </c>
      <c r="R60" s="63">
        <f>8.854/1000000000000*R59*(R57/1000000)/(R58/1000)*1000000000</f>
        <v>5.5780200000000002E-2</v>
      </c>
      <c r="S60" s="32" t="s">
        <v>294</v>
      </c>
      <c r="Y60" s="12" t="s">
        <v>233</v>
      </c>
      <c r="Z60" s="28">
        <f>Z47/100000000*(Z58^2)/(Z57/1000000)*Z52/1000</f>
        <v>4048.6913611342306</v>
      </c>
      <c r="AA60" s="4" t="s">
        <v>229</v>
      </c>
    </row>
    <row r="61" spans="2:32" ht="16.5">
      <c r="B61" s="32" t="s">
        <v>125</v>
      </c>
      <c r="C61" s="42">
        <f t="shared" ref="C61:F61" si="147">C55*C59</f>
        <v>0</v>
      </c>
      <c r="D61" s="42">
        <f t="shared" si="147"/>
        <v>0</v>
      </c>
      <c r="E61" s="42">
        <f t="shared" si="147"/>
        <v>0</v>
      </c>
      <c r="F61" s="42">
        <f t="shared" si="147"/>
        <v>0</v>
      </c>
      <c r="G61" s="42"/>
      <c r="H61" s="42">
        <f t="shared" ref="H61:K61" si="148">H55*H59</f>
        <v>0</v>
      </c>
      <c r="I61" s="42">
        <f t="shared" ref="I61:K61" si="149">I55*I59</f>
        <v>0</v>
      </c>
      <c r="J61" s="42">
        <f t="shared" si="149"/>
        <v>0</v>
      </c>
      <c r="K61" s="42">
        <f t="shared" si="149"/>
        <v>0</v>
      </c>
      <c r="L61" s="42"/>
      <c r="M61" s="32" t="s">
        <v>6</v>
      </c>
      <c r="N61" s="49"/>
      <c r="O61" s="32"/>
    </row>
    <row r="62" spans="2:32" ht="16.5">
      <c r="B62" s="32" t="s">
        <v>126</v>
      </c>
      <c r="C62" s="38">
        <v>100</v>
      </c>
      <c r="D62" s="38">
        <v>100</v>
      </c>
      <c r="E62" s="38">
        <v>100</v>
      </c>
      <c r="F62" s="38">
        <v>100</v>
      </c>
      <c r="G62" s="38"/>
      <c r="H62" s="38">
        <v>100</v>
      </c>
      <c r="I62" s="38">
        <v>100</v>
      </c>
      <c r="J62" s="38">
        <v>100</v>
      </c>
      <c r="K62" s="38">
        <v>100</v>
      </c>
      <c r="L62" s="38"/>
      <c r="M62" s="32" t="s">
        <v>7</v>
      </c>
      <c r="N62" s="49">
        <v>10</v>
      </c>
      <c r="O62" s="35" t="s">
        <v>127</v>
      </c>
      <c r="Q62" s="250" t="s">
        <v>468</v>
      </c>
      <c r="R62" s="250"/>
      <c r="S62" s="250"/>
      <c r="T62"/>
      <c r="Y62" s="252" t="s">
        <v>487</v>
      </c>
      <c r="Z62" s="252"/>
      <c r="AA62" s="252"/>
    </row>
    <row r="63" spans="2:32" ht="16.5">
      <c r="B63" s="32" t="s">
        <v>128</v>
      </c>
      <c r="C63" s="43">
        <f t="shared" ref="C63:F63" si="150">C60*C62/100</f>
        <v>26280.130146041269</v>
      </c>
      <c r="D63" s="43">
        <f t="shared" si="150"/>
        <v>26231.296464737865</v>
      </c>
      <c r="E63" s="43">
        <f t="shared" si="150"/>
        <v>35047.723251395961</v>
      </c>
      <c r="F63" s="43">
        <f t="shared" si="150"/>
        <v>36034.674945776758</v>
      </c>
      <c r="G63" s="43"/>
      <c r="H63" s="43">
        <f t="shared" ref="H63:K63" si="151">H60*H62/100</f>
        <v>23457.82218898919</v>
      </c>
      <c r="I63" s="43">
        <f t="shared" ref="I63:K63" si="152">I60*I62/100</f>
        <v>21832.277542727312</v>
      </c>
      <c r="J63" s="43">
        <f t="shared" si="152"/>
        <v>28740.313555673143</v>
      </c>
      <c r="K63" s="43">
        <f t="shared" si="152"/>
        <v>27770.407241961806</v>
      </c>
      <c r="L63" s="43"/>
      <c r="M63" s="32" t="s">
        <v>6</v>
      </c>
      <c r="N63" s="49"/>
      <c r="O63" s="32"/>
      <c r="Q63" s="77"/>
      <c r="R63" s="78" t="s">
        <v>460</v>
      </c>
      <c r="S63" s="78" t="s">
        <v>461</v>
      </c>
      <c r="T63" s="78" t="s">
        <v>462</v>
      </c>
      <c r="Y63" s="5" t="s">
        <v>188</v>
      </c>
      <c r="Z63" s="3" t="s">
        <v>189</v>
      </c>
      <c r="AA63" s="3"/>
    </row>
    <row r="64" spans="2:32" ht="16.5">
      <c r="B64" s="32" t="s">
        <v>129</v>
      </c>
      <c r="C64" s="41">
        <f t="shared" ref="C64:F64" si="153">C51*0.9</f>
        <v>376.00861157364915</v>
      </c>
      <c r="D64" s="41">
        <f t="shared" si="153"/>
        <v>474.62554895856488</v>
      </c>
      <c r="E64" s="41">
        <f t="shared" si="153"/>
        <v>508.26013511914766</v>
      </c>
      <c r="F64" s="41">
        <f t="shared" si="153"/>
        <v>602.48707599964791</v>
      </c>
      <c r="G64" s="41"/>
      <c r="H64" s="41">
        <f t="shared" ref="H64:K64" si="154">H51*0.9</f>
        <v>308.90550056785793</v>
      </c>
      <c r="I64" s="41">
        <f t="shared" ref="I64:K64" si="155">I51*0.9</f>
        <v>436.85834839471448</v>
      </c>
      <c r="J64" s="41">
        <f t="shared" si="155"/>
        <v>466.45131355651773</v>
      </c>
      <c r="K64" s="41">
        <f t="shared" si="155"/>
        <v>610.72812925266385</v>
      </c>
      <c r="L64" s="41"/>
      <c r="M64" s="32" t="s">
        <v>2</v>
      </c>
      <c r="N64" s="49"/>
      <c r="O64" s="32"/>
      <c r="Q64" s="78" t="s">
        <v>459</v>
      </c>
      <c r="R64" s="78" t="s">
        <v>465</v>
      </c>
      <c r="S64" s="78" t="s">
        <v>463</v>
      </c>
      <c r="T64" s="78" t="s">
        <v>464</v>
      </c>
      <c r="Y64" s="12" t="s">
        <v>190</v>
      </c>
      <c r="Z64" s="15">
        <v>1.75</v>
      </c>
      <c r="AA64" s="12" t="s">
        <v>191</v>
      </c>
    </row>
    <row r="65" spans="2:27" ht="16.5">
      <c r="B65" s="32" t="s">
        <v>130</v>
      </c>
      <c r="C65" s="38">
        <v>1.7</v>
      </c>
      <c r="D65" s="38">
        <v>1.7</v>
      </c>
      <c r="E65" s="38">
        <v>1.75</v>
      </c>
      <c r="F65" s="38">
        <v>1.8</v>
      </c>
      <c r="G65" s="38"/>
      <c r="H65" s="38">
        <v>1.8</v>
      </c>
      <c r="I65" s="38">
        <v>1.8</v>
      </c>
      <c r="J65" s="38">
        <v>1.8</v>
      </c>
      <c r="K65" s="38">
        <v>1.8</v>
      </c>
      <c r="L65" s="38"/>
      <c r="M65" s="32" t="s">
        <v>44</v>
      </c>
      <c r="N65" s="49">
        <v>11</v>
      </c>
      <c r="O65" s="35" t="s">
        <v>131</v>
      </c>
      <c r="Q65" s="76">
        <v>0.5</v>
      </c>
      <c r="R65" s="76"/>
      <c r="S65" s="76">
        <v>2.5</v>
      </c>
      <c r="T65" s="76"/>
      <c r="Y65" s="12" t="s">
        <v>192</v>
      </c>
      <c r="Z65" s="16">
        <v>3.8999999999999998E-3</v>
      </c>
      <c r="AA65" s="12" t="s">
        <v>193</v>
      </c>
    </row>
    <row r="66" spans="2:27" ht="16.5">
      <c r="B66" s="32" t="s">
        <v>132</v>
      </c>
      <c r="C66" s="38">
        <v>1.7</v>
      </c>
      <c r="D66" s="38">
        <v>1.7</v>
      </c>
      <c r="E66" s="38">
        <v>1.7</v>
      </c>
      <c r="F66" s="38">
        <v>1.7</v>
      </c>
      <c r="G66" s="38"/>
      <c r="H66" s="38">
        <v>1.7</v>
      </c>
      <c r="I66" s="38">
        <v>1.7</v>
      </c>
      <c r="J66" s="38">
        <v>1.7</v>
      </c>
      <c r="K66" s="38">
        <v>1.7</v>
      </c>
      <c r="L66" s="38"/>
      <c r="M66" s="32" t="s">
        <v>44</v>
      </c>
      <c r="N66" s="49">
        <v>12</v>
      </c>
      <c r="O66" s="35" t="s">
        <v>133</v>
      </c>
      <c r="Q66" s="76">
        <v>0.8</v>
      </c>
      <c r="R66" s="76"/>
      <c r="S66" s="76">
        <v>1.42</v>
      </c>
      <c r="T66" s="76"/>
      <c r="Y66" s="12" t="s">
        <v>194</v>
      </c>
      <c r="Z66" s="17">
        <v>45</v>
      </c>
      <c r="AA66" s="12" t="s">
        <v>48</v>
      </c>
    </row>
    <row r="67" spans="2:27" ht="16.5">
      <c r="B67" s="32" t="s">
        <v>72</v>
      </c>
      <c r="C67" s="42">
        <v>100</v>
      </c>
      <c r="D67" s="42">
        <v>100</v>
      </c>
      <c r="E67" s="42">
        <v>100</v>
      </c>
      <c r="F67" s="42">
        <v>100</v>
      </c>
      <c r="G67" s="42"/>
      <c r="H67" s="42">
        <v>100</v>
      </c>
      <c r="I67" s="42">
        <v>100</v>
      </c>
      <c r="J67" s="42">
        <v>100</v>
      </c>
      <c r="K67" s="42">
        <v>100</v>
      </c>
      <c r="L67" s="42"/>
      <c r="M67" s="32" t="s">
        <v>7</v>
      </c>
      <c r="N67" s="49"/>
      <c r="O67" s="35"/>
      <c r="Q67" s="76">
        <v>1</v>
      </c>
      <c r="R67" s="76">
        <v>2</v>
      </c>
      <c r="S67" s="76">
        <v>1.4</v>
      </c>
      <c r="T67" s="76"/>
      <c r="Y67" s="12" t="s">
        <v>195</v>
      </c>
      <c r="Z67" s="16">
        <f>Z64*(1+Z65*(Z66-20))</f>
        <v>1.9206249999999998</v>
      </c>
      <c r="AA67" s="12" t="s">
        <v>191</v>
      </c>
    </row>
    <row r="68" spans="2:27" ht="16.5">
      <c r="B68" s="32" t="s">
        <v>134</v>
      </c>
      <c r="C68" s="42">
        <f t="shared" ref="C68:F68" si="156">C18</f>
        <v>30</v>
      </c>
      <c r="D68" s="42">
        <f t="shared" si="156"/>
        <v>30</v>
      </c>
      <c r="E68" s="42">
        <f t="shared" si="156"/>
        <v>30</v>
      </c>
      <c r="F68" s="42">
        <f t="shared" si="156"/>
        <v>30</v>
      </c>
      <c r="G68" s="42"/>
      <c r="H68" s="42">
        <f t="shared" ref="H68:K68" si="157">H18</f>
        <v>30</v>
      </c>
      <c r="I68" s="42">
        <f t="shared" ref="I68:K68" si="158">I18</f>
        <v>30</v>
      </c>
      <c r="J68" s="42">
        <f t="shared" si="158"/>
        <v>30</v>
      </c>
      <c r="K68" s="42">
        <f t="shared" si="158"/>
        <v>30</v>
      </c>
      <c r="L68" s="42"/>
      <c r="M68" s="32" t="s">
        <v>79</v>
      </c>
      <c r="N68" s="49"/>
      <c r="O68" s="32"/>
      <c r="Q68" s="76">
        <v>1.2</v>
      </c>
      <c r="R68" s="76"/>
      <c r="S68" s="76">
        <v>1.04</v>
      </c>
      <c r="T68" s="76"/>
      <c r="Y68" s="12" t="s">
        <v>196</v>
      </c>
      <c r="Z68" s="18">
        <f>1/(Z67/100000000)</f>
        <v>52066384.64041654</v>
      </c>
      <c r="AA68" s="12" t="s">
        <v>197</v>
      </c>
    </row>
    <row r="69" spans="2:27" ht="16.5">
      <c r="B69" s="32" t="s">
        <v>135</v>
      </c>
      <c r="C69" s="42">
        <f t="shared" ref="C69:F69" si="159">ROUNDUP((C64*C65*((C67*180/100-C68)/180))/2,0)</f>
        <v>267</v>
      </c>
      <c r="D69" s="42">
        <f t="shared" si="159"/>
        <v>337</v>
      </c>
      <c r="E69" s="42">
        <f t="shared" si="159"/>
        <v>371</v>
      </c>
      <c r="F69" s="42">
        <f t="shared" si="159"/>
        <v>452</v>
      </c>
      <c r="G69" s="42"/>
      <c r="H69" s="42">
        <f t="shared" ref="H69:K69" si="160">ROUNDUP((H64*H65*((H67*180/100-H68)/180))/2,0)</f>
        <v>232</v>
      </c>
      <c r="I69" s="42">
        <f t="shared" ref="I69:K69" si="161">ROUNDUP((I64*I65*((I67*180/100-I68)/180))/2,0)</f>
        <v>328</v>
      </c>
      <c r="J69" s="42">
        <f t="shared" si="161"/>
        <v>350</v>
      </c>
      <c r="K69" s="42">
        <f t="shared" si="161"/>
        <v>459</v>
      </c>
      <c r="L69" s="42"/>
      <c r="M69" s="32" t="s">
        <v>6</v>
      </c>
      <c r="N69" s="49"/>
      <c r="O69" s="32"/>
      <c r="Q69" s="76">
        <v>2</v>
      </c>
      <c r="R69" s="76">
        <v>1.1200000000000001</v>
      </c>
      <c r="S69" s="76">
        <v>0.75</v>
      </c>
      <c r="T69" s="76"/>
      <c r="Y69" s="12" t="s">
        <v>198</v>
      </c>
      <c r="Z69" s="3">
        <v>1</v>
      </c>
      <c r="AA69" s="12" t="s">
        <v>199</v>
      </c>
    </row>
    <row r="70" spans="2:27" ht="16.5">
      <c r="B70" s="32" t="s">
        <v>136</v>
      </c>
      <c r="C70" s="42">
        <f t="shared" ref="C70:F70" si="162">ROUNDUP((C64*C66*(1-(C67*180/100-C68)/180))/2,0)</f>
        <v>54</v>
      </c>
      <c r="D70" s="42">
        <f t="shared" si="162"/>
        <v>68</v>
      </c>
      <c r="E70" s="42">
        <f t="shared" si="162"/>
        <v>73</v>
      </c>
      <c r="F70" s="42">
        <f t="shared" si="162"/>
        <v>86</v>
      </c>
      <c r="G70" s="42"/>
      <c r="H70" s="42">
        <f t="shared" ref="H70:K70" si="163">ROUNDUP((H64*H66*(1-(H67*180/100-H68)/180))/2,0)</f>
        <v>44</v>
      </c>
      <c r="I70" s="42">
        <f t="shared" ref="I70:K70" si="164">ROUNDUP((I64*I66*(1-(I67*180/100-I68)/180))/2,0)</f>
        <v>62</v>
      </c>
      <c r="J70" s="42">
        <f t="shared" si="164"/>
        <v>67</v>
      </c>
      <c r="K70" s="42">
        <f t="shared" si="164"/>
        <v>87</v>
      </c>
      <c r="L70" s="42"/>
      <c r="M70" s="32" t="s">
        <v>6</v>
      </c>
      <c r="N70" s="49"/>
      <c r="O70" s="32"/>
      <c r="Q70" s="76">
        <v>3</v>
      </c>
      <c r="R70" s="76">
        <v>0.71</v>
      </c>
      <c r="S70" s="76">
        <v>0.57999999999999996</v>
      </c>
      <c r="T70" s="76"/>
      <c r="Y70" s="12" t="s">
        <v>231</v>
      </c>
      <c r="Z70" s="26">
        <v>6126</v>
      </c>
      <c r="AA70" s="12" t="s">
        <v>201</v>
      </c>
    </row>
    <row r="71" spans="2:27" ht="16.5">
      <c r="B71" s="32" t="s">
        <v>69</v>
      </c>
      <c r="C71" s="43">
        <f t="shared" ref="C71:F71" si="165">ROUNDUP(((C64*C65*(((C67*180/100-C68)/180))+(C64*C66*(1-(C67*180/100-C68)/180))))/2,0)</f>
        <v>320</v>
      </c>
      <c r="D71" s="43">
        <f t="shared" si="165"/>
        <v>404</v>
      </c>
      <c r="E71" s="43">
        <f t="shared" si="165"/>
        <v>443</v>
      </c>
      <c r="F71" s="43">
        <f t="shared" si="165"/>
        <v>538</v>
      </c>
      <c r="G71" s="43"/>
      <c r="H71" s="43">
        <f t="shared" ref="H71:K71" si="166">ROUNDUP(((H64*H65*(((H67*180/100-H68)/180))+(H64*H66*(1-(H67*180/100-H68)/180))))/2,0)</f>
        <v>276</v>
      </c>
      <c r="I71" s="43">
        <f t="shared" ref="I71:K71" si="167">ROUNDUP(((I64*I65*(((I67*180/100-I68)/180))+(I64*I66*(1-(I67*180/100-I68)/180))))/2,0)</f>
        <v>390</v>
      </c>
      <c r="J71" s="43">
        <f t="shared" si="167"/>
        <v>416</v>
      </c>
      <c r="K71" s="43">
        <f t="shared" si="167"/>
        <v>545</v>
      </c>
      <c r="L71" s="43"/>
      <c r="M71" s="32" t="s">
        <v>6</v>
      </c>
      <c r="N71" s="49"/>
      <c r="O71" s="32"/>
      <c r="Q71" s="76">
        <v>5</v>
      </c>
      <c r="R71" s="76">
        <v>0.43</v>
      </c>
      <c r="S71" s="76">
        <v>0.36</v>
      </c>
      <c r="T71" s="76"/>
      <c r="Y71" s="12" t="s">
        <v>257</v>
      </c>
      <c r="Z71" s="26">
        <v>2</v>
      </c>
      <c r="AA71" s="12" t="s">
        <v>201</v>
      </c>
    </row>
    <row r="72" spans="2:27" ht="16.5">
      <c r="B72" s="32" t="s">
        <v>276</v>
      </c>
      <c r="C72" s="42">
        <f t="shared" ref="C72:F72" si="168">C63+C69</f>
        <v>26547.130146041269</v>
      </c>
      <c r="D72" s="42">
        <f t="shared" si="168"/>
        <v>26568.296464737865</v>
      </c>
      <c r="E72" s="42">
        <f t="shared" si="168"/>
        <v>35418.723251395961</v>
      </c>
      <c r="F72" s="42">
        <f t="shared" si="168"/>
        <v>36486.674945776758</v>
      </c>
      <c r="G72" s="42"/>
      <c r="H72" s="42">
        <f t="shared" ref="H72:K72" si="169">H63+H69</f>
        <v>23689.82218898919</v>
      </c>
      <c r="I72" s="42">
        <f t="shared" ref="I72:K72" si="170">I63+I69</f>
        <v>22160.277542727312</v>
      </c>
      <c r="J72" s="42">
        <f t="shared" si="170"/>
        <v>29090.313555673143</v>
      </c>
      <c r="K72" s="42">
        <f t="shared" si="170"/>
        <v>28229.407241961806</v>
      </c>
      <c r="L72" s="42"/>
      <c r="M72" s="32" t="s">
        <v>6</v>
      </c>
      <c r="N72" s="49"/>
      <c r="O72" s="32"/>
      <c r="Q72" s="76">
        <v>6</v>
      </c>
      <c r="R72" s="76"/>
      <c r="S72" s="76">
        <v>0.34</v>
      </c>
      <c r="T72" s="76">
        <v>0.62</v>
      </c>
      <c r="Y72" s="12" t="s">
        <v>253</v>
      </c>
      <c r="Z72" s="26">
        <v>60</v>
      </c>
      <c r="AA72" s="12" t="s">
        <v>201</v>
      </c>
    </row>
    <row r="73" spans="2:27" ht="16.5">
      <c r="B73" s="32" t="s">
        <v>277</v>
      </c>
      <c r="C73" s="42">
        <f t="shared" ref="C73:F73" si="171">C70+C61</f>
        <v>54</v>
      </c>
      <c r="D73" s="42">
        <f t="shared" si="171"/>
        <v>68</v>
      </c>
      <c r="E73" s="42">
        <f t="shared" si="171"/>
        <v>73</v>
      </c>
      <c r="F73" s="42">
        <f t="shared" si="171"/>
        <v>86</v>
      </c>
      <c r="G73" s="42"/>
      <c r="H73" s="42">
        <f t="shared" ref="H73:K73" si="172">H70+H61</f>
        <v>44</v>
      </c>
      <c r="I73" s="42">
        <f t="shared" ref="I73:K73" si="173">I70+I61</f>
        <v>62</v>
      </c>
      <c r="J73" s="42">
        <f t="shared" si="173"/>
        <v>67</v>
      </c>
      <c r="K73" s="42">
        <f t="shared" si="173"/>
        <v>87</v>
      </c>
      <c r="L73" s="42"/>
      <c r="M73" s="32" t="s">
        <v>6</v>
      </c>
      <c r="N73" s="49"/>
      <c r="O73" s="32"/>
      <c r="Q73" s="76">
        <v>8</v>
      </c>
      <c r="R73" s="76">
        <v>0.3</v>
      </c>
      <c r="S73" s="76">
        <v>0.25</v>
      </c>
      <c r="T73" s="76"/>
      <c r="Y73" s="12" t="s">
        <v>252</v>
      </c>
      <c r="Z73" s="27">
        <f>Z71*Z72</f>
        <v>120</v>
      </c>
      <c r="AA73" s="12" t="s">
        <v>227</v>
      </c>
    </row>
    <row r="74" spans="2:27" ht="16.5">
      <c r="B74" s="32" t="s">
        <v>284</v>
      </c>
      <c r="C74" s="43">
        <f t="shared" ref="C74:F74" si="174">ROUNDUP((C54+C63+C71),0)</f>
        <v>26631</v>
      </c>
      <c r="D74" s="43">
        <f t="shared" si="174"/>
        <v>26665</v>
      </c>
      <c r="E74" s="43">
        <f t="shared" si="174"/>
        <v>35529</v>
      </c>
      <c r="F74" s="43">
        <f t="shared" si="174"/>
        <v>36611</v>
      </c>
      <c r="G74" s="43"/>
      <c r="H74" s="43">
        <f t="shared" ref="H74:K74" si="175">ROUNDUP((H54+H63+H71),0)</f>
        <v>23759</v>
      </c>
      <c r="I74" s="43">
        <f t="shared" ref="I74:K74" si="176">ROUNDUP((I54+I63+I71),0)</f>
        <v>22245</v>
      </c>
      <c r="J74" s="43">
        <f t="shared" si="176"/>
        <v>29187</v>
      </c>
      <c r="K74" s="43">
        <f t="shared" si="176"/>
        <v>28345</v>
      </c>
      <c r="L74" s="43"/>
      <c r="M74" s="32" t="s">
        <v>6</v>
      </c>
      <c r="N74" s="49"/>
      <c r="O74" s="32"/>
      <c r="Q74" s="76">
        <v>10</v>
      </c>
      <c r="R74" s="76"/>
      <c r="S74" s="76"/>
      <c r="T74" s="76">
        <v>0.45</v>
      </c>
      <c r="Y74" s="12" t="s">
        <v>232</v>
      </c>
      <c r="Z74" s="26">
        <v>850</v>
      </c>
      <c r="AA74" s="4" t="s">
        <v>228</v>
      </c>
    </row>
    <row r="75" spans="2:27" ht="16.5">
      <c r="B75" s="32" t="s">
        <v>137</v>
      </c>
      <c r="C75" s="38">
        <v>1</v>
      </c>
      <c r="D75" s="38">
        <v>1</v>
      </c>
      <c r="E75" s="38">
        <v>1</v>
      </c>
      <c r="F75" s="38">
        <v>1</v>
      </c>
      <c r="G75" s="38"/>
      <c r="H75" s="38">
        <v>1</v>
      </c>
      <c r="I75" s="38">
        <v>1</v>
      </c>
      <c r="J75" s="38">
        <v>1</v>
      </c>
      <c r="K75" s="38">
        <v>1</v>
      </c>
      <c r="L75" s="38"/>
      <c r="M75" s="32"/>
      <c r="N75" s="49">
        <v>13</v>
      </c>
      <c r="O75" s="35" t="s">
        <v>283</v>
      </c>
      <c r="Q75" s="76">
        <v>15</v>
      </c>
      <c r="R75" s="76"/>
      <c r="S75" s="76"/>
      <c r="T75" s="76">
        <v>0.4</v>
      </c>
      <c r="Y75" s="12" t="s">
        <v>491</v>
      </c>
      <c r="Z75" s="28">
        <f>Z74/Z73</f>
        <v>7.083333333333333</v>
      </c>
      <c r="AA75" s="4" t="s">
        <v>228</v>
      </c>
    </row>
    <row r="76" spans="2:27" ht="16.5">
      <c r="B76" s="32" t="s">
        <v>70</v>
      </c>
      <c r="C76" s="44">
        <f t="shared" ref="C76:F76" si="177">C74*C75</f>
        <v>26631</v>
      </c>
      <c r="D76" s="44">
        <f t="shared" si="177"/>
        <v>26665</v>
      </c>
      <c r="E76" s="44">
        <f t="shared" si="177"/>
        <v>35529</v>
      </c>
      <c r="F76" s="44">
        <f t="shared" si="177"/>
        <v>36611</v>
      </c>
      <c r="G76" s="44"/>
      <c r="H76" s="44">
        <f t="shared" ref="H76:K76" si="178">H74*H75</f>
        <v>23759</v>
      </c>
      <c r="I76" s="44">
        <f t="shared" ref="I76:K76" si="179">I74*I75</f>
        <v>22245</v>
      </c>
      <c r="J76" s="44">
        <f t="shared" si="179"/>
        <v>29187</v>
      </c>
      <c r="K76" s="44">
        <f t="shared" si="179"/>
        <v>28345</v>
      </c>
      <c r="L76" s="44"/>
      <c r="M76" s="32" t="s">
        <v>46</v>
      </c>
      <c r="N76" s="49"/>
      <c r="O76" s="32"/>
      <c r="Q76" s="76">
        <v>20</v>
      </c>
      <c r="R76" s="76"/>
      <c r="S76" s="76"/>
      <c r="T76" s="76">
        <v>0.35</v>
      </c>
      <c r="Y76" s="12" t="s">
        <v>233</v>
      </c>
      <c r="Z76" s="28">
        <f>Z67/100000000*(Z74^2)/(Z73/1000000)*Z70/1000</f>
        <v>708.39612265624987</v>
      </c>
      <c r="AA76" s="4" t="s">
        <v>229</v>
      </c>
    </row>
    <row r="77" spans="2:27" ht="16.5">
      <c r="B77" s="32" t="s">
        <v>43</v>
      </c>
      <c r="C77" s="45">
        <v>19000</v>
      </c>
      <c r="D77" s="45">
        <v>19000</v>
      </c>
      <c r="E77" s="45">
        <v>19000</v>
      </c>
      <c r="F77" s="45">
        <v>19000</v>
      </c>
      <c r="G77" s="45"/>
      <c r="H77" s="45">
        <v>19000</v>
      </c>
      <c r="I77" s="45">
        <v>19000</v>
      </c>
      <c r="J77" s="45">
        <v>19000</v>
      </c>
      <c r="K77" s="45">
        <v>19000</v>
      </c>
      <c r="L77" s="45"/>
      <c r="M77" s="32" t="s">
        <v>6</v>
      </c>
      <c r="N77" s="49">
        <v>14</v>
      </c>
      <c r="O77" s="35" t="s">
        <v>117</v>
      </c>
      <c r="Q77" s="76">
        <v>30</v>
      </c>
      <c r="R77" s="76"/>
      <c r="S77" s="76"/>
      <c r="T77" s="76">
        <v>0.28939999999999999</v>
      </c>
    </row>
    <row r="78" spans="2:27" ht="16.5">
      <c r="B78" s="32" t="s">
        <v>281</v>
      </c>
      <c r="C78" s="44">
        <f t="shared" ref="C78:F78" si="180">ROUNDUP(C76/C77*100,0)</f>
        <v>141</v>
      </c>
      <c r="D78" s="44">
        <f t="shared" si="180"/>
        <v>141</v>
      </c>
      <c r="E78" s="44">
        <f t="shared" si="180"/>
        <v>187</v>
      </c>
      <c r="F78" s="44">
        <f t="shared" si="180"/>
        <v>193</v>
      </c>
      <c r="G78" s="44"/>
      <c r="H78" s="44">
        <f t="shared" ref="H78:K78" si="181">ROUNDUP(H76/H77*100,0)</f>
        <v>126</v>
      </c>
      <c r="I78" s="44">
        <f t="shared" ref="I78:K78" si="182">ROUNDUP(I76/I77*100,0)</f>
        <v>118</v>
      </c>
      <c r="J78" s="44">
        <f t="shared" si="182"/>
        <v>154</v>
      </c>
      <c r="K78" s="44">
        <f t="shared" si="182"/>
        <v>150</v>
      </c>
      <c r="L78" s="44"/>
      <c r="M78" s="32" t="s">
        <v>7</v>
      </c>
      <c r="N78" s="49"/>
      <c r="O78" s="35" t="s">
        <v>282</v>
      </c>
      <c r="Q78" s="76">
        <v>50</v>
      </c>
      <c r="R78" s="76"/>
      <c r="S78" s="76"/>
      <c r="T78" s="76">
        <v>0.224</v>
      </c>
    </row>
    <row r="79" spans="2:27" ht="16.5">
      <c r="B79" s="32" t="s">
        <v>138</v>
      </c>
      <c r="C79" s="64">
        <v>8.0000000000000002E-3</v>
      </c>
      <c r="D79" s="64">
        <v>8.0000000000000002E-3</v>
      </c>
      <c r="E79" s="64">
        <v>8.0000000000000002E-3</v>
      </c>
      <c r="F79" s="64">
        <v>8.0000000000000002E-3</v>
      </c>
      <c r="G79" s="64"/>
      <c r="H79" s="64">
        <v>8.0000000000000002E-3</v>
      </c>
      <c r="I79" s="64">
        <v>8.0000000000000002E-3</v>
      </c>
      <c r="J79" s="64">
        <v>8.0000000000000002E-3</v>
      </c>
      <c r="K79" s="64">
        <v>8.0000000000000002E-3</v>
      </c>
      <c r="L79" s="64"/>
      <c r="M79" s="32" t="s">
        <v>58</v>
      </c>
      <c r="N79" s="49">
        <v>15</v>
      </c>
      <c r="O79" s="53" t="s">
        <v>117</v>
      </c>
      <c r="Q79" s="76">
        <v>100</v>
      </c>
      <c r="R79" s="76"/>
      <c r="S79" s="76"/>
      <c r="T79" s="76">
        <v>0.161</v>
      </c>
    </row>
    <row r="80" spans="2:27" ht="16.5">
      <c r="B80" s="32" t="s">
        <v>265</v>
      </c>
      <c r="C80" s="64">
        <v>1.35E-2</v>
      </c>
      <c r="D80" s="64">
        <v>1.35E-2</v>
      </c>
      <c r="E80" s="64">
        <v>1.35E-2</v>
      </c>
      <c r="F80" s="64">
        <v>1.35E-2</v>
      </c>
      <c r="G80" s="64"/>
      <c r="H80" s="64">
        <v>1.35E-2</v>
      </c>
      <c r="I80" s="64">
        <v>1.35E-2</v>
      </c>
      <c r="J80" s="64">
        <v>1.35E-2</v>
      </c>
      <c r="K80" s="64">
        <v>1.35E-2</v>
      </c>
      <c r="L80" s="64"/>
      <c r="M80" s="32" t="s">
        <v>58</v>
      </c>
      <c r="N80" s="49">
        <v>16</v>
      </c>
      <c r="O80" s="53" t="s">
        <v>117</v>
      </c>
      <c r="Q80" s="76">
        <v>200</v>
      </c>
      <c r="R80" s="76"/>
      <c r="S80" s="76"/>
      <c r="T80" s="76">
        <v>7.7600000000000002E-2</v>
      </c>
    </row>
    <row r="81" spans="2:23" ht="16.5">
      <c r="B81" s="32" t="s">
        <v>139</v>
      </c>
      <c r="C81" s="36">
        <f t="shared" ref="C81:F81" si="183">125-C79*C72</f>
        <v>-87.377041168330152</v>
      </c>
      <c r="D81" s="36">
        <f t="shared" si="183"/>
        <v>-87.546371717902929</v>
      </c>
      <c r="E81" s="36">
        <f t="shared" si="183"/>
        <v>-158.34978601116768</v>
      </c>
      <c r="F81" s="36">
        <f t="shared" si="183"/>
        <v>-166.8933995662141</v>
      </c>
      <c r="G81" s="36"/>
      <c r="H81" s="36">
        <f t="shared" ref="H81:K81" si="184">125-H79*H72</f>
        <v>-64.51857751191352</v>
      </c>
      <c r="I81" s="36">
        <f t="shared" ref="I81:K81" si="185">125-I79*I72</f>
        <v>-52.282220341818487</v>
      </c>
      <c r="J81" s="36">
        <f t="shared" si="185"/>
        <v>-107.72250844538516</v>
      </c>
      <c r="K81" s="36">
        <f t="shared" si="185"/>
        <v>-100.83525793569444</v>
      </c>
      <c r="L81" s="36"/>
      <c r="M81" s="37" t="s">
        <v>59</v>
      </c>
      <c r="N81" s="49"/>
      <c r="O81" s="35" t="s">
        <v>140</v>
      </c>
      <c r="Q81" s="76">
        <v>300</v>
      </c>
      <c r="R81" s="76"/>
      <c r="S81" s="76"/>
      <c r="T81" s="76">
        <v>5.2400000000000002E-2</v>
      </c>
    </row>
    <row r="82" spans="2:23" ht="16.5">
      <c r="B82" s="32" t="s">
        <v>141</v>
      </c>
      <c r="C82" s="55">
        <f t="shared" ref="C82:F82" si="186">125-C80*C73</f>
        <v>124.271</v>
      </c>
      <c r="D82" s="55">
        <f t="shared" si="186"/>
        <v>124.08199999999999</v>
      </c>
      <c r="E82" s="55">
        <f t="shared" si="186"/>
        <v>124.0145</v>
      </c>
      <c r="F82" s="55">
        <f t="shared" si="186"/>
        <v>123.839</v>
      </c>
      <c r="G82" s="55"/>
      <c r="H82" s="55">
        <f t="shared" ref="H82:K82" si="187">125-H80*H73</f>
        <v>124.40600000000001</v>
      </c>
      <c r="I82" s="55">
        <f t="shared" ref="I82:K82" si="188">125-I80*I73</f>
        <v>124.163</v>
      </c>
      <c r="J82" s="55">
        <f t="shared" si="188"/>
        <v>124.0955</v>
      </c>
      <c r="K82" s="55">
        <f t="shared" si="188"/>
        <v>123.82550000000001</v>
      </c>
      <c r="L82" s="55"/>
      <c r="M82" s="37" t="s">
        <v>59</v>
      </c>
      <c r="N82" s="49"/>
      <c r="O82" s="32"/>
    </row>
    <row r="83" spans="2:23" ht="16.5">
      <c r="B83" s="32" t="s">
        <v>142</v>
      </c>
      <c r="C83" s="55">
        <f t="shared" ref="C83:F83" si="189">C79*C72</f>
        <v>212.37704116833015</v>
      </c>
      <c r="D83" s="55">
        <f t="shared" si="189"/>
        <v>212.54637171790293</v>
      </c>
      <c r="E83" s="55">
        <f t="shared" si="189"/>
        <v>283.34978601116768</v>
      </c>
      <c r="F83" s="55">
        <f t="shared" si="189"/>
        <v>291.8933995662141</v>
      </c>
      <c r="G83" s="55"/>
      <c r="H83" s="55">
        <f t="shared" ref="H83:K83" si="190">H79*H72</f>
        <v>189.51857751191352</v>
      </c>
      <c r="I83" s="55">
        <f t="shared" ref="I83:K83" si="191">I79*I72</f>
        <v>177.28222034181849</v>
      </c>
      <c r="J83" s="55">
        <f t="shared" si="191"/>
        <v>232.72250844538516</v>
      </c>
      <c r="K83" s="55">
        <f t="shared" si="191"/>
        <v>225.83525793569444</v>
      </c>
      <c r="L83" s="55"/>
      <c r="M83" s="37" t="s">
        <v>59</v>
      </c>
      <c r="N83" s="49"/>
      <c r="O83" s="32"/>
      <c r="Q83" s="250" t="s">
        <v>472</v>
      </c>
      <c r="R83" s="250"/>
      <c r="S83" s="250"/>
      <c r="U83" s="250" t="s">
        <v>507</v>
      </c>
      <c r="V83" s="250"/>
      <c r="W83" s="250"/>
    </row>
    <row r="84" spans="2:23" ht="16.5">
      <c r="B84" s="32" t="s">
        <v>143</v>
      </c>
      <c r="C84" s="55">
        <f t="shared" ref="C84:F84" si="192">C80*C73</f>
        <v>0.72899999999999998</v>
      </c>
      <c r="D84" s="55">
        <f t="shared" si="192"/>
        <v>0.91800000000000004</v>
      </c>
      <c r="E84" s="55">
        <f t="shared" si="192"/>
        <v>0.98550000000000004</v>
      </c>
      <c r="F84" s="55">
        <f t="shared" si="192"/>
        <v>1.161</v>
      </c>
      <c r="G84" s="55"/>
      <c r="H84" s="55">
        <f t="shared" ref="H84:K84" si="193">H80*H73</f>
        <v>0.59399999999999997</v>
      </c>
      <c r="I84" s="55">
        <f t="shared" ref="I84:K84" si="194">I80*I73</f>
        <v>0.83699999999999997</v>
      </c>
      <c r="J84" s="55">
        <f t="shared" si="194"/>
        <v>0.90449999999999997</v>
      </c>
      <c r="K84" s="55">
        <f t="shared" si="194"/>
        <v>1.1744999999999999</v>
      </c>
      <c r="L84" s="55"/>
      <c r="M84" s="37" t="s">
        <v>59</v>
      </c>
      <c r="N84" s="49"/>
      <c r="O84" s="32"/>
      <c r="Q84" s="79" t="s">
        <v>471</v>
      </c>
      <c r="R84" s="79" t="s">
        <v>477</v>
      </c>
      <c r="S84" s="79"/>
      <c r="U84" s="79" t="s">
        <v>508</v>
      </c>
      <c r="V84" s="79" t="s">
        <v>509</v>
      </c>
      <c r="W84" s="79" t="s">
        <v>510</v>
      </c>
    </row>
    <row r="85" spans="2:23" ht="16.5">
      <c r="B85" s="32" t="s">
        <v>144</v>
      </c>
      <c r="C85" s="64">
        <v>0.03</v>
      </c>
      <c r="D85" s="64">
        <v>0.03</v>
      </c>
      <c r="E85" s="64">
        <v>0.03</v>
      </c>
      <c r="F85" s="64">
        <v>0.03</v>
      </c>
      <c r="G85" s="64"/>
      <c r="H85" s="64">
        <v>0.03</v>
      </c>
      <c r="I85" s="64">
        <v>0.03</v>
      </c>
      <c r="J85" s="64">
        <v>0.03</v>
      </c>
      <c r="K85" s="64">
        <v>0.03</v>
      </c>
      <c r="L85" s="64"/>
      <c r="M85" s="32" t="s">
        <v>58</v>
      </c>
      <c r="N85" s="49">
        <v>17</v>
      </c>
      <c r="O85" s="32" t="s">
        <v>117</v>
      </c>
      <c r="Q85" s="48" t="s">
        <v>469</v>
      </c>
      <c r="R85" s="48">
        <v>183</v>
      </c>
      <c r="S85" s="48" t="s">
        <v>473</v>
      </c>
      <c r="U85" s="65" t="s">
        <v>511</v>
      </c>
      <c r="V85" s="65" t="s">
        <v>512</v>
      </c>
      <c r="W85" s="111" t="s">
        <v>513</v>
      </c>
    </row>
    <row r="86" spans="2:23" ht="16.5">
      <c r="B86" s="32" t="s">
        <v>145</v>
      </c>
      <c r="C86" s="64">
        <v>0.06</v>
      </c>
      <c r="D86" s="64">
        <v>0.06</v>
      </c>
      <c r="E86" s="64">
        <v>0.06</v>
      </c>
      <c r="F86" s="64">
        <v>0.06</v>
      </c>
      <c r="G86" s="64"/>
      <c r="H86" s="64">
        <v>0.06</v>
      </c>
      <c r="I86" s="64">
        <v>0.06</v>
      </c>
      <c r="J86" s="64">
        <v>0.06</v>
      </c>
      <c r="K86" s="64">
        <v>0.06</v>
      </c>
      <c r="L86" s="64"/>
      <c r="M86" s="32" t="s">
        <v>58</v>
      </c>
      <c r="N86" s="49">
        <v>18</v>
      </c>
      <c r="O86" s="32" t="s">
        <v>117</v>
      </c>
      <c r="Q86" s="48" t="s">
        <v>470</v>
      </c>
      <c r="R86" s="48">
        <v>75</v>
      </c>
      <c r="S86" s="48" t="s">
        <v>473</v>
      </c>
      <c r="U86" s="65" t="s">
        <v>514</v>
      </c>
      <c r="V86" s="65" t="s">
        <v>515</v>
      </c>
      <c r="W86" s="111" t="s">
        <v>520</v>
      </c>
    </row>
    <row r="87" spans="2:23" ht="16.5">
      <c r="B87" s="32" t="s">
        <v>146</v>
      </c>
      <c r="C87" s="56">
        <f t="shared" ref="C87:F87" si="195">C81-C85*C72</f>
        <v>-883.79094554956816</v>
      </c>
      <c r="D87" s="56">
        <f t="shared" si="195"/>
        <v>-884.59526566003888</v>
      </c>
      <c r="E87" s="56">
        <f t="shared" si="195"/>
        <v>-1220.9114835530465</v>
      </c>
      <c r="F87" s="56">
        <f t="shared" si="195"/>
        <v>-1261.4936479395169</v>
      </c>
      <c r="G87" s="56"/>
      <c r="H87" s="56">
        <f t="shared" ref="H87:K87" si="196">H81-H85*H72</f>
        <v>-775.21324318158918</v>
      </c>
      <c r="I87" s="56">
        <f t="shared" ref="I87:K87" si="197">I81-I85*I72</f>
        <v>-717.09054662363781</v>
      </c>
      <c r="J87" s="56">
        <f t="shared" si="197"/>
        <v>-980.4319151155795</v>
      </c>
      <c r="K87" s="56">
        <f t="shared" si="197"/>
        <v>-947.71747519454857</v>
      </c>
      <c r="L87" s="56"/>
      <c r="M87" s="37" t="s">
        <v>59</v>
      </c>
      <c r="N87" s="49"/>
      <c r="O87" s="32" t="s">
        <v>140</v>
      </c>
      <c r="Q87" s="48" t="s">
        <v>474</v>
      </c>
      <c r="R87" s="48">
        <v>9</v>
      </c>
      <c r="S87" s="48" t="s">
        <v>473</v>
      </c>
      <c r="U87" s="65" t="s">
        <v>516</v>
      </c>
      <c r="V87" s="65" t="s">
        <v>521</v>
      </c>
      <c r="W87" s="111" t="s">
        <v>522</v>
      </c>
    </row>
    <row r="88" spans="2:23" ht="16.5">
      <c r="B88" s="32" t="s">
        <v>147</v>
      </c>
      <c r="C88" s="55">
        <f t="shared" ref="C88:F88" si="198">C82-C86*C73</f>
        <v>121.03100000000001</v>
      </c>
      <c r="D88" s="55">
        <f t="shared" si="198"/>
        <v>120.002</v>
      </c>
      <c r="E88" s="55">
        <f t="shared" si="198"/>
        <v>119.6345</v>
      </c>
      <c r="F88" s="55">
        <f t="shared" si="198"/>
        <v>118.679</v>
      </c>
      <c r="G88" s="55"/>
      <c r="H88" s="55">
        <f t="shared" ref="H88:K88" si="199">H82-H86*H73</f>
        <v>121.76600000000001</v>
      </c>
      <c r="I88" s="55">
        <f t="shared" ref="I88:K88" si="200">I82-I86*I73</f>
        <v>120.443</v>
      </c>
      <c r="J88" s="55">
        <f t="shared" si="200"/>
        <v>120.07550000000001</v>
      </c>
      <c r="K88" s="55">
        <f t="shared" si="200"/>
        <v>118.60550000000001</v>
      </c>
      <c r="L88" s="55"/>
      <c r="M88" s="37" t="s">
        <v>59</v>
      </c>
      <c r="N88" s="49"/>
      <c r="O88" s="32"/>
      <c r="Q88" s="48" t="s">
        <v>475</v>
      </c>
      <c r="R88" s="48">
        <v>6</v>
      </c>
      <c r="S88" s="48" t="s">
        <v>473</v>
      </c>
      <c r="U88" s="65" t="s">
        <v>517</v>
      </c>
      <c r="V88" s="65" t="s">
        <v>523</v>
      </c>
      <c r="W88" s="111" t="s">
        <v>524</v>
      </c>
    </row>
    <row r="89" spans="2:23" ht="16.5">
      <c r="B89" s="32" t="s">
        <v>148</v>
      </c>
      <c r="C89" s="55">
        <f t="shared" ref="C89:F89" si="201">C85*C72</f>
        <v>796.41390438123801</v>
      </c>
      <c r="D89" s="55">
        <f t="shared" si="201"/>
        <v>797.04889394213592</v>
      </c>
      <c r="E89" s="55">
        <f t="shared" si="201"/>
        <v>1062.5616975418789</v>
      </c>
      <c r="F89" s="55">
        <f t="shared" si="201"/>
        <v>1094.6002483733027</v>
      </c>
      <c r="G89" s="55"/>
      <c r="H89" s="55">
        <f t="shared" ref="H89:K89" si="202">H85*H72</f>
        <v>710.69466566967571</v>
      </c>
      <c r="I89" s="55">
        <f t="shared" ref="I89:K89" si="203">I85*I72</f>
        <v>664.80832628181929</v>
      </c>
      <c r="J89" s="55">
        <f t="shared" si="203"/>
        <v>872.70940667019431</v>
      </c>
      <c r="K89" s="55">
        <f t="shared" si="203"/>
        <v>846.8822172588541</v>
      </c>
      <c r="L89" s="55"/>
      <c r="M89" s="37" t="s">
        <v>59</v>
      </c>
      <c r="N89" s="49"/>
      <c r="O89" s="32"/>
      <c r="Q89" s="48" t="s">
        <v>476</v>
      </c>
      <c r="R89" s="48">
        <v>12</v>
      </c>
      <c r="S89" s="48" t="s">
        <v>473</v>
      </c>
      <c r="U89" s="65" t="s">
        <v>518</v>
      </c>
      <c r="V89" s="65" t="s">
        <v>525</v>
      </c>
      <c r="W89" s="111" t="s">
        <v>526</v>
      </c>
    </row>
    <row r="90" spans="2:23" ht="16.5">
      <c r="B90" s="32" t="s">
        <v>149</v>
      </c>
      <c r="C90" s="55">
        <f t="shared" ref="C90:F90" si="204">C86*C73</f>
        <v>3.2399999999999998</v>
      </c>
      <c r="D90" s="55">
        <f t="shared" si="204"/>
        <v>4.08</v>
      </c>
      <c r="E90" s="55">
        <f t="shared" si="204"/>
        <v>4.38</v>
      </c>
      <c r="F90" s="55">
        <f t="shared" si="204"/>
        <v>5.16</v>
      </c>
      <c r="G90" s="55"/>
      <c r="H90" s="55">
        <f t="shared" ref="H90:K90" si="205">H86*H73</f>
        <v>2.6399999999999997</v>
      </c>
      <c r="I90" s="55">
        <f t="shared" ref="I90:K90" si="206">I86*I73</f>
        <v>3.7199999999999998</v>
      </c>
      <c r="J90" s="55">
        <f t="shared" si="206"/>
        <v>4.0199999999999996</v>
      </c>
      <c r="K90" s="55">
        <f t="shared" si="206"/>
        <v>5.22</v>
      </c>
      <c r="L90" s="55"/>
      <c r="M90" s="37" t="s">
        <v>59</v>
      </c>
      <c r="N90" s="49"/>
      <c r="O90" s="32"/>
      <c r="Q90" s="48" t="s">
        <v>663</v>
      </c>
      <c r="R90" s="48">
        <v>78.540000000000006</v>
      </c>
      <c r="S90" s="48" t="s">
        <v>473</v>
      </c>
      <c r="U90" s="65" t="s">
        <v>519</v>
      </c>
      <c r="V90" s="65" t="s">
        <v>527</v>
      </c>
      <c r="W90" s="111" t="s">
        <v>528</v>
      </c>
    </row>
    <row r="91" spans="2:23" ht="16.5">
      <c r="B91" s="32" t="s">
        <v>60</v>
      </c>
      <c r="C91" s="55">
        <v>60</v>
      </c>
      <c r="D91" s="55">
        <v>60</v>
      </c>
      <c r="E91" s="55">
        <v>60</v>
      </c>
      <c r="F91" s="55">
        <v>60</v>
      </c>
      <c r="G91" s="55"/>
      <c r="H91" s="55">
        <v>60</v>
      </c>
      <c r="I91" s="55">
        <v>60</v>
      </c>
      <c r="J91" s="55">
        <v>60</v>
      </c>
      <c r="K91" s="55">
        <v>60</v>
      </c>
      <c r="L91" s="55"/>
      <c r="M91" s="37" t="s">
        <v>59</v>
      </c>
      <c r="N91" s="49"/>
      <c r="O91" s="32" t="s">
        <v>150</v>
      </c>
    </row>
    <row r="92" spans="2:23" ht="16.5">
      <c r="B92" s="32" t="s">
        <v>61</v>
      </c>
      <c r="C92" s="54">
        <v>8</v>
      </c>
      <c r="D92" s="54">
        <v>8</v>
      </c>
      <c r="E92" s="54">
        <v>8</v>
      </c>
      <c r="F92" s="54">
        <v>8</v>
      </c>
      <c r="G92" s="54"/>
      <c r="H92" s="54">
        <v>8</v>
      </c>
      <c r="I92" s="54">
        <v>8</v>
      </c>
      <c r="J92" s="54">
        <v>8</v>
      </c>
      <c r="K92" s="54">
        <v>8</v>
      </c>
      <c r="L92" s="54"/>
      <c r="M92" s="37" t="s">
        <v>62</v>
      </c>
      <c r="N92" s="49"/>
      <c r="O92" s="32" t="s">
        <v>151</v>
      </c>
    </row>
    <row r="93" spans="2:23" ht="16.5">
      <c r="B93" s="32" t="s">
        <v>63</v>
      </c>
      <c r="C93" s="40">
        <f t="shared" ref="C93:F93" si="207">C91-(C76/1000*860/C92/60)</f>
        <v>12.286124999999998</v>
      </c>
      <c r="D93" s="40">
        <f t="shared" si="207"/>
        <v>12.225208333333335</v>
      </c>
      <c r="E93" s="40">
        <f t="shared" si="207"/>
        <v>-3.656125000000003</v>
      </c>
      <c r="F93" s="40">
        <f t="shared" si="207"/>
        <v>-5.5947083333333296</v>
      </c>
      <c r="G93" s="40"/>
      <c r="H93" s="40">
        <f t="shared" ref="H93:K93" si="208">H91-(H76/1000*860/H92/60)</f>
        <v>17.431791666666662</v>
      </c>
      <c r="I93" s="40">
        <f t="shared" ref="I93:K93" si="209">I91-(I76/1000*860/I92/60)</f>
        <v>20.144374999999997</v>
      </c>
      <c r="J93" s="40">
        <f t="shared" si="209"/>
        <v>7.7066250000000025</v>
      </c>
      <c r="K93" s="40">
        <f t="shared" si="209"/>
        <v>9.2152083333333294</v>
      </c>
      <c r="L93" s="40"/>
      <c r="M93" s="37" t="s">
        <v>59</v>
      </c>
      <c r="N93" s="49"/>
      <c r="O93" s="32"/>
    </row>
  </sheetData>
  <mergeCells count="27">
    <mergeCell ref="Y42:AA42"/>
    <mergeCell ref="Y62:AA62"/>
    <mergeCell ref="AC39:AE39"/>
    <mergeCell ref="C1:F1"/>
    <mergeCell ref="Q17:S17"/>
    <mergeCell ref="Q3:S3"/>
    <mergeCell ref="U3:W3"/>
    <mergeCell ref="AC3:AE3"/>
    <mergeCell ref="U10:W10"/>
    <mergeCell ref="AC10:AE10"/>
    <mergeCell ref="U16:W16"/>
    <mergeCell ref="AC33:AE33"/>
    <mergeCell ref="Y3:AA3"/>
    <mergeCell ref="AC20:AE20"/>
    <mergeCell ref="Y23:AA23"/>
    <mergeCell ref="Q62:S62"/>
    <mergeCell ref="H1:K1"/>
    <mergeCell ref="Q83:S83"/>
    <mergeCell ref="Q56:S56"/>
    <mergeCell ref="U22:W22"/>
    <mergeCell ref="Q30:S30"/>
    <mergeCell ref="U51:W51"/>
    <mergeCell ref="Q50:S50"/>
    <mergeCell ref="Q41:S41"/>
    <mergeCell ref="U45:W45"/>
    <mergeCell ref="U83:W83"/>
    <mergeCell ref="V33:W33"/>
  </mergeCells>
  <phoneticPr fontId="2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2"/>
  <sheetViews>
    <sheetView tabSelected="1" workbookViewId="0"/>
  </sheetViews>
  <sheetFormatPr defaultRowHeight="13.5"/>
  <cols>
    <col min="1" max="1" width="2.5546875" customWidth="1"/>
    <col min="2" max="2" width="22.21875" bestFit="1" customWidth="1"/>
    <col min="3" max="3" width="56.5546875" bestFit="1" customWidth="1"/>
    <col min="4" max="4" width="56.5546875" customWidth="1"/>
    <col min="5" max="5" width="31.33203125" bestFit="1" customWidth="1"/>
  </cols>
  <sheetData>
    <row r="1" spans="2:5" ht="14.25" thickBot="1"/>
    <row r="2" spans="2:5" ht="14.25" thickBot="1">
      <c r="B2" s="66" t="s">
        <v>457</v>
      </c>
      <c r="C2" s="67" t="s">
        <v>637</v>
      </c>
      <c r="D2" s="292"/>
      <c r="E2" s="67" t="s">
        <v>456</v>
      </c>
    </row>
    <row r="3" spans="2:5" ht="14.25" thickBot="1">
      <c r="B3" s="68" t="s">
        <v>436</v>
      </c>
      <c r="C3" s="66" t="s">
        <v>656</v>
      </c>
      <c r="D3" s="293" t="s">
        <v>656</v>
      </c>
      <c r="E3" s="66"/>
    </row>
    <row r="4" spans="2:5">
      <c r="B4" s="69" t="s">
        <v>437</v>
      </c>
      <c r="C4" s="70" t="s">
        <v>676</v>
      </c>
      <c r="D4" s="294" t="s">
        <v>676</v>
      </c>
      <c r="E4" s="70"/>
    </row>
    <row r="5" spans="2:5">
      <c r="B5" s="69" t="s">
        <v>438</v>
      </c>
      <c r="C5" s="70" t="s">
        <v>657</v>
      </c>
      <c r="D5" s="294" t="s">
        <v>680</v>
      </c>
      <c r="E5" s="70"/>
    </row>
    <row r="6" spans="2:5">
      <c r="B6" s="69" t="s">
        <v>647</v>
      </c>
      <c r="C6" s="71" t="s">
        <v>673</v>
      </c>
      <c r="D6" s="295" t="s">
        <v>673</v>
      </c>
      <c r="E6" s="71"/>
    </row>
    <row r="7" spans="2:5">
      <c r="B7" s="69" t="s">
        <v>648</v>
      </c>
      <c r="C7" s="71" t="s">
        <v>674</v>
      </c>
      <c r="D7" s="295" t="s">
        <v>674</v>
      </c>
      <c r="E7" s="71"/>
    </row>
    <row r="8" spans="2:5">
      <c r="B8" s="69" t="s">
        <v>649</v>
      </c>
      <c r="C8" s="71" t="s">
        <v>675</v>
      </c>
      <c r="D8" s="295" t="s">
        <v>675</v>
      </c>
      <c r="E8" s="71"/>
    </row>
    <row r="9" spans="2:5">
      <c r="B9" s="69" t="s">
        <v>439</v>
      </c>
      <c r="C9" s="71" t="s">
        <v>643</v>
      </c>
      <c r="D9" s="295" t="s">
        <v>643</v>
      </c>
      <c r="E9" s="71"/>
    </row>
    <row r="10" spans="2:5">
      <c r="B10" s="69" t="s">
        <v>440</v>
      </c>
      <c r="C10" s="71" t="s">
        <v>627</v>
      </c>
      <c r="D10" s="295" t="s">
        <v>627</v>
      </c>
      <c r="E10" s="71"/>
    </row>
    <row r="11" spans="2:5">
      <c r="B11" s="69" t="s">
        <v>441</v>
      </c>
      <c r="C11" s="72" t="s">
        <v>531</v>
      </c>
      <c r="D11" s="296" t="s">
        <v>531</v>
      </c>
      <c r="E11" s="72"/>
    </row>
    <row r="12" spans="2:5">
      <c r="B12" s="69" t="s">
        <v>442</v>
      </c>
      <c r="C12" s="72" t="s">
        <v>530</v>
      </c>
      <c r="D12" s="296" t="s">
        <v>530</v>
      </c>
      <c r="E12" s="72"/>
    </row>
    <row r="13" spans="2:5">
      <c r="B13" s="69" t="s">
        <v>443</v>
      </c>
      <c r="C13" s="71" t="s">
        <v>634</v>
      </c>
      <c r="D13" s="295" t="s">
        <v>634</v>
      </c>
      <c r="E13" s="71"/>
    </row>
    <row r="14" spans="2:5">
      <c r="B14" s="69" t="s">
        <v>444</v>
      </c>
      <c r="C14" s="71" t="s">
        <v>659</v>
      </c>
      <c r="D14" s="295" t="s">
        <v>659</v>
      </c>
      <c r="E14" s="71" t="s">
        <v>658</v>
      </c>
    </row>
    <row r="15" spans="2:5">
      <c r="B15" s="69" t="s">
        <v>446</v>
      </c>
      <c r="C15" s="72" t="s">
        <v>638</v>
      </c>
      <c r="D15" s="296" t="s">
        <v>679</v>
      </c>
      <c r="E15" s="72"/>
    </row>
    <row r="16" spans="2:5">
      <c r="B16" s="69" t="s">
        <v>447</v>
      </c>
      <c r="C16" s="113" t="s">
        <v>660</v>
      </c>
      <c r="D16" s="297" t="s">
        <v>660</v>
      </c>
      <c r="E16" s="72" t="s">
        <v>671</v>
      </c>
    </row>
    <row r="17" spans="2:5">
      <c r="B17" s="69" t="s">
        <v>639</v>
      </c>
      <c r="C17" s="214" t="s">
        <v>651</v>
      </c>
      <c r="D17" s="298" t="s">
        <v>651</v>
      </c>
      <c r="E17" s="72"/>
    </row>
    <row r="18" spans="2:5" ht="27">
      <c r="B18" s="69" t="s">
        <v>448</v>
      </c>
      <c r="C18" s="72" t="s">
        <v>662</v>
      </c>
      <c r="D18" s="296" t="s">
        <v>662</v>
      </c>
      <c r="E18" s="72" t="s">
        <v>661</v>
      </c>
    </row>
    <row r="19" spans="2:5">
      <c r="B19" s="69" t="s">
        <v>449</v>
      </c>
      <c r="C19" s="72" t="s">
        <v>672</v>
      </c>
      <c r="D19" s="296" t="s">
        <v>681</v>
      </c>
      <c r="E19" s="72"/>
    </row>
    <row r="20" spans="2:5" ht="40.5">
      <c r="B20" s="69" t="s">
        <v>641</v>
      </c>
      <c r="C20" s="72" t="s">
        <v>683</v>
      </c>
      <c r="D20" s="296" t="s">
        <v>682</v>
      </c>
      <c r="E20" s="72"/>
    </row>
    <row r="21" spans="2:5">
      <c r="B21" s="73" t="s">
        <v>450</v>
      </c>
      <c r="C21" s="72" t="s">
        <v>640</v>
      </c>
      <c r="D21" s="296" t="s">
        <v>640</v>
      </c>
      <c r="E21" s="72"/>
    </row>
    <row r="22" spans="2:5">
      <c r="B22" s="69" t="s">
        <v>451</v>
      </c>
      <c r="C22" s="69" t="s">
        <v>664</v>
      </c>
      <c r="D22" s="295" t="s">
        <v>664</v>
      </c>
      <c r="E22" s="69"/>
    </row>
    <row r="23" spans="2:5">
      <c r="B23" s="69" t="s">
        <v>452</v>
      </c>
      <c r="C23" s="69" t="s">
        <v>652</v>
      </c>
      <c r="D23" s="295" t="s">
        <v>652</v>
      </c>
      <c r="E23" s="69"/>
    </row>
    <row r="24" spans="2:5">
      <c r="B24" s="69" t="s">
        <v>453</v>
      </c>
      <c r="C24" s="69" t="s">
        <v>653</v>
      </c>
      <c r="D24" s="295" t="s">
        <v>653</v>
      </c>
      <c r="E24" s="69"/>
    </row>
    <row r="25" spans="2:5">
      <c r="B25" s="69" t="s">
        <v>454</v>
      </c>
      <c r="C25" s="74" t="s">
        <v>665</v>
      </c>
      <c r="D25" s="299" t="s">
        <v>665</v>
      </c>
      <c r="E25" s="69"/>
    </row>
    <row r="26" spans="2:5">
      <c r="B26" s="74" t="s">
        <v>455</v>
      </c>
      <c r="C26" s="74" t="s">
        <v>665</v>
      </c>
      <c r="D26" s="299" t="s">
        <v>665</v>
      </c>
      <c r="E26" s="69"/>
    </row>
    <row r="27" spans="2:5">
      <c r="B27" s="74" t="s">
        <v>502</v>
      </c>
      <c r="C27" s="74" t="s">
        <v>666</v>
      </c>
      <c r="D27" s="299" t="s">
        <v>666</v>
      </c>
      <c r="E27" s="74"/>
    </row>
    <row r="28" spans="2:5">
      <c r="B28" s="69" t="s">
        <v>445</v>
      </c>
      <c r="C28" s="71" t="s">
        <v>642</v>
      </c>
      <c r="D28" s="295" t="s">
        <v>642</v>
      </c>
      <c r="E28" s="71"/>
    </row>
    <row r="29" spans="2:5">
      <c r="B29" s="74" t="s">
        <v>503</v>
      </c>
      <c r="C29" s="74" t="s">
        <v>626</v>
      </c>
      <c r="D29" s="299" t="s">
        <v>626</v>
      </c>
      <c r="E29" s="74"/>
    </row>
    <row r="30" spans="2:5">
      <c r="B30" s="74" t="s">
        <v>505</v>
      </c>
      <c r="C30" s="74" t="s">
        <v>458</v>
      </c>
      <c r="D30" s="299" t="s">
        <v>458</v>
      </c>
      <c r="E30" s="74"/>
    </row>
    <row r="31" spans="2:5">
      <c r="B31" s="74" t="s">
        <v>506</v>
      </c>
      <c r="C31" s="74" t="s">
        <v>458</v>
      </c>
      <c r="D31" s="299" t="s">
        <v>458</v>
      </c>
      <c r="E31" s="74"/>
    </row>
    <row r="32" spans="2:5" ht="14.25" thickBot="1">
      <c r="B32" s="75" t="s">
        <v>504</v>
      </c>
      <c r="C32" s="75" t="s">
        <v>667</v>
      </c>
      <c r="D32" s="300" t="s">
        <v>667</v>
      </c>
      <c r="E32" s="75"/>
    </row>
  </sheetData>
  <phoneticPr fontId="2" type="noConversion"/>
  <pageMargins left="0.7" right="0.7" top="0.75" bottom="0.75" header="0.3" footer="0.3"/>
  <pageSetup paperSize="9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H61"/>
  <sheetViews>
    <sheetView workbookViewId="0">
      <selection activeCell="K50" sqref="K50"/>
    </sheetView>
  </sheetViews>
  <sheetFormatPr defaultColWidth="8.77734375" defaultRowHeight="13.5"/>
  <cols>
    <col min="3" max="3" width="10.44140625" bestFit="1" customWidth="1"/>
    <col min="4" max="4" width="15" bestFit="1" customWidth="1"/>
    <col min="5" max="5" width="22" customWidth="1"/>
    <col min="6" max="6" width="15.21875" customWidth="1"/>
    <col min="7" max="7" width="13.77734375" customWidth="1"/>
  </cols>
  <sheetData>
    <row r="2" spans="3:7" ht="26.25">
      <c r="C2" s="270" t="s">
        <v>532</v>
      </c>
      <c r="D2" s="271"/>
      <c r="E2" s="271"/>
      <c r="F2" s="271"/>
      <c r="G2" s="272"/>
    </row>
    <row r="3" spans="3:7" ht="20.25">
      <c r="C3" s="273" t="s">
        <v>533</v>
      </c>
      <c r="D3" s="273"/>
      <c r="E3" s="267" t="s">
        <v>668</v>
      </c>
      <c r="F3" s="268"/>
      <c r="G3" s="269"/>
    </row>
    <row r="4" spans="3:7" ht="20.25">
      <c r="C4" s="115" t="s">
        <v>534</v>
      </c>
      <c r="D4" s="116" t="s">
        <v>669</v>
      </c>
      <c r="E4" s="115" t="s">
        <v>434</v>
      </c>
      <c r="F4" s="274" t="s">
        <v>654</v>
      </c>
      <c r="G4" s="275"/>
    </row>
    <row r="5" spans="3:7" ht="20.25">
      <c r="C5" s="117" t="s">
        <v>535</v>
      </c>
      <c r="D5" s="118"/>
      <c r="E5" s="115" t="s">
        <v>435</v>
      </c>
      <c r="F5" s="267" t="s">
        <v>655</v>
      </c>
      <c r="G5" s="269"/>
    </row>
    <row r="6" spans="3:7" ht="20.25">
      <c r="C6" s="267" t="s">
        <v>536</v>
      </c>
      <c r="D6" s="268"/>
      <c r="E6" s="268"/>
      <c r="F6" s="268"/>
      <c r="G6" s="269"/>
    </row>
    <row r="7" spans="3:7" ht="16.5" hidden="1">
      <c r="C7" s="119">
        <v>1</v>
      </c>
      <c r="D7" s="6" t="s">
        <v>537</v>
      </c>
      <c r="E7" s="120" t="s">
        <v>537</v>
      </c>
      <c r="F7" s="121">
        <v>100</v>
      </c>
      <c r="G7" s="122" t="s">
        <v>538</v>
      </c>
    </row>
    <row r="8" spans="3:7" ht="16.5" hidden="1" customHeight="1">
      <c r="C8" s="123"/>
      <c r="D8" s="123"/>
      <c r="E8" s="120" t="s">
        <v>539</v>
      </c>
      <c r="F8" s="121">
        <v>1</v>
      </c>
      <c r="G8" s="122" t="s">
        <v>540</v>
      </c>
    </row>
    <row r="9" spans="3:7" ht="20.25" hidden="1" customHeight="1">
      <c r="C9" s="123"/>
      <c r="D9" s="123"/>
      <c r="E9" s="120" t="s">
        <v>541</v>
      </c>
      <c r="F9" s="121">
        <f>(10*10^6)/F8</f>
        <v>10000000</v>
      </c>
      <c r="G9" s="124"/>
    </row>
    <row r="10" spans="3:7" ht="16.5" hidden="1" customHeight="1">
      <c r="C10" s="123"/>
      <c r="D10" s="123"/>
      <c r="E10" s="120" t="s">
        <v>542</v>
      </c>
      <c r="F10" s="121">
        <v>100000</v>
      </c>
      <c r="G10" s="124">
        <v>50000</v>
      </c>
    </row>
    <row r="11" spans="3:7" ht="16.5" hidden="1" customHeight="1">
      <c r="C11" s="123"/>
      <c r="D11" s="123"/>
      <c r="E11" s="120" t="s">
        <v>543</v>
      </c>
      <c r="F11" s="121" t="e">
        <f>$E9/(F10/10)</f>
        <v>#VALUE!</v>
      </c>
      <c r="G11" s="124" t="e">
        <f>$E9/(G10/10)</f>
        <v>#VALUE!</v>
      </c>
    </row>
    <row r="12" spans="3:7" ht="16.5" hidden="1" customHeight="1">
      <c r="C12" s="123"/>
      <c r="D12" s="123"/>
      <c r="E12" s="120" t="s">
        <v>544</v>
      </c>
      <c r="F12" s="121" t="e">
        <f>F11/2</f>
        <v>#VALUE!</v>
      </c>
      <c r="G12" s="124" t="e">
        <f>G11/2</f>
        <v>#VALUE!</v>
      </c>
    </row>
    <row r="13" spans="3:7" ht="16.5" customHeight="1">
      <c r="C13" s="254">
        <v>2</v>
      </c>
      <c r="D13" s="257" t="s">
        <v>545</v>
      </c>
      <c r="E13" s="120" t="s">
        <v>546</v>
      </c>
      <c r="F13" s="125">
        <v>350</v>
      </c>
      <c r="G13" s="6" t="s">
        <v>547</v>
      </c>
    </row>
    <row r="14" spans="3:7" ht="16.5">
      <c r="C14" s="256"/>
      <c r="D14" s="265"/>
      <c r="E14" s="120" t="s">
        <v>548</v>
      </c>
      <c r="F14" s="125">
        <v>35</v>
      </c>
      <c r="G14" s="6" t="s">
        <v>549</v>
      </c>
    </row>
    <row r="15" spans="3:7" ht="16.5">
      <c r="C15" s="254">
        <v>3</v>
      </c>
      <c r="D15" s="257" t="s">
        <v>550</v>
      </c>
      <c r="E15" s="120" t="s">
        <v>550</v>
      </c>
      <c r="F15" s="121">
        <v>440</v>
      </c>
      <c r="G15" s="6" t="s">
        <v>551</v>
      </c>
    </row>
    <row r="16" spans="3:7" ht="16.5">
      <c r="C16" s="255"/>
      <c r="D16" s="258"/>
      <c r="E16" s="124" t="s">
        <v>552</v>
      </c>
      <c r="F16" s="121">
        <v>763</v>
      </c>
      <c r="G16" s="6" t="s">
        <v>160</v>
      </c>
    </row>
    <row r="17" spans="3:8" ht="16.5">
      <c r="C17" s="255"/>
      <c r="D17" s="258"/>
      <c r="E17" s="124" t="s">
        <v>553</v>
      </c>
      <c r="F17" s="121">
        <v>500</v>
      </c>
      <c r="G17" s="6" t="s">
        <v>160</v>
      </c>
    </row>
    <row r="18" spans="3:8" ht="16.5">
      <c r="C18" s="256"/>
      <c r="D18" s="265"/>
      <c r="E18" s="124" t="s">
        <v>554</v>
      </c>
      <c r="F18" s="121">
        <v>350</v>
      </c>
      <c r="G18" s="6" t="s">
        <v>160</v>
      </c>
    </row>
    <row r="19" spans="3:8" ht="16.5">
      <c r="C19" s="254">
        <v>4</v>
      </c>
      <c r="D19" s="257" t="s">
        <v>555</v>
      </c>
      <c r="E19" s="120" t="s">
        <v>556</v>
      </c>
      <c r="F19" s="121">
        <v>800</v>
      </c>
      <c r="G19" s="6" t="s">
        <v>557</v>
      </c>
    </row>
    <row r="20" spans="3:8" ht="16.5">
      <c r="C20" s="256"/>
      <c r="D20" s="265"/>
      <c r="E20" s="124" t="s">
        <v>558</v>
      </c>
      <c r="F20" s="121">
        <v>800</v>
      </c>
      <c r="G20" s="6" t="s">
        <v>163</v>
      </c>
    </row>
    <row r="21" spans="3:8" ht="16.5">
      <c r="C21" s="254">
        <v>5</v>
      </c>
      <c r="D21" s="257" t="s">
        <v>559</v>
      </c>
      <c r="E21" s="126" t="s">
        <v>560</v>
      </c>
      <c r="F21" s="125">
        <v>6.8</v>
      </c>
      <c r="G21" s="127" t="s">
        <v>561</v>
      </c>
    </row>
    <row r="22" spans="3:8" ht="16.5">
      <c r="C22" s="255"/>
      <c r="D22" s="258"/>
      <c r="E22" s="126" t="s">
        <v>562</v>
      </c>
      <c r="F22" s="121">
        <v>7</v>
      </c>
      <c r="G22" s="127" t="s">
        <v>563</v>
      </c>
    </row>
    <row r="23" spans="3:8" ht="16.5" customHeight="1">
      <c r="C23" s="255"/>
      <c r="D23" s="258"/>
      <c r="E23" s="126" t="s">
        <v>564</v>
      </c>
      <c r="F23" s="121">
        <v>300</v>
      </c>
      <c r="G23" s="127" t="s">
        <v>565</v>
      </c>
    </row>
    <row r="24" spans="3:8" ht="16.5">
      <c r="C24" s="255"/>
      <c r="D24" s="258"/>
      <c r="E24" s="126" t="s">
        <v>625</v>
      </c>
      <c r="F24" s="121">
        <v>700</v>
      </c>
      <c r="G24" s="127" t="s">
        <v>163</v>
      </c>
      <c r="H24" s="114" t="s">
        <v>670</v>
      </c>
    </row>
    <row r="25" spans="3:8" ht="16.5">
      <c r="C25" s="255"/>
      <c r="D25" s="258"/>
      <c r="E25" s="6" t="s">
        <v>566</v>
      </c>
      <c r="F25" s="121">
        <f>(3/(F21/F22))*F23</f>
        <v>926.47058823529414</v>
      </c>
      <c r="G25" s="127" t="s">
        <v>163</v>
      </c>
    </row>
    <row r="26" spans="3:8" ht="16.5">
      <c r="C26" s="255"/>
      <c r="D26" s="258"/>
      <c r="E26" s="6" t="s">
        <v>567</v>
      </c>
      <c r="F26" s="121">
        <f>F25*1.11</f>
        <v>1028.3823529411766</v>
      </c>
      <c r="G26" s="127" t="s">
        <v>568</v>
      </c>
    </row>
    <row r="27" spans="3:8" ht="16.5">
      <c r="C27" s="256"/>
      <c r="D27" s="265"/>
      <c r="E27" s="6" t="s">
        <v>569</v>
      </c>
      <c r="F27" s="121">
        <v>1300</v>
      </c>
      <c r="G27" s="127" t="s">
        <v>568</v>
      </c>
    </row>
    <row r="28" spans="3:8" ht="16.5" customHeight="1">
      <c r="C28" s="254">
        <v>6</v>
      </c>
      <c r="D28" s="266" t="s">
        <v>570</v>
      </c>
      <c r="E28" s="6" t="s">
        <v>546</v>
      </c>
      <c r="F28" s="121">
        <v>350</v>
      </c>
      <c r="G28" s="127" t="s">
        <v>571</v>
      </c>
    </row>
    <row r="29" spans="3:8" ht="16.5" customHeight="1">
      <c r="C29" s="256"/>
      <c r="D29" s="265"/>
      <c r="E29" s="6" t="s">
        <v>548</v>
      </c>
      <c r="F29" s="128">
        <v>35</v>
      </c>
      <c r="G29" s="127" t="s">
        <v>571</v>
      </c>
    </row>
    <row r="30" spans="3:8" ht="16.5">
      <c r="C30" s="254">
        <v>7</v>
      </c>
      <c r="D30" s="257" t="s">
        <v>572</v>
      </c>
      <c r="E30" s="6" t="s">
        <v>546</v>
      </c>
      <c r="F30" s="121"/>
      <c r="G30" s="127" t="s">
        <v>571</v>
      </c>
    </row>
    <row r="31" spans="3:8" ht="16.5">
      <c r="C31" s="256"/>
      <c r="D31" s="265"/>
      <c r="E31" s="6" t="s">
        <v>548</v>
      </c>
      <c r="F31" s="128"/>
      <c r="G31" s="127" t="s">
        <v>571</v>
      </c>
    </row>
    <row r="32" spans="3:8" ht="16.5">
      <c r="C32" s="254">
        <v>8</v>
      </c>
      <c r="D32" s="257" t="s">
        <v>573</v>
      </c>
      <c r="E32" s="6" t="s">
        <v>574</v>
      </c>
      <c r="F32" s="121"/>
      <c r="G32" s="127" t="s">
        <v>575</v>
      </c>
    </row>
    <row r="33" spans="3:7" ht="16.5">
      <c r="C33" s="256"/>
      <c r="D33" s="265"/>
      <c r="E33" s="6" t="s">
        <v>576</v>
      </c>
      <c r="F33" s="129"/>
      <c r="G33" s="127" t="s">
        <v>577</v>
      </c>
    </row>
    <row r="34" spans="3:7" ht="16.5">
      <c r="C34" s="254">
        <v>9</v>
      </c>
      <c r="D34" s="257" t="s">
        <v>578</v>
      </c>
      <c r="E34" s="6" t="s">
        <v>579</v>
      </c>
      <c r="F34" s="206">
        <v>1.5</v>
      </c>
      <c r="G34" s="127" t="s">
        <v>580</v>
      </c>
    </row>
    <row r="35" spans="3:7" ht="16.5">
      <c r="C35" s="255"/>
      <c r="D35" s="258"/>
      <c r="E35" s="6" t="s">
        <v>581</v>
      </c>
      <c r="F35" s="129">
        <v>2100</v>
      </c>
      <c r="G35" s="127" t="s">
        <v>582</v>
      </c>
    </row>
    <row r="36" spans="3:7" ht="16.5">
      <c r="C36" s="256"/>
      <c r="D36" s="265"/>
      <c r="E36" s="6" t="s">
        <v>583</v>
      </c>
      <c r="F36" s="129">
        <v>2000</v>
      </c>
      <c r="G36" s="127" t="s">
        <v>160</v>
      </c>
    </row>
    <row r="37" spans="3:7" ht="16.5">
      <c r="C37" s="119">
        <v>10</v>
      </c>
      <c r="D37" s="6" t="s">
        <v>584</v>
      </c>
      <c r="E37" s="6" t="s">
        <v>585</v>
      </c>
      <c r="F37" s="130">
        <v>1</v>
      </c>
      <c r="G37" s="127" t="s">
        <v>586</v>
      </c>
    </row>
    <row r="38" spans="3:7" ht="16.5">
      <c r="C38" s="254">
        <v>11</v>
      </c>
      <c r="D38" s="257" t="s">
        <v>587</v>
      </c>
      <c r="E38" s="6" t="s">
        <v>588</v>
      </c>
      <c r="F38" s="129">
        <v>20000</v>
      </c>
      <c r="G38" s="127" t="s">
        <v>589</v>
      </c>
    </row>
    <row r="39" spans="3:7" ht="16.5" customHeight="1">
      <c r="C39" s="255"/>
      <c r="D39" s="258"/>
      <c r="E39" s="6" t="s">
        <v>546</v>
      </c>
      <c r="F39" s="129">
        <v>80000</v>
      </c>
      <c r="G39" s="127" t="s">
        <v>577</v>
      </c>
    </row>
    <row r="40" spans="3:7" ht="16.5">
      <c r="C40" s="255"/>
      <c r="D40" s="258"/>
      <c r="E40" s="6" t="s">
        <v>590</v>
      </c>
      <c r="F40" s="129">
        <v>70000</v>
      </c>
      <c r="G40" s="127" t="s">
        <v>575</v>
      </c>
    </row>
    <row r="41" spans="3:7" ht="16.5">
      <c r="C41" s="256"/>
      <c r="D41" s="265"/>
      <c r="E41" s="6" t="s">
        <v>591</v>
      </c>
      <c r="F41" s="131">
        <v>68000</v>
      </c>
      <c r="G41" s="127" t="s">
        <v>577</v>
      </c>
    </row>
    <row r="42" spans="3:7" ht="16.5">
      <c r="C42" s="132">
        <v>12</v>
      </c>
      <c r="D42" s="133" t="s">
        <v>592</v>
      </c>
      <c r="E42" s="6" t="s">
        <v>592</v>
      </c>
      <c r="F42" s="125">
        <v>1.2</v>
      </c>
      <c r="G42" s="127" t="s">
        <v>593</v>
      </c>
    </row>
    <row r="43" spans="3:7" ht="16.5" hidden="1" customHeight="1">
      <c r="C43" s="254">
        <v>13</v>
      </c>
      <c r="D43" s="257" t="s">
        <v>594</v>
      </c>
      <c r="E43" s="6" t="s">
        <v>595</v>
      </c>
      <c r="F43" s="6" t="s">
        <v>596</v>
      </c>
      <c r="G43" s="134" t="s">
        <v>598</v>
      </c>
    </row>
    <row r="44" spans="3:7" ht="16.5">
      <c r="C44" s="255"/>
      <c r="D44" s="258"/>
      <c r="E44" s="6" t="s">
        <v>599</v>
      </c>
      <c r="F44" s="6" t="s">
        <v>600</v>
      </c>
      <c r="G44" s="134" t="s">
        <v>601</v>
      </c>
    </row>
    <row r="45" spans="3:7" ht="16.5">
      <c r="C45" s="255"/>
      <c r="D45" s="258"/>
      <c r="E45" s="6" t="s">
        <v>602</v>
      </c>
      <c r="F45" s="6" t="s">
        <v>603</v>
      </c>
      <c r="G45" s="134" t="s">
        <v>597</v>
      </c>
    </row>
    <row r="46" spans="3:7" ht="16.5">
      <c r="C46" s="255"/>
      <c r="D46" s="258"/>
      <c r="E46" s="6" t="s">
        <v>604</v>
      </c>
      <c r="F46" s="6" t="s">
        <v>605</v>
      </c>
      <c r="G46" s="134" t="s">
        <v>597</v>
      </c>
    </row>
    <row r="47" spans="3:7" ht="16.5">
      <c r="C47" s="255"/>
      <c r="D47" s="258"/>
      <c r="E47" s="6" t="s">
        <v>606</v>
      </c>
      <c r="F47" s="6" t="s">
        <v>607</v>
      </c>
      <c r="G47" s="134" t="s">
        <v>601</v>
      </c>
    </row>
    <row r="48" spans="3:7" ht="16.5">
      <c r="C48" s="255"/>
      <c r="D48" s="258"/>
      <c r="E48" s="6" t="s">
        <v>608</v>
      </c>
      <c r="F48" s="6" t="s">
        <v>609</v>
      </c>
      <c r="G48" s="134" t="s">
        <v>610</v>
      </c>
    </row>
    <row r="49" spans="3:7" ht="16.5">
      <c r="C49" s="255"/>
      <c r="D49" s="258"/>
      <c r="E49" s="6" t="s">
        <v>611</v>
      </c>
      <c r="F49" s="6" t="s">
        <v>612</v>
      </c>
      <c r="G49" s="134" t="s">
        <v>644</v>
      </c>
    </row>
    <row r="50" spans="3:7" ht="66">
      <c r="C50" s="255"/>
      <c r="D50" s="258"/>
      <c r="E50" s="6" t="s">
        <v>613</v>
      </c>
      <c r="F50" s="135" t="s">
        <v>614</v>
      </c>
      <c r="G50" s="134" t="s">
        <v>615</v>
      </c>
    </row>
    <row r="51" spans="3:7" ht="16.5">
      <c r="C51" s="255"/>
      <c r="D51" s="258"/>
      <c r="E51" s="6" t="s">
        <v>616</v>
      </c>
      <c r="F51" s="6" t="s">
        <v>617</v>
      </c>
      <c r="G51" s="134" t="s">
        <v>597</v>
      </c>
    </row>
    <row r="52" spans="3:7" ht="37.5" customHeight="1">
      <c r="C52" s="255"/>
      <c r="D52" s="258"/>
      <c r="E52" s="6" t="s">
        <v>618</v>
      </c>
      <c r="F52" s="136" t="s">
        <v>619</v>
      </c>
      <c r="G52" s="134" t="s">
        <v>633</v>
      </c>
    </row>
    <row r="53" spans="3:7" ht="16.5">
      <c r="C53" s="255"/>
      <c r="D53" s="258"/>
      <c r="E53" s="6"/>
      <c r="F53" s="136" t="s">
        <v>569</v>
      </c>
      <c r="G53" s="134" t="s">
        <v>597</v>
      </c>
    </row>
    <row r="54" spans="3:7" ht="16.5">
      <c r="C54" s="255"/>
      <c r="D54" s="258"/>
      <c r="E54" s="6"/>
      <c r="F54" s="136" t="s">
        <v>620</v>
      </c>
      <c r="G54" s="134" t="s">
        <v>597</v>
      </c>
    </row>
    <row r="55" spans="3:7" ht="16.5">
      <c r="C55" s="256"/>
      <c r="D55" s="258"/>
      <c r="E55" s="6"/>
      <c r="F55" s="136" t="s">
        <v>621</v>
      </c>
      <c r="G55" s="134" t="s">
        <v>597</v>
      </c>
    </row>
    <row r="56" spans="3:7" ht="16.5">
      <c r="C56" s="119">
        <v>14</v>
      </c>
      <c r="D56" s="137" t="s">
        <v>622</v>
      </c>
      <c r="E56" s="259" t="s">
        <v>646</v>
      </c>
      <c r="F56" s="260"/>
      <c r="G56" s="261"/>
    </row>
    <row r="57" spans="3:7" ht="16.5">
      <c r="C57" s="119">
        <v>15</v>
      </c>
      <c r="D57" s="137" t="s">
        <v>623</v>
      </c>
      <c r="E57" s="259" t="s">
        <v>645</v>
      </c>
      <c r="F57" s="260"/>
      <c r="G57" s="261"/>
    </row>
    <row r="58" spans="3:7">
      <c r="C58" s="138"/>
      <c r="D58" s="139"/>
      <c r="E58" s="139"/>
      <c r="F58" s="140"/>
      <c r="G58" s="141"/>
    </row>
    <row r="59" spans="3:7" ht="99.75" customHeight="1">
      <c r="C59" s="142" t="s">
        <v>624</v>
      </c>
      <c r="D59" s="262" t="s">
        <v>632</v>
      </c>
      <c r="E59" s="263"/>
      <c r="F59" s="263"/>
      <c r="G59" s="264"/>
    </row>
    <row r="61" spans="3:7" ht="100.5" customHeight="1"/>
  </sheetData>
  <mergeCells count="29">
    <mergeCell ref="C6:G6"/>
    <mergeCell ref="C2:G2"/>
    <mergeCell ref="C3:D3"/>
    <mergeCell ref="E3:G3"/>
    <mergeCell ref="F4:G4"/>
    <mergeCell ref="F5:G5"/>
    <mergeCell ref="C13:C14"/>
    <mergeCell ref="D13:D14"/>
    <mergeCell ref="C15:C18"/>
    <mergeCell ref="D15:D18"/>
    <mergeCell ref="C19:C20"/>
    <mergeCell ref="D19:D20"/>
    <mergeCell ref="C21:C27"/>
    <mergeCell ref="D21:D27"/>
    <mergeCell ref="C28:C29"/>
    <mergeCell ref="D28:D29"/>
    <mergeCell ref="C30:C31"/>
    <mergeCell ref="D30:D31"/>
    <mergeCell ref="C32:C33"/>
    <mergeCell ref="D32:D33"/>
    <mergeCell ref="C34:C36"/>
    <mergeCell ref="D34:D36"/>
    <mergeCell ref="C38:C41"/>
    <mergeCell ref="D38:D41"/>
    <mergeCell ref="C43:C55"/>
    <mergeCell ref="D43:D55"/>
    <mergeCell ref="E56:G56"/>
    <mergeCell ref="E57:G57"/>
    <mergeCell ref="D59:G59"/>
  </mergeCells>
  <phoneticPr fontId="2" type="noConversion"/>
  <pageMargins left="0.7" right="0.7" top="0.75" bottom="0.75" header="0.3" footer="0.3"/>
  <pageSetup paperSize="9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7"/>
  <sheetViews>
    <sheetView workbookViewId="0">
      <selection activeCell="C5" sqref="C5"/>
    </sheetView>
  </sheetViews>
  <sheetFormatPr defaultRowHeight="13.5"/>
  <cols>
    <col min="13" max="13" width="14.21875" bestFit="1" customWidth="1"/>
    <col min="14" max="14" width="20.44140625" bestFit="1" customWidth="1"/>
    <col min="17" max="17" width="23.77734375" bestFit="1" customWidth="1"/>
    <col min="18" max="18" width="11.44140625" bestFit="1" customWidth="1"/>
    <col min="19" max="19" width="25.109375" bestFit="1" customWidth="1"/>
    <col min="20" max="20" width="8" bestFit="1" customWidth="1"/>
    <col min="21" max="21" width="10" bestFit="1" customWidth="1"/>
    <col min="22" max="22" width="30.77734375" bestFit="1" customWidth="1"/>
  </cols>
  <sheetData>
    <row r="1" spans="1:22" ht="14.25" thickBot="1"/>
    <row r="2" spans="1:22" ht="17.25" thickBot="1">
      <c r="A2" s="278" t="s">
        <v>307</v>
      </c>
      <c r="B2" s="280" t="s">
        <v>308</v>
      </c>
      <c r="C2" s="280" t="s">
        <v>309</v>
      </c>
      <c r="D2" s="280" t="s">
        <v>310</v>
      </c>
      <c r="E2" s="280" t="s">
        <v>311</v>
      </c>
      <c r="F2" s="276" t="s">
        <v>312</v>
      </c>
      <c r="G2" s="282" t="s">
        <v>313</v>
      </c>
      <c r="H2" s="280" t="s">
        <v>314</v>
      </c>
      <c r="I2" s="282" t="s">
        <v>315</v>
      </c>
      <c r="J2" s="284" t="s">
        <v>316</v>
      </c>
      <c r="K2" s="280" t="s">
        <v>317</v>
      </c>
      <c r="L2" s="276" t="s">
        <v>318</v>
      </c>
      <c r="M2" s="280" t="s">
        <v>319</v>
      </c>
      <c r="N2" s="280" t="s">
        <v>320</v>
      </c>
      <c r="O2" s="276" t="s">
        <v>321</v>
      </c>
      <c r="P2" s="280" t="s">
        <v>322</v>
      </c>
      <c r="Q2" s="280" t="s">
        <v>323</v>
      </c>
      <c r="R2" s="280"/>
      <c r="S2" s="282" t="s">
        <v>324</v>
      </c>
      <c r="T2" s="288" t="s">
        <v>325</v>
      </c>
      <c r="U2" s="290" t="s">
        <v>326</v>
      </c>
      <c r="V2" s="290" t="s">
        <v>327</v>
      </c>
    </row>
    <row r="3" spans="1:22" ht="17.25" thickBot="1">
      <c r="A3" s="279"/>
      <c r="B3" s="281"/>
      <c r="C3" s="281"/>
      <c r="D3" s="281"/>
      <c r="E3" s="281"/>
      <c r="F3" s="277"/>
      <c r="G3" s="283"/>
      <c r="H3" s="281"/>
      <c r="I3" s="283"/>
      <c r="J3" s="285"/>
      <c r="K3" s="281"/>
      <c r="L3" s="277"/>
      <c r="M3" s="281"/>
      <c r="N3" s="281"/>
      <c r="O3" s="277"/>
      <c r="P3" s="281"/>
      <c r="Q3" s="82" t="s">
        <v>328</v>
      </c>
      <c r="R3" s="82" t="s">
        <v>329</v>
      </c>
      <c r="S3" s="283"/>
      <c r="T3" s="289"/>
      <c r="U3" s="291"/>
      <c r="V3" s="291"/>
    </row>
    <row r="4" spans="1:22" ht="17.25" thickTop="1">
      <c r="A4" s="83">
        <v>20</v>
      </c>
      <c r="B4" s="84">
        <v>220</v>
      </c>
      <c r="C4" s="85">
        <f t="shared" ref="C4:C47" si="0">ROUNDUP(A4/(B4*0.9)/3^0.5*1000/0.9,0)</f>
        <v>65</v>
      </c>
      <c r="D4" s="85">
        <f t="shared" ref="D4:D47" si="1">ROUNDUP(B4*2^0.5*0.93,0)</f>
        <v>290</v>
      </c>
      <c r="E4" s="85">
        <f t="shared" ref="E4:E47" si="2">ROUNDUP(A4*1000/D4,0)</f>
        <v>69</v>
      </c>
      <c r="F4" s="86">
        <f t="shared" ref="F4:F47" si="3">30.8*100*C4/(1000*10)</f>
        <v>20.02</v>
      </c>
      <c r="G4" s="87">
        <f t="shared" ref="G4:G47" si="4">C4/(H4*I4)</f>
        <v>1.8571428571428572</v>
      </c>
      <c r="H4" s="84">
        <v>35</v>
      </c>
      <c r="I4" s="84">
        <v>1</v>
      </c>
      <c r="J4" s="84">
        <f t="shared" ref="J4:J47" si="5">L4*0.052</f>
        <v>3.9</v>
      </c>
      <c r="K4" s="84">
        <v>16</v>
      </c>
      <c r="L4" s="84">
        <v>75</v>
      </c>
      <c r="M4" s="84" t="s">
        <v>330</v>
      </c>
      <c r="N4" s="84" t="s">
        <v>331</v>
      </c>
      <c r="O4" s="88">
        <f t="shared" ref="O4:O47" si="6">SUM(C4*1.25)</f>
        <v>81.25</v>
      </c>
      <c r="P4" s="84" t="s">
        <v>332</v>
      </c>
      <c r="Q4" s="84" t="s">
        <v>333</v>
      </c>
      <c r="R4" s="84"/>
      <c r="S4" s="89" t="s">
        <v>334</v>
      </c>
      <c r="T4" s="89" t="s">
        <v>335</v>
      </c>
      <c r="U4" s="84" t="s">
        <v>336</v>
      </c>
      <c r="V4" s="90" t="s">
        <v>337</v>
      </c>
    </row>
    <row r="5" spans="1:22" ht="16.5">
      <c r="A5" s="83">
        <v>20</v>
      </c>
      <c r="B5" s="84">
        <v>380</v>
      </c>
      <c r="C5" s="85">
        <f t="shared" si="0"/>
        <v>38</v>
      </c>
      <c r="D5" s="85">
        <f t="shared" si="1"/>
        <v>500</v>
      </c>
      <c r="E5" s="85">
        <f t="shared" si="2"/>
        <v>40</v>
      </c>
      <c r="F5" s="86">
        <f t="shared" si="3"/>
        <v>11.704000000000001</v>
      </c>
      <c r="G5" s="87">
        <f t="shared" si="4"/>
        <v>1.52</v>
      </c>
      <c r="H5" s="84">
        <v>25</v>
      </c>
      <c r="I5" s="84">
        <v>1</v>
      </c>
      <c r="J5" s="84">
        <f t="shared" si="5"/>
        <v>2.6</v>
      </c>
      <c r="K5" s="84">
        <v>16</v>
      </c>
      <c r="L5" s="84">
        <v>50</v>
      </c>
      <c r="M5" s="84" t="s">
        <v>338</v>
      </c>
      <c r="N5" s="84" t="s">
        <v>339</v>
      </c>
      <c r="O5" s="88">
        <f t="shared" si="6"/>
        <v>47.5</v>
      </c>
      <c r="P5" s="84" t="s">
        <v>340</v>
      </c>
      <c r="Q5" s="84" t="s">
        <v>333</v>
      </c>
      <c r="R5" s="84"/>
      <c r="S5" s="89" t="s">
        <v>334</v>
      </c>
      <c r="T5" s="89" t="s">
        <v>332</v>
      </c>
      <c r="U5" s="84" t="s">
        <v>341</v>
      </c>
      <c r="V5" s="90" t="s">
        <v>337</v>
      </c>
    </row>
    <row r="6" spans="1:22" ht="16.5">
      <c r="A6" s="83">
        <v>20</v>
      </c>
      <c r="B6" s="84">
        <v>440</v>
      </c>
      <c r="C6" s="85">
        <f t="shared" si="0"/>
        <v>33</v>
      </c>
      <c r="D6" s="85">
        <f t="shared" si="1"/>
        <v>579</v>
      </c>
      <c r="E6" s="85">
        <f t="shared" si="2"/>
        <v>35</v>
      </c>
      <c r="F6" s="86">
        <f t="shared" si="3"/>
        <v>10.164</v>
      </c>
      <c r="G6" s="87">
        <f t="shared" si="4"/>
        <v>1.32</v>
      </c>
      <c r="H6" s="84">
        <v>25</v>
      </c>
      <c r="I6" s="84">
        <v>1</v>
      </c>
      <c r="J6" s="84">
        <f t="shared" si="5"/>
        <v>2.6</v>
      </c>
      <c r="K6" s="84">
        <v>16</v>
      </c>
      <c r="L6" s="84">
        <v>50</v>
      </c>
      <c r="M6" s="84" t="s">
        <v>338</v>
      </c>
      <c r="N6" s="84" t="s">
        <v>339</v>
      </c>
      <c r="O6" s="88">
        <f t="shared" si="6"/>
        <v>41.25</v>
      </c>
      <c r="P6" s="84" t="s">
        <v>340</v>
      </c>
      <c r="Q6" s="84" t="s">
        <v>333</v>
      </c>
      <c r="R6" s="84"/>
      <c r="S6" s="89" t="s">
        <v>334</v>
      </c>
      <c r="T6" s="89" t="s">
        <v>332</v>
      </c>
      <c r="U6" s="84" t="s">
        <v>341</v>
      </c>
      <c r="V6" s="90" t="s">
        <v>337</v>
      </c>
    </row>
    <row r="7" spans="1:22" ht="16.5">
      <c r="A7" s="83">
        <v>30</v>
      </c>
      <c r="B7" s="84">
        <v>220</v>
      </c>
      <c r="C7" s="85">
        <f t="shared" si="0"/>
        <v>98</v>
      </c>
      <c r="D7" s="85">
        <f t="shared" si="1"/>
        <v>290</v>
      </c>
      <c r="E7" s="85">
        <f t="shared" si="2"/>
        <v>104</v>
      </c>
      <c r="F7" s="86">
        <f t="shared" si="3"/>
        <v>30.184000000000001</v>
      </c>
      <c r="G7" s="87">
        <f t="shared" si="4"/>
        <v>1.96</v>
      </c>
      <c r="H7" s="84">
        <v>50</v>
      </c>
      <c r="I7" s="84">
        <v>1</v>
      </c>
      <c r="J7" s="84">
        <f t="shared" si="5"/>
        <v>6.5</v>
      </c>
      <c r="K7" s="84">
        <v>16</v>
      </c>
      <c r="L7" s="84">
        <v>125</v>
      </c>
      <c r="M7" s="84" t="s">
        <v>342</v>
      </c>
      <c r="N7" s="84" t="s">
        <v>343</v>
      </c>
      <c r="O7" s="88">
        <f t="shared" si="6"/>
        <v>122.5</v>
      </c>
      <c r="P7" s="84" t="s">
        <v>344</v>
      </c>
      <c r="Q7" s="84" t="s">
        <v>333</v>
      </c>
      <c r="R7" s="91" t="s">
        <v>337</v>
      </c>
      <c r="S7" s="89" t="s">
        <v>334</v>
      </c>
      <c r="T7" s="89" t="s">
        <v>345</v>
      </c>
      <c r="U7" s="84" t="s">
        <v>341</v>
      </c>
      <c r="V7" s="90" t="s">
        <v>337</v>
      </c>
    </row>
    <row r="8" spans="1:22" ht="16.5">
      <c r="A8" s="83">
        <v>30</v>
      </c>
      <c r="B8" s="84">
        <v>380</v>
      </c>
      <c r="C8" s="85">
        <f t="shared" si="0"/>
        <v>57</v>
      </c>
      <c r="D8" s="85">
        <f t="shared" si="1"/>
        <v>500</v>
      </c>
      <c r="E8" s="85">
        <f t="shared" si="2"/>
        <v>60</v>
      </c>
      <c r="F8" s="86">
        <f t="shared" si="3"/>
        <v>17.556000000000001</v>
      </c>
      <c r="G8" s="87">
        <f t="shared" si="4"/>
        <v>1.6285714285714286</v>
      </c>
      <c r="H8" s="84">
        <v>35</v>
      </c>
      <c r="I8" s="84">
        <v>1</v>
      </c>
      <c r="J8" s="84">
        <f t="shared" si="5"/>
        <v>3.9</v>
      </c>
      <c r="K8" s="84">
        <v>16</v>
      </c>
      <c r="L8" s="84">
        <v>75</v>
      </c>
      <c r="M8" s="84" t="s">
        <v>330</v>
      </c>
      <c r="N8" s="84" t="s">
        <v>331</v>
      </c>
      <c r="O8" s="88">
        <f t="shared" si="6"/>
        <v>71.25</v>
      </c>
      <c r="P8" s="84" t="s">
        <v>332</v>
      </c>
      <c r="Q8" s="84" t="s">
        <v>333</v>
      </c>
      <c r="R8" s="91" t="s">
        <v>337</v>
      </c>
      <c r="S8" s="89" t="s">
        <v>334</v>
      </c>
      <c r="T8" s="89" t="s">
        <v>332</v>
      </c>
      <c r="U8" s="84" t="s">
        <v>341</v>
      </c>
      <c r="V8" s="90" t="s">
        <v>337</v>
      </c>
    </row>
    <row r="9" spans="1:22" ht="16.5">
      <c r="A9" s="83">
        <v>30</v>
      </c>
      <c r="B9" s="84">
        <v>440</v>
      </c>
      <c r="C9" s="85">
        <f t="shared" si="0"/>
        <v>49</v>
      </c>
      <c r="D9" s="85">
        <f t="shared" si="1"/>
        <v>579</v>
      </c>
      <c r="E9" s="85">
        <f t="shared" si="2"/>
        <v>52</v>
      </c>
      <c r="F9" s="86">
        <f t="shared" si="3"/>
        <v>15.092000000000001</v>
      </c>
      <c r="G9" s="87">
        <f t="shared" si="4"/>
        <v>1.4</v>
      </c>
      <c r="H9" s="84">
        <v>35</v>
      </c>
      <c r="I9" s="84">
        <v>1</v>
      </c>
      <c r="J9" s="84">
        <f t="shared" si="5"/>
        <v>3.9</v>
      </c>
      <c r="K9" s="84">
        <v>16</v>
      </c>
      <c r="L9" s="84">
        <v>75</v>
      </c>
      <c r="M9" s="84" t="s">
        <v>330</v>
      </c>
      <c r="N9" s="84" t="s">
        <v>331</v>
      </c>
      <c r="O9" s="88">
        <f t="shared" si="6"/>
        <v>61.25</v>
      </c>
      <c r="P9" s="84" t="s">
        <v>332</v>
      </c>
      <c r="Q9" s="84" t="s">
        <v>333</v>
      </c>
      <c r="R9" s="91" t="s">
        <v>337</v>
      </c>
      <c r="S9" s="89" t="s">
        <v>334</v>
      </c>
      <c r="T9" s="89" t="s">
        <v>332</v>
      </c>
      <c r="U9" s="84" t="s">
        <v>341</v>
      </c>
      <c r="V9" s="90" t="s">
        <v>337</v>
      </c>
    </row>
    <row r="10" spans="1:22" ht="16.5">
      <c r="A10" s="83">
        <v>50</v>
      </c>
      <c r="B10" s="84">
        <v>220</v>
      </c>
      <c r="C10" s="85">
        <f t="shared" si="0"/>
        <v>162</v>
      </c>
      <c r="D10" s="85">
        <f t="shared" si="1"/>
        <v>290</v>
      </c>
      <c r="E10" s="85">
        <f t="shared" si="2"/>
        <v>173</v>
      </c>
      <c r="F10" s="86">
        <f t="shared" si="3"/>
        <v>49.896000000000001</v>
      </c>
      <c r="G10" s="87">
        <f t="shared" si="4"/>
        <v>2.3142857142857145</v>
      </c>
      <c r="H10" s="84">
        <v>70</v>
      </c>
      <c r="I10" s="84">
        <v>1</v>
      </c>
      <c r="J10" s="84">
        <f t="shared" si="5"/>
        <v>10.4</v>
      </c>
      <c r="K10" s="84">
        <v>16</v>
      </c>
      <c r="L10" s="84">
        <v>200</v>
      </c>
      <c r="M10" s="84" t="s">
        <v>346</v>
      </c>
      <c r="N10" s="84" t="s">
        <v>347</v>
      </c>
      <c r="O10" s="88">
        <f t="shared" si="6"/>
        <v>202.5</v>
      </c>
      <c r="P10" s="84" t="s">
        <v>348</v>
      </c>
      <c r="Q10" s="84" t="s">
        <v>349</v>
      </c>
      <c r="R10" s="91" t="s">
        <v>337</v>
      </c>
      <c r="S10" s="89" t="s">
        <v>350</v>
      </c>
      <c r="T10" s="89" t="s">
        <v>351</v>
      </c>
      <c r="U10" s="286" t="s">
        <v>352</v>
      </c>
      <c r="V10" s="287"/>
    </row>
    <row r="11" spans="1:22" ht="16.5">
      <c r="A11" s="83">
        <v>50</v>
      </c>
      <c r="B11" s="84">
        <v>380</v>
      </c>
      <c r="C11" s="85">
        <f t="shared" si="0"/>
        <v>94</v>
      </c>
      <c r="D11" s="85">
        <f t="shared" si="1"/>
        <v>500</v>
      </c>
      <c r="E11" s="85">
        <f t="shared" si="2"/>
        <v>100</v>
      </c>
      <c r="F11" s="86">
        <f t="shared" si="3"/>
        <v>28.952000000000002</v>
      </c>
      <c r="G11" s="87">
        <f t="shared" si="4"/>
        <v>1.3428571428571427</v>
      </c>
      <c r="H11" s="84">
        <v>70</v>
      </c>
      <c r="I11" s="84">
        <v>1</v>
      </c>
      <c r="J11" s="84">
        <f t="shared" si="5"/>
        <v>6.5</v>
      </c>
      <c r="K11" s="84">
        <v>16</v>
      </c>
      <c r="L11" s="84">
        <v>125</v>
      </c>
      <c r="M11" s="84" t="s">
        <v>353</v>
      </c>
      <c r="N11" s="84" t="s">
        <v>343</v>
      </c>
      <c r="O11" s="88">
        <f t="shared" si="6"/>
        <v>117.5</v>
      </c>
      <c r="P11" s="84" t="s">
        <v>344</v>
      </c>
      <c r="Q11" s="84" t="s">
        <v>333</v>
      </c>
      <c r="R11" s="91" t="s">
        <v>337</v>
      </c>
      <c r="S11" s="89" t="s">
        <v>334</v>
      </c>
      <c r="T11" s="89" t="s">
        <v>345</v>
      </c>
      <c r="U11" s="84" t="s">
        <v>341</v>
      </c>
      <c r="V11" s="90" t="s">
        <v>337</v>
      </c>
    </row>
    <row r="12" spans="1:22" ht="16.5">
      <c r="A12" s="83">
        <v>50</v>
      </c>
      <c r="B12" s="84">
        <v>440</v>
      </c>
      <c r="C12" s="85">
        <f t="shared" si="0"/>
        <v>81</v>
      </c>
      <c r="D12" s="85">
        <f t="shared" si="1"/>
        <v>579</v>
      </c>
      <c r="E12" s="85">
        <f t="shared" si="2"/>
        <v>87</v>
      </c>
      <c r="F12" s="86">
        <f t="shared" si="3"/>
        <v>24.948</v>
      </c>
      <c r="G12" s="87">
        <f t="shared" si="4"/>
        <v>1.1571428571428573</v>
      </c>
      <c r="H12" s="84">
        <v>70</v>
      </c>
      <c r="I12" s="84">
        <v>1</v>
      </c>
      <c r="J12" s="84">
        <f t="shared" si="5"/>
        <v>5.2</v>
      </c>
      <c r="K12" s="84">
        <v>16</v>
      </c>
      <c r="L12" s="84">
        <v>100</v>
      </c>
      <c r="M12" s="84" t="s">
        <v>353</v>
      </c>
      <c r="N12" s="84" t="s">
        <v>343</v>
      </c>
      <c r="O12" s="88">
        <f t="shared" si="6"/>
        <v>101.25</v>
      </c>
      <c r="P12" s="84" t="s">
        <v>344</v>
      </c>
      <c r="Q12" s="84" t="s">
        <v>333</v>
      </c>
      <c r="R12" s="91" t="s">
        <v>337</v>
      </c>
      <c r="S12" s="89" t="s">
        <v>334</v>
      </c>
      <c r="T12" s="89" t="s">
        <v>345</v>
      </c>
      <c r="U12" s="84" t="s">
        <v>341</v>
      </c>
      <c r="V12" s="90" t="s">
        <v>337</v>
      </c>
    </row>
    <row r="13" spans="1:22" ht="16.5">
      <c r="A13" s="83">
        <v>75</v>
      </c>
      <c r="B13" s="84">
        <v>220</v>
      </c>
      <c r="C13" s="85">
        <f t="shared" si="0"/>
        <v>243</v>
      </c>
      <c r="D13" s="85">
        <f t="shared" si="1"/>
        <v>290</v>
      </c>
      <c r="E13" s="85">
        <f t="shared" si="2"/>
        <v>259</v>
      </c>
      <c r="F13" s="86">
        <f t="shared" si="3"/>
        <v>74.843999999999994</v>
      </c>
      <c r="G13" s="87">
        <f t="shared" si="4"/>
        <v>1.7357142857142858</v>
      </c>
      <c r="H13" s="84">
        <v>70</v>
      </c>
      <c r="I13" s="84">
        <v>2</v>
      </c>
      <c r="J13" s="84">
        <f t="shared" si="5"/>
        <v>15.6</v>
      </c>
      <c r="K13" s="84">
        <v>16</v>
      </c>
      <c r="L13" s="84">
        <v>300</v>
      </c>
      <c r="M13" s="84" t="s">
        <v>354</v>
      </c>
      <c r="N13" s="84" t="s">
        <v>355</v>
      </c>
      <c r="O13" s="88">
        <f t="shared" si="6"/>
        <v>303.75</v>
      </c>
      <c r="P13" s="84" t="s">
        <v>356</v>
      </c>
      <c r="Q13" s="84" t="s">
        <v>349</v>
      </c>
      <c r="R13" s="91" t="s">
        <v>337</v>
      </c>
      <c r="S13" s="89" t="s">
        <v>357</v>
      </c>
      <c r="T13" s="89" t="s">
        <v>356</v>
      </c>
      <c r="U13" s="286" t="s">
        <v>352</v>
      </c>
      <c r="V13" s="287"/>
    </row>
    <row r="14" spans="1:22" ht="16.5">
      <c r="A14" s="83">
        <v>75</v>
      </c>
      <c r="B14" s="84">
        <v>380</v>
      </c>
      <c r="C14" s="85">
        <f t="shared" si="0"/>
        <v>141</v>
      </c>
      <c r="D14" s="85">
        <f t="shared" si="1"/>
        <v>500</v>
      </c>
      <c r="E14" s="85">
        <f t="shared" si="2"/>
        <v>150</v>
      </c>
      <c r="F14" s="86">
        <f t="shared" si="3"/>
        <v>43.427999999999997</v>
      </c>
      <c r="G14" s="87">
        <f t="shared" si="4"/>
        <v>2.0142857142857142</v>
      </c>
      <c r="H14" s="84">
        <v>70</v>
      </c>
      <c r="I14" s="84">
        <v>1</v>
      </c>
      <c r="J14" s="84">
        <f t="shared" si="5"/>
        <v>9.1</v>
      </c>
      <c r="K14" s="84">
        <v>16</v>
      </c>
      <c r="L14" s="84">
        <v>175</v>
      </c>
      <c r="M14" s="84" t="s">
        <v>346</v>
      </c>
      <c r="N14" s="84" t="s">
        <v>347</v>
      </c>
      <c r="O14" s="88">
        <f t="shared" si="6"/>
        <v>176.25</v>
      </c>
      <c r="P14" s="84" t="s">
        <v>348</v>
      </c>
      <c r="Q14" s="84" t="s">
        <v>349</v>
      </c>
      <c r="R14" s="91" t="s">
        <v>337</v>
      </c>
      <c r="S14" s="89" t="s">
        <v>357</v>
      </c>
      <c r="T14" s="89" t="s">
        <v>348</v>
      </c>
      <c r="U14" s="286" t="s">
        <v>352</v>
      </c>
      <c r="V14" s="287"/>
    </row>
    <row r="15" spans="1:22" ht="16.5">
      <c r="A15" s="83">
        <v>75</v>
      </c>
      <c r="B15" s="84">
        <v>440</v>
      </c>
      <c r="C15" s="85">
        <f t="shared" si="0"/>
        <v>122</v>
      </c>
      <c r="D15" s="85">
        <f t="shared" si="1"/>
        <v>579</v>
      </c>
      <c r="E15" s="85">
        <f t="shared" si="2"/>
        <v>130</v>
      </c>
      <c r="F15" s="86">
        <f t="shared" si="3"/>
        <v>37.576000000000001</v>
      </c>
      <c r="G15" s="87">
        <f t="shared" si="4"/>
        <v>1.7428571428571429</v>
      </c>
      <c r="H15" s="84">
        <v>70</v>
      </c>
      <c r="I15" s="84">
        <v>1</v>
      </c>
      <c r="J15" s="84">
        <f t="shared" si="5"/>
        <v>7.8</v>
      </c>
      <c r="K15" s="84">
        <v>16</v>
      </c>
      <c r="L15" s="84">
        <v>150</v>
      </c>
      <c r="M15" s="84" t="s">
        <v>346</v>
      </c>
      <c r="N15" s="84" t="s">
        <v>347</v>
      </c>
      <c r="O15" s="88">
        <f t="shared" si="6"/>
        <v>152.5</v>
      </c>
      <c r="P15" s="84" t="s">
        <v>348</v>
      </c>
      <c r="Q15" s="84" t="s">
        <v>349</v>
      </c>
      <c r="R15" s="91" t="s">
        <v>337</v>
      </c>
      <c r="S15" s="89" t="s">
        <v>357</v>
      </c>
      <c r="T15" s="89" t="s">
        <v>348</v>
      </c>
      <c r="U15" s="286" t="s">
        <v>352</v>
      </c>
      <c r="V15" s="287"/>
    </row>
    <row r="16" spans="1:22" ht="16.5">
      <c r="A16" s="83">
        <v>100</v>
      </c>
      <c r="B16" s="84">
        <v>380</v>
      </c>
      <c r="C16" s="85">
        <f t="shared" si="0"/>
        <v>188</v>
      </c>
      <c r="D16" s="85">
        <f t="shared" si="1"/>
        <v>500</v>
      </c>
      <c r="E16" s="85">
        <f t="shared" si="2"/>
        <v>200</v>
      </c>
      <c r="F16" s="86">
        <f t="shared" si="3"/>
        <v>57.904000000000003</v>
      </c>
      <c r="G16" s="87">
        <f t="shared" si="4"/>
        <v>1.9789473684210526</v>
      </c>
      <c r="H16" s="84">
        <v>95</v>
      </c>
      <c r="I16" s="84">
        <v>1</v>
      </c>
      <c r="J16" s="84">
        <f t="shared" si="5"/>
        <v>10.4</v>
      </c>
      <c r="K16" s="84">
        <v>16</v>
      </c>
      <c r="L16" s="84">
        <v>200</v>
      </c>
      <c r="M16" s="84" t="s">
        <v>346</v>
      </c>
      <c r="N16" s="84" t="s">
        <v>358</v>
      </c>
      <c r="O16" s="88">
        <f t="shared" si="6"/>
        <v>235</v>
      </c>
      <c r="P16" s="84" t="s">
        <v>359</v>
      </c>
      <c r="Q16" s="84" t="s">
        <v>349</v>
      </c>
      <c r="R16" s="91" t="s">
        <v>337</v>
      </c>
      <c r="S16" s="89" t="s">
        <v>357</v>
      </c>
      <c r="T16" s="89" t="s">
        <v>356</v>
      </c>
      <c r="U16" s="286" t="s">
        <v>352</v>
      </c>
      <c r="V16" s="287"/>
    </row>
    <row r="17" spans="1:22" ht="16.5">
      <c r="A17" s="83">
        <v>100</v>
      </c>
      <c r="B17" s="84">
        <v>440</v>
      </c>
      <c r="C17" s="85">
        <f t="shared" si="0"/>
        <v>162</v>
      </c>
      <c r="D17" s="85">
        <f t="shared" si="1"/>
        <v>579</v>
      </c>
      <c r="E17" s="85">
        <f t="shared" si="2"/>
        <v>173</v>
      </c>
      <c r="F17" s="86">
        <f t="shared" si="3"/>
        <v>49.896000000000001</v>
      </c>
      <c r="G17" s="87">
        <f t="shared" si="4"/>
        <v>1.7052631578947368</v>
      </c>
      <c r="H17" s="84">
        <v>95</v>
      </c>
      <c r="I17" s="84">
        <v>1</v>
      </c>
      <c r="J17" s="84">
        <f t="shared" si="5"/>
        <v>10.4</v>
      </c>
      <c r="K17" s="84">
        <v>16</v>
      </c>
      <c r="L17" s="84">
        <v>200</v>
      </c>
      <c r="M17" s="84" t="s">
        <v>346</v>
      </c>
      <c r="N17" s="84" t="s">
        <v>358</v>
      </c>
      <c r="O17" s="88">
        <f t="shared" si="6"/>
        <v>202.5</v>
      </c>
      <c r="P17" s="84" t="s">
        <v>359</v>
      </c>
      <c r="Q17" s="84" t="s">
        <v>349</v>
      </c>
      <c r="R17" s="91" t="s">
        <v>337</v>
      </c>
      <c r="S17" s="89" t="s">
        <v>357</v>
      </c>
      <c r="T17" s="89" t="s">
        <v>356</v>
      </c>
      <c r="U17" s="286" t="s">
        <v>352</v>
      </c>
      <c r="V17" s="287"/>
    </row>
    <row r="18" spans="1:22" ht="16.5">
      <c r="A18" s="83">
        <v>125</v>
      </c>
      <c r="B18" s="84">
        <v>380</v>
      </c>
      <c r="C18" s="85">
        <f t="shared" si="0"/>
        <v>235</v>
      </c>
      <c r="D18" s="85">
        <f t="shared" si="1"/>
        <v>500</v>
      </c>
      <c r="E18" s="85">
        <f t="shared" si="2"/>
        <v>250</v>
      </c>
      <c r="F18" s="86">
        <f t="shared" si="3"/>
        <v>72.38</v>
      </c>
      <c r="G18" s="87">
        <f t="shared" si="4"/>
        <v>1.6785714285714286</v>
      </c>
      <c r="H18" s="84">
        <v>70</v>
      </c>
      <c r="I18" s="84">
        <v>2</v>
      </c>
      <c r="J18" s="84">
        <f t="shared" si="5"/>
        <v>13</v>
      </c>
      <c r="K18" s="84">
        <v>16</v>
      </c>
      <c r="L18" s="84">
        <v>250</v>
      </c>
      <c r="M18" s="84" t="s">
        <v>354</v>
      </c>
      <c r="N18" s="84" t="s">
        <v>355</v>
      </c>
      <c r="O18" s="88">
        <f t="shared" si="6"/>
        <v>293.75</v>
      </c>
      <c r="P18" s="84" t="s">
        <v>356</v>
      </c>
      <c r="Q18" s="84" t="s">
        <v>349</v>
      </c>
      <c r="R18" s="91" t="s">
        <v>337</v>
      </c>
      <c r="S18" s="89" t="s">
        <v>360</v>
      </c>
      <c r="T18" s="89" t="s">
        <v>356</v>
      </c>
      <c r="U18" s="286" t="s">
        <v>352</v>
      </c>
      <c r="V18" s="287"/>
    </row>
    <row r="19" spans="1:22" ht="16.5">
      <c r="A19" s="83">
        <v>125</v>
      </c>
      <c r="B19" s="84">
        <v>440</v>
      </c>
      <c r="C19" s="85">
        <f t="shared" si="0"/>
        <v>203</v>
      </c>
      <c r="D19" s="85">
        <f t="shared" si="1"/>
        <v>579</v>
      </c>
      <c r="E19" s="85">
        <f t="shared" si="2"/>
        <v>216</v>
      </c>
      <c r="F19" s="86">
        <f t="shared" si="3"/>
        <v>62.524000000000001</v>
      </c>
      <c r="G19" s="87">
        <f t="shared" si="4"/>
        <v>1.45</v>
      </c>
      <c r="H19" s="84">
        <v>70</v>
      </c>
      <c r="I19" s="84">
        <v>2</v>
      </c>
      <c r="J19" s="84">
        <f t="shared" si="5"/>
        <v>13</v>
      </c>
      <c r="K19" s="84">
        <v>16</v>
      </c>
      <c r="L19" s="84">
        <v>250</v>
      </c>
      <c r="M19" s="84" t="s">
        <v>361</v>
      </c>
      <c r="N19" s="84" t="s">
        <v>358</v>
      </c>
      <c r="O19" s="88">
        <f t="shared" si="6"/>
        <v>253.75</v>
      </c>
      <c r="P19" s="84" t="s">
        <v>356</v>
      </c>
      <c r="Q19" s="84" t="s">
        <v>349</v>
      </c>
      <c r="R19" s="91" t="s">
        <v>337</v>
      </c>
      <c r="S19" s="89" t="s">
        <v>360</v>
      </c>
      <c r="T19" s="89" t="s">
        <v>356</v>
      </c>
      <c r="U19" s="286" t="s">
        <v>352</v>
      </c>
      <c r="V19" s="287"/>
    </row>
    <row r="20" spans="1:22" ht="16.5">
      <c r="A20" s="83">
        <v>150</v>
      </c>
      <c r="B20" s="84">
        <v>380</v>
      </c>
      <c r="C20" s="85">
        <f t="shared" si="0"/>
        <v>282</v>
      </c>
      <c r="D20" s="85">
        <f t="shared" si="1"/>
        <v>500</v>
      </c>
      <c r="E20" s="85">
        <f t="shared" si="2"/>
        <v>300</v>
      </c>
      <c r="F20" s="86">
        <f t="shared" si="3"/>
        <v>86.855999999999995</v>
      </c>
      <c r="G20" s="87">
        <f t="shared" si="4"/>
        <v>2.0142857142857142</v>
      </c>
      <c r="H20" s="84">
        <v>70</v>
      </c>
      <c r="I20" s="84">
        <v>2</v>
      </c>
      <c r="J20" s="84">
        <f t="shared" si="5"/>
        <v>15.6</v>
      </c>
      <c r="K20" s="84">
        <v>25</v>
      </c>
      <c r="L20" s="84">
        <v>300</v>
      </c>
      <c r="M20" s="84" t="s">
        <v>354</v>
      </c>
      <c r="N20" s="84" t="s">
        <v>355</v>
      </c>
      <c r="O20" s="88">
        <f t="shared" si="6"/>
        <v>352.5</v>
      </c>
      <c r="P20" s="84" t="s">
        <v>362</v>
      </c>
      <c r="Q20" s="84" t="s">
        <v>349</v>
      </c>
      <c r="R20" s="91" t="s">
        <v>337</v>
      </c>
      <c r="S20" s="89" t="s">
        <v>360</v>
      </c>
      <c r="T20" s="89" t="s">
        <v>362</v>
      </c>
      <c r="U20" s="286" t="s">
        <v>352</v>
      </c>
      <c r="V20" s="287"/>
    </row>
    <row r="21" spans="1:22" ht="16.5">
      <c r="A21" s="83">
        <v>150</v>
      </c>
      <c r="B21" s="84">
        <v>440</v>
      </c>
      <c r="C21" s="85">
        <f t="shared" si="0"/>
        <v>243</v>
      </c>
      <c r="D21" s="85">
        <f t="shared" si="1"/>
        <v>579</v>
      </c>
      <c r="E21" s="85">
        <f t="shared" si="2"/>
        <v>260</v>
      </c>
      <c r="F21" s="86">
        <f t="shared" si="3"/>
        <v>74.843999999999994</v>
      </c>
      <c r="G21" s="87">
        <f t="shared" si="4"/>
        <v>1.7357142857142858</v>
      </c>
      <c r="H21" s="84">
        <v>70</v>
      </c>
      <c r="I21" s="84">
        <v>2</v>
      </c>
      <c r="J21" s="84">
        <f t="shared" si="5"/>
        <v>15.6</v>
      </c>
      <c r="K21" s="84">
        <v>25</v>
      </c>
      <c r="L21" s="84">
        <v>300</v>
      </c>
      <c r="M21" s="84" t="s">
        <v>354</v>
      </c>
      <c r="N21" s="84" t="s">
        <v>355</v>
      </c>
      <c r="O21" s="88">
        <f t="shared" si="6"/>
        <v>303.75</v>
      </c>
      <c r="P21" s="84" t="s">
        <v>356</v>
      </c>
      <c r="Q21" s="84" t="s">
        <v>349</v>
      </c>
      <c r="R21" s="91" t="s">
        <v>337</v>
      </c>
      <c r="S21" s="89" t="s">
        <v>360</v>
      </c>
      <c r="T21" s="89" t="s">
        <v>362</v>
      </c>
      <c r="U21" s="286" t="s">
        <v>352</v>
      </c>
      <c r="V21" s="287"/>
    </row>
    <row r="22" spans="1:22" ht="16.5">
      <c r="A22" s="83">
        <v>200</v>
      </c>
      <c r="B22" s="84">
        <v>380</v>
      </c>
      <c r="C22" s="85">
        <f t="shared" si="0"/>
        <v>376</v>
      </c>
      <c r="D22" s="85">
        <f t="shared" si="1"/>
        <v>500</v>
      </c>
      <c r="E22" s="85">
        <f t="shared" si="2"/>
        <v>400</v>
      </c>
      <c r="F22" s="86">
        <f t="shared" si="3"/>
        <v>115.80800000000001</v>
      </c>
      <c r="G22" s="87">
        <f t="shared" si="4"/>
        <v>1.9789473684210526</v>
      </c>
      <c r="H22" s="84">
        <v>95</v>
      </c>
      <c r="I22" s="84">
        <v>2</v>
      </c>
      <c r="J22" s="84">
        <f t="shared" si="5"/>
        <v>20.8</v>
      </c>
      <c r="K22" s="84">
        <v>25</v>
      </c>
      <c r="L22" s="84">
        <v>400</v>
      </c>
      <c r="M22" s="84" t="s">
        <v>363</v>
      </c>
      <c r="N22" s="84" t="s">
        <v>355</v>
      </c>
      <c r="O22" s="88">
        <f t="shared" si="6"/>
        <v>470</v>
      </c>
      <c r="P22" s="84" t="s">
        <v>364</v>
      </c>
      <c r="Q22" s="84" t="s">
        <v>365</v>
      </c>
      <c r="R22" s="91" t="s">
        <v>337</v>
      </c>
      <c r="S22" s="89" t="s">
        <v>360</v>
      </c>
      <c r="T22" s="89" t="s">
        <v>364</v>
      </c>
      <c r="U22" s="286" t="s">
        <v>352</v>
      </c>
      <c r="V22" s="287"/>
    </row>
    <row r="23" spans="1:22" ht="16.5">
      <c r="A23" s="83">
        <v>200</v>
      </c>
      <c r="B23" s="84">
        <v>440</v>
      </c>
      <c r="C23" s="85">
        <f t="shared" si="0"/>
        <v>324</v>
      </c>
      <c r="D23" s="85">
        <f t="shared" si="1"/>
        <v>579</v>
      </c>
      <c r="E23" s="85">
        <f t="shared" si="2"/>
        <v>346</v>
      </c>
      <c r="F23" s="86">
        <f t="shared" si="3"/>
        <v>99.792000000000002</v>
      </c>
      <c r="G23" s="87">
        <f t="shared" si="4"/>
        <v>1.7052631578947368</v>
      </c>
      <c r="H23" s="84">
        <v>95</v>
      </c>
      <c r="I23" s="84">
        <v>2</v>
      </c>
      <c r="J23" s="84">
        <f t="shared" si="5"/>
        <v>20.8</v>
      </c>
      <c r="K23" s="84">
        <v>25</v>
      </c>
      <c r="L23" s="84">
        <v>400</v>
      </c>
      <c r="M23" s="84" t="s">
        <v>363</v>
      </c>
      <c r="N23" s="84" t="s">
        <v>355</v>
      </c>
      <c r="O23" s="88">
        <f t="shared" si="6"/>
        <v>405</v>
      </c>
      <c r="P23" s="84" t="s">
        <v>362</v>
      </c>
      <c r="Q23" s="84" t="s">
        <v>365</v>
      </c>
      <c r="R23" s="91" t="s">
        <v>337</v>
      </c>
      <c r="S23" s="89" t="s">
        <v>360</v>
      </c>
      <c r="T23" s="89" t="s">
        <v>364</v>
      </c>
      <c r="U23" s="286" t="s">
        <v>352</v>
      </c>
      <c r="V23" s="287"/>
    </row>
    <row r="24" spans="1:22" ht="16.5">
      <c r="A24" s="83">
        <v>250</v>
      </c>
      <c r="B24" s="84">
        <v>380</v>
      </c>
      <c r="C24" s="85">
        <f t="shared" si="0"/>
        <v>469</v>
      </c>
      <c r="D24" s="85">
        <f t="shared" si="1"/>
        <v>500</v>
      </c>
      <c r="E24" s="85">
        <f t="shared" si="2"/>
        <v>500</v>
      </c>
      <c r="F24" s="86">
        <f t="shared" si="3"/>
        <v>144.452</v>
      </c>
      <c r="G24" s="87">
        <f t="shared" si="4"/>
        <v>1.9541666666666666</v>
      </c>
      <c r="H24" s="84">
        <v>120</v>
      </c>
      <c r="I24" s="84">
        <v>2</v>
      </c>
      <c r="J24" s="84">
        <f t="shared" si="5"/>
        <v>26</v>
      </c>
      <c r="K24" s="84">
        <v>35</v>
      </c>
      <c r="L24" s="84">
        <v>500</v>
      </c>
      <c r="M24" s="84" t="s">
        <v>366</v>
      </c>
      <c r="N24" s="84" t="s">
        <v>367</v>
      </c>
      <c r="O24" s="88">
        <f t="shared" si="6"/>
        <v>586.25</v>
      </c>
      <c r="P24" s="84" t="s">
        <v>368</v>
      </c>
      <c r="Q24" s="84" t="s">
        <v>365</v>
      </c>
      <c r="R24" s="91" t="s">
        <v>337</v>
      </c>
      <c r="S24" s="89" t="s">
        <v>369</v>
      </c>
      <c r="T24" s="89" t="s">
        <v>368</v>
      </c>
      <c r="U24" s="286" t="s">
        <v>352</v>
      </c>
      <c r="V24" s="287"/>
    </row>
    <row r="25" spans="1:22" ht="16.5">
      <c r="A25" s="83">
        <v>250</v>
      </c>
      <c r="B25" s="84">
        <v>440</v>
      </c>
      <c r="C25" s="85">
        <f t="shared" si="0"/>
        <v>405</v>
      </c>
      <c r="D25" s="85">
        <f t="shared" si="1"/>
        <v>579</v>
      </c>
      <c r="E25" s="85">
        <f t="shared" si="2"/>
        <v>432</v>
      </c>
      <c r="F25" s="86">
        <f t="shared" si="3"/>
        <v>124.74</v>
      </c>
      <c r="G25" s="87">
        <f t="shared" si="4"/>
        <v>1.6875</v>
      </c>
      <c r="H25" s="84">
        <v>120</v>
      </c>
      <c r="I25" s="84">
        <v>2</v>
      </c>
      <c r="J25" s="84">
        <f t="shared" si="5"/>
        <v>26</v>
      </c>
      <c r="K25" s="84">
        <v>35</v>
      </c>
      <c r="L25" s="84">
        <v>500</v>
      </c>
      <c r="M25" s="84" t="s">
        <v>363</v>
      </c>
      <c r="N25" s="84" t="s">
        <v>370</v>
      </c>
      <c r="O25" s="88">
        <f t="shared" si="6"/>
        <v>506.25</v>
      </c>
      <c r="P25" s="84" t="s">
        <v>364</v>
      </c>
      <c r="Q25" s="84" t="s">
        <v>365</v>
      </c>
      <c r="R25" s="91" t="s">
        <v>337</v>
      </c>
      <c r="S25" s="89" t="s">
        <v>369</v>
      </c>
      <c r="T25" s="89" t="s">
        <v>368</v>
      </c>
      <c r="U25" s="286" t="s">
        <v>352</v>
      </c>
      <c r="V25" s="287"/>
    </row>
    <row r="26" spans="1:22" ht="16.5">
      <c r="A26" s="83">
        <v>300</v>
      </c>
      <c r="B26" s="84">
        <v>380</v>
      </c>
      <c r="C26" s="85">
        <f t="shared" si="0"/>
        <v>563</v>
      </c>
      <c r="D26" s="85">
        <f t="shared" si="1"/>
        <v>500</v>
      </c>
      <c r="E26" s="85">
        <f t="shared" si="2"/>
        <v>600</v>
      </c>
      <c r="F26" s="86">
        <f t="shared" si="3"/>
        <v>173.404</v>
      </c>
      <c r="G26" s="87">
        <f t="shared" si="4"/>
        <v>1.8766666666666667</v>
      </c>
      <c r="H26" s="84">
        <v>150</v>
      </c>
      <c r="I26" s="84">
        <v>2</v>
      </c>
      <c r="J26" s="84">
        <f t="shared" si="5"/>
        <v>32.76</v>
      </c>
      <c r="K26" s="84">
        <v>35</v>
      </c>
      <c r="L26" s="84">
        <v>630</v>
      </c>
      <c r="M26" s="84" t="s">
        <v>371</v>
      </c>
      <c r="N26" s="84" t="s">
        <v>367</v>
      </c>
      <c r="O26" s="88">
        <f t="shared" si="6"/>
        <v>703.75</v>
      </c>
      <c r="P26" s="84" t="s">
        <v>372</v>
      </c>
      <c r="Q26" s="84" t="s">
        <v>365</v>
      </c>
      <c r="R26" s="91" t="s">
        <v>337</v>
      </c>
      <c r="S26" s="89" t="s">
        <v>369</v>
      </c>
      <c r="T26" s="89" t="s">
        <v>372</v>
      </c>
      <c r="U26" s="286" t="s">
        <v>352</v>
      </c>
      <c r="V26" s="287"/>
    </row>
    <row r="27" spans="1:22" ht="16.5">
      <c r="A27" s="83">
        <v>300</v>
      </c>
      <c r="B27" s="84">
        <v>440</v>
      </c>
      <c r="C27" s="85">
        <f t="shared" si="0"/>
        <v>486</v>
      </c>
      <c r="D27" s="85">
        <f t="shared" si="1"/>
        <v>579</v>
      </c>
      <c r="E27" s="85">
        <f t="shared" si="2"/>
        <v>519</v>
      </c>
      <c r="F27" s="86">
        <f t="shared" si="3"/>
        <v>149.68799999999999</v>
      </c>
      <c r="G27" s="87">
        <f t="shared" si="4"/>
        <v>1.62</v>
      </c>
      <c r="H27" s="84">
        <v>150</v>
      </c>
      <c r="I27" s="84">
        <v>2</v>
      </c>
      <c r="J27" s="84">
        <f t="shared" si="5"/>
        <v>32.76</v>
      </c>
      <c r="K27" s="84">
        <v>35</v>
      </c>
      <c r="L27" s="84">
        <v>630</v>
      </c>
      <c r="M27" s="84" t="s">
        <v>371</v>
      </c>
      <c r="N27" s="84" t="s">
        <v>367</v>
      </c>
      <c r="O27" s="88">
        <f t="shared" si="6"/>
        <v>607.5</v>
      </c>
      <c r="P27" s="84" t="s">
        <v>368</v>
      </c>
      <c r="Q27" s="84" t="s">
        <v>365</v>
      </c>
      <c r="R27" s="91" t="s">
        <v>337</v>
      </c>
      <c r="S27" s="89" t="s">
        <v>369</v>
      </c>
      <c r="T27" s="89" t="s">
        <v>372</v>
      </c>
      <c r="U27" s="286" t="s">
        <v>352</v>
      </c>
      <c r="V27" s="287"/>
    </row>
    <row r="28" spans="1:22" ht="16.5">
      <c r="A28" s="83">
        <v>350</v>
      </c>
      <c r="B28" s="84">
        <v>440</v>
      </c>
      <c r="C28" s="85">
        <f t="shared" si="0"/>
        <v>567</v>
      </c>
      <c r="D28" s="85">
        <f t="shared" si="1"/>
        <v>579</v>
      </c>
      <c r="E28" s="85">
        <f t="shared" si="2"/>
        <v>605</v>
      </c>
      <c r="F28" s="86">
        <f t="shared" si="3"/>
        <v>174.636</v>
      </c>
      <c r="G28" s="87">
        <f t="shared" si="4"/>
        <v>1.89</v>
      </c>
      <c r="H28" s="84">
        <v>150</v>
      </c>
      <c r="I28" s="84">
        <v>2</v>
      </c>
      <c r="J28" s="84">
        <f t="shared" si="5"/>
        <v>36.4</v>
      </c>
      <c r="K28" s="84">
        <v>50</v>
      </c>
      <c r="L28" s="84">
        <v>700</v>
      </c>
      <c r="M28" s="84" t="s">
        <v>373</v>
      </c>
      <c r="N28" s="84" t="s">
        <v>374</v>
      </c>
      <c r="O28" s="88">
        <f t="shared" si="6"/>
        <v>708.75</v>
      </c>
      <c r="P28" s="84" t="s">
        <v>372</v>
      </c>
      <c r="Q28" s="84" t="s">
        <v>365</v>
      </c>
      <c r="R28" s="91" t="s">
        <v>337</v>
      </c>
      <c r="S28" s="89" t="s">
        <v>369</v>
      </c>
      <c r="T28" s="89" t="s">
        <v>372</v>
      </c>
      <c r="U28" s="286" t="s">
        <v>352</v>
      </c>
      <c r="V28" s="287"/>
    </row>
    <row r="29" spans="1:22" ht="16.5">
      <c r="A29" s="83">
        <v>400</v>
      </c>
      <c r="B29" s="84">
        <v>440</v>
      </c>
      <c r="C29" s="85">
        <f t="shared" si="0"/>
        <v>648</v>
      </c>
      <c r="D29" s="85">
        <f t="shared" si="1"/>
        <v>579</v>
      </c>
      <c r="E29" s="85">
        <f t="shared" si="2"/>
        <v>691</v>
      </c>
      <c r="F29" s="86">
        <f t="shared" si="3"/>
        <v>199.584</v>
      </c>
      <c r="G29" s="87">
        <f t="shared" si="4"/>
        <v>2.16</v>
      </c>
      <c r="H29" s="84">
        <v>150</v>
      </c>
      <c r="I29" s="84">
        <v>2</v>
      </c>
      <c r="J29" s="84">
        <f t="shared" si="5"/>
        <v>41.6</v>
      </c>
      <c r="K29" s="84">
        <v>50</v>
      </c>
      <c r="L29" s="84">
        <v>800</v>
      </c>
      <c r="M29" s="84" t="s">
        <v>373</v>
      </c>
      <c r="N29" s="84" t="s">
        <v>374</v>
      </c>
      <c r="O29" s="88">
        <f t="shared" si="6"/>
        <v>810</v>
      </c>
      <c r="P29" s="84" t="s">
        <v>372</v>
      </c>
      <c r="Q29" s="84" t="s">
        <v>375</v>
      </c>
      <c r="R29" s="91" t="s">
        <v>337</v>
      </c>
      <c r="S29" s="89" t="s">
        <v>369</v>
      </c>
      <c r="T29" s="89" t="s">
        <v>376</v>
      </c>
      <c r="U29" s="286" t="s">
        <v>352</v>
      </c>
      <c r="V29" s="287"/>
    </row>
    <row r="30" spans="1:22" ht="16.5">
      <c r="A30" s="83">
        <v>450</v>
      </c>
      <c r="B30" s="84">
        <v>440</v>
      </c>
      <c r="C30" s="85">
        <f t="shared" si="0"/>
        <v>729</v>
      </c>
      <c r="D30" s="85">
        <f t="shared" si="1"/>
        <v>579</v>
      </c>
      <c r="E30" s="85">
        <f t="shared" si="2"/>
        <v>778</v>
      </c>
      <c r="F30" s="86"/>
      <c r="G30" s="87">
        <f t="shared" si="4"/>
        <v>1.9702702702702704</v>
      </c>
      <c r="H30" s="84">
        <v>185</v>
      </c>
      <c r="I30" s="84">
        <v>2</v>
      </c>
      <c r="J30" s="84">
        <f t="shared" si="5"/>
        <v>41.6</v>
      </c>
      <c r="K30" s="84">
        <v>50</v>
      </c>
      <c r="L30" s="84">
        <v>800</v>
      </c>
      <c r="M30" s="84" t="s">
        <v>373</v>
      </c>
      <c r="N30" s="84" t="s">
        <v>377</v>
      </c>
      <c r="O30" s="88">
        <f t="shared" si="6"/>
        <v>911.25</v>
      </c>
      <c r="P30" s="84" t="s">
        <v>378</v>
      </c>
      <c r="Q30" s="84" t="s">
        <v>375</v>
      </c>
      <c r="R30" s="91" t="s">
        <v>337</v>
      </c>
      <c r="S30" s="89" t="s">
        <v>369</v>
      </c>
      <c r="T30" s="89" t="s">
        <v>376</v>
      </c>
      <c r="U30" s="286" t="s">
        <v>352</v>
      </c>
      <c r="V30" s="287"/>
    </row>
    <row r="31" spans="1:22" ht="16.5">
      <c r="A31" s="83">
        <v>500</v>
      </c>
      <c r="B31" s="84">
        <v>440</v>
      </c>
      <c r="C31" s="85">
        <f t="shared" si="0"/>
        <v>810</v>
      </c>
      <c r="D31" s="85">
        <f t="shared" si="1"/>
        <v>579</v>
      </c>
      <c r="E31" s="85">
        <f t="shared" si="2"/>
        <v>864</v>
      </c>
      <c r="F31" s="86">
        <f t="shared" si="3"/>
        <v>249.48</v>
      </c>
      <c r="G31" s="87">
        <f t="shared" si="4"/>
        <v>2.189189189189189</v>
      </c>
      <c r="H31" s="84">
        <v>185</v>
      </c>
      <c r="I31" s="84">
        <v>2</v>
      </c>
      <c r="J31" s="84">
        <f t="shared" si="5"/>
        <v>52</v>
      </c>
      <c r="K31" s="84">
        <v>70</v>
      </c>
      <c r="L31" s="84">
        <v>1000</v>
      </c>
      <c r="M31" s="84" t="s">
        <v>379</v>
      </c>
      <c r="N31" s="84" t="s">
        <v>380</v>
      </c>
      <c r="O31" s="88">
        <f t="shared" si="6"/>
        <v>1012.5</v>
      </c>
      <c r="P31" s="84" t="s">
        <v>376</v>
      </c>
      <c r="Q31" s="84" t="s">
        <v>375</v>
      </c>
      <c r="R31" s="91" t="s">
        <v>337</v>
      </c>
      <c r="S31" s="89" t="s">
        <v>381</v>
      </c>
      <c r="T31" s="89" t="s">
        <v>382</v>
      </c>
      <c r="U31" s="286" t="s">
        <v>352</v>
      </c>
      <c r="V31" s="287"/>
    </row>
    <row r="32" spans="1:22" ht="16.5">
      <c r="A32" s="83">
        <v>600</v>
      </c>
      <c r="B32" s="84">
        <v>460</v>
      </c>
      <c r="C32" s="85">
        <f t="shared" si="0"/>
        <v>930</v>
      </c>
      <c r="D32" s="85">
        <f t="shared" si="1"/>
        <v>606</v>
      </c>
      <c r="E32" s="85">
        <f t="shared" si="2"/>
        <v>991</v>
      </c>
      <c r="F32" s="86">
        <f t="shared" si="3"/>
        <v>286.44</v>
      </c>
      <c r="G32" s="87">
        <f t="shared" si="4"/>
        <v>1.6756756756756757</v>
      </c>
      <c r="H32" s="84">
        <v>185</v>
      </c>
      <c r="I32" s="84">
        <v>3</v>
      </c>
      <c r="J32" s="84">
        <f t="shared" si="5"/>
        <v>62.4</v>
      </c>
      <c r="K32" s="84">
        <v>70</v>
      </c>
      <c r="L32" s="84">
        <v>1200</v>
      </c>
      <c r="M32" s="84" t="s">
        <v>383</v>
      </c>
      <c r="N32" s="84" t="s">
        <v>380</v>
      </c>
      <c r="O32" s="88">
        <f t="shared" si="6"/>
        <v>1162.5</v>
      </c>
      <c r="P32" s="84" t="s">
        <v>384</v>
      </c>
      <c r="Q32" s="84" t="s">
        <v>375</v>
      </c>
      <c r="R32" s="91" t="s">
        <v>337</v>
      </c>
      <c r="S32" s="89" t="s">
        <v>385</v>
      </c>
      <c r="T32" s="89" t="s">
        <v>382</v>
      </c>
      <c r="U32" s="84" t="s">
        <v>386</v>
      </c>
      <c r="V32" s="92" t="s">
        <v>387</v>
      </c>
    </row>
    <row r="33" spans="1:22" ht="16.5">
      <c r="A33" s="83">
        <v>700</v>
      </c>
      <c r="B33" s="84">
        <v>460</v>
      </c>
      <c r="C33" s="85">
        <f t="shared" si="0"/>
        <v>1085</v>
      </c>
      <c r="D33" s="85">
        <f t="shared" si="1"/>
        <v>606</v>
      </c>
      <c r="E33" s="85">
        <f t="shared" si="2"/>
        <v>1156</v>
      </c>
      <c r="F33" s="86">
        <f t="shared" si="3"/>
        <v>334.18</v>
      </c>
      <c r="G33" s="87">
        <f t="shared" si="4"/>
        <v>1.4662162162162162</v>
      </c>
      <c r="H33" s="84">
        <v>185</v>
      </c>
      <c r="I33" s="84">
        <v>4</v>
      </c>
      <c r="J33" s="84">
        <f t="shared" si="5"/>
        <v>65</v>
      </c>
      <c r="K33" s="84">
        <v>70</v>
      </c>
      <c r="L33" s="84">
        <v>1250</v>
      </c>
      <c r="M33" s="84" t="s">
        <v>388</v>
      </c>
      <c r="N33" s="84" t="s">
        <v>389</v>
      </c>
      <c r="O33" s="88">
        <f t="shared" si="6"/>
        <v>1356.25</v>
      </c>
      <c r="P33" s="91" t="s">
        <v>390</v>
      </c>
      <c r="Q33" s="84" t="s">
        <v>391</v>
      </c>
      <c r="R33" s="91" t="s">
        <v>390</v>
      </c>
      <c r="S33" s="89" t="s">
        <v>392</v>
      </c>
      <c r="T33" s="89" t="s">
        <v>393</v>
      </c>
      <c r="U33" s="84" t="s">
        <v>394</v>
      </c>
      <c r="V33" s="92" t="s">
        <v>395</v>
      </c>
    </row>
    <row r="34" spans="1:22" ht="16.5">
      <c r="A34" s="83">
        <v>750</v>
      </c>
      <c r="B34" s="84">
        <v>460</v>
      </c>
      <c r="C34" s="85">
        <f t="shared" si="0"/>
        <v>1163</v>
      </c>
      <c r="D34" s="85">
        <f t="shared" si="1"/>
        <v>606</v>
      </c>
      <c r="E34" s="85">
        <f t="shared" si="2"/>
        <v>1238</v>
      </c>
      <c r="F34" s="86">
        <f t="shared" si="3"/>
        <v>358.20400000000001</v>
      </c>
      <c r="G34" s="87">
        <f t="shared" si="4"/>
        <v>1.5716216216216217</v>
      </c>
      <c r="H34" s="84">
        <v>185</v>
      </c>
      <c r="I34" s="84">
        <v>4</v>
      </c>
      <c r="J34" s="84">
        <f t="shared" si="5"/>
        <v>65</v>
      </c>
      <c r="K34" s="84">
        <v>70</v>
      </c>
      <c r="L34" s="84">
        <v>1250</v>
      </c>
      <c r="M34" s="84" t="s">
        <v>388</v>
      </c>
      <c r="N34" s="84" t="s">
        <v>389</v>
      </c>
      <c r="O34" s="88">
        <f t="shared" si="6"/>
        <v>1453.75</v>
      </c>
      <c r="P34" s="91" t="s">
        <v>390</v>
      </c>
      <c r="Q34" s="84" t="s">
        <v>391</v>
      </c>
      <c r="R34" s="91" t="s">
        <v>390</v>
      </c>
      <c r="S34" s="89" t="s">
        <v>392</v>
      </c>
      <c r="T34" s="89" t="s">
        <v>396</v>
      </c>
      <c r="U34" s="84" t="s">
        <v>394</v>
      </c>
      <c r="V34" s="92" t="s">
        <v>395</v>
      </c>
    </row>
    <row r="35" spans="1:22" ht="16.5">
      <c r="A35" s="83">
        <v>800</v>
      </c>
      <c r="B35" s="84">
        <v>460</v>
      </c>
      <c r="C35" s="85">
        <f t="shared" si="0"/>
        <v>1240</v>
      </c>
      <c r="D35" s="85">
        <f t="shared" si="1"/>
        <v>606</v>
      </c>
      <c r="E35" s="85">
        <f t="shared" si="2"/>
        <v>1321</v>
      </c>
      <c r="F35" s="86">
        <f t="shared" si="3"/>
        <v>381.92</v>
      </c>
      <c r="G35" s="87">
        <f t="shared" si="4"/>
        <v>1.6756756756756757</v>
      </c>
      <c r="H35" s="84">
        <v>185</v>
      </c>
      <c r="I35" s="84">
        <v>4</v>
      </c>
      <c r="J35" s="84">
        <f t="shared" si="5"/>
        <v>83.2</v>
      </c>
      <c r="K35" s="84">
        <v>95</v>
      </c>
      <c r="L35" s="84">
        <v>1600</v>
      </c>
      <c r="M35" s="84" t="s">
        <v>397</v>
      </c>
      <c r="N35" s="84" t="s">
        <v>398</v>
      </c>
      <c r="O35" s="88">
        <f t="shared" si="6"/>
        <v>1550</v>
      </c>
      <c r="P35" s="91" t="s">
        <v>390</v>
      </c>
      <c r="Q35" s="84" t="s">
        <v>391</v>
      </c>
      <c r="R35" s="91" t="s">
        <v>390</v>
      </c>
      <c r="S35" s="89" t="s">
        <v>392</v>
      </c>
      <c r="T35" s="89" t="s">
        <v>396</v>
      </c>
      <c r="U35" s="84" t="s">
        <v>394</v>
      </c>
      <c r="V35" s="92" t="s">
        <v>395</v>
      </c>
    </row>
    <row r="36" spans="1:22" ht="16.5">
      <c r="A36" s="83">
        <v>1000</v>
      </c>
      <c r="B36" s="84">
        <v>460</v>
      </c>
      <c r="C36" s="85">
        <f t="shared" si="0"/>
        <v>1550</v>
      </c>
      <c r="D36" s="85">
        <f t="shared" si="1"/>
        <v>606</v>
      </c>
      <c r="E36" s="85">
        <f t="shared" si="2"/>
        <v>1651</v>
      </c>
      <c r="F36" s="86">
        <f t="shared" si="3"/>
        <v>477.4</v>
      </c>
      <c r="G36" s="87">
        <f t="shared" si="4"/>
        <v>1.6145833333333333</v>
      </c>
      <c r="H36" s="84">
        <v>240</v>
      </c>
      <c r="I36" s="84">
        <v>4</v>
      </c>
      <c r="J36" s="84">
        <f t="shared" si="5"/>
        <v>104</v>
      </c>
      <c r="K36" s="84">
        <v>120</v>
      </c>
      <c r="L36" s="84">
        <v>2000</v>
      </c>
      <c r="M36" s="84" t="s">
        <v>399</v>
      </c>
      <c r="N36" s="84" t="s">
        <v>400</v>
      </c>
      <c r="O36" s="88">
        <f t="shared" si="6"/>
        <v>1937.5</v>
      </c>
      <c r="P36" s="91" t="s">
        <v>390</v>
      </c>
      <c r="Q36" s="84" t="s">
        <v>401</v>
      </c>
      <c r="R36" s="84" t="s">
        <v>402</v>
      </c>
      <c r="S36" s="89" t="s">
        <v>392</v>
      </c>
      <c r="T36" s="89" t="s">
        <v>403</v>
      </c>
      <c r="U36" s="84" t="s">
        <v>394</v>
      </c>
      <c r="V36" s="92" t="s">
        <v>395</v>
      </c>
    </row>
    <row r="37" spans="1:22" ht="16.5">
      <c r="A37" s="83">
        <v>1200</v>
      </c>
      <c r="B37" s="84">
        <v>460</v>
      </c>
      <c r="C37" s="85">
        <f t="shared" si="0"/>
        <v>1860</v>
      </c>
      <c r="D37" s="85">
        <f t="shared" si="1"/>
        <v>606</v>
      </c>
      <c r="E37" s="85">
        <f t="shared" si="2"/>
        <v>1981</v>
      </c>
      <c r="F37" s="86">
        <f t="shared" si="3"/>
        <v>572.88</v>
      </c>
      <c r="G37" s="87">
        <f t="shared" si="4"/>
        <v>1.55</v>
      </c>
      <c r="H37" s="84">
        <v>300</v>
      </c>
      <c r="I37" s="84">
        <v>4</v>
      </c>
      <c r="J37" s="84">
        <f t="shared" si="5"/>
        <v>130</v>
      </c>
      <c r="K37" s="84">
        <v>150</v>
      </c>
      <c r="L37" s="84">
        <v>2500</v>
      </c>
      <c r="M37" s="84" t="s">
        <v>404</v>
      </c>
      <c r="N37" s="84" t="s">
        <v>405</v>
      </c>
      <c r="O37" s="88">
        <f t="shared" si="6"/>
        <v>2325</v>
      </c>
      <c r="P37" s="91" t="s">
        <v>390</v>
      </c>
      <c r="Q37" s="84"/>
      <c r="R37" s="84" t="s">
        <v>402</v>
      </c>
      <c r="S37" s="89" t="s">
        <v>392</v>
      </c>
      <c r="T37" s="89" t="s">
        <v>403</v>
      </c>
      <c r="U37" s="84" t="s">
        <v>394</v>
      </c>
      <c r="V37" s="92" t="s">
        <v>406</v>
      </c>
    </row>
    <row r="38" spans="1:22" ht="16.5">
      <c r="A38" s="83">
        <v>1250</v>
      </c>
      <c r="B38" s="84">
        <v>460</v>
      </c>
      <c r="C38" s="85">
        <f t="shared" si="0"/>
        <v>1937</v>
      </c>
      <c r="D38" s="85">
        <f t="shared" si="1"/>
        <v>606</v>
      </c>
      <c r="E38" s="85">
        <f t="shared" si="2"/>
        <v>2063</v>
      </c>
      <c r="F38" s="86">
        <f t="shared" si="3"/>
        <v>596.596</v>
      </c>
      <c r="G38" s="87">
        <f t="shared" si="4"/>
        <v>1.6141666666666667</v>
      </c>
      <c r="H38" s="84">
        <v>300</v>
      </c>
      <c r="I38" s="84">
        <v>4</v>
      </c>
      <c r="J38" s="84">
        <f t="shared" si="5"/>
        <v>130</v>
      </c>
      <c r="K38" s="84">
        <v>150</v>
      </c>
      <c r="L38" s="84">
        <v>2500</v>
      </c>
      <c r="M38" s="84" t="s">
        <v>407</v>
      </c>
      <c r="N38" s="84" t="s">
        <v>408</v>
      </c>
      <c r="O38" s="88">
        <f t="shared" si="6"/>
        <v>2421.25</v>
      </c>
      <c r="P38" s="91" t="s">
        <v>409</v>
      </c>
      <c r="Q38" s="84"/>
      <c r="R38" s="84" t="s">
        <v>410</v>
      </c>
      <c r="S38" s="89" t="s">
        <v>411</v>
      </c>
      <c r="T38" s="89" t="s">
        <v>412</v>
      </c>
      <c r="U38" s="84" t="s">
        <v>413</v>
      </c>
      <c r="V38" s="92" t="s">
        <v>406</v>
      </c>
    </row>
    <row r="39" spans="1:22" ht="16.5">
      <c r="A39" s="83">
        <v>1500</v>
      </c>
      <c r="B39" s="84">
        <v>460</v>
      </c>
      <c r="C39" s="85">
        <f t="shared" si="0"/>
        <v>2325</v>
      </c>
      <c r="D39" s="85">
        <f t="shared" si="1"/>
        <v>606</v>
      </c>
      <c r="E39" s="85">
        <f t="shared" si="2"/>
        <v>2476</v>
      </c>
      <c r="F39" s="86">
        <f t="shared" si="3"/>
        <v>716.1</v>
      </c>
      <c r="G39" s="87">
        <f t="shared" si="4"/>
        <v>1.55</v>
      </c>
      <c r="H39" s="84">
        <v>300</v>
      </c>
      <c r="I39" s="84">
        <v>5</v>
      </c>
      <c r="J39" s="84">
        <f t="shared" si="5"/>
        <v>130</v>
      </c>
      <c r="K39" s="84">
        <v>150</v>
      </c>
      <c r="L39" s="84">
        <v>2500</v>
      </c>
      <c r="M39" s="84" t="s">
        <v>407</v>
      </c>
      <c r="N39" s="84" t="s">
        <v>408</v>
      </c>
      <c r="O39" s="88">
        <f t="shared" si="6"/>
        <v>2906.25</v>
      </c>
      <c r="P39" s="91" t="s">
        <v>409</v>
      </c>
      <c r="Q39" s="84" t="s">
        <v>414</v>
      </c>
      <c r="R39" s="84" t="s">
        <v>410</v>
      </c>
      <c r="S39" s="89" t="s">
        <v>411</v>
      </c>
      <c r="T39" s="89" t="s">
        <v>415</v>
      </c>
      <c r="U39" s="84" t="s">
        <v>394</v>
      </c>
      <c r="V39" s="92" t="s">
        <v>416</v>
      </c>
    </row>
    <row r="40" spans="1:22" ht="16.5">
      <c r="A40" s="83">
        <v>1500</v>
      </c>
      <c r="B40" s="84">
        <v>650</v>
      </c>
      <c r="C40" s="85">
        <f t="shared" si="0"/>
        <v>1645</v>
      </c>
      <c r="D40" s="85">
        <f t="shared" si="1"/>
        <v>855</v>
      </c>
      <c r="E40" s="85">
        <f t="shared" si="2"/>
        <v>1755</v>
      </c>
      <c r="F40" s="86">
        <f t="shared" si="3"/>
        <v>506.66</v>
      </c>
      <c r="G40" s="87">
        <f t="shared" si="4"/>
        <v>1.7135416666666667</v>
      </c>
      <c r="H40" s="84">
        <v>240</v>
      </c>
      <c r="I40" s="84">
        <v>4</v>
      </c>
      <c r="J40" s="84">
        <f t="shared" si="5"/>
        <v>104</v>
      </c>
      <c r="K40" s="84">
        <v>120</v>
      </c>
      <c r="L40" s="84">
        <v>2000</v>
      </c>
      <c r="M40" s="84" t="s">
        <v>399</v>
      </c>
      <c r="N40" s="84" t="s">
        <v>400</v>
      </c>
      <c r="O40" s="88">
        <f t="shared" si="6"/>
        <v>2056.25</v>
      </c>
      <c r="P40" s="91" t="s">
        <v>390</v>
      </c>
      <c r="Q40" s="84"/>
      <c r="R40" s="84" t="s">
        <v>402</v>
      </c>
      <c r="S40" s="89" t="s">
        <v>392</v>
      </c>
      <c r="T40" s="89" t="s">
        <v>403</v>
      </c>
      <c r="U40" s="84" t="s">
        <v>394</v>
      </c>
      <c r="V40" s="92" t="s">
        <v>416</v>
      </c>
    </row>
    <row r="41" spans="1:22" ht="16.5">
      <c r="A41" s="83">
        <v>1600</v>
      </c>
      <c r="B41" s="84">
        <v>690</v>
      </c>
      <c r="C41" s="85">
        <f>ROUNDUP(A41/(B41*0.9)/3^0.5*1000/0.9,0)</f>
        <v>1653</v>
      </c>
      <c r="D41" s="85">
        <f>ROUNDUP(B41*2^0.5*0.93,0)</f>
        <v>908</v>
      </c>
      <c r="E41" s="85">
        <f>ROUNDUP(A41*1000/D41,0)</f>
        <v>1763</v>
      </c>
      <c r="F41" s="86">
        <f>30.8*100*C41/(1000*10)</f>
        <v>509.12400000000002</v>
      </c>
      <c r="G41" s="87">
        <f>C41/(H41*I41)</f>
        <v>1.721875</v>
      </c>
      <c r="H41" s="84">
        <v>240</v>
      </c>
      <c r="I41" s="84">
        <v>4</v>
      </c>
      <c r="J41" s="84">
        <f>L41*0.052</f>
        <v>104</v>
      </c>
      <c r="K41" s="84">
        <v>120</v>
      </c>
      <c r="L41" s="84">
        <v>2000</v>
      </c>
      <c r="M41" s="84" t="s">
        <v>399</v>
      </c>
      <c r="N41" s="84" t="s">
        <v>400</v>
      </c>
      <c r="O41" s="88">
        <f>SUM(C41*1.25)</f>
        <v>2066.25</v>
      </c>
      <c r="P41" s="91" t="s">
        <v>337</v>
      </c>
      <c r="Q41" s="84"/>
      <c r="R41" s="84" t="s">
        <v>402</v>
      </c>
      <c r="S41" s="89" t="s">
        <v>392</v>
      </c>
      <c r="T41" s="89" t="s">
        <v>403</v>
      </c>
      <c r="U41" s="84" t="s">
        <v>386</v>
      </c>
      <c r="V41" s="92" t="s">
        <v>492</v>
      </c>
    </row>
    <row r="42" spans="1:22" ht="16.5">
      <c r="A42" s="83">
        <v>2000</v>
      </c>
      <c r="B42" s="84">
        <v>460</v>
      </c>
      <c r="C42" s="85">
        <f t="shared" si="0"/>
        <v>3100</v>
      </c>
      <c r="D42" s="85">
        <f t="shared" si="1"/>
        <v>606</v>
      </c>
      <c r="E42" s="85">
        <f t="shared" si="2"/>
        <v>3301</v>
      </c>
      <c r="F42" s="86">
        <f t="shared" si="3"/>
        <v>954.8</v>
      </c>
      <c r="G42" s="87">
        <f t="shared" si="4"/>
        <v>1.2916666666666667</v>
      </c>
      <c r="H42" s="84">
        <v>400</v>
      </c>
      <c r="I42" s="84">
        <v>6</v>
      </c>
      <c r="J42" s="84">
        <f t="shared" si="5"/>
        <v>166.4</v>
      </c>
      <c r="K42" s="84">
        <v>185</v>
      </c>
      <c r="L42" s="84">
        <v>3200</v>
      </c>
      <c r="M42" s="84" t="s">
        <v>417</v>
      </c>
      <c r="N42" s="84" t="s">
        <v>418</v>
      </c>
      <c r="O42" s="88">
        <f t="shared" si="6"/>
        <v>3875</v>
      </c>
      <c r="P42" s="91" t="s">
        <v>390</v>
      </c>
      <c r="Q42" s="84" t="s">
        <v>419</v>
      </c>
      <c r="R42" s="84" t="s">
        <v>420</v>
      </c>
      <c r="S42" s="89" t="s">
        <v>392</v>
      </c>
      <c r="T42" s="89" t="s">
        <v>421</v>
      </c>
      <c r="U42" s="84" t="s">
        <v>394</v>
      </c>
      <c r="V42" s="92" t="s">
        <v>422</v>
      </c>
    </row>
    <row r="43" spans="1:22" ht="16.5">
      <c r="A43" s="83">
        <v>2000</v>
      </c>
      <c r="B43" s="84">
        <v>650</v>
      </c>
      <c r="C43" s="85">
        <f t="shared" si="0"/>
        <v>2194</v>
      </c>
      <c r="D43" s="85">
        <f t="shared" si="1"/>
        <v>855</v>
      </c>
      <c r="E43" s="85">
        <f t="shared" si="2"/>
        <v>2340</v>
      </c>
      <c r="F43" s="86">
        <f t="shared" si="3"/>
        <v>675.75199999999995</v>
      </c>
      <c r="G43" s="87">
        <f t="shared" si="4"/>
        <v>1.4626666666666666</v>
      </c>
      <c r="H43" s="84">
        <v>300</v>
      </c>
      <c r="I43" s="84">
        <v>5</v>
      </c>
      <c r="J43" s="84">
        <f t="shared" si="5"/>
        <v>130</v>
      </c>
      <c r="K43" s="84">
        <v>150</v>
      </c>
      <c r="L43" s="84">
        <v>2500</v>
      </c>
      <c r="M43" s="84" t="s">
        <v>404</v>
      </c>
      <c r="N43" s="84" t="s">
        <v>405</v>
      </c>
      <c r="O43" s="88">
        <f t="shared" si="6"/>
        <v>2742.5</v>
      </c>
      <c r="P43" s="91" t="s">
        <v>390</v>
      </c>
      <c r="Q43" s="84" t="s">
        <v>423</v>
      </c>
      <c r="R43" s="84" t="s">
        <v>402</v>
      </c>
      <c r="S43" s="89" t="s">
        <v>392</v>
      </c>
      <c r="T43" s="89" t="s">
        <v>415</v>
      </c>
      <c r="U43" s="84" t="s">
        <v>394</v>
      </c>
      <c r="V43" s="92" t="s">
        <v>416</v>
      </c>
    </row>
    <row r="44" spans="1:22" ht="16.5">
      <c r="A44" s="83">
        <v>2500</v>
      </c>
      <c r="B44" s="84">
        <v>460</v>
      </c>
      <c r="C44" s="85">
        <f t="shared" si="0"/>
        <v>3874</v>
      </c>
      <c r="D44" s="85">
        <f t="shared" si="1"/>
        <v>606</v>
      </c>
      <c r="E44" s="85">
        <f t="shared" si="2"/>
        <v>4126</v>
      </c>
      <c r="F44" s="86">
        <f t="shared" si="3"/>
        <v>1193.192</v>
      </c>
      <c r="G44" s="87">
        <f t="shared" si="4"/>
        <v>1.6141666666666667</v>
      </c>
      <c r="H44" s="84">
        <v>400</v>
      </c>
      <c r="I44" s="84">
        <v>6</v>
      </c>
      <c r="J44" s="84">
        <f t="shared" si="5"/>
        <v>208</v>
      </c>
      <c r="K44" s="84">
        <v>240</v>
      </c>
      <c r="L44" s="84">
        <v>4000</v>
      </c>
      <c r="M44" s="84" t="s">
        <v>424</v>
      </c>
      <c r="N44" s="84" t="s">
        <v>418</v>
      </c>
      <c r="O44" s="88">
        <f t="shared" si="6"/>
        <v>4842.5</v>
      </c>
      <c r="P44" s="91" t="s">
        <v>390</v>
      </c>
      <c r="Q44" s="84" t="s">
        <v>419</v>
      </c>
      <c r="R44" s="84" t="s">
        <v>420</v>
      </c>
      <c r="S44" s="89" t="s">
        <v>392</v>
      </c>
      <c r="T44" s="89" t="s">
        <v>425</v>
      </c>
      <c r="U44" s="84" t="s">
        <v>394</v>
      </c>
      <c r="V44" s="92" t="s">
        <v>422</v>
      </c>
    </row>
    <row r="45" spans="1:22" ht="16.5">
      <c r="A45" s="93">
        <v>2500</v>
      </c>
      <c r="B45" s="84">
        <v>650</v>
      </c>
      <c r="C45" s="85">
        <f t="shared" si="0"/>
        <v>2742</v>
      </c>
      <c r="D45" s="85">
        <f t="shared" si="1"/>
        <v>855</v>
      </c>
      <c r="E45" s="85">
        <f t="shared" si="2"/>
        <v>2924</v>
      </c>
      <c r="F45" s="94"/>
      <c r="G45" s="87">
        <f t="shared" si="4"/>
        <v>1.1425000000000001</v>
      </c>
      <c r="H45" s="84">
        <v>400</v>
      </c>
      <c r="I45" s="84">
        <v>6</v>
      </c>
      <c r="J45" s="84">
        <f t="shared" si="5"/>
        <v>166.4</v>
      </c>
      <c r="K45" s="84">
        <v>185</v>
      </c>
      <c r="L45" s="84">
        <v>3200</v>
      </c>
      <c r="M45" s="84" t="s">
        <v>417</v>
      </c>
      <c r="N45" s="84" t="s">
        <v>418</v>
      </c>
      <c r="O45" s="88">
        <f t="shared" si="6"/>
        <v>3427.5</v>
      </c>
      <c r="P45" s="91" t="s">
        <v>390</v>
      </c>
      <c r="Q45" s="84" t="s">
        <v>419</v>
      </c>
      <c r="R45" s="84" t="s">
        <v>420</v>
      </c>
      <c r="S45" s="89" t="s">
        <v>392</v>
      </c>
      <c r="T45" s="89" t="s">
        <v>421</v>
      </c>
      <c r="U45" s="84" t="s">
        <v>394</v>
      </c>
      <c r="V45" s="92" t="s">
        <v>422</v>
      </c>
    </row>
    <row r="46" spans="1:22" ht="16.5">
      <c r="A46" s="93">
        <v>3000</v>
      </c>
      <c r="B46" s="95">
        <v>460</v>
      </c>
      <c r="C46" s="96">
        <f>ROUNDUP(A46/(B46*0.9)/3^0.5*1000/0.9,0)</f>
        <v>4649</v>
      </c>
      <c r="D46" s="96">
        <f t="shared" si="1"/>
        <v>606</v>
      </c>
      <c r="E46" s="96">
        <f t="shared" si="2"/>
        <v>4951</v>
      </c>
      <c r="F46" s="94">
        <f>30.8*100*C46/(1000*10)</f>
        <v>1431.8920000000001</v>
      </c>
      <c r="G46" s="97">
        <f t="shared" si="4"/>
        <v>1.5496666666666667</v>
      </c>
      <c r="H46" s="95">
        <v>500</v>
      </c>
      <c r="I46" s="95">
        <v>6</v>
      </c>
      <c r="J46" s="95">
        <f t="shared" si="5"/>
        <v>208</v>
      </c>
      <c r="K46" s="95">
        <v>240</v>
      </c>
      <c r="L46" s="95">
        <v>4000</v>
      </c>
      <c r="M46" s="95" t="s">
        <v>424</v>
      </c>
      <c r="N46" s="95" t="s">
        <v>418</v>
      </c>
      <c r="O46" s="98">
        <f t="shared" si="6"/>
        <v>5811.25</v>
      </c>
      <c r="P46" s="99" t="s">
        <v>390</v>
      </c>
      <c r="Q46" s="95" t="s">
        <v>419</v>
      </c>
      <c r="R46" s="95" t="s">
        <v>420</v>
      </c>
      <c r="S46" s="89" t="s">
        <v>392</v>
      </c>
      <c r="T46" s="100" t="s">
        <v>426</v>
      </c>
      <c r="U46" s="95" t="s">
        <v>413</v>
      </c>
      <c r="V46" s="101" t="s">
        <v>427</v>
      </c>
    </row>
    <row r="47" spans="1:22" ht="17.25" thickBot="1">
      <c r="A47" s="102">
        <v>3000</v>
      </c>
      <c r="B47" s="103">
        <v>650</v>
      </c>
      <c r="C47" s="104">
        <f t="shared" si="0"/>
        <v>3290</v>
      </c>
      <c r="D47" s="104">
        <f t="shared" si="1"/>
        <v>855</v>
      </c>
      <c r="E47" s="104">
        <f t="shared" si="2"/>
        <v>3509</v>
      </c>
      <c r="F47" s="105">
        <f t="shared" si="3"/>
        <v>1013.32</v>
      </c>
      <c r="G47" s="106">
        <f t="shared" si="4"/>
        <v>1.3708333333333333</v>
      </c>
      <c r="H47" s="103">
        <v>400</v>
      </c>
      <c r="I47" s="103">
        <v>6</v>
      </c>
      <c r="J47" s="103">
        <f t="shared" si="5"/>
        <v>166.4</v>
      </c>
      <c r="K47" s="103">
        <v>185</v>
      </c>
      <c r="L47" s="103">
        <v>3200</v>
      </c>
      <c r="M47" s="103" t="s">
        <v>428</v>
      </c>
      <c r="N47" s="103" t="s">
        <v>429</v>
      </c>
      <c r="O47" s="107">
        <f t="shared" si="6"/>
        <v>4112.5</v>
      </c>
      <c r="P47" s="108" t="s">
        <v>430</v>
      </c>
      <c r="Q47" s="103" t="s">
        <v>419</v>
      </c>
      <c r="R47" s="103" t="s">
        <v>431</v>
      </c>
      <c r="S47" s="109" t="s">
        <v>432</v>
      </c>
      <c r="T47" s="103" t="s">
        <v>433</v>
      </c>
      <c r="U47" s="103" t="s">
        <v>386</v>
      </c>
      <c r="V47" s="110" t="s">
        <v>427</v>
      </c>
    </row>
  </sheetData>
  <mergeCells count="41">
    <mergeCell ref="U27:V27"/>
    <mergeCell ref="U28:V28"/>
    <mergeCell ref="U29:V29"/>
    <mergeCell ref="U30:V30"/>
    <mergeCell ref="U31:V31"/>
    <mergeCell ref="U26:V26"/>
    <mergeCell ref="U15:V15"/>
    <mergeCell ref="U16:V16"/>
    <mergeCell ref="U17:V17"/>
    <mergeCell ref="U18:V18"/>
    <mergeCell ref="U19:V19"/>
    <mergeCell ref="U20:V20"/>
    <mergeCell ref="U21:V21"/>
    <mergeCell ref="U22:V22"/>
    <mergeCell ref="U23:V23"/>
    <mergeCell ref="U24:V24"/>
    <mergeCell ref="U25:V25"/>
    <mergeCell ref="U14:V14"/>
    <mergeCell ref="M2:M3"/>
    <mergeCell ref="N2:N3"/>
    <mergeCell ref="O2:O3"/>
    <mergeCell ref="P2:P3"/>
    <mergeCell ref="Q2:R2"/>
    <mergeCell ref="S2:S3"/>
    <mergeCell ref="T2:T3"/>
    <mergeCell ref="U2:U3"/>
    <mergeCell ref="V2:V3"/>
    <mergeCell ref="U10:V10"/>
    <mergeCell ref="U13:V13"/>
    <mergeCell ref="L2:L3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GEN1_SCAN</vt:lpstr>
      <vt:lpstr>설계 결과표</vt:lpstr>
      <vt:lpstr>SW 요청자료</vt:lpstr>
      <vt:lpstr>입력정류부</vt:lpstr>
    </vt:vector>
  </TitlesOfParts>
  <Company>PSTEK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shh</dc:creator>
  <cp:lastModifiedBy>young kwon ahn</cp:lastModifiedBy>
  <cp:lastPrinted>2006-06-20T05:42:32Z</cp:lastPrinted>
  <dcterms:created xsi:type="dcterms:W3CDTF">2002-10-01T05:20:05Z</dcterms:created>
  <dcterms:modified xsi:type="dcterms:W3CDTF">2021-09-07T01:39:43Z</dcterms:modified>
</cp:coreProperties>
</file>