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 defaultThemeVersion="124226"/>
  <bookViews>
    <workbookView xWindow="12288" yWindow="-216" windowWidth="10752" windowHeight="9648" tabRatio="821"/>
  </bookViews>
  <sheets>
    <sheet name="댐핑 인덕터" sheetId="47" r:id="rId1"/>
  </sheets>
  <calcPr calcId="145621"/>
</workbook>
</file>

<file path=xl/calcChain.xml><?xml version="1.0" encoding="utf-8"?>
<calcChain xmlns="http://schemas.openxmlformats.org/spreadsheetml/2006/main">
  <c r="C36" i="47" l="1"/>
  <c r="Z12" i="47"/>
  <c r="Z13" i="47" s="1"/>
  <c r="Z16" i="47" l="1"/>
  <c r="Z19" i="47" s="1"/>
  <c r="Z21" i="47" s="1"/>
  <c r="Z23" i="47" s="1"/>
  <c r="M11" i="47"/>
  <c r="Z24" i="47" l="1"/>
  <c r="C21" i="47"/>
  <c r="C27" i="47" l="1"/>
  <c r="C44" i="47" l="1"/>
  <c r="Q35" i="47"/>
  <c r="M30" i="47"/>
  <c r="M28" i="47"/>
  <c r="C28" i="47"/>
  <c r="U26" i="47"/>
  <c r="M25" i="47"/>
  <c r="M23" i="47"/>
  <c r="M33" i="47" s="1"/>
  <c r="U22" i="47"/>
  <c r="M17" i="47"/>
  <c r="M13" i="47"/>
  <c r="M15" i="47" s="1"/>
  <c r="C11" i="47"/>
  <c r="M18" i="47" l="1"/>
  <c r="Q18" i="47" s="1"/>
  <c r="Q37" i="47" s="1"/>
  <c r="M26" i="47"/>
  <c r="U14" i="47"/>
  <c r="C31" i="47"/>
  <c r="U11" i="47"/>
  <c r="C18" i="47"/>
  <c r="M22" i="47"/>
  <c r="M31" i="47" s="1"/>
  <c r="M24" i="47"/>
  <c r="M32" i="47" s="1"/>
  <c r="Q20" i="47" l="1"/>
  <c r="M34" i="47"/>
  <c r="C33" i="47"/>
  <c r="C34" i="47" s="1"/>
  <c r="Q23" i="47"/>
  <c r="Q26" i="47" l="1"/>
  <c r="Q29" i="47" s="1"/>
  <c r="C48" i="47"/>
  <c r="C49" i="47" s="1"/>
  <c r="C47" i="47"/>
  <c r="C38" i="47"/>
  <c r="C37" i="47"/>
  <c r="C39" i="47"/>
  <c r="C40" i="47" s="1"/>
</calcChain>
</file>

<file path=xl/sharedStrings.xml><?xml version="1.0" encoding="utf-8"?>
<sst xmlns="http://schemas.openxmlformats.org/spreadsheetml/2006/main" count="244" uniqueCount="172">
  <si>
    <t>V</t>
    <phoneticPr fontId="13" type="noConversion"/>
  </si>
  <si>
    <t>A</t>
    <phoneticPr fontId="13" type="noConversion"/>
  </si>
  <si>
    <t>Hz</t>
    <phoneticPr fontId="13" type="noConversion"/>
  </si>
  <si>
    <t>Hz (결과)</t>
    <phoneticPr fontId="13" type="noConversion"/>
  </si>
  <si>
    <t>cm</t>
    <phoneticPr fontId="13" type="noConversion"/>
  </si>
  <si>
    <t>uF</t>
    <phoneticPr fontId="13" type="noConversion"/>
  </si>
  <si>
    <t>사용 재료</t>
    <phoneticPr fontId="14" type="noConversion"/>
  </si>
  <si>
    <t>타프피치 동</t>
    <phoneticPr fontId="14" type="noConversion"/>
  </si>
  <si>
    <t>mm</t>
    <phoneticPr fontId="13" type="noConversion"/>
  </si>
  <si>
    <t>Tesla</t>
    <phoneticPr fontId="13" type="noConversion"/>
  </si>
  <si>
    <t>[Ωm×10E-8]</t>
    <phoneticPr fontId="13" type="noConversion"/>
  </si>
  <si>
    <t>도체의 온도저항계수</t>
    <phoneticPr fontId="13" type="noConversion"/>
  </si>
  <si>
    <t>도체의 온도</t>
    <phoneticPr fontId="13" type="noConversion"/>
  </si>
  <si>
    <t>℃</t>
  </si>
  <si>
    <t>%</t>
    <phoneticPr fontId="13" type="noConversion"/>
  </si>
  <si>
    <t>turn</t>
    <phoneticPr fontId="13" type="noConversion"/>
  </si>
  <si>
    <t>[SIMENS/m]</t>
    <phoneticPr fontId="14" type="noConversion"/>
  </si>
  <si>
    <t>ui</t>
    <phoneticPr fontId="14" type="noConversion"/>
  </si>
  <si>
    <t>주파수</t>
    <phoneticPr fontId="13" type="noConversion"/>
  </si>
  <si>
    <t>[mm]</t>
    <phoneticPr fontId="14" type="noConversion"/>
  </si>
  <si>
    <t>배선길이</t>
    <phoneticPr fontId="13" type="noConversion"/>
  </si>
  <si>
    <t>Pin</t>
    <phoneticPr fontId="13" type="noConversion"/>
  </si>
  <si>
    <t>a</t>
    <phoneticPr fontId="13" type="noConversion"/>
  </si>
  <si>
    <t>Frequency</t>
    <phoneticPr fontId="13" type="noConversion"/>
  </si>
  <si>
    <t>Ton</t>
    <phoneticPr fontId="13" type="noConversion"/>
  </si>
  <si>
    <t>Vin,min</t>
    <phoneticPr fontId="13" type="noConversion"/>
  </si>
  <si>
    <t>유효단면적</t>
    <phoneticPr fontId="13" type="noConversion"/>
  </si>
  <si>
    <t>cut-off주파수</t>
    <phoneticPr fontId="13" type="noConversion"/>
  </si>
  <si>
    <t>MLT(Mean Length of Turn)</t>
    <phoneticPr fontId="13" type="noConversion"/>
  </si>
  <si>
    <t>층</t>
    <phoneticPr fontId="13" type="noConversion"/>
  </si>
  <si>
    <t>ms</t>
    <phoneticPr fontId="13" type="noConversion"/>
  </si>
  <si>
    <t>e</t>
    <phoneticPr fontId="13" type="noConversion"/>
  </si>
  <si>
    <t>전류 밀도</t>
    <phoneticPr fontId="13" type="noConversion"/>
  </si>
  <si>
    <t>Vin,min %</t>
    <phoneticPr fontId="13" type="noConversion"/>
  </si>
  <si>
    <t xml:space="preserve">c+gap paper </t>
    <phoneticPr fontId="13" type="noConversion"/>
  </si>
  <si>
    <t>측정값 검증</t>
    <phoneticPr fontId="13" type="noConversion"/>
  </si>
  <si>
    <t>V*ms</t>
    <phoneticPr fontId="13" type="noConversion"/>
  </si>
  <si>
    <t>Iin,dc</t>
    <phoneticPr fontId="13" type="noConversion"/>
  </si>
  <si>
    <t>f</t>
    <phoneticPr fontId="13" type="noConversion"/>
  </si>
  <si>
    <t>Ripple</t>
    <phoneticPr fontId="13" type="noConversion"/>
  </si>
  <si>
    <t>코아 단가</t>
    <phoneticPr fontId="13" type="noConversion"/>
  </si>
  <si>
    <t>Inductance</t>
    <phoneticPr fontId="13" type="noConversion"/>
  </si>
  <si>
    <t>mH</t>
    <phoneticPr fontId="13" type="noConversion"/>
  </si>
  <si>
    <t>Kg</t>
    <phoneticPr fontId="13" type="noConversion"/>
  </si>
  <si>
    <t>Saturation Current</t>
    <phoneticPr fontId="13" type="noConversion"/>
  </si>
  <si>
    <t>Bmax</t>
    <phoneticPr fontId="13" type="noConversion"/>
  </si>
  <si>
    <t>Ac(Core Area)</t>
    <phoneticPr fontId="13" type="noConversion"/>
  </si>
  <si>
    <t>C core</t>
    <phoneticPr fontId="13" type="noConversion"/>
  </si>
  <si>
    <t>코아</t>
    <phoneticPr fontId="13" type="noConversion"/>
  </si>
  <si>
    <t>권선 단가</t>
    <phoneticPr fontId="13" type="noConversion"/>
  </si>
  <si>
    <t>원/m</t>
    <phoneticPr fontId="13" type="noConversion"/>
  </si>
  <si>
    <t>만원</t>
    <phoneticPr fontId="13" type="noConversion"/>
  </si>
  <si>
    <t>cm^2</t>
    <phoneticPr fontId="13" type="noConversion"/>
  </si>
  <si>
    <t>22파이 3.0t</t>
    <phoneticPr fontId="13" type="noConversion"/>
  </si>
  <si>
    <t>kW</t>
    <phoneticPr fontId="13" type="noConversion"/>
  </si>
  <si>
    <t>Vin[V]</t>
    <phoneticPr fontId="13" type="noConversion"/>
  </si>
  <si>
    <t>Vripple factor</t>
    <phoneticPr fontId="13" type="noConversion"/>
  </si>
  <si>
    <t>&lt;동 파이프 발열량 계산 공식&gt;</t>
    <phoneticPr fontId="13" type="noConversion"/>
  </si>
  <si>
    <t>Vaverage</t>
    <phoneticPr fontId="13" type="noConversion"/>
  </si>
  <si>
    <t>b</t>
    <phoneticPr fontId="13" type="noConversion"/>
  </si>
  <si>
    <t>권선 단면적</t>
    <phoneticPr fontId="13" type="noConversion"/>
  </si>
  <si>
    <t>mm^2</t>
    <phoneticPr fontId="13" type="noConversion"/>
  </si>
  <si>
    <t>Duty Ratio</t>
    <phoneticPr fontId="13" type="noConversion"/>
  </si>
  <si>
    <t>c</t>
    <phoneticPr fontId="13" type="noConversion"/>
  </si>
  <si>
    <t>층당 권선수</t>
    <phoneticPr fontId="13" type="noConversion"/>
  </si>
  <si>
    <t>도체 고유전기저항</t>
    <phoneticPr fontId="13" type="noConversion"/>
  </si>
  <si>
    <t>d</t>
    <phoneticPr fontId="13" type="noConversion"/>
  </si>
  <si>
    <t xml:space="preserve">권선층 </t>
    <phoneticPr fontId="13" type="noConversion"/>
  </si>
  <si>
    <t>at 20℃</t>
    <phoneticPr fontId="13" type="noConversion"/>
  </si>
  <si>
    <t>A/mm^2</t>
    <phoneticPr fontId="13" type="noConversion"/>
  </si>
  <si>
    <t xml:space="preserve">도체의 산출저항 </t>
    <phoneticPr fontId="13" type="noConversion"/>
  </si>
  <si>
    <t>도체의 산출 전도도</t>
    <phoneticPr fontId="14" type="noConversion"/>
  </si>
  <si>
    <t>Vdc,min</t>
    <phoneticPr fontId="13" type="noConversion"/>
  </si>
  <si>
    <t>V*Ton</t>
    <phoneticPr fontId="13" type="noConversion"/>
  </si>
  <si>
    <t>비투자율</t>
    <phoneticPr fontId="13" type="noConversion"/>
  </si>
  <si>
    <t>[Hz]</t>
    <phoneticPr fontId="13" type="noConversion"/>
  </si>
  <si>
    <t>DC 전류</t>
    <phoneticPr fontId="22" type="noConversion"/>
  </si>
  <si>
    <t>Skin Depth</t>
    <phoneticPr fontId="13" type="noConversion"/>
  </si>
  <si>
    <t>Iripple</t>
    <phoneticPr fontId="13" type="noConversion"/>
  </si>
  <si>
    <t>중량</t>
    <phoneticPr fontId="13" type="noConversion"/>
  </si>
  <si>
    <t>두께 : 파이프</t>
    <phoneticPr fontId="13" type="noConversion"/>
  </si>
  <si>
    <t>Frequency Cut Off</t>
    <phoneticPr fontId="13" type="noConversion"/>
  </si>
  <si>
    <t>&lt;Cut-off frequency&gt;</t>
    <phoneticPr fontId="22" type="noConversion"/>
  </si>
  <si>
    <t>Min(스킨뎁스,두께)</t>
    <phoneticPr fontId="13" type="noConversion"/>
  </si>
  <si>
    <t>DC Capacitor</t>
    <phoneticPr fontId="13" type="noConversion"/>
  </si>
  <si>
    <t>dc콘덴서</t>
    <phoneticPr fontId="13" type="noConversion"/>
  </si>
  <si>
    <t>파이프 외경</t>
    <phoneticPr fontId="13" type="noConversion"/>
  </si>
  <si>
    <t>dc인덕터</t>
    <phoneticPr fontId="13" type="noConversion"/>
  </si>
  <si>
    <t>uH</t>
    <phoneticPr fontId="13" type="noConversion"/>
  </si>
  <si>
    <t xml:space="preserve">단면적 </t>
    <phoneticPr fontId="13" type="noConversion"/>
  </si>
  <si>
    <t>[mmSQ]</t>
    <phoneticPr fontId="14" type="noConversion"/>
  </si>
  <si>
    <t>AP(Area Product)</t>
    <phoneticPr fontId="13" type="noConversion"/>
  </si>
  <si>
    <t>cm^4</t>
    <phoneticPr fontId="13" type="noConversion"/>
  </si>
  <si>
    <t>인가전류</t>
    <phoneticPr fontId="13" type="noConversion"/>
  </si>
  <si>
    <t>[A]</t>
    <phoneticPr fontId="13" type="noConversion"/>
  </si>
  <si>
    <t>mmSQ당 전류</t>
    <phoneticPr fontId="13" type="noConversion"/>
  </si>
  <si>
    <t>Temperature Rise</t>
    <phoneticPr fontId="13" type="noConversion"/>
  </si>
  <si>
    <t>[W]</t>
    <phoneticPr fontId="13" type="noConversion"/>
  </si>
  <si>
    <t>Core</t>
    <phoneticPr fontId="13" type="noConversion"/>
  </si>
  <si>
    <t>Wa(Window Area)</t>
    <phoneticPr fontId="13" type="noConversion"/>
  </si>
  <si>
    <t>At(Area of Core surface)</t>
    <phoneticPr fontId="13" type="noConversion"/>
  </si>
  <si>
    <t>dB</t>
    <phoneticPr fontId="13" type="noConversion"/>
  </si>
  <si>
    <t>&lt;소선 단가&gt;</t>
    <phoneticPr fontId="22" type="noConversion"/>
  </si>
  <si>
    <t>G</t>
    <phoneticPr fontId="13" type="noConversion"/>
  </si>
  <si>
    <t>25파이 2.5t</t>
    <phoneticPr fontId="13" type="noConversion"/>
  </si>
  <si>
    <t>25파이 3.0t</t>
    <phoneticPr fontId="13" type="noConversion"/>
  </si>
  <si>
    <t>병렬수</t>
    <phoneticPr fontId="13" type="noConversion"/>
  </si>
  <si>
    <t>조</t>
    <phoneticPr fontId="13" type="noConversion"/>
  </si>
  <si>
    <t>nging</t>
    <phoneticPr fontId="13" type="noConversion"/>
  </si>
  <si>
    <t>총단면적</t>
    <phoneticPr fontId="13" type="noConversion"/>
  </si>
  <si>
    <t>AP(Area Product) total</t>
    <phoneticPr fontId="13" type="noConversion"/>
  </si>
  <si>
    <t>Ac(Core Area) total</t>
    <phoneticPr fontId="13" type="noConversion"/>
  </si>
  <si>
    <t>15.9파이 1.5t</t>
    <phoneticPr fontId="13" type="noConversion"/>
  </si>
  <si>
    <t>Minimum turn number</t>
    <phoneticPr fontId="13" type="noConversion"/>
  </si>
  <si>
    <t>Turns</t>
    <phoneticPr fontId="13" type="noConversion"/>
  </si>
  <si>
    <t>MLT(Mean Length Turn total)</t>
    <phoneticPr fontId="13" type="noConversion"/>
  </si>
  <si>
    <t>권선길이[m]</t>
    <phoneticPr fontId="13" type="noConversion"/>
  </si>
  <si>
    <t>15.9파이 2t</t>
    <phoneticPr fontId="13" type="noConversion"/>
  </si>
  <si>
    <t>Gap</t>
    <phoneticPr fontId="13" type="noConversion"/>
  </si>
  <si>
    <t>Wtfe(Core Weight)</t>
    <phoneticPr fontId="13" type="noConversion"/>
  </si>
  <si>
    <r>
      <t>12.7파이 1.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t</t>
    </r>
    <phoneticPr fontId="13" type="noConversion"/>
  </si>
  <si>
    <t>Gap 수</t>
    <phoneticPr fontId="22" type="noConversion"/>
  </si>
  <si>
    <t>12.7파이 1t, 코팅</t>
    <phoneticPr fontId="13" type="noConversion"/>
  </si>
  <si>
    <t>Gap Paper</t>
    <phoneticPr fontId="13" type="noConversion"/>
  </si>
  <si>
    <t>코아+권선 단가</t>
    <phoneticPr fontId="22" type="noConversion"/>
  </si>
  <si>
    <t>Gap Paper/코아 길이(소)</t>
    <phoneticPr fontId="13" type="noConversion"/>
  </si>
  <si>
    <t>계산 L값</t>
    <phoneticPr fontId="13" type="noConversion"/>
  </si>
  <si>
    <t>Fringing Factor</t>
    <phoneticPr fontId="13" type="noConversion"/>
  </si>
  <si>
    <t>예상 L</t>
    <phoneticPr fontId="13" type="noConversion"/>
  </si>
  <si>
    <t>권선폭</t>
    <phoneticPr fontId="13" type="noConversion"/>
  </si>
  <si>
    <t>권선두께</t>
    <phoneticPr fontId="13" type="noConversion"/>
  </si>
  <si>
    <t>권선수</t>
    <phoneticPr fontId="13" type="noConversion"/>
  </si>
  <si>
    <t>절연층두께</t>
    <phoneticPr fontId="13" type="noConversion"/>
  </si>
  <si>
    <t>권선고</t>
    <phoneticPr fontId="13" type="noConversion"/>
  </si>
  <si>
    <t>권선면적</t>
    <phoneticPr fontId="13" type="noConversion"/>
  </si>
  <si>
    <t>창이용율</t>
    <phoneticPr fontId="13" type="noConversion"/>
  </si>
  <si>
    <t>19파이 2t</t>
    <phoneticPr fontId="13" type="noConversion"/>
  </si>
  <si>
    <t>12.7파이 1.5t</t>
    <phoneticPr fontId="13" type="noConversion"/>
  </si>
  <si>
    <r>
      <t>9</t>
    </r>
    <r>
      <rPr>
        <sz val="11"/>
        <color theme="1"/>
        <rFont val="맑은 고딕"/>
        <family val="2"/>
        <charset val="129"/>
        <scheme val="minor"/>
      </rPr>
      <t>.5</t>
    </r>
    <r>
      <rPr>
        <sz val="11"/>
        <color theme="1"/>
        <rFont val="맑은 고딕"/>
        <family val="2"/>
        <charset val="129"/>
        <scheme val="minor"/>
      </rPr>
      <t>파이 1t, 코팅</t>
    </r>
    <phoneticPr fontId="13" type="noConversion"/>
  </si>
  <si>
    <t>철손</t>
    <phoneticPr fontId="13" type="noConversion"/>
  </si>
  <si>
    <t>W</t>
    <phoneticPr fontId="13" type="noConversion"/>
  </si>
  <si>
    <t xml:space="preserve">고정홀 </t>
    <phoneticPr fontId="13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</si>
  <si>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m</t>
    </r>
    <phoneticPr fontId="13" type="noConversion"/>
  </si>
  <si>
    <t>발열량(동손)</t>
    <phoneticPr fontId="13" type="noConversion"/>
  </si>
  <si>
    <t>동손</t>
    <phoneticPr fontId="13" type="noConversion"/>
  </si>
  <si>
    <t>손실 합계</t>
    <phoneticPr fontId="13" type="noConversion"/>
  </si>
  <si>
    <t>손실 비율</t>
    <phoneticPr fontId="13" type="noConversion"/>
  </si>
  <si>
    <t>실제적용 Gap</t>
    <phoneticPr fontId="13" type="noConversion"/>
  </si>
  <si>
    <t>22파이 2.5t</t>
    <phoneticPr fontId="13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</si>
  <si>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.DC 예상 전류 입력</t>
    </r>
    <phoneticPr fontId="13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</si>
  <si>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mmSQ당 전류가 15A이하가 되록 선정</t>
    </r>
    <phoneticPr fontId="13" type="noConversion"/>
  </si>
  <si>
    <t xml:space="preserve"> a*d 에서 고정홀만큼의 면적을 빼줌</t>
    <phoneticPr fontId="13" type="noConversion"/>
  </si>
  <si>
    <r>
      <t>유효 단면적에</t>
    </r>
    <r>
      <rPr>
        <sz val="11"/>
        <color theme="1"/>
        <rFont val="맑은 고딕"/>
        <family val="2"/>
        <charset val="129"/>
        <scheme val="minor"/>
      </rPr>
      <t xml:space="preserve"> 영향</t>
    </r>
    <phoneticPr fontId="13" type="noConversion"/>
  </si>
  <si>
    <r>
      <t>권선에따른 고려</t>
    </r>
    <r>
      <rPr>
        <sz val="11"/>
        <color theme="1"/>
        <rFont val="맑은 고딕"/>
        <family val="2"/>
        <charset val="129"/>
        <scheme val="minor"/>
      </rPr>
      <t xml:space="preserve"> [권선 외경과,타입(복층)]에 영향</t>
    </r>
    <phoneticPr fontId="13" type="noConversion"/>
  </si>
  <si>
    <t>권선 턴수 (권선 외경과, 권선사이갭등) 영향</t>
    <phoneticPr fontId="13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</si>
  <si>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15A 이하 확인</t>
    </r>
    <phoneticPr fontId="13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</si>
  <si>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동파이프 권선 단면적</t>
    </r>
    <phoneticPr fontId="13" type="noConversion"/>
  </si>
  <si>
    <t>2. 한층에 감기는 권선수</t>
    <phoneticPr fontId="13" type="noConversion"/>
  </si>
  <si>
    <t>3. 권선 층수 [(층당권선수*권선층)= 총 권선수]</t>
    <phoneticPr fontId="13" type="noConversion"/>
  </si>
  <si>
    <t>유효 단면적에 영향, 인덕터 최소 턴수 감소시키려면 d증가</t>
    <phoneticPr fontId="13" type="noConversion"/>
  </si>
  <si>
    <t>Core Configuration</t>
    <phoneticPr fontId="13" type="noConversion"/>
  </si>
  <si>
    <t>Iron Cut Core</t>
    <phoneticPr fontId="13" type="noConversion"/>
  </si>
  <si>
    <t>109*2*3.14*360*10*10^-6</t>
    <phoneticPr fontId="13" type="noConversion"/>
  </si>
  <si>
    <r>
      <t>I*2*</t>
    </r>
    <r>
      <rPr>
        <sz val="11"/>
        <color theme="1"/>
        <rFont val="맑은 고딕"/>
        <family val="3"/>
        <charset val="129"/>
      </rPr>
      <t>π</t>
    </r>
    <r>
      <rPr>
        <sz val="9.35"/>
        <color theme="1"/>
        <rFont val="맑은 고딕"/>
        <family val="3"/>
        <charset val="129"/>
      </rPr>
      <t>*360*10uH</t>
    </r>
    <phoneticPr fontId="13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</si>
  <si>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ut Core</t>
    </r>
    <phoneticPr fontId="13" type="noConversion"/>
  </si>
  <si>
    <t>댐핑 인덕터 설계 시트</t>
    <phoneticPr fontId="13" type="noConversion"/>
  </si>
  <si>
    <t>CS-200</t>
    <phoneticPr fontId="13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</si>
  <si>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0SQ 외경 14.5mm</t>
    </r>
    <phoneticPr fontId="13" type="noConversion"/>
  </si>
  <si>
    <t>권선</t>
    <phoneticPr fontId="13" type="noConversion"/>
  </si>
  <si>
    <t>50SQ 전선</t>
    <phoneticPr fontId="13" type="noConversion"/>
  </si>
  <si>
    <r>
      <t>L</t>
    </r>
    <r>
      <rPr>
        <sz val="11"/>
        <color theme="1"/>
        <rFont val="맑은 고딕"/>
        <family val="2"/>
        <charset val="129"/>
        <scheme val="minor"/>
      </rPr>
      <t>_ser P_P</t>
    </r>
    <phoneticPr fontId="13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</si>
  <si>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S-200의 단면적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</si>
</sst>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8" formatCode="0.0"/>
  </numFmts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u/>
      <sz val="11"/>
      <name val="바탕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86">
    <xf numFmtId="0" fontId="0" fillId="0" borderId="0" xfId="0"/>
    <xf numFmtId="0" fontId="11" fillId="0" borderId="0" xfId="2" applyAlignment="1"/>
    <xf numFmtId="0" fontId="11" fillId="0" borderId="0" xfId="2" applyBorder="1" applyAlignment="1"/>
    <xf numFmtId="0" fontId="11" fillId="0" borderId="1" xfId="2" applyFill="1" applyBorder="1" applyAlignment="1"/>
    <xf numFmtId="0" fontId="18" fillId="0" borderId="1" xfId="2" applyFont="1" applyBorder="1" applyAlignment="1">
      <alignment vertical="center"/>
    </xf>
    <xf numFmtId="0" fontId="17" fillId="0" borderId="1" xfId="2" applyFont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17" fillId="0" borderId="1" xfId="2" applyNumberFormat="1" applyFont="1" applyBorder="1" applyAlignment="1">
      <alignment vertical="center"/>
    </xf>
    <xf numFmtId="0" fontId="16" fillId="0" borderId="1" xfId="2" applyNumberFormat="1" applyFont="1" applyBorder="1" applyAlignment="1">
      <alignment vertical="center"/>
    </xf>
    <xf numFmtId="0" fontId="17" fillId="2" borderId="1" xfId="2" applyNumberFormat="1" applyFont="1" applyFill="1" applyBorder="1" applyAlignment="1">
      <alignment vertical="center"/>
    </xf>
    <xf numFmtId="0" fontId="11" fillId="0" borderId="1" xfId="2" applyBorder="1" applyAlignment="1"/>
    <xf numFmtId="1" fontId="17" fillId="0" borderId="1" xfId="2" applyNumberFormat="1" applyFont="1" applyBorder="1" applyAlignment="1">
      <alignment vertical="center"/>
    </xf>
    <xf numFmtId="178" fontId="11" fillId="0" borderId="1" xfId="2" applyNumberFormat="1" applyBorder="1" applyAlignment="1"/>
    <xf numFmtId="0" fontId="16" fillId="5" borderId="1" xfId="2" applyNumberFormat="1" applyFont="1" applyFill="1" applyBorder="1" applyAlignment="1">
      <alignment vertical="center"/>
    </xf>
    <xf numFmtId="177" fontId="17" fillId="3" borderId="1" xfId="2" applyNumberFormat="1" applyFont="1" applyFill="1" applyBorder="1" applyAlignment="1">
      <alignment vertical="center"/>
    </xf>
    <xf numFmtId="0" fontId="11" fillId="0" borderId="0" xfId="2" applyFill="1" applyBorder="1" applyAlignment="1"/>
    <xf numFmtId="177" fontId="16" fillId="5" borderId="1" xfId="2" applyNumberFormat="1" applyFont="1" applyFill="1" applyBorder="1" applyAlignment="1">
      <alignment vertical="center"/>
    </xf>
    <xf numFmtId="178" fontId="11" fillId="0" borderId="0" xfId="2" applyNumberFormat="1" applyAlignment="1"/>
    <xf numFmtId="0" fontId="17" fillId="0" borderId="0" xfId="2" applyFont="1" applyAlignment="1"/>
    <xf numFmtId="177" fontId="16" fillId="3" borderId="1" xfId="2" applyNumberFormat="1" applyFont="1" applyFill="1" applyBorder="1" applyAlignment="1">
      <alignment vertical="center"/>
    </xf>
    <xf numFmtId="176" fontId="16" fillId="0" borderId="1" xfId="2" applyNumberFormat="1" applyFont="1" applyBorder="1" applyAlignment="1">
      <alignment vertical="center"/>
    </xf>
    <xf numFmtId="177" fontId="19" fillId="6" borderId="1" xfId="2" applyNumberFormat="1" applyFont="1" applyFill="1" applyBorder="1" applyAlignment="1">
      <alignment vertical="center"/>
    </xf>
    <xf numFmtId="0" fontId="11" fillId="0" borderId="0" xfId="2" applyFill="1" applyAlignment="1"/>
    <xf numFmtId="0" fontId="11" fillId="0" borderId="1" xfId="2" applyFont="1" applyBorder="1" applyAlignment="1"/>
    <xf numFmtId="0" fontId="11" fillId="0" borderId="2" xfId="2" applyBorder="1" applyAlignment="1"/>
    <xf numFmtId="0" fontId="11" fillId="2" borderId="1" xfId="2" applyFill="1" applyBorder="1" applyAlignment="1"/>
    <xf numFmtId="0" fontId="17" fillId="6" borderId="1" xfId="2" applyFont="1" applyFill="1" applyBorder="1" applyAlignment="1"/>
    <xf numFmtId="0" fontId="10" fillId="2" borderId="1" xfId="2" applyFont="1" applyFill="1" applyBorder="1" applyAlignment="1"/>
    <xf numFmtId="0" fontId="9" fillId="0" borderId="0" xfId="2" applyFont="1" applyAlignment="1"/>
    <xf numFmtId="0" fontId="9" fillId="0" borderId="0" xfId="4" applyAlignment="1"/>
    <xf numFmtId="0" fontId="9" fillId="0" borderId="0" xfId="4" applyBorder="1" applyAlignment="1"/>
    <xf numFmtId="0" fontId="9" fillId="0" borderId="0" xfId="4">
      <alignment vertical="center"/>
    </xf>
    <xf numFmtId="0" fontId="9" fillId="0" borderId="1" xfId="4" applyFill="1" applyBorder="1" applyAlignment="1"/>
    <xf numFmtId="0" fontId="17" fillId="3" borderId="1" xfId="4" applyFont="1" applyFill="1" applyBorder="1" applyAlignment="1"/>
    <xf numFmtId="0" fontId="17" fillId="6" borderId="1" xfId="4" applyFont="1" applyFill="1" applyBorder="1" applyAlignment="1"/>
    <xf numFmtId="0" fontId="9" fillId="0" borderId="1" xfId="4" applyBorder="1" applyAlignment="1"/>
    <xf numFmtId="0" fontId="9" fillId="0" borderId="0" xfId="4" applyFill="1" applyBorder="1" applyAlignment="1"/>
    <xf numFmtId="0" fontId="9" fillId="4" borderId="1" xfId="4" applyFill="1" applyBorder="1" applyAlignment="1"/>
    <xf numFmtId="0" fontId="9" fillId="0" borderId="0" xfId="4" applyFill="1" applyAlignment="1"/>
    <xf numFmtId="0" fontId="9" fillId="2" borderId="0" xfId="4" applyFill="1" applyBorder="1" applyAlignment="1"/>
    <xf numFmtId="0" fontId="11" fillId="4" borderId="1" xfId="2" applyFill="1" applyBorder="1" applyAlignment="1"/>
    <xf numFmtId="177" fontId="11" fillId="0" borderId="0" xfId="2" applyNumberFormat="1" applyAlignment="1"/>
    <xf numFmtId="0" fontId="9" fillId="0" borderId="0" xfId="2" applyFont="1" applyBorder="1" applyAlignment="1"/>
    <xf numFmtId="0" fontId="9" fillId="0" borderId="1" xfId="2" applyFont="1" applyBorder="1" applyAlignment="1"/>
    <xf numFmtId="0" fontId="9" fillId="5" borderId="1" xfId="4" applyFill="1" applyBorder="1" applyAlignment="1"/>
    <xf numFmtId="0" fontId="9" fillId="0" borderId="1" xfId="4" applyBorder="1" applyAlignment="1">
      <alignment horizontal="left"/>
    </xf>
    <xf numFmtId="0" fontId="9" fillId="5" borderId="1" xfId="4" applyFill="1" applyBorder="1" applyAlignment="1">
      <alignment horizontal="right"/>
    </xf>
    <xf numFmtId="0" fontId="9" fillId="0" borderId="1" xfId="4" applyFill="1" applyBorder="1" applyAlignment="1">
      <alignment horizontal="right"/>
    </xf>
    <xf numFmtId="0" fontId="9" fillId="0" borderId="1" xfId="4" applyBorder="1" applyAlignment="1">
      <alignment horizontal="right"/>
    </xf>
    <xf numFmtId="0" fontId="9" fillId="6" borderId="1" xfId="4" applyFill="1" applyBorder="1" applyAlignment="1"/>
    <xf numFmtId="0" fontId="9" fillId="7" borderId="1" xfId="4" applyFill="1" applyBorder="1" applyAlignment="1"/>
    <xf numFmtId="0" fontId="21" fillId="2" borderId="1" xfId="4" applyFont="1" applyFill="1" applyBorder="1" applyAlignment="1"/>
    <xf numFmtId="0" fontId="9" fillId="3" borderId="1" xfId="4" applyFill="1" applyBorder="1" applyAlignment="1"/>
    <xf numFmtId="0" fontId="19" fillId="3" borderId="0" xfId="2" applyFont="1" applyFill="1" applyAlignment="1"/>
    <xf numFmtId="0" fontId="11" fillId="4" borderId="1" xfId="2" applyFill="1" applyBorder="1" applyAlignment="1">
      <alignment horizontal="right"/>
    </xf>
    <xf numFmtId="0" fontId="19" fillId="4" borderId="1" xfId="4" applyFont="1" applyFill="1" applyBorder="1" applyAlignment="1"/>
    <xf numFmtId="0" fontId="19" fillId="6" borderId="0" xfId="4" applyFont="1" applyFill="1" applyBorder="1" applyAlignment="1"/>
    <xf numFmtId="0" fontId="8" fillId="0" borderId="0" xfId="4" applyFont="1" applyBorder="1" applyAlignment="1"/>
    <xf numFmtId="0" fontId="8" fillId="0" borderId="1" xfId="4" applyFont="1" applyBorder="1" applyAlignment="1"/>
    <xf numFmtId="0" fontId="8" fillId="0" borderId="0" xfId="4" applyFont="1">
      <alignment vertical="center"/>
    </xf>
    <xf numFmtId="0" fontId="8" fillId="0" borderId="0" xfId="2" applyFont="1" applyBorder="1" applyAlignment="1"/>
    <xf numFmtId="0" fontId="9" fillId="0" borderId="0" xfId="4" applyBorder="1">
      <alignment vertical="center"/>
    </xf>
    <xf numFmtId="178" fontId="9" fillId="0" borderId="0" xfId="4" applyNumberFormat="1" applyBorder="1" applyAlignment="1"/>
    <xf numFmtId="0" fontId="8" fillId="0" borderId="0" xfId="2" applyFont="1" applyFill="1" applyBorder="1" applyAlignment="1"/>
    <xf numFmtId="0" fontId="11" fillId="8" borderId="1" xfId="2" applyFill="1" applyBorder="1" applyAlignment="1"/>
    <xf numFmtId="0" fontId="8" fillId="0" borderId="1" xfId="2" applyFont="1" applyFill="1" applyBorder="1" applyAlignment="1"/>
    <xf numFmtId="0" fontId="7" fillId="0" borderId="0" xfId="4" applyFont="1">
      <alignment vertical="center"/>
    </xf>
    <xf numFmtId="0" fontId="7" fillId="0" borderId="0" xfId="4" applyFont="1" applyBorder="1" applyAlignment="1"/>
    <xf numFmtId="0" fontId="9" fillId="9" borderId="1" xfId="4" applyFill="1" applyBorder="1" applyAlignment="1">
      <alignment horizontal="right"/>
    </xf>
    <xf numFmtId="0" fontId="9" fillId="9" borderId="1" xfId="4" applyFill="1" applyBorder="1" applyAlignment="1"/>
    <xf numFmtId="0" fontId="5" fillId="0" borderId="1" xfId="4" applyFont="1" applyBorder="1" applyAlignment="1"/>
    <xf numFmtId="0" fontId="5" fillId="0" borderId="1" xfId="4" applyFont="1" applyBorder="1" applyAlignment="1">
      <alignment horizontal="right"/>
    </xf>
    <xf numFmtId="0" fontId="5" fillId="0" borderId="0" xfId="4" quotePrefix="1" applyFont="1" applyBorder="1" applyAlignment="1"/>
    <xf numFmtId="0" fontId="5" fillId="0" borderId="0" xfId="4" applyFont="1" applyBorder="1" applyAlignment="1"/>
    <xf numFmtId="0" fontId="4" fillId="0" borderId="1" xfId="4" applyFont="1" applyBorder="1" applyAlignment="1"/>
    <xf numFmtId="0" fontId="3" fillId="0" borderId="0" xfId="4" applyFont="1" applyAlignment="1"/>
    <xf numFmtId="0" fontId="2" fillId="0" borderId="0" xfId="4" applyFont="1" applyAlignment="1"/>
    <xf numFmtId="0" fontId="2" fillId="0" borderId="0" xfId="4" applyFont="1">
      <alignment vertical="center"/>
    </xf>
    <xf numFmtId="0" fontId="15" fillId="0" borderId="0" xfId="4" applyFont="1" applyAlignment="1">
      <alignment horizontal="center"/>
    </xf>
    <xf numFmtId="0" fontId="8" fillId="0" borderId="0" xfId="4" applyFont="1" applyBorder="1" applyAlignment="1">
      <alignment horizontal="left" vertical="center" wrapText="1"/>
    </xf>
    <xf numFmtId="0" fontId="8" fillId="0" borderId="0" xfId="4" applyFont="1" applyBorder="1" applyAlignment="1">
      <alignment horizontal="left" vertical="center"/>
    </xf>
    <xf numFmtId="0" fontId="8" fillId="0" borderId="0" xfId="4" applyFont="1" applyFill="1" applyBorder="1" applyAlignment="1">
      <alignment horizontal="left" vertical="top" wrapText="1"/>
    </xf>
    <xf numFmtId="0" fontId="7" fillId="0" borderId="0" xfId="4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1" fillId="0" borderId="1" xfId="2" applyFont="1" applyFill="1" applyBorder="1" applyAlignment="1"/>
    <xf numFmtId="0" fontId="1" fillId="0" borderId="0" xfId="4" applyFont="1" applyBorder="1" applyAlignment="1"/>
  </cellXfs>
  <cellStyles count="7">
    <cellStyle name="표준" xfId="0" builtinId="0"/>
    <cellStyle name="표준 2" xfId="2"/>
    <cellStyle name="표준 2 2" xfId="3"/>
    <cellStyle name="표준 2 3" xfId="4"/>
    <cellStyle name="표준 2 3 2" xfId="6"/>
    <cellStyle name="표준 2 4" xfId="5"/>
    <cellStyle name="표준_20080312_동작점설계_해송_150MF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</xdr:colOff>
          <xdr:row>5</xdr:row>
          <xdr:rowOff>22860</xdr:rowOff>
        </xdr:from>
        <xdr:to>
          <xdr:col>18</xdr:col>
          <xdr:colOff>769620</xdr:colOff>
          <xdr:row>13</xdr:row>
          <xdr:rowOff>83820</xdr:rowOff>
        </xdr:to>
        <xdr:sp macro="" textlink="">
          <xdr:nvSpPr>
            <xdr:cNvPr id="3208193" name="Object 1" hidden="1">
              <a:extLst>
                <a:ext uri="{63B3BB69-23CF-44E3-9099-C40C66FF867C}">
                  <a14:compatExt spid="_x0000_s320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22</xdr:col>
      <xdr:colOff>1752600</xdr:colOff>
      <xdr:row>7</xdr:row>
      <xdr:rowOff>97971</xdr:rowOff>
    </xdr:from>
    <xdr:to>
      <xdr:col>24</xdr:col>
      <xdr:colOff>9527</xdr:colOff>
      <xdr:row>20</xdr:row>
      <xdr:rowOff>95251</xdr:rowOff>
    </xdr:to>
    <xdr:cxnSp macro="">
      <xdr:nvCxnSpPr>
        <xdr:cNvPr id="17" name="직선 화살표 연결선 16"/>
        <xdr:cNvCxnSpPr/>
      </xdr:nvCxnSpPr>
      <xdr:spPr>
        <a:xfrm flipH="1" flipV="1">
          <a:off x="23583900" y="6064431"/>
          <a:ext cx="2265047" cy="2870020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394447</xdr:colOff>
      <xdr:row>2</xdr:row>
      <xdr:rowOff>215153</xdr:rowOff>
    </xdr:from>
    <xdr:to>
      <xdr:col>9</xdr:col>
      <xdr:colOff>7969383</xdr:colOff>
      <xdr:row>22</xdr:row>
      <xdr:rowOff>91818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412" y="5145741"/>
          <a:ext cx="7574936" cy="4359018"/>
        </a:xfrm>
        <a:prstGeom prst="rect">
          <a:avLst/>
        </a:prstGeom>
      </xdr:spPr>
    </xdr:pic>
    <xdr:clientData/>
  </xdr:twoCellAnchor>
  <xdr:twoCellAnchor editAs="oneCell">
    <xdr:from>
      <xdr:col>8</xdr:col>
      <xdr:colOff>583987</xdr:colOff>
      <xdr:row>24</xdr:row>
      <xdr:rowOff>3042</xdr:rowOff>
    </xdr:from>
    <xdr:to>
      <xdr:col>10</xdr:col>
      <xdr:colOff>370114</xdr:colOff>
      <xdr:row>51</xdr:row>
      <xdr:rowOff>44533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8930" y="5228185"/>
          <a:ext cx="8440270" cy="5919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C50"/>
  <sheetViews>
    <sheetView tabSelected="1" zoomScale="70" zoomScaleNormal="70" workbookViewId="0">
      <selection activeCell="G23" sqref="G23"/>
    </sheetView>
  </sheetViews>
  <sheetFormatPr defaultColWidth="8.8984375" defaultRowHeight="17.399999999999999" x14ac:dyDescent="0.25"/>
  <cols>
    <col min="1" max="1" width="8.8984375" style="31"/>
    <col min="2" max="2" width="21.19921875" style="31" bestFit="1" customWidth="1"/>
    <col min="3" max="3" width="8.8984375" style="31"/>
    <col min="4" max="4" width="6.296875" style="31" bestFit="1" customWidth="1"/>
    <col min="5" max="5" width="8.8984375" style="31"/>
    <col min="6" max="6" width="25.8984375" style="31" bestFit="1" customWidth="1"/>
    <col min="7" max="9" width="8.8984375" style="31"/>
    <col min="10" max="10" width="104.69921875" style="31" customWidth="1"/>
    <col min="11" max="11" width="8.8984375" style="31"/>
    <col min="12" max="12" width="25.3984375" style="31" bestFit="1" customWidth="1"/>
    <col min="13" max="14" width="8.8984375" style="31"/>
    <col min="15" max="15" width="45.59765625" style="31" bestFit="1" customWidth="1"/>
    <col min="16" max="18" width="8.8984375" style="31"/>
    <col min="19" max="19" width="11.69921875" style="31" customWidth="1"/>
    <col min="20" max="20" width="19.09765625" style="31" bestFit="1" customWidth="1"/>
    <col min="21" max="21" width="13.296875" style="31" bestFit="1" customWidth="1"/>
    <col min="22" max="22" width="8.8984375" style="31"/>
    <col min="23" max="23" width="43.69921875" style="31" bestFit="1" customWidth="1"/>
    <col min="24" max="24" width="8.8984375" style="31"/>
    <col min="25" max="25" width="17.796875" style="31" bestFit="1" customWidth="1"/>
    <col min="26" max="26" width="10.59765625" style="31" bestFit="1" customWidth="1"/>
    <col min="27" max="27" width="10.8984375" style="31" bestFit="1" customWidth="1"/>
    <col min="28" max="16384" width="8.8984375" style="31"/>
  </cols>
  <sheetData>
    <row r="1" spans="2:28" x14ac:dyDescent="0.25">
      <c r="B1" s="77"/>
    </row>
    <row r="3" spans="2:28" x14ac:dyDescent="0.4">
      <c r="B3" s="78" t="s">
        <v>165</v>
      </c>
      <c r="C3" s="78"/>
      <c r="D3" s="29"/>
      <c r="E3" s="30"/>
      <c r="F3" s="30"/>
      <c r="G3" s="30"/>
      <c r="H3" s="30"/>
      <c r="I3" s="30"/>
      <c r="J3" s="30"/>
      <c r="K3" s="30"/>
      <c r="L3" s="76" t="s">
        <v>167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2:28" x14ac:dyDescent="0.4">
      <c r="B4" s="29"/>
      <c r="C4" s="29"/>
      <c r="D4" s="29"/>
      <c r="E4" s="30"/>
      <c r="F4" s="30"/>
      <c r="G4" s="30"/>
      <c r="H4" s="30"/>
      <c r="I4" s="30"/>
      <c r="J4" s="30"/>
      <c r="K4" s="30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8" x14ac:dyDescent="0.4">
      <c r="B5" s="35" t="s">
        <v>21</v>
      </c>
      <c r="C5" s="44"/>
      <c r="D5" s="35" t="s">
        <v>54</v>
      </c>
      <c r="E5" s="30"/>
      <c r="F5" s="30"/>
      <c r="G5" s="30"/>
      <c r="H5" s="30"/>
      <c r="I5" s="30"/>
      <c r="J5" s="57"/>
      <c r="K5" s="30"/>
      <c r="L5" s="75" t="s">
        <v>166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8" x14ac:dyDescent="0.4">
      <c r="B6" s="45" t="s">
        <v>55</v>
      </c>
      <c r="C6" s="46"/>
      <c r="D6" s="45" t="s">
        <v>0</v>
      </c>
      <c r="E6" s="30"/>
      <c r="F6" s="30"/>
      <c r="G6" s="30"/>
      <c r="H6" s="30"/>
      <c r="I6" s="30"/>
      <c r="J6" s="57"/>
      <c r="K6" s="30"/>
      <c r="L6" s="74" t="s">
        <v>164</v>
      </c>
      <c r="M6" s="35"/>
      <c r="N6" s="35"/>
      <c r="O6" s="30"/>
      <c r="P6" s="30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2:28" x14ac:dyDescent="0.4">
      <c r="B7" s="45" t="s">
        <v>56</v>
      </c>
      <c r="C7" s="47"/>
      <c r="D7" s="45"/>
      <c r="E7" s="30"/>
      <c r="F7" s="30"/>
      <c r="G7" s="30"/>
      <c r="H7" s="30"/>
      <c r="I7" s="30"/>
      <c r="J7" s="30"/>
      <c r="K7" s="30"/>
      <c r="L7" s="35" t="s">
        <v>22</v>
      </c>
      <c r="M7" s="37">
        <v>19</v>
      </c>
      <c r="N7" s="35" t="s">
        <v>8</v>
      </c>
      <c r="O7" s="57" t="s">
        <v>152</v>
      </c>
      <c r="P7" s="30"/>
      <c r="Q7" s="29"/>
      <c r="R7" s="29"/>
      <c r="S7" s="29"/>
      <c r="T7" s="84" t="s">
        <v>168</v>
      </c>
      <c r="U7" s="33" t="s">
        <v>169</v>
      </c>
      <c r="V7" s="3"/>
      <c r="W7" s="15"/>
      <c r="X7" s="1"/>
      <c r="Y7" s="83" t="s">
        <v>57</v>
      </c>
      <c r="Z7" s="83"/>
      <c r="AA7" s="83"/>
    </row>
    <row r="8" spans="2:28" x14ac:dyDescent="0.4">
      <c r="B8" s="45" t="s">
        <v>58</v>
      </c>
      <c r="C8" s="68">
        <v>2.4641999999999999</v>
      </c>
      <c r="D8" s="45" t="s">
        <v>0</v>
      </c>
      <c r="E8" s="30"/>
      <c r="F8" s="72" t="s">
        <v>162</v>
      </c>
      <c r="G8" s="73" t="s">
        <v>163</v>
      </c>
      <c r="H8" s="30"/>
      <c r="I8" s="30"/>
      <c r="J8" s="30"/>
      <c r="K8" s="30"/>
      <c r="L8" s="35" t="s">
        <v>59</v>
      </c>
      <c r="M8" s="37">
        <v>25</v>
      </c>
      <c r="N8" s="35" t="s">
        <v>8</v>
      </c>
      <c r="O8" s="57" t="s">
        <v>153</v>
      </c>
      <c r="P8" s="30"/>
      <c r="Q8" s="29"/>
      <c r="R8" s="29"/>
      <c r="S8" s="29"/>
      <c r="T8" s="3" t="s">
        <v>60</v>
      </c>
      <c r="U8" s="40"/>
      <c r="V8" s="3" t="s">
        <v>61</v>
      </c>
      <c r="W8" s="63" t="s">
        <v>156</v>
      </c>
      <c r="X8" s="1"/>
      <c r="Y8" s="4" t="s">
        <v>6</v>
      </c>
      <c r="Z8" s="5" t="s">
        <v>7</v>
      </c>
      <c r="AA8" s="5"/>
    </row>
    <row r="9" spans="2:28" x14ac:dyDescent="0.4">
      <c r="B9" s="45" t="s">
        <v>62</v>
      </c>
      <c r="C9" s="68">
        <v>50</v>
      </c>
      <c r="D9" s="45" t="s">
        <v>14</v>
      </c>
      <c r="E9" s="30"/>
      <c r="F9" s="30"/>
      <c r="G9" s="30"/>
      <c r="H9" s="30"/>
      <c r="I9" s="30"/>
      <c r="J9" s="30"/>
      <c r="K9" s="30"/>
      <c r="L9" s="35" t="s">
        <v>63</v>
      </c>
      <c r="M9" s="37">
        <v>83</v>
      </c>
      <c r="N9" s="35" t="s">
        <v>8</v>
      </c>
      <c r="O9" s="57" t="s">
        <v>154</v>
      </c>
      <c r="P9" s="30"/>
      <c r="Q9" s="29"/>
      <c r="R9" s="29"/>
      <c r="S9" s="29"/>
      <c r="T9" s="3" t="s">
        <v>64</v>
      </c>
      <c r="U9" s="40">
        <v>6</v>
      </c>
      <c r="V9" s="3" t="s">
        <v>15</v>
      </c>
      <c r="W9" s="63" t="s">
        <v>157</v>
      </c>
      <c r="X9" s="1"/>
      <c r="Y9" s="6" t="s">
        <v>65</v>
      </c>
      <c r="Z9" s="7">
        <v>1.75</v>
      </c>
      <c r="AA9" s="6" t="s">
        <v>10</v>
      </c>
    </row>
    <row r="10" spans="2:28" x14ac:dyDescent="0.4">
      <c r="B10" s="45" t="s">
        <v>23</v>
      </c>
      <c r="C10" s="46">
        <v>360</v>
      </c>
      <c r="D10" s="45" t="s">
        <v>2</v>
      </c>
      <c r="E10" s="30"/>
      <c r="F10" s="30"/>
      <c r="G10" s="30"/>
      <c r="H10" s="30"/>
      <c r="I10" s="30"/>
      <c r="J10" s="57"/>
      <c r="K10" s="30"/>
      <c r="L10" s="35" t="s">
        <v>66</v>
      </c>
      <c r="M10" s="37">
        <v>50</v>
      </c>
      <c r="N10" s="35" t="s">
        <v>8</v>
      </c>
      <c r="O10" s="67" t="s">
        <v>159</v>
      </c>
      <c r="P10" s="30"/>
      <c r="Q10" s="29"/>
      <c r="R10" s="29"/>
      <c r="S10" s="29"/>
      <c r="T10" s="3" t="s">
        <v>67</v>
      </c>
      <c r="U10" s="54">
        <v>5</v>
      </c>
      <c r="V10" s="3" t="s">
        <v>29</v>
      </c>
      <c r="W10" s="63" t="s">
        <v>158</v>
      </c>
      <c r="X10" s="1"/>
      <c r="Y10" s="6" t="s">
        <v>11</v>
      </c>
      <c r="Z10" s="8">
        <v>3.8999999999999998E-3</v>
      </c>
      <c r="AA10" s="6" t="s">
        <v>68</v>
      </c>
    </row>
    <row r="11" spans="2:28" x14ac:dyDescent="0.4">
      <c r="B11" s="45" t="s">
        <v>24</v>
      </c>
      <c r="C11" s="48">
        <f>C9/100*1000/C10</f>
        <v>1.3888888888888888</v>
      </c>
      <c r="D11" s="45" t="s">
        <v>30</v>
      </c>
      <c r="E11" s="30"/>
      <c r="F11" s="30"/>
      <c r="G11" s="30"/>
      <c r="H11" s="30"/>
      <c r="I11" s="30"/>
      <c r="J11" s="30"/>
      <c r="K11" s="30"/>
      <c r="L11" s="35" t="s">
        <v>31</v>
      </c>
      <c r="M11" s="49">
        <f>2*M7+M8</f>
        <v>63</v>
      </c>
      <c r="N11" s="35" t="s">
        <v>8</v>
      </c>
      <c r="O11" s="30"/>
      <c r="P11" s="30"/>
      <c r="Q11" s="29"/>
      <c r="R11" s="29"/>
      <c r="S11" s="29"/>
      <c r="T11" s="3" t="s">
        <v>32</v>
      </c>
      <c r="U11" s="26" t="e">
        <f>C15/U8</f>
        <v>#DIV/0!</v>
      </c>
      <c r="V11" s="3" t="s">
        <v>69</v>
      </c>
      <c r="W11" s="15"/>
      <c r="X11" s="1"/>
      <c r="Y11" s="6" t="s">
        <v>12</v>
      </c>
      <c r="Z11" s="9">
        <v>45</v>
      </c>
      <c r="AA11" s="6" t="s">
        <v>13</v>
      </c>
    </row>
    <row r="12" spans="2:28" x14ac:dyDescent="0.4">
      <c r="B12" s="45" t="s">
        <v>33</v>
      </c>
      <c r="C12" s="47"/>
      <c r="D12" s="45" t="s">
        <v>14</v>
      </c>
      <c r="E12" s="30"/>
      <c r="F12" s="30"/>
      <c r="G12" s="30"/>
      <c r="H12" s="30"/>
      <c r="I12" s="30"/>
      <c r="J12" s="30"/>
      <c r="K12" s="30"/>
      <c r="L12" s="35"/>
      <c r="M12" s="51"/>
      <c r="N12" s="35"/>
      <c r="O12" s="30"/>
      <c r="P12" s="30"/>
      <c r="Q12" s="29"/>
      <c r="R12" s="29"/>
      <c r="S12" s="29"/>
      <c r="T12" s="1"/>
      <c r="U12" s="1"/>
      <c r="V12" s="1"/>
      <c r="W12" s="1"/>
      <c r="X12" s="1"/>
      <c r="Y12" s="6" t="s">
        <v>70</v>
      </c>
      <c r="Z12" s="8">
        <f>Z9*(1+Z10*(Z11-20))</f>
        <v>1.9206249999999998</v>
      </c>
      <c r="AA12" s="6" t="s">
        <v>10</v>
      </c>
    </row>
    <row r="13" spans="2:28" x14ac:dyDescent="0.4">
      <c r="B13" s="45" t="s">
        <v>25</v>
      </c>
      <c r="C13" s="48"/>
      <c r="D13" s="45" t="s">
        <v>0</v>
      </c>
      <c r="E13" s="30"/>
      <c r="F13" s="30"/>
      <c r="G13" s="30"/>
      <c r="H13" s="30"/>
      <c r="I13" s="30"/>
      <c r="J13" s="30"/>
      <c r="K13" s="30"/>
      <c r="L13" s="35" t="s">
        <v>34</v>
      </c>
      <c r="M13" s="52">
        <f>M9+E36*C35/2</f>
        <v>84</v>
      </c>
      <c r="N13" s="35" t="s">
        <v>8</v>
      </c>
      <c r="O13" s="30"/>
      <c r="P13" s="30"/>
      <c r="Q13" s="29"/>
      <c r="R13" s="29"/>
      <c r="S13" s="29"/>
      <c r="T13" s="10" t="s">
        <v>35</v>
      </c>
      <c r="U13" s="10"/>
      <c r="V13" s="10"/>
      <c r="W13" s="2"/>
      <c r="X13" s="1"/>
      <c r="Y13" s="6" t="s">
        <v>71</v>
      </c>
      <c r="Z13" s="11">
        <f>1/(Z12/100000000)</f>
        <v>52066384.64041654</v>
      </c>
      <c r="AA13" s="6" t="s">
        <v>16</v>
      </c>
    </row>
    <row r="14" spans="2:28" x14ac:dyDescent="0.4">
      <c r="B14" s="45" t="s">
        <v>72</v>
      </c>
      <c r="C14" s="48"/>
      <c r="D14" s="45" t="s">
        <v>0</v>
      </c>
      <c r="E14" s="30"/>
      <c r="F14" s="30"/>
      <c r="G14" s="30"/>
      <c r="H14" s="30"/>
      <c r="I14" s="30"/>
      <c r="J14" s="30"/>
      <c r="K14" s="30"/>
      <c r="L14" s="35"/>
      <c r="M14" s="35"/>
      <c r="N14" s="35"/>
      <c r="O14" s="30"/>
      <c r="P14" s="30"/>
      <c r="Q14" s="29"/>
      <c r="R14" s="29"/>
      <c r="S14" s="29"/>
      <c r="T14" s="10" t="s">
        <v>73</v>
      </c>
      <c r="U14" s="12">
        <f>C8*C11</f>
        <v>3.4224999999999999</v>
      </c>
      <c r="V14" s="10" t="s">
        <v>36</v>
      </c>
      <c r="W14" s="2"/>
      <c r="X14" s="1"/>
      <c r="Y14" s="6" t="s">
        <v>74</v>
      </c>
      <c r="Z14" s="5">
        <v>1</v>
      </c>
      <c r="AA14" s="6" t="s">
        <v>17</v>
      </c>
    </row>
    <row r="15" spans="2:28" x14ac:dyDescent="0.4">
      <c r="B15" s="45" t="s">
        <v>37</v>
      </c>
      <c r="C15" s="48"/>
      <c r="D15" s="45" t="s">
        <v>1</v>
      </c>
      <c r="E15" s="30"/>
      <c r="F15" s="30"/>
      <c r="G15" s="30"/>
      <c r="H15" s="30"/>
      <c r="I15" s="30"/>
      <c r="J15" s="30"/>
      <c r="K15" s="30"/>
      <c r="L15" s="35" t="s">
        <v>38</v>
      </c>
      <c r="M15" s="52">
        <f>2*M7+M13</f>
        <v>122</v>
      </c>
      <c r="N15" s="35" t="s">
        <v>8</v>
      </c>
      <c r="O15" s="30"/>
      <c r="P15" s="30"/>
      <c r="Q15" s="29"/>
      <c r="R15" s="29"/>
      <c r="S15" s="29"/>
      <c r="T15" s="1"/>
      <c r="U15" s="1"/>
      <c r="V15" s="1"/>
      <c r="W15" s="1"/>
      <c r="X15" s="1"/>
      <c r="Y15" s="6" t="s">
        <v>18</v>
      </c>
      <c r="Z15" s="13">
        <v>1E-3</v>
      </c>
      <c r="AA15" s="6" t="s">
        <v>75</v>
      </c>
      <c r="AB15" s="31" t="s">
        <v>76</v>
      </c>
    </row>
    <row r="16" spans="2:28" x14ac:dyDescent="0.4">
      <c r="B16" s="45" t="s">
        <v>39</v>
      </c>
      <c r="C16" s="46"/>
      <c r="D16" s="45" t="s">
        <v>14</v>
      </c>
      <c r="E16" s="30"/>
      <c r="F16" s="30"/>
      <c r="G16" s="30"/>
      <c r="H16" s="30"/>
      <c r="I16" s="30"/>
      <c r="J16" s="67"/>
      <c r="K16" s="30"/>
      <c r="L16" s="43" t="s">
        <v>141</v>
      </c>
      <c r="M16" s="40">
        <v>0.8</v>
      </c>
      <c r="N16" s="43" t="s">
        <v>142</v>
      </c>
      <c r="O16" s="42"/>
      <c r="P16" s="42"/>
      <c r="Q16" s="1"/>
      <c r="R16" s="1"/>
      <c r="S16" s="29"/>
      <c r="T16" s="1"/>
      <c r="U16" s="1"/>
      <c r="V16" s="1"/>
      <c r="W16" s="1"/>
      <c r="X16" s="1"/>
      <c r="Y16" s="6" t="s">
        <v>77</v>
      </c>
      <c r="Z16" s="14">
        <f>503.3*SQRT((Z12/100000000)/(Z14*Z15))*1000</f>
        <v>2205.7090200347143</v>
      </c>
      <c r="AA16" s="6" t="s">
        <v>19</v>
      </c>
    </row>
    <row r="17" spans="2:29" x14ac:dyDescent="0.4">
      <c r="B17" s="45" t="s">
        <v>78</v>
      </c>
      <c r="C17" s="68">
        <v>330</v>
      </c>
      <c r="D17" s="45" t="s">
        <v>1</v>
      </c>
      <c r="E17" s="30"/>
      <c r="F17" s="85" t="s">
        <v>170</v>
      </c>
      <c r="G17" s="30"/>
      <c r="H17" s="30"/>
      <c r="I17" s="30"/>
      <c r="J17" s="67"/>
      <c r="K17" s="30"/>
      <c r="L17" s="10" t="s">
        <v>26</v>
      </c>
      <c r="M17" s="10">
        <f>(M7-M16)*M10/100</f>
        <v>9.1</v>
      </c>
      <c r="N17" s="10" t="s">
        <v>52</v>
      </c>
      <c r="O17" s="60" t="s">
        <v>151</v>
      </c>
      <c r="P17" s="2"/>
      <c r="Q17" s="15" t="s">
        <v>40</v>
      </c>
      <c r="R17" s="1"/>
      <c r="S17" s="29"/>
      <c r="T17" s="1"/>
      <c r="U17" s="1"/>
      <c r="V17" s="1"/>
      <c r="W17" s="1"/>
      <c r="X17" s="1"/>
      <c r="Y17" s="6" t="s">
        <v>20</v>
      </c>
      <c r="Z17" s="16">
        <v>23000</v>
      </c>
      <c r="AA17" s="6" t="s">
        <v>19</v>
      </c>
    </row>
    <row r="18" spans="2:29" x14ac:dyDescent="0.4">
      <c r="B18" s="45" t="s">
        <v>41</v>
      </c>
      <c r="C18" s="48">
        <f>C8*C11/C10</f>
        <v>9.5069444444444446E-3</v>
      </c>
      <c r="D18" s="45" t="s">
        <v>42</v>
      </c>
      <c r="E18" s="30"/>
      <c r="F18" s="30"/>
      <c r="G18" s="30"/>
      <c r="H18" s="30"/>
      <c r="I18" s="30"/>
      <c r="J18" s="30"/>
      <c r="K18" s="30"/>
      <c r="L18" s="10" t="s">
        <v>79</v>
      </c>
      <c r="M18" s="10">
        <f>(M11*M15*M10-M9*M8*M10)/1000*7.83/1000</f>
        <v>2.1967065000000003</v>
      </c>
      <c r="N18" s="10" t="s">
        <v>43</v>
      </c>
      <c r="O18" s="2"/>
      <c r="P18" s="2"/>
      <c r="Q18" s="17">
        <f>M18*2200/10000</f>
        <v>0.48327543000000006</v>
      </c>
      <c r="R18" s="1" t="s">
        <v>51</v>
      </c>
      <c r="S18" s="29"/>
      <c r="T18" s="1"/>
      <c r="U18" s="1"/>
      <c r="V18" s="1"/>
      <c r="W18" s="1"/>
      <c r="X18" s="1"/>
      <c r="Y18" s="6" t="s">
        <v>80</v>
      </c>
      <c r="Z18" s="16">
        <v>1</v>
      </c>
      <c r="AA18" s="6" t="s">
        <v>19</v>
      </c>
      <c r="AC18" s="59" t="s">
        <v>150</v>
      </c>
    </row>
    <row r="19" spans="2:29" x14ac:dyDescent="0.4">
      <c r="B19" s="45" t="s">
        <v>81</v>
      </c>
      <c r="C19" s="46"/>
      <c r="D19" s="45" t="s">
        <v>2</v>
      </c>
      <c r="E19" s="30"/>
      <c r="F19" s="30"/>
      <c r="G19" s="30"/>
      <c r="H19" s="30"/>
      <c r="I19" s="30"/>
      <c r="J19" s="79"/>
      <c r="K19" s="30"/>
      <c r="L19" s="1"/>
      <c r="M19" s="1"/>
      <c r="N19" s="2"/>
      <c r="O19" s="2"/>
      <c r="P19" s="2"/>
      <c r="Q19" s="28" t="s">
        <v>139</v>
      </c>
      <c r="R19" s="1"/>
      <c r="S19" s="29"/>
      <c r="T19" s="18" t="s">
        <v>82</v>
      </c>
      <c r="U19" s="1"/>
      <c r="V19" s="1"/>
      <c r="W19" s="1"/>
      <c r="X19" s="1"/>
      <c r="Y19" s="6" t="s">
        <v>83</v>
      </c>
      <c r="Z19" s="19">
        <f>MIN(Z16,Z18)</f>
        <v>1</v>
      </c>
      <c r="AA19" s="6" t="s">
        <v>19</v>
      </c>
    </row>
    <row r="20" spans="2:29" x14ac:dyDescent="0.4">
      <c r="B20" s="45" t="s">
        <v>84</v>
      </c>
      <c r="C20" s="48"/>
      <c r="D20" s="45" t="s">
        <v>5</v>
      </c>
      <c r="E20" s="30"/>
      <c r="F20" s="30"/>
      <c r="G20" s="30"/>
      <c r="H20" s="30"/>
      <c r="I20" s="30"/>
      <c r="J20" s="80"/>
      <c r="K20" s="30"/>
      <c r="L20" s="1"/>
      <c r="M20" s="1"/>
      <c r="N20" s="2"/>
      <c r="O20" s="2"/>
      <c r="P20" s="2"/>
      <c r="Q20" s="1">
        <f>M18*3</f>
        <v>6.590119500000001</v>
      </c>
      <c r="R20" s="28" t="s">
        <v>140</v>
      </c>
      <c r="S20" s="29"/>
      <c r="T20" s="10" t="s">
        <v>85</v>
      </c>
      <c r="U20" s="10">
        <v>9000</v>
      </c>
      <c r="V20" s="10" t="s">
        <v>5</v>
      </c>
      <c r="W20" s="2"/>
      <c r="X20" s="1"/>
      <c r="Y20" s="6" t="s">
        <v>86</v>
      </c>
      <c r="Z20" s="16">
        <v>9.5</v>
      </c>
      <c r="AA20" s="6" t="s">
        <v>19</v>
      </c>
      <c r="AC20" s="59" t="s">
        <v>150</v>
      </c>
    </row>
    <row r="21" spans="2:29" x14ac:dyDescent="0.4">
      <c r="B21" s="35" t="s">
        <v>44</v>
      </c>
      <c r="C21" s="69">
        <f>C17*1.65</f>
        <v>544.5</v>
      </c>
      <c r="D21" s="35" t="s">
        <v>1</v>
      </c>
      <c r="E21" s="30"/>
      <c r="F21" s="30"/>
      <c r="G21" s="30"/>
      <c r="H21" s="30"/>
      <c r="I21" s="30"/>
      <c r="J21" s="80"/>
      <c r="K21" s="30"/>
      <c r="L21" s="1"/>
      <c r="M21" s="1"/>
      <c r="N21" s="2"/>
      <c r="O21" s="2"/>
      <c r="P21" s="2"/>
      <c r="Q21" s="1"/>
      <c r="R21" s="1"/>
      <c r="S21" s="29"/>
      <c r="T21" s="10" t="s">
        <v>87</v>
      </c>
      <c r="U21" s="10">
        <v>426</v>
      </c>
      <c r="V21" s="10" t="s">
        <v>88</v>
      </c>
      <c r="W21" s="2"/>
      <c r="X21" s="1"/>
      <c r="Y21" s="6" t="s">
        <v>89</v>
      </c>
      <c r="Z21" s="14">
        <f>(PI()*(Z20/2)^2)-(PI()*(Z20/2-Z19)^2)</f>
        <v>26.703537555513236</v>
      </c>
      <c r="AA21" s="6" t="s">
        <v>90</v>
      </c>
    </row>
    <row r="22" spans="2:29" x14ac:dyDescent="0.4">
      <c r="B22" s="35"/>
      <c r="C22" s="35"/>
      <c r="D22" s="35"/>
      <c r="E22" s="30"/>
      <c r="F22" s="30"/>
      <c r="G22" s="30"/>
      <c r="H22" s="30"/>
      <c r="I22" s="30"/>
      <c r="J22" s="30"/>
      <c r="K22" s="30"/>
      <c r="L22" s="10" t="s">
        <v>91</v>
      </c>
      <c r="M22" s="10">
        <f>M17*M8*M9/100</f>
        <v>188.82499999999999</v>
      </c>
      <c r="N22" s="10" t="s">
        <v>92</v>
      </c>
      <c r="O22" s="2"/>
      <c r="P22" s="2"/>
      <c r="Q22" s="28" t="s">
        <v>144</v>
      </c>
      <c r="R22" s="1"/>
      <c r="S22" s="29"/>
      <c r="T22" s="10" t="s">
        <v>27</v>
      </c>
      <c r="U22" s="10">
        <f>1/(2*3.14*SQRT((U20/1000000)*(U21/1000000)))</f>
        <v>81.323170519625208</v>
      </c>
      <c r="V22" s="10" t="s">
        <v>3</v>
      </c>
      <c r="W22" s="2"/>
      <c r="X22" s="1"/>
      <c r="Y22" s="6" t="s">
        <v>93</v>
      </c>
      <c r="Z22" s="16">
        <v>109</v>
      </c>
      <c r="AA22" s="20" t="s">
        <v>94</v>
      </c>
      <c r="AC22" s="59" t="s">
        <v>149</v>
      </c>
    </row>
    <row r="23" spans="2:29" x14ac:dyDescent="0.4">
      <c r="B23" s="35" t="s">
        <v>45</v>
      </c>
      <c r="C23" s="44">
        <v>1.45</v>
      </c>
      <c r="D23" s="35" t="s">
        <v>9</v>
      </c>
      <c r="E23" s="30"/>
      <c r="F23" s="30"/>
      <c r="G23" s="30"/>
      <c r="H23" s="30"/>
      <c r="I23" s="30"/>
      <c r="J23" s="30"/>
      <c r="K23" s="30"/>
      <c r="L23" s="10" t="s">
        <v>28</v>
      </c>
      <c r="M23" s="10">
        <f>(M10*2+3.14*(M7+M8/2))/10</f>
        <v>19.891000000000002</v>
      </c>
      <c r="N23" s="10" t="s">
        <v>4</v>
      </c>
      <c r="O23" s="2"/>
      <c r="P23" s="2"/>
      <c r="Q23" s="41">
        <f>Z24</f>
        <v>196.54165605734204</v>
      </c>
      <c r="R23" s="28" t="s">
        <v>140</v>
      </c>
      <c r="S23" s="29"/>
      <c r="T23" s="18" t="s">
        <v>82</v>
      </c>
      <c r="U23" s="1"/>
      <c r="V23" s="1"/>
      <c r="W23" s="1"/>
      <c r="X23" s="1"/>
      <c r="Y23" s="6" t="s">
        <v>95</v>
      </c>
      <c r="Z23" s="21">
        <f>Z22/Z21</f>
        <v>4.081856187533317</v>
      </c>
      <c r="AA23" s="20" t="s">
        <v>94</v>
      </c>
      <c r="AC23" s="59" t="s">
        <v>155</v>
      </c>
    </row>
    <row r="24" spans="2:29" x14ac:dyDescent="0.4">
      <c r="B24" s="35" t="s">
        <v>96</v>
      </c>
      <c r="C24" s="35">
        <v>50</v>
      </c>
      <c r="D24" s="35" t="s">
        <v>13</v>
      </c>
      <c r="E24" s="30"/>
      <c r="F24" s="30"/>
      <c r="G24" s="30"/>
      <c r="H24" s="30"/>
      <c r="I24" s="30"/>
      <c r="J24" s="30"/>
      <c r="K24" s="30"/>
      <c r="L24" s="10" t="s">
        <v>46</v>
      </c>
      <c r="M24" s="10">
        <f>M17</f>
        <v>9.1</v>
      </c>
      <c r="N24" s="10" t="s">
        <v>52</v>
      </c>
      <c r="O24" s="2"/>
      <c r="P24" s="2"/>
      <c r="Q24" s="1"/>
      <c r="R24" s="1"/>
      <c r="S24" s="29"/>
      <c r="T24" s="10" t="s">
        <v>85</v>
      </c>
      <c r="U24" s="10">
        <v>2800</v>
      </c>
      <c r="V24" s="10" t="s">
        <v>5</v>
      </c>
      <c r="W24" s="2"/>
      <c r="X24" s="1"/>
      <c r="Y24" s="6" t="s">
        <v>143</v>
      </c>
      <c r="Z24" s="21">
        <f>Z12/100000000*(Z22^2)/(Z21/1000000)*Z17/1000</f>
        <v>196.54165605734204</v>
      </c>
      <c r="AA24" s="20" t="s">
        <v>97</v>
      </c>
    </row>
    <row r="25" spans="2:29" x14ac:dyDescent="0.4">
      <c r="B25" s="35" t="s">
        <v>98</v>
      </c>
      <c r="C25" s="71" t="s">
        <v>161</v>
      </c>
      <c r="D25" s="35"/>
      <c r="E25" s="30"/>
      <c r="F25" s="30"/>
      <c r="G25" s="30"/>
      <c r="H25" s="30"/>
      <c r="I25" s="30"/>
      <c r="J25" s="30"/>
      <c r="K25" s="30"/>
      <c r="L25" s="10" t="s">
        <v>99</v>
      </c>
      <c r="M25" s="10">
        <f>M8*M9/100</f>
        <v>20.75</v>
      </c>
      <c r="N25" s="10" t="s">
        <v>52</v>
      </c>
      <c r="O25" s="2"/>
      <c r="P25" s="2"/>
      <c r="Q25" s="28" t="s">
        <v>145</v>
      </c>
      <c r="R25" s="1"/>
      <c r="S25" s="29"/>
      <c r="T25" s="10" t="s">
        <v>87</v>
      </c>
      <c r="U25" s="10">
        <v>450</v>
      </c>
      <c r="V25" s="10" t="s">
        <v>88</v>
      </c>
      <c r="W25" s="2"/>
      <c r="X25" s="1"/>
      <c r="Y25" s="1"/>
      <c r="Z25" s="1"/>
      <c r="AA25" s="1"/>
    </row>
    <row r="26" spans="2:29" x14ac:dyDescent="0.4">
      <c r="B26" s="70" t="s">
        <v>160</v>
      </c>
      <c r="C26" s="71" t="s">
        <v>47</v>
      </c>
      <c r="D26" s="35"/>
      <c r="E26" s="30"/>
      <c r="F26" s="30"/>
      <c r="G26" s="30"/>
      <c r="H26" s="30"/>
      <c r="I26" s="30"/>
      <c r="J26" s="30"/>
      <c r="K26" s="30"/>
      <c r="L26" s="10" t="s">
        <v>100</v>
      </c>
      <c r="M26" s="10">
        <f>(2*M15*2*M11 + M10*(2*M15+4*M11))/100</f>
        <v>555.44000000000005</v>
      </c>
      <c r="N26" s="10" t="s">
        <v>52</v>
      </c>
      <c r="O26" s="2"/>
      <c r="P26" s="2"/>
      <c r="Q26" s="41">
        <f>Q20+Q23</f>
        <v>203.13177555734205</v>
      </c>
      <c r="R26" s="28" t="s">
        <v>140</v>
      </c>
      <c r="S26" s="29"/>
      <c r="T26" s="10" t="s">
        <v>27</v>
      </c>
      <c r="U26" s="10">
        <f>1/(2*3.14*SQRT((U24/1000000)*(U25/1000000)))</f>
        <v>141.85840865839933</v>
      </c>
      <c r="V26" s="10" t="s">
        <v>3</v>
      </c>
      <c r="W26" s="2"/>
      <c r="X26" s="1"/>
      <c r="Y26" s="1"/>
      <c r="Z26" s="1"/>
      <c r="AA26" s="1"/>
    </row>
    <row r="27" spans="2:29" x14ac:dyDescent="0.4">
      <c r="B27" s="35" t="s">
        <v>101</v>
      </c>
      <c r="C27" s="35">
        <f>C23*C17/C21</f>
        <v>0.87878787878787878</v>
      </c>
      <c r="D27" s="35" t="s">
        <v>9</v>
      </c>
      <c r="E27" s="30"/>
      <c r="F27" s="30"/>
      <c r="G27" s="30"/>
      <c r="H27" s="30"/>
      <c r="I27" s="30"/>
      <c r="J27" s="30"/>
      <c r="K27" s="30"/>
      <c r="L27" s="10"/>
      <c r="M27" s="10"/>
      <c r="N27" s="10"/>
      <c r="O27" s="2"/>
      <c r="P27" s="2"/>
      <c r="Q27" s="1"/>
      <c r="R27" s="1"/>
      <c r="S27" s="29"/>
      <c r="T27" s="18" t="s">
        <v>102</v>
      </c>
      <c r="U27" s="1"/>
      <c r="V27" s="1"/>
      <c r="W27" s="1"/>
      <c r="X27" s="1"/>
      <c r="Y27" s="1"/>
      <c r="Z27" s="1"/>
      <c r="AA27" s="1"/>
    </row>
    <row r="28" spans="2:29" x14ac:dyDescent="0.4">
      <c r="B28" s="35" t="s">
        <v>48</v>
      </c>
      <c r="C28" s="44" t="str">
        <f>L6</f>
        <v>Cut Core</v>
      </c>
      <c r="D28" s="35"/>
      <c r="E28" s="30"/>
      <c r="F28" s="30"/>
      <c r="G28" s="30"/>
      <c r="H28" s="30"/>
      <c r="I28" s="30"/>
      <c r="J28" s="30"/>
      <c r="K28" s="30"/>
      <c r="L28" s="10" t="s">
        <v>103</v>
      </c>
      <c r="M28" s="10">
        <f>M9/10</f>
        <v>8.3000000000000007</v>
      </c>
      <c r="N28" s="10" t="s">
        <v>4</v>
      </c>
      <c r="O28" s="2"/>
      <c r="P28" s="2"/>
      <c r="Q28" s="28" t="s">
        <v>146</v>
      </c>
      <c r="R28" s="1"/>
      <c r="S28" s="29"/>
      <c r="T28" s="10" t="s">
        <v>104</v>
      </c>
      <c r="U28" s="10">
        <v>17848</v>
      </c>
      <c r="V28" s="10" t="s">
        <v>50</v>
      </c>
      <c r="W28" s="2"/>
      <c r="X28" s="1"/>
      <c r="Y28" s="1"/>
      <c r="Z28" s="1"/>
      <c r="AA28" s="1"/>
    </row>
    <row r="29" spans="2:29" x14ac:dyDescent="0.4">
      <c r="B29" s="35" t="s">
        <v>26</v>
      </c>
      <c r="C29" s="69">
        <v>9.1199999999999992</v>
      </c>
      <c r="D29" s="35" t="s">
        <v>52</v>
      </c>
      <c r="E29" s="30"/>
      <c r="F29" s="85" t="s">
        <v>171</v>
      </c>
      <c r="G29" s="30"/>
      <c r="H29" s="30"/>
      <c r="I29" s="30"/>
      <c r="J29" s="57"/>
      <c r="K29" s="30"/>
      <c r="L29" s="1"/>
      <c r="M29" s="1"/>
      <c r="N29" s="2"/>
      <c r="O29" s="2"/>
      <c r="P29" s="2"/>
      <c r="Q29" s="53" t="e">
        <f>Q26/(C5*1000)*100</f>
        <v>#DIV/0!</v>
      </c>
      <c r="R29" s="28" t="s">
        <v>14</v>
      </c>
      <c r="S29" s="29"/>
      <c r="T29" s="3" t="s">
        <v>105</v>
      </c>
      <c r="U29" s="3">
        <v>20942</v>
      </c>
      <c r="V29" s="3" t="s">
        <v>50</v>
      </c>
      <c r="W29" s="2"/>
      <c r="X29" s="1"/>
      <c r="Y29" s="1"/>
      <c r="Z29" s="1"/>
      <c r="AA29" s="1"/>
    </row>
    <row r="30" spans="2:29" x14ac:dyDescent="0.4">
      <c r="B30" s="35" t="s">
        <v>106</v>
      </c>
      <c r="C30" s="32">
        <v>1</v>
      </c>
      <c r="D30" s="35" t="s">
        <v>107</v>
      </c>
      <c r="E30" s="30"/>
      <c r="F30" s="30"/>
      <c r="G30" s="30"/>
      <c r="H30" s="30"/>
      <c r="I30" s="30"/>
      <c r="J30" s="30"/>
      <c r="K30" s="30"/>
      <c r="L30" s="10" t="s">
        <v>108</v>
      </c>
      <c r="M30" s="10">
        <f>C30</f>
        <v>1</v>
      </c>
      <c r="N30" s="10" t="s">
        <v>107</v>
      </c>
      <c r="O30" s="2"/>
      <c r="P30" s="2"/>
      <c r="Q30" s="1"/>
      <c r="R30" s="1"/>
      <c r="S30" s="29"/>
      <c r="T30" s="65" t="s">
        <v>148</v>
      </c>
      <c r="U30" s="3">
        <v>15468</v>
      </c>
      <c r="V30" s="3" t="s">
        <v>50</v>
      </c>
      <c r="W30" s="2"/>
      <c r="X30" s="1"/>
      <c r="Y30" s="1"/>
      <c r="Z30" s="1"/>
      <c r="AA30" s="1"/>
    </row>
    <row r="31" spans="2:29" x14ac:dyDescent="0.4">
      <c r="B31" s="35" t="s">
        <v>109</v>
      </c>
      <c r="C31" s="32">
        <f>C29*C30</f>
        <v>9.1199999999999992</v>
      </c>
      <c r="D31" s="35" t="s">
        <v>52</v>
      </c>
      <c r="E31" s="30"/>
      <c r="F31" s="30"/>
      <c r="G31" s="30"/>
      <c r="H31" s="30"/>
      <c r="I31" s="30"/>
      <c r="J31" s="30"/>
      <c r="K31" s="30"/>
      <c r="L31" s="10" t="s">
        <v>110</v>
      </c>
      <c r="M31" s="10">
        <f>M22*M30</f>
        <v>188.82499999999999</v>
      </c>
      <c r="N31" s="10" t="s">
        <v>92</v>
      </c>
      <c r="O31" s="2"/>
      <c r="P31" s="2"/>
      <c r="Q31" s="1"/>
      <c r="R31" s="1"/>
      <c r="S31" s="29"/>
      <c r="T31" s="3" t="s">
        <v>53</v>
      </c>
      <c r="U31" s="3">
        <v>18086</v>
      </c>
      <c r="V31" s="3" t="s">
        <v>50</v>
      </c>
      <c r="W31" s="2"/>
      <c r="X31" s="1"/>
      <c r="Y31" s="1"/>
      <c r="Z31" s="1"/>
      <c r="AA31" s="1"/>
    </row>
    <row r="32" spans="2:29" x14ac:dyDescent="0.4">
      <c r="B32" s="35"/>
      <c r="C32" s="32"/>
      <c r="D32" s="35"/>
      <c r="E32" s="30"/>
      <c r="F32" s="30"/>
      <c r="G32" s="30"/>
      <c r="H32" s="30"/>
      <c r="I32" s="30"/>
      <c r="J32" s="30"/>
      <c r="K32" s="30"/>
      <c r="L32" s="10" t="s">
        <v>111</v>
      </c>
      <c r="M32" s="10">
        <f>M24*M30</f>
        <v>9.1</v>
      </c>
      <c r="N32" s="10" t="s">
        <v>52</v>
      </c>
      <c r="O32" s="2"/>
      <c r="P32" s="2"/>
      <c r="Q32" s="1" t="s">
        <v>49</v>
      </c>
      <c r="R32" s="1"/>
      <c r="S32" s="29"/>
      <c r="T32" s="64" t="s">
        <v>136</v>
      </c>
      <c r="U32" s="64">
        <v>12475</v>
      </c>
      <c r="V32" s="64" t="s">
        <v>50</v>
      </c>
      <c r="W32" s="2"/>
      <c r="X32" s="1"/>
      <c r="Y32" s="1"/>
      <c r="Z32" s="1"/>
      <c r="AA32" s="1"/>
    </row>
    <row r="33" spans="2:27" x14ac:dyDescent="0.4">
      <c r="B33" s="35" t="s">
        <v>113</v>
      </c>
      <c r="C33" s="34">
        <f>ROUNDUP(C8*C11/1000*10000/C27/C31,0)</f>
        <v>5</v>
      </c>
      <c r="D33" s="35" t="s">
        <v>114</v>
      </c>
      <c r="E33" s="30"/>
      <c r="F33" s="30"/>
      <c r="G33" s="30"/>
      <c r="H33" s="30"/>
      <c r="I33" s="30"/>
      <c r="J33" s="30"/>
      <c r="K33" s="30"/>
      <c r="L33" s="10" t="s">
        <v>115</v>
      </c>
      <c r="M33" s="10">
        <f>M23</f>
        <v>19.891000000000002</v>
      </c>
      <c r="N33" s="10" t="s">
        <v>4</v>
      </c>
      <c r="O33" s="2"/>
      <c r="Q33" s="29">
        <v>23</v>
      </c>
      <c r="R33" s="1" t="s">
        <v>116</v>
      </c>
      <c r="S33" s="29"/>
      <c r="T33" s="25" t="s">
        <v>112</v>
      </c>
      <c r="U33" s="25">
        <v>7900</v>
      </c>
      <c r="V33" s="25" t="s">
        <v>50</v>
      </c>
      <c r="W33" s="2"/>
      <c r="X33" s="1"/>
      <c r="Y33" s="1"/>
      <c r="Z33" s="1"/>
      <c r="AA33" s="1"/>
    </row>
    <row r="34" spans="2:27" x14ac:dyDescent="0.4">
      <c r="B34" s="35" t="s">
        <v>118</v>
      </c>
      <c r="C34" s="32">
        <f>ROUNDUP(0.4*3.1416*C33*C21/10000/C23,2)</f>
        <v>0.24000000000000002</v>
      </c>
      <c r="D34" s="35" t="s">
        <v>4</v>
      </c>
      <c r="E34" s="30"/>
      <c r="F34" s="36"/>
      <c r="G34" s="36"/>
      <c r="H34" s="36"/>
      <c r="I34" s="36"/>
      <c r="J34" s="36"/>
      <c r="K34" s="36"/>
      <c r="L34" s="10" t="s">
        <v>119</v>
      </c>
      <c r="M34" s="10">
        <f>M18*M30</f>
        <v>2.1967065000000003</v>
      </c>
      <c r="N34" s="10" t="s">
        <v>43</v>
      </c>
      <c r="O34" s="24"/>
      <c r="P34" s="61"/>
      <c r="Q34" s="62">
        <v>12475</v>
      </c>
      <c r="R34" s="22" t="s">
        <v>50</v>
      </c>
      <c r="S34" s="38"/>
      <c r="T34" s="25" t="s">
        <v>117</v>
      </c>
      <c r="U34" s="25">
        <v>10200</v>
      </c>
      <c r="V34" s="10" t="s">
        <v>50</v>
      </c>
      <c r="W34" s="2"/>
      <c r="X34" s="22"/>
      <c r="Y34" s="22"/>
      <c r="Z34" s="22"/>
      <c r="AA34" s="1"/>
    </row>
    <row r="35" spans="2:27" x14ac:dyDescent="0.4">
      <c r="B35" s="35" t="s">
        <v>121</v>
      </c>
      <c r="C35" s="55">
        <v>2</v>
      </c>
      <c r="D35" s="35"/>
      <c r="E35" s="42" t="s">
        <v>147</v>
      </c>
      <c r="F35" s="36"/>
      <c r="G35" s="36"/>
      <c r="H35" s="36"/>
      <c r="I35" s="36"/>
      <c r="J35" s="81"/>
      <c r="K35" s="36"/>
      <c r="L35" s="1"/>
      <c r="M35" s="1"/>
      <c r="N35" s="2"/>
      <c r="O35" s="2"/>
      <c r="P35" s="61"/>
      <c r="Q35" s="62">
        <f>Q33*Q34/10000</f>
        <v>28.692499999999999</v>
      </c>
      <c r="R35" s="22" t="s">
        <v>51</v>
      </c>
      <c r="S35" s="38"/>
      <c r="T35" s="27" t="s">
        <v>137</v>
      </c>
      <c r="U35" s="25">
        <v>6850</v>
      </c>
      <c r="V35" s="25" t="s">
        <v>50</v>
      </c>
      <c r="W35" s="2"/>
      <c r="X35" s="22"/>
      <c r="Y35" s="22"/>
      <c r="Z35" s="22"/>
      <c r="AA35" s="22"/>
    </row>
    <row r="36" spans="2:27" x14ac:dyDescent="0.4">
      <c r="B36" s="35" t="s">
        <v>123</v>
      </c>
      <c r="C36" s="49">
        <f>C34/C35</f>
        <v>0.12000000000000001</v>
      </c>
      <c r="D36" s="35" t="s">
        <v>4</v>
      </c>
      <c r="E36" s="56">
        <v>1</v>
      </c>
      <c r="F36" s="39" t="s">
        <v>8</v>
      </c>
      <c r="G36" s="39"/>
      <c r="H36" s="39"/>
      <c r="I36" s="39"/>
      <c r="J36" s="81"/>
      <c r="K36" s="39"/>
      <c r="L36" s="1"/>
      <c r="M36" s="1"/>
      <c r="N36" s="1"/>
      <c r="O36" s="1"/>
      <c r="P36" s="61"/>
      <c r="Q36" s="62" t="s">
        <v>124</v>
      </c>
      <c r="R36" s="22"/>
      <c r="S36" s="38"/>
      <c r="T36" s="23" t="s">
        <v>120</v>
      </c>
      <c r="U36" s="10">
        <v>5200</v>
      </c>
      <c r="V36" s="10" t="s">
        <v>50</v>
      </c>
      <c r="W36" s="2"/>
      <c r="X36" s="22"/>
      <c r="Y36" s="22"/>
      <c r="Z36" s="22"/>
      <c r="AA36" s="22"/>
    </row>
    <row r="37" spans="2:27" x14ac:dyDescent="0.4">
      <c r="B37" s="35" t="s">
        <v>125</v>
      </c>
      <c r="C37" s="32">
        <f>C36/M7*10*100</f>
        <v>6.3157894736842106</v>
      </c>
      <c r="D37" s="32" t="s">
        <v>14</v>
      </c>
      <c r="E37" s="30"/>
      <c r="F37" s="30"/>
      <c r="G37" s="30"/>
      <c r="H37" s="30"/>
      <c r="I37" s="30"/>
      <c r="J37" s="30"/>
      <c r="K37" s="30"/>
      <c r="L37" s="1"/>
      <c r="M37" s="1"/>
      <c r="N37" s="1"/>
      <c r="O37" s="1"/>
      <c r="P37" s="61"/>
      <c r="Q37" s="62">
        <f>Q18+Q35</f>
        <v>29.175775429999998</v>
      </c>
      <c r="R37" s="22" t="s">
        <v>51</v>
      </c>
      <c r="S37" s="38"/>
      <c r="T37" s="10" t="s">
        <v>122</v>
      </c>
      <c r="U37" s="10">
        <v>5200</v>
      </c>
      <c r="V37" s="10" t="s">
        <v>50</v>
      </c>
      <c r="W37" s="2"/>
      <c r="X37" s="22"/>
      <c r="Y37" s="22"/>
      <c r="Z37" s="22"/>
      <c r="AA37" s="22"/>
    </row>
    <row r="38" spans="2:27" x14ac:dyDescent="0.4">
      <c r="B38" s="35" t="s">
        <v>126</v>
      </c>
      <c r="C38" s="49">
        <f>0.000000004*PI()*C33^2*C31/C34*1000000</f>
        <v>11.93805208364121</v>
      </c>
      <c r="D38" s="35" t="s">
        <v>88</v>
      </c>
      <c r="E38" s="30"/>
      <c r="F38" s="30"/>
      <c r="G38" s="30"/>
      <c r="H38" s="30"/>
      <c r="I38" s="30"/>
      <c r="J38" s="30"/>
      <c r="K38" s="30"/>
      <c r="L38" s="29"/>
      <c r="M38" s="29"/>
      <c r="N38" s="29"/>
      <c r="O38" s="29"/>
      <c r="P38" s="61"/>
      <c r="Q38" s="30"/>
      <c r="R38" s="38"/>
      <c r="S38" s="38"/>
      <c r="T38" s="27" t="s">
        <v>138</v>
      </c>
      <c r="U38" s="25">
        <v>3780</v>
      </c>
      <c r="V38" s="25" t="s">
        <v>50</v>
      </c>
      <c r="W38" s="2"/>
      <c r="X38" s="38"/>
      <c r="Y38" s="38"/>
      <c r="Z38" s="38"/>
      <c r="AA38" s="38"/>
    </row>
    <row r="39" spans="2:27" x14ac:dyDescent="0.4">
      <c r="B39" s="58" t="s">
        <v>127</v>
      </c>
      <c r="C39" s="32">
        <f>1+C36/C31^0.5*LN(2*M28/C36)</f>
        <v>1.1958850729970665</v>
      </c>
      <c r="D39" s="35"/>
      <c r="E39" s="30"/>
      <c r="F39" s="30"/>
      <c r="G39" s="30"/>
      <c r="H39" s="30"/>
      <c r="I39" s="30"/>
      <c r="J39" s="66"/>
      <c r="K39" s="30"/>
      <c r="L39" s="29"/>
      <c r="M39" s="29"/>
      <c r="N39" s="29"/>
      <c r="O39" s="29"/>
      <c r="P39" s="61"/>
      <c r="Q39" s="30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2:27" x14ac:dyDescent="0.4">
      <c r="B40" s="35" t="s">
        <v>128</v>
      </c>
      <c r="C40" s="50">
        <f>C18*C39*1000</f>
        <v>11.369212950923499</v>
      </c>
      <c r="D40" s="35" t="s">
        <v>88</v>
      </c>
      <c r="E40" s="30"/>
      <c r="F40" s="30"/>
      <c r="G40" s="30"/>
      <c r="H40" s="30"/>
      <c r="I40" s="30"/>
      <c r="J40" s="82"/>
      <c r="K40" s="30"/>
      <c r="L40" s="29"/>
      <c r="M40" s="29"/>
      <c r="N40" s="29"/>
      <c r="O40" s="29"/>
      <c r="P40" s="61"/>
      <c r="Q40" s="30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2:27" x14ac:dyDescent="0.4">
      <c r="B41" s="35"/>
      <c r="C41" s="32"/>
      <c r="D41" s="35"/>
      <c r="E41" s="30"/>
      <c r="F41" s="30"/>
      <c r="G41" s="30"/>
      <c r="H41" s="30"/>
      <c r="I41" s="30"/>
      <c r="J41" s="80"/>
      <c r="K41" s="30"/>
      <c r="L41" s="29"/>
      <c r="M41" s="29"/>
      <c r="N41" s="29"/>
      <c r="O41" s="29"/>
      <c r="P41" s="61"/>
      <c r="Q41" s="30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2:27" x14ac:dyDescent="0.4">
      <c r="B42" s="35" t="s">
        <v>129</v>
      </c>
      <c r="C42" s="32">
        <v>40</v>
      </c>
      <c r="D42" s="35" t="s">
        <v>8</v>
      </c>
      <c r="E42" s="30"/>
      <c r="F42" s="30"/>
      <c r="G42" s="30"/>
      <c r="H42" s="30"/>
      <c r="I42" s="30"/>
      <c r="K42" s="30"/>
      <c r="L42" s="38"/>
      <c r="M42" s="38"/>
      <c r="N42" s="38"/>
      <c r="O42" s="38"/>
      <c r="P42" s="61"/>
      <c r="Q42" s="30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2:27" x14ac:dyDescent="0.4">
      <c r="B43" s="35" t="s">
        <v>130</v>
      </c>
      <c r="C43" s="32">
        <v>4</v>
      </c>
      <c r="D43" s="35" t="s">
        <v>8</v>
      </c>
      <c r="E43" s="30"/>
      <c r="F43" s="30"/>
      <c r="G43" s="30"/>
      <c r="H43" s="30"/>
      <c r="I43" s="30"/>
      <c r="J43" s="30"/>
      <c r="K43" s="30"/>
      <c r="L43" s="38"/>
      <c r="M43" s="38"/>
      <c r="N43" s="38"/>
      <c r="O43" s="38"/>
      <c r="P43" s="61"/>
      <c r="Q43" s="30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2:27" x14ac:dyDescent="0.4">
      <c r="B44" s="35" t="s">
        <v>60</v>
      </c>
      <c r="C44" s="32">
        <f>C42*C43</f>
        <v>160</v>
      </c>
      <c r="D44" s="35" t="s">
        <v>61</v>
      </c>
      <c r="E44" s="30"/>
      <c r="F44" s="30"/>
      <c r="G44" s="30"/>
      <c r="H44" s="30"/>
      <c r="I44" s="30"/>
      <c r="K44" s="30"/>
      <c r="L44" s="38"/>
      <c r="M44" s="38"/>
      <c r="N44" s="38"/>
      <c r="O44" s="38"/>
      <c r="P44" s="61"/>
      <c r="Q44" s="30"/>
      <c r="R44" s="38"/>
      <c r="S44" s="38"/>
      <c r="T44" s="38"/>
      <c r="U44" s="38"/>
      <c r="V44" s="38"/>
      <c r="W44" s="38"/>
      <c r="X44" s="29"/>
      <c r="Y44" s="29"/>
      <c r="Z44" s="29"/>
      <c r="AA44" s="29"/>
    </row>
    <row r="45" spans="2:27" x14ac:dyDescent="0.4">
      <c r="B45" s="35" t="s">
        <v>131</v>
      </c>
      <c r="C45" s="32">
        <v>40</v>
      </c>
      <c r="D45" s="35"/>
      <c r="E45" s="30"/>
      <c r="F45" s="30"/>
      <c r="G45" s="30"/>
      <c r="H45" s="30"/>
      <c r="I45" s="30"/>
      <c r="K45" s="30"/>
      <c r="L45" s="38"/>
      <c r="M45" s="38"/>
      <c r="N45" s="38"/>
      <c r="O45" s="38"/>
      <c r="P45" s="61"/>
      <c r="Q45" s="30"/>
      <c r="R45" s="38"/>
      <c r="S45" s="38"/>
      <c r="T45" s="38"/>
      <c r="U45" s="38"/>
      <c r="V45" s="38"/>
      <c r="W45" s="38"/>
      <c r="X45" s="29"/>
      <c r="Y45" s="29"/>
      <c r="Z45" s="29"/>
      <c r="AA45" s="29"/>
    </row>
    <row r="46" spans="2:27" x14ac:dyDescent="0.4">
      <c r="B46" s="35" t="s">
        <v>132</v>
      </c>
      <c r="C46" s="32">
        <v>0.1</v>
      </c>
      <c r="D46" s="35" t="s">
        <v>8</v>
      </c>
      <c r="E46" s="30"/>
      <c r="F46" s="30"/>
      <c r="G46" s="30"/>
      <c r="H46" s="30"/>
      <c r="I46" s="30"/>
      <c r="J46" s="30"/>
      <c r="K46" s="30"/>
      <c r="L46" s="38"/>
      <c r="M46" s="38"/>
      <c r="N46" s="38"/>
      <c r="O46" s="38"/>
      <c r="P46" s="61"/>
      <c r="Q46" s="30"/>
      <c r="R46" s="38"/>
      <c r="S46" s="38"/>
      <c r="T46" s="38"/>
      <c r="U46" s="38"/>
      <c r="V46" s="38"/>
      <c r="W46" s="38"/>
      <c r="X46" s="29"/>
      <c r="Y46" s="29"/>
      <c r="Z46" s="29"/>
      <c r="AA46" s="29"/>
    </row>
    <row r="47" spans="2:27" x14ac:dyDescent="0.4">
      <c r="B47" s="35" t="s">
        <v>133</v>
      </c>
      <c r="C47" s="32">
        <f>C33*(C43*C45+C46)</f>
        <v>800.5</v>
      </c>
      <c r="D47" s="35" t="s">
        <v>8</v>
      </c>
      <c r="E47" s="30"/>
      <c r="F47" s="30"/>
      <c r="G47" s="30"/>
      <c r="H47" s="30"/>
      <c r="I47" s="30"/>
      <c r="J47" s="30"/>
      <c r="K47" s="30"/>
      <c r="L47" s="29"/>
      <c r="M47" s="29"/>
      <c r="N47" s="29"/>
      <c r="O47" s="29"/>
      <c r="P47" s="61"/>
      <c r="Q47" s="30"/>
      <c r="R47" s="38"/>
      <c r="S47" s="38"/>
      <c r="T47" s="38"/>
      <c r="U47" s="38"/>
      <c r="V47" s="38"/>
      <c r="W47" s="38"/>
      <c r="X47" s="29"/>
      <c r="Y47" s="29"/>
      <c r="Z47" s="29"/>
      <c r="AA47" s="29"/>
    </row>
    <row r="48" spans="2:27" x14ac:dyDescent="0.4">
      <c r="B48" s="35" t="s">
        <v>134</v>
      </c>
      <c r="C48" s="32">
        <f>C42*C43*C45*C33/100</f>
        <v>320</v>
      </c>
      <c r="D48" s="35" t="s">
        <v>52</v>
      </c>
      <c r="E48" s="30"/>
      <c r="F48" s="30"/>
      <c r="G48" s="30"/>
      <c r="H48" s="30"/>
      <c r="I48" s="30"/>
      <c r="J48" s="30"/>
      <c r="K48" s="30"/>
      <c r="L48" s="29"/>
      <c r="M48" s="29"/>
      <c r="N48" s="29"/>
      <c r="O48" s="29"/>
      <c r="P48" s="61"/>
      <c r="Q48" s="30"/>
      <c r="R48" s="38"/>
      <c r="S48" s="38"/>
      <c r="T48" s="38"/>
      <c r="U48" s="38"/>
      <c r="V48" s="38"/>
      <c r="W48" s="38"/>
      <c r="X48" s="29"/>
      <c r="Y48" s="29"/>
      <c r="Z48" s="29"/>
      <c r="AA48" s="29"/>
    </row>
    <row r="49" spans="2:27" x14ac:dyDescent="0.4">
      <c r="B49" s="35" t="s">
        <v>135</v>
      </c>
      <c r="C49" s="32">
        <f>C48/M25*100</f>
        <v>1542.1686746987953</v>
      </c>
      <c r="D49" s="35"/>
      <c r="E49" s="30"/>
      <c r="F49" s="30"/>
      <c r="G49" s="30"/>
      <c r="H49" s="30"/>
      <c r="I49" s="30"/>
      <c r="J49" s="30"/>
      <c r="K49" s="30"/>
      <c r="L49" s="29"/>
      <c r="M49" s="29"/>
      <c r="N49" s="29"/>
      <c r="O49" s="29"/>
      <c r="P49" s="61"/>
      <c r="Q49" s="30"/>
      <c r="R49" s="38"/>
      <c r="S49" s="38"/>
      <c r="T49" s="38"/>
      <c r="U49" s="38"/>
      <c r="V49" s="38"/>
      <c r="W49" s="38"/>
      <c r="X49" s="29"/>
      <c r="Y49" s="29"/>
      <c r="Z49" s="29"/>
      <c r="AA49" s="29"/>
    </row>
    <row r="50" spans="2:27" x14ac:dyDescent="0.25">
      <c r="P50" s="61"/>
      <c r="Q50" s="61"/>
    </row>
  </sheetData>
  <mergeCells count="5">
    <mergeCell ref="Y7:AA7"/>
    <mergeCell ref="B3:C3"/>
    <mergeCell ref="J19:J21"/>
    <mergeCell ref="J35:J36"/>
    <mergeCell ref="J40:J41"/>
  </mergeCells>
  <phoneticPr fontId="13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StaticMetafile" shapeId="3208193" r:id="rId4">
          <objectPr defaultSize="0" autoPict="0" r:id="rId5">
            <anchor moveWithCells="1">
              <from>
                <xdr:col>16</xdr:col>
                <xdr:colOff>22860</xdr:colOff>
                <xdr:row>5</xdr:row>
                <xdr:rowOff>22860</xdr:rowOff>
              </from>
              <to>
                <xdr:col>18</xdr:col>
                <xdr:colOff>769620</xdr:colOff>
                <xdr:row>13</xdr:row>
                <xdr:rowOff>83820</xdr:rowOff>
              </to>
            </anchor>
          </objectPr>
        </oleObject>
      </mc:Choice>
      <mc:Fallback>
        <oleObject progId="StaticMetafile" shapeId="320819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댐핑 인덕터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2021-12-29T04:30:42Z</dcterms:modified>
</cp:coreProperties>
</file>