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 defaultThemeVersion="124226"/>
  <bookViews>
    <workbookView xWindow="12288" yWindow="-216" windowWidth="21180" windowHeight="13176" tabRatio="821"/>
  </bookViews>
  <sheets>
    <sheet name="DC 인덕터_한두철강_380V_확정" sheetId="46" r:id="rId1"/>
    <sheet name="DC 인덕터_한두철강_380V_확정_설명" sheetId="49" r:id="rId2"/>
  </sheets>
  <calcPr calcId="145621"/>
</workbook>
</file>

<file path=xl/calcChain.xml><?xml version="1.0" encoding="utf-8"?>
<calcChain xmlns="http://schemas.openxmlformats.org/spreadsheetml/2006/main">
  <c r="F64" i="49" l="1"/>
  <c r="Q55" i="49"/>
  <c r="M50" i="49"/>
  <c r="M48" i="49"/>
  <c r="F48" i="49"/>
  <c r="U46" i="49"/>
  <c r="M45" i="49"/>
  <c r="M43" i="49"/>
  <c r="M53" i="49" s="1"/>
  <c r="U42" i="49"/>
  <c r="M37" i="49"/>
  <c r="F49" i="49" s="1"/>
  <c r="F51" i="49" s="1"/>
  <c r="M35" i="49"/>
  <c r="M38" i="49" s="1"/>
  <c r="Z33" i="49"/>
  <c r="M33" i="49"/>
  <c r="F33" i="49"/>
  <c r="F34" i="49" s="1"/>
  <c r="F35" i="49" s="1"/>
  <c r="Z32" i="49"/>
  <c r="M31" i="49"/>
  <c r="F31" i="49"/>
  <c r="U34" i="49" s="1"/>
  <c r="F27" i="49"/>
  <c r="Q38" i="49" l="1"/>
  <c r="Q57" i="49" s="1"/>
  <c r="Q40" i="49"/>
  <c r="M54" i="49"/>
  <c r="F41" i="49"/>
  <c r="F47" i="49" s="1"/>
  <c r="F53" i="49" s="1"/>
  <c r="U31" i="49"/>
  <c r="F38" i="49"/>
  <c r="M42" i="49"/>
  <c r="M51" i="49" s="1"/>
  <c r="M46" i="49"/>
  <c r="M44" i="49"/>
  <c r="M52" i="49" s="1"/>
  <c r="Z36" i="49"/>
  <c r="Z39" i="49" s="1"/>
  <c r="Z41" i="49" s="1"/>
  <c r="Z43" i="49" s="1"/>
  <c r="C35" i="46"/>
  <c r="F54" i="49" l="1"/>
  <c r="F56" i="49" s="1"/>
  <c r="F68" i="49"/>
  <c r="F69" i="49" s="1"/>
  <c r="F67" i="49"/>
  <c r="Z44" i="49"/>
  <c r="Q43" i="49" s="1"/>
  <c r="Q46" i="49" s="1"/>
  <c r="Q49" i="49" s="1"/>
  <c r="F40" i="49"/>
  <c r="F58" i="49" l="1"/>
  <c r="F57" i="49"/>
  <c r="F59" i="49"/>
  <c r="F60" i="49" s="1"/>
  <c r="C38" i="46"/>
  <c r="C27" i="46"/>
  <c r="C64" i="46" l="1"/>
  <c r="N55" i="46"/>
  <c r="J50" i="46"/>
  <c r="J48" i="46"/>
  <c r="C48" i="46"/>
  <c r="R46" i="46"/>
  <c r="J45" i="46"/>
  <c r="J43" i="46"/>
  <c r="J53" i="46" s="1"/>
  <c r="R42" i="46"/>
  <c r="J37" i="46"/>
  <c r="C49" i="46" s="1"/>
  <c r="C51" i="46" s="1"/>
  <c r="J33" i="46"/>
  <c r="J35" i="46" s="1"/>
  <c r="C33" i="46"/>
  <c r="C34" i="46" s="1"/>
  <c r="C41" i="46" s="1"/>
  <c r="W32" i="46"/>
  <c r="J31" i="46"/>
  <c r="C31" i="46"/>
  <c r="J44" i="46" l="1"/>
  <c r="J52" i="46" s="1"/>
  <c r="J42" i="46"/>
  <c r="J51" i="46" s="1"/>
  <c r="W33" i="46"/>
  <c r="W36" i="46"/>
  <c r="W39" i="46" s="1"/>
  <c r="W41" i="46" s="1"/>
  <c r="W43" i="46" s="1"/>
  <c r="J46" i="46"/>
  <c r="R34" i="46"/>
  <c r="R31" i="46"/>
  <c r="J38" i="46"/>
  <c r="C47" i="46" l="1"/>
  <c r="C53" i="46" s="1"/>
  <c r="C40" i="46"/>
  <c r="W44" i="46"/>
  <c r="N43" i="46" s="1"/>
  <c r="J54" i="46"/>
  <c r="N38" i="46"/>
  <c r="N57" i="46" s="1"/>
  <c r="N40" i="46"/>
  <c r="C67" i="46" l="1"/>
  <c r="C54" i="46"/>
  <c r="C56" i="46" s="1"/>
  <c r="C57" i="46" s="1"/>
  <c r="C68" i="46"/>
  <c r="C69" i="46" s="1"/>
  <c r="N46" i="46"/>
  <c r="N49" i="46" s="1"/>
  <c r="C59" i="46" l="1"/>
  <c r="C60" i="46" s="1"/>
  <c r="C58" i="46"/>
</calcChain>
</file>

<file path=xl/sharedStrings.xml><?xml version="1.0" encoding="utf-8"?>
<sst xmlns="http://schemas.openxmlformats.org/spreadsheetml/2006/main" count="500" uniqueCount="178">
  <si>
    <t>V</t>
    <phoneticPr fontId="10" type="noConversion"/>
  </si>
  <si>
    <t>A</t>
    <phoneticPr fontId="10" type="noConversion"/>
  </si>
  <si>
    <t>Hz</t>
    <phoneticPr fontId="10" type="noConversion"/>
  </si>
  <si>
    <t>Hz (결과)</t>
    <phoneticPr fontId="10" type="noConversion"/>
  </si>
  <si>
    <t>cm</t>
    <phoneticPr fontId="10" type="noConversion"/>
  </si>
  <si>
    <t>uF</t>
    <phoneticPr fontId="10" type="noConversion"/>
  </si>
  <si>
    <t>사용 재료</t>
    <phoneticPr fontId="11" type="noConversion"/>
  </si>
  <si>
    <t>타프피치 동</t>
    <phoneticPr fontId="11" type="noConversion"/>
  </si>
  <si>
    <t>mm</t>
    <phoneticPr fontId="10" type="noConversion"/>
  </si>
  <si>
    <t>Tesla</t>
    <phoneticPr fontId="10" type="noConversion"/>
  </si>
  <si>
    <t>[Ωm×10E-8]</t>
    <phoneticPr fontId="10" type="noConversion"/>
  </si>
  <si>
    <t>도체의 온도저항계수</t>
    <phoneticPr fontId="10" type="noConversion"/>
  </si>
  <si>
    <t>도체의 온도</t>
    <phoneticPr fontId="10" type="noConversion"/>
  </si>
  <si>
    <t>℃</t>
  </si>
  <si>
    <t>%</t>
    <phoneticPr fontId="10" type="noConversion"/>
  </si>
  <si>
    <t>turn</t>
    <phoneticPr fontId="10" type="noConversion"/>
  </si>
  <si>
    <t>[SIMENS/m]</t>
    <phoneticPr fontId="11" type="noConversion"/>
  </si>
  <si>
    <t>ui</t>
    <phoneticPr fontId="11" type="noConversion"/>
  </si>
  <si>
    <t>주파수</t>
    <phoneticPr fontId="10" type="noConversion"/>
  </si>
  <si>
    <t>[mm]</t>
    <phoneticPr fontId="11" type="noConversion"/>
  </si>
  <si>
    <t>배선길이</t>
    <phoneticPr fontId="10" type="noConversion"/>
  </si>
  <si>
    <t>DC 초크 인덕터 설계 시트</t>
    <phoneticPr fontId="10" type="noConversion"/>
  </si>
  <si>
    <t>Pin</t>
    <phoneticPr fontId="10" type="noConversion"/>
  </si>
  <si>
    <t>a</t>
    <phoneticPr fontId="10" type="noConversion"/>
  </si>
  <si>
    <t>Frequency</t>
    <phoneticPr fontId="10" type="noConversion"/>
  </si>
  <si>
    <t>Ton</t>
    <phoneticPr fontId="10" type="noConversion"/>
  </si>
  <si>
    <t>Vin,min</t>
    <phoneticPr fontId="10" type="noConversion"/>
  </si>
  <si>
    <t>유효단면적</t>
    <phoneticPr fontId="10" type="noConversion"/>
  </si>
  <si>
    <t>cut-off주파수</t>
    <phoneticPr fontId="10" type="noConversion"/>
  </si>
  <si>
    <t>MLT(Mean Length of Turn)</t>
    <phoneticPr fontId="10" type="noConversion"/>
  </si>
  <si>
    <t>층</t>
    <phoneticPr fontId="10" type="noConversion"/>
  </si>
  <si>
    <t>ms</t>
    <phoneticPr fontId="10" type="noConversion"/>
  </si>
  <si>
    <t>e</t>
    <phoneticPr fontId="10" type="noConversion"/>
  </si>
  <si>
    <t>전류 밀도</t>
    <phoneticPr fontId="10" type="noConversion"/>
  </si>
  <si>
    <t>Vin,min %</t>
    <phoneticPr fontId="10" type="noConversion"/>
  </si>
  <si>
    <t xml:space="preserve">c+gap paper </t>
    <phoneticPr fontId="10" type="noConversion"/>
  </si>
  <si>
    <t>측정값 검증</t>
    <phoneticPr fontId="10" type="noConversion"/>
  </si>
  <si>
    <t>V*ms</t>
    <phoneticPr fontId="10" type="noConversion"/>
  </si>
  <si>
    <t>Iin,dc</t>
    <phoneticPr fontId="10" type="noConversion"/>
  </si>
  <si>
    <t>f</t>
    <phoneticPr fontId="10" type="noConversion"/>
  </si>
  <si>
    <t>Ripple</t>
    <phoneticPr fontId="10" type="noConversion"/>
  </si>
  <si>
    <t>코아 단가</t>
    <phoneticPr fontId="10" type="noConversion"/>
  </si>
  <si>
    <t>Inductance</t>
    <phoneticPr fontId="10" type="noConversion"/>
  </si>
  <si>
    <t>mH</t>
    <phoneticPr fontId="10" type="noConversion"/>
  </si>
  <si>
    <t>Kg</t>
    <phoneticPr fontId="10" type="noConversion"/>
  </si>
  <si>
    <t>Saturation Current</t>
    <phoneticPr fontId="10" type="noConversion"/>
  </si>
  <si>
    <t>Bmax</t>
    <phoneticPr fontId="10" type="noConversion"/>
  </si>
  <si>
    <t>Ac(Core Area)</t>
    <phoneticPr fontId="10" type="noConversion"/>
  </si>
  <si>
    <t>C core</t>
    <phoneticPr fontId="10" type="noConversion"/>
  </si>
  <si>
    <t>코아</t>
    <phoneticPr fontId="10" type="noConversion"/>
  </si>
  <si>
    <t>권선 단가</t>
    <phoneticPr fontId="10" type="noConversion"/>
  </si>
  <si>
    <t>원/m</t>
    <phoneticPr fontId="10" type="noConversion"/>
  </si>
  <si>
    <t>만원</t>
    <phoneticPr fontId="10" type="noConversion"/>
  </si>
  <si>
    <t>cm^2</t>
    <phoneticPr fontId="10" type="noConversion"/>
  </si>
  <si>
    <t>22파이 3.0t</t>
    <phoneticPr fontId="10" type="noConversion"/>
  </si>
  <si>
    <t>kW</t>
    <phoneticPr fontId="10" type="noConversion"/>
  </si>
  <si>
    <t>Vin[V]</t>
    <phoneticPr fontId="10" type="noConversion"/>
  </si>
  <si>
    <t>규소 강판</t>
    <phoneticPr fontId="10" type="noConversion"/>
  </si>
  <si>
    <t>Vripple factor</t>
    <phoneticPr fontId="10" type="noConversion"/>
  </si>
  <si>
    <t xml:space="preserve">권선 파이프 </t>
    <phoneticPr fontId="10" type="noConversion"/>
  </si>
  <si>
    <t>&lt;동 파이프 발열량 계산 공식&gt;</t>
    <phoneticPr fontId="10" type="noConversion"/>
  </si>
  <si>
    <t>Vaverage</t>
    <phoneticPr fontId="10" type="noConversion"/>
  </si>
  <si>
    <t>b</t>
    <phoneticPr fontId="10" type="noConversion"/>
  </si>
  <si>
    <t>권선 단면적</t>
    <phoneticPr fontId="10" type="noConversion"/>
  </si>
  <si>
    <t>mm^2</t>
    <phoneticPr fontId="10" type="noConversion"/>
  </si>
  <si>
    <t>Duty Ratio</t>
    <phoneticPr fontId="10" type="noConversion"/>
  </si>
  <si>
    <t>c</t>
    <phoneticPr fontId="10" type="noConversion"/>
  </si>
  <si>
    <t>층당 권선수</t>
    <phoneticPr fontId="10" type="noConversion"/>
  </si>
  <si>
    <t>도체 고유전기저항</t>
    <phoneticPr fontId="10" type="noConversion"/>
  </si>
  <si>
    <t>d</t>
    <phoneticPr fontId="10" type="noConversion"/>
  </si>
  <si>
    <t xml:space="preserve">권선층 </t>
    <phoneticPr fontId="10" type="noConversion"/>
  </si>
  <si>
    <t>at 20℃</t>
    <phoneticPr fontId="10" type="noConversion"/>
  </si>
  <si>
    <t>A/mm^2</t>
    <phoneticPr fontId="10" type="noConversion"/>
  </si>
  <si>
    <t xml:space="preserve">도체의 산출저항 </t>
    <phoneticPr fontId="10" type="noConversion"/>
  </si>
  <si>
    <t>도체의 산출 전도도</t>
    <phoneticPr fontId="11" type="noConversion"/>
  </si>
  <si>
    <t>Vdc,min</t>
    <phoneticPr fontId="10" type="noConversion"/>
  </si>
  <si>
    <t>V*Ton</t>
    <phoneticPr fontId="10" type="noConversion"/>
  </si>
  <si>
    <t>비투자율</t>
    <phoneticPr fontId="10" type="noConversion"/>
  </si>
  <si>
    <t>[Hz]</t>
    <phoneticPr fontId="10" type="noConversion"/>
  </si>
  <si>
    <t>DC 전류</t>
    <phoneticPr fontId="19" type="noConversion"/>
  </si>
  <si>
    <t>Skin Depth</t>
    <phoneticPr fontId="10" type="noConversion"/>
  </si>
  <si>
    <t>Iripple</t>
    <phoneticPr fontId="10" type="noConversion"/>
  </si>
  <si>
    <t>중량</t>
    <phoneticPr fontId="10" type="noConversion"/>
  </si>
  <si>
    <t>두께 : 파이프</t>
    <phoneticPr fontId="10" type="noConversion"/>
  </si>
  <si>
    <t>Frequency Cut Off</t>
    <phoneticPr fontId="10" type="noConversion"/>
  </si>
  <si>
    <t>&lt;Cut-off frequency&gt;</t>
    <phoneticPr fontId="19" type="noConversion"/>
  </si>
  <si>
    <t>Min(스킨뎁스,두께)</t>
    <phoneticPr fontId="10" type="noConversion"/>
  </si>
  <si>
    <t>DC Capacitor</t>
    <phoneticPr fontId="10" type="noConversion"/>
  </si>
  <si>
    <t>dc콘덴서</t>
    <phoneticPr fontId="10" type="noConversion"/>
  </si>
  <si>
    <t>파이프 외경</t>
    <phoneticPr fontId="10" type="noConversion"/>
  </si>
  <si>
    <t>dc인덕터</t>
    <phoneticPr fontId="10" type="noConversion"/>
  </si>
  <si>
    <t>uH</t>
    <phoneticPr fontId="10" type="noConversion"/>
  </si>
  <si>
    <t xml:space="preserve">단면적 </t>
    <phoneticPr fontId="10" type="noConversion"/>
  </si>
  <si>
    <t>[mmSQ]</t>
    <phoneticPr fontId="11" type="noConversion"/>
  </si>
  <si>
    <t>AP(Area Product)</t>
    <phoneticPr fontId="10" type="noConversion"/>
  </si>
  <si>
    <t>cm^4</t>
    <phoneticPr fontId="10" type="noConversion"/>
  </si>
  <si>
    <t>인가전류</t>
    <phoneticPr fontId="10" type="noConversion"/>
  </si>
  <si>
    <t>[A]</t>
    <phoneticPr fontId="10" type="noConversion"/>
  </si>
  <si>
    <t>mmSQ당 전류</t>
    <phoneticPr fontId="10" type="noConversion"/>
  </si>
  <si>
    <t>Temperature Rise</t>
    <phoneticPr fontId="10" type="noConversion"/>
  </si>
  <si>
    <t>[W]</t>
    <phoneticPr fontId="10" type="noConversion"/>
  </si>
  <si>
    <t>Core</t>
    <phoneticPr fontId="10" type="noConversion"/>
  </si>
  <si>
    <t>Silicon</t>
    <phoneticPr fontId="10" type="noConversion"/>
  </si>
  <si>
    <t>Wa(Window Area)</t>
    <phoneticPr fontId="10" type="noConversion"/>
  </si>
  <si>
    <t>Core Configuration</t>
    <phoneticPr fontId="10" type="noConversion"/>
  </si>
  <si>
    <t>At(Area of Core surface)</t>
    <phoneticPr fontId="10" type="noConversion"/>
  </si>
  <si>
    <t>dB</t>
    <phoneticPr fontId="10" type="noConversion"/>
  </si>
  <si>
    <t>&lt;소선 단가&gt;</t>
    <phoneticPr fontId="19" type="noConversion"/>
  </si>
  <si>
    <t>G</t>
    <phoneticPr fontId="10" type="noConversion"/>
  </si>
  <si>
    <t>25파이 2.5t</t>
    <phoneticPr fontId="10" type="noConversion"/>
  </si>
  <si>
    <t>25파이 3.0t</t>
    <phoneticPr fontId="10" type="noConversion"/>
  </si>
  <si>
    <t>병렬수</t>
    <phoneticPr fontId="10" type="noConversion"/>
  </si>
  <si>
    <t>조</t>
    <phoneticPr fontId="10" type="noConversion"/>
  </si>
  <si>
    <t>nging</t>
    <phoneticPr fontId="10" type="noConversion"/>
  </si>
  <si>
    <t>총단면적</t>
    <phoneticPr fontId="10" type="noConversion"/>
  </si>
  <si>
    <t>AP(Area Product) total</t>
    <phoneticPr fontId="10" type="noConversion"/>
  </si>
  <si>
    <t>Ac(Core Area) total</t>
    <phoneticPr fontId="10" type="noConversion"/>
  </si>
  <si>
    <t>15.9파이 1.5t</t>
    <phoneticPr fontId="10" type="noConversion"/>
  </si>
  <si>
    <t>Minimum turn number</t>
    <phoneticPr fontId="10" type="noConversion"/>
  </si>
  <si>
    <t>Turns</t>
    <phoneticPr fontId="10" type="noConversion"/>
  </si>
  <si>
    <t>MLT(Mean Length Turn total)</t>
    <phoneticPr fontId="10" type="noConversion"/>
  </si>
  <si>
    <t>권선길이[m]</t>
    <phoneticPr fontId="10" type="noConversion"/>
  </si>
  <si>
    <t>15.9파이 2t</t>
    <phoneticPr fontId="10" type="noConversion"/>
  </si>
  <si>
    <t>Gap</t>
    <phoneticPr fontId="10" type="noConversion"/>
  </si>
  <si>
    <t>Wtfe(Core Weight)</t>
    <phoneticPr fontId="10" type="noConversion"/>
  </si>
  <si>
    <r>
      <t>12.7파이 1.</t>
    </r>
    <r>
      <rPr>
        <sz val="11"/>
        <color theme="1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t</t>
    </r>
    <phoneticPr fontId="10" type="noConversion"/>
  </si>
  <si>
    <t>Gap 수</t>
    <phoneticPr fontId="19" type="noConversion"/>
  </si>
  <si>
    <t>12.7파이 1t, 코팅</t>
    <phoneticPr fontId="10" type="noConversion"/>
  </si>
  <si>
    <t>Gap Paper</t>
    <phoneticPr fontId="10" type="noConversion"/>
  </si>
  <si>
    <t>코아+권선 단가</t>
    <phoneticPr fontId="19" type="noConversion"/>
  </si>
  <si>
    <t>Gap Paper/코아 길이(소)</t>
    <phoneticPr fontId="10" type="noConversion"/>
  </si>
  <si>
    <t>계산 L값</t>
    <phoneticPr fontId="10" type="noConversion"/>
  </si>
  <si>
    <t>Fringing Factor</t>
    <phoneticPr fontId="10" type="noConversion"/>
  </si>
  <si>
    <t>예상 L</t>
    <phoneticPr fontId="10" type="noConversion"/>
  </si>
  <si>
    <t>권선폭</t>
    <phoneticPr fontId="10" type="noConversion"/>
  </si>
  <si>
    <t>권선두께</t>
    <phoneticPr fontId="10" type="noConversion"/>
  </si>
  <si>
    <t>권선수</t>
    <phoneticPr fontId="10" type="noConversion"/>
  </si>
  <si>
    <t>절연층두께</t>
    <phoneticPr fontId="10" type="noConversion"/>
  </si>
  <si>
    <t>권선고</t>
    <phoneticPr fontId="10" type="noConversion"/>
  </si>
  <si>
    <t>권선면적</t>
    <phoneticPr fontId="10" type="noConversion"/>
  </si>
  <si>
    <t>창이용율</t>
    <phoneticPr fontId="10" type="noConversion"/>
  </si>
  <si>
    <t>19파이 2t</t>
    <phoneticPr fontId="10" type="noConversion"/>
  </si>
  <si>
    <t>12.7파이 1.5t</t>
    <phoneticPr fontId="10" type="noConversion"/>
  </si>
  <si>
    <r>
      <t>9</t>
    </r>
    <r>
      <rPr>
        <sz val="11"/>
        <color theme="1"/>
        <rFont val="맑은 고딕"/>
        <family val="2"/>
        <charset val="129"/>
        <scheme val="minor"/>
      </rPr>
      <t>.5</t>
    </r>
    <r>
      <rPr>
        <sz val="11"/>
        <color theme="1"/>
        <rFont val="맑은 고딕"/>
        <family val="2"/>
        <charset val="129"/>
        <scheme val="minor"/>
      </rPr>
      <t>파이 1t, 코팅</t>
    </r>
    <phoneticPr fontId="10" type="noConversion"/>
  </si>
  <si>
    <t>철손</t>
    <phoneticPr fontId="10" type="noConversion"/>
  </si>
  <si>
    <t>W</t>
    <phoneticPr fontId="10" type="noConversion"/>
  </si>
  <si>
    <t xml:space="preserve">고정홀 </t>
    <phoneticPr fontId="10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</si>
  <si>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m</t>
    </r>
    <phoneticPr fontId="10" type="noConversion"/>
  </si>
  <si>
    <t>발열량(동손)</t>
    <phoneticPr fontId="10" type="noConversion"/>
  </si>
  <si>
    <t>동손</t>
    <phoneticPr fontId="10" type="noConversion"/>
  </si>
  <si>
    <t>손실 합계</t>
    <phoneticPr fontId="10" type="noConversion"/>
  </si>
  <si>
    <t>손실 비율</t>
    <phoneticPr fontId="10" type="noConversion"/>
  </si>
  <si>
    <t>실제적용 Gap</t>
    <phoneticPr fontId="10" type="noConversion"/>
  </si>
  <si>
    <t>22파이 2.5t</t>
    <phoneticPr fontId="10" type="noConversion"/>
  </si>
  <si>
    <t>1. 설계 출력 입력</t>
    <phoneticPr fontId="10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</si>
  <si>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. 입력 전압 입력</t>
    </r>
    <phoneticPr fontId="10" type="noConversion"/>
  </si>
  <si>
    <r>
      <t>3</t>
    </r>
    <r>
      <rPr>
        <sz val="11"/>
        <color theme="1"/>
        <rFont val="맑은 고딕"/>
        <family val="2"/>
        <charset val="129"/>
        <scheme val="minor"/>
      </rPr>
      <t>. 주파수 입력 (60Hz-&gt;360Hz, 50Hz-&gt;300Hz)</t>
    </r>
    <phoneticPr fontId="10" type="noConversion"/>
  </si>
  <si>
    <t>5. 60Hz의 경우 90Hz, 50Hz의 경우 75Hz 입력
  Po가 낮은 장비는 90Hz에 맞추기 힘듬
  Po가 낮은 장비는 리플이 작으므로 Cut Off를 키움</t>
    <phoneticPr fontId="10" type="noConversion"/>
  </si>
  <si>
    <r>
      <t>6</t>
    </r>
    <r>
      <rPr>
        <sz val="11"/>
        <color theme="1"/>
        <rFont val="맑은 고딕"/>
        <family val="2"/>
        <charset val="129"/>
        <scheme val="minor"/>
      </rPr>
      <t>. 규소강판 사이즈에 맞게 입력</t>
    </r>
    <phoneticPr fontId="10" type="noConversion"/>
  </si>
  <si>
    <r>
      <t xml:space="preserve">7. Gap Paper의 길이가 코아의 </t>
    </r>
    <r>
      <rPr>
        <b/>
        <sz val="11"/>
        <color rgb="FFFF0000"/>
        <rFont val="맑은 고딕"/>
        <family val="3"/>
        <charset val="129"/>
        <scheme val="minor"/>
      </rPr>
      <t>최소 길이(a,d??)</t>
    </r>
    <r>
      <rPr>
        <sz val="11"/>
        <color theme="1"/>
        <rFont val="맑은 고딕"/>
        <family val="2"/>
        <charset val="129"/>
        <scheme val="minor"/>
      </rPr>
      <t>의 10%이하가 되게 GAP수를 정한다.</t>
    </r>
    <phoneticPr fontId="10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</si>
  <si>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.DC 예상 전류 입력</t>
    </r>
    <phoneticPr fontId="10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</si>
  <si>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. mmSQ당 전류가 15A이하가 되록 선정</t>
    </r>
    <phoneticPr fontId="10" type="noConversion"/>
  </si>
  <si>
    <t xml:space="preserve"> a*d 에서 고정홀만큼의 면적을 빼줌</t>
    <phoneticPr fontId="10" type="noConversion"/>
  </si>
  <si>
    <r>
      <t>유효 단면적에</t>
    </r>
    <r>
      <rPr>
        <sz val="11"/>
        <color theme="1"/>
        <rFont val="맑은 고딕"/>
        <family val="2"/>
        <charset val="129"/>
        <scheme val="minor"/>
      </rPr>
      <t xml:space="preserve"> 영향</t>
    </r>
    <phoneticPr fontId="10" type="noConversion"/>
  </si>
  <si>
    <r>
      <t>권선에따른 고려</t>
    </r>
    <r>
      <rPr>
        <sz val="11"/>
        <color theme="1"/>
        <rFont val="맑은 고딕"/>
        <family val="2"/>
        <charset val="129"/>
        <scheme val="minor"/>
      </rPr>
      <t xml:space="preserve"> [권선 외경과,타입(복층)]에 영향</t>
    </r>
    <phoneticPr fontId="10" type="noConversion"/>
  </si>
  <si>
    <t>권선 턴수 (권선 외경과, 권선사이갭등) 영향</t>
    <phoneticPr fontId="10" type="noConversion"/>
  </si>
  <si>
    <r>
      <t>3</t>
    </r>
    <r>
      <rPr>
        <sz val="11"/>
        <color theme="1"/>
        <rFont val="맑은 고딕"/>
        <family val="2"/>
        <charset val="129"/>
        <scheme val="minor"/>
      </rPr>
      <t>. 15A 이하 확인</t>
    </r>
    <phoneticPr fontId="10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</si>
  <si>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. 동파이프 권선 단면적</t>
    </r>
    <phoneticPr fontId="10" type="noConversion"/>
  </si>
  <si>
    <t>2. 한층에 감기는 권선수</t>
    <phoneticPr fontId="10" type="noConversion"/>
  </si>
  <si>
    <t>3. 권선 층수 [(층당권선수*권선층)= 총 권선수]</t>
    <phoneticPr fontId="10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</si>
  <si>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. 1.1~1.2(1.3)정도 값으로 설정</t>
    </r>
    <phoneticPr fontId="10" type="noConversion"/>
  </si>
  <si>
    <t>9. 일반적으로 "예상 L값 &lt; 제작 L값"이된다.
  (Fringing Factor를 정확하게 예측할 수 없다)</t>
    <phoneticPr fontId="10" type="noConversion"/>
  </si>
  <si>
    <r>
      <t>4.</t>
    </r>
    <r>
      <rPr>
        <sz val="11"/>
        <color theme="1"/>
        <rFont val="맑은 고딕"/>
        <family val="2"/>
        <charset val="129"/>
        <scheme val="minor"/>
      </rPr>
      <t xml:space="preserve"> DC</t>
    </r>
    <r>
      <rPr>
        <sz val="11"/>
        <color theme="1"/>
        <rFont val="맑은 고딕"/>
        <family val="2"/>
        <charset val="129"/>
        <scheme val="minor"/>
      </rPr>
      <t>리플은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마진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생각해서</t>
    </r>
    <r>
      <rPr>
        <sz val="11"/>
        <color theme="1"/>
        <rFont val="맑은 고딕"/>
        <family val="2"/>
        <charset val="129"/>
        <scheme val="minor"/>
      </rPr>
      <t xml:space="preserve"> 10%</t>
    </r>
    <r>
      <rPr>
        <sz val="11"/>
        <color theme="1"/>
        <rFont val="맑은 고딕"/>
        <family val="2"/>
        <charset val="129"/>
        <scheme val="minor"/>
      </rPr>
      <t>이하로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설정</t>
    </r>
    <phoneticPr fontId="10" type="noConversion"/>
  </si>
  <si>
    <t>유효 단면적에 영향, 인덕터 최소 턴수 감소시키려면 d증가</t>
    <phoneticPr fontId="10" type="noConversion"/>
  </si>
  <si>
    <t>규소 강판(0.3T적용, 30PNF1600: 포스코 무방향성), Bmax 1.56, 점적율 94.5%</t>
  </si>
  <si>
    <t>마진을 주기위해 *1.65 (1.65는 해당 인덕터에 적용된값 (마진을 많이 준편임)</t>
    <phoneticPr fontId="10" type="noConversion"/>
  </si>
  <si>
    <r>
      <t>시뮬레이션 값을</t>
    </r>
    <r>
      <rPr>
        <sz val="11"/>
        <color theme="1"/>
        <rFont val="맑은 고딕"/>
        <family val="2"/>
        <charset val="129"/>
        <scheme val="minor"/>
      </rPr>
      <t xml:space="preserve"> 바탕으로 입력</t>
    </r>
    <phoneticPr fontId="10" type="noConversion"/>
  </si>
  <si>
    <t>12.7파이 1.5t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</si>
</sst>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0.0_ "/>
    <numFmt numFmtId="178" formatCode="0.0"/>
  </numFmts>
  <fonts count="20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u/>
      <sz val="11"/>
      <name val="바탕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76">
    <xf numFmtId="0" fontId="0" fillId="0" borderId="0" xfId="0"/>
    <xf numFmtId="0" fontId="8" fillId="0" borderId="0" xfId="2" applyAlignment="1"/>
    <xf numFmtId="0" fontId="8" fillId="0" borderId="0" xfId="2" applyBorder="1" applyAlignment="1"/>
    <xf numFmtId="0" fontId="8" fillId="0" borderId="1" xfId="2" applyFill="1" applyBorder="1" applyAlignment="1"/>
    <xf numFmtId="0" fontId="15" fillId="0" borderId="1" xfId="2" applyFont="1" applyBorder="1" applyAlignment="1">
      <alignment vertical="center"/>
    </xf>
    <xf numFmtId="0" fontId="14" fillId="0" borderId="1" xfId="2" applyFont="1" applyBorder="1" applyAlignment="1">
      <alignment vertical="center"/>
    </xf>
    <xf numFmtId="0" fontId="13" fillId="0" borderId="1" xfId="2" applyFont="1" applyBorder="1" applyAlignment="1">
      <alignment vertical="center"/>
    </xf>
    <xf numFmtId="0" fontId="14" fillId="0" borderId="1" xfId="2" applyNumberFormat="1" applyFont="1" applyBorder="1" applyAlignment="1">
      <alignment vertical="center"/>
    </xf>
    <xf numFmtId="0" fontId="13" fillId="0" borderId="1" xfId="2" applyNumberFormat="1" applyFont="1" applyBorder="1" applyAlignment="1">
      <alignment vertical="center"/>
    </xf>
    <xf numFmtId="0" fontId="14" fillId="2" borderId="1" xfId="2" applyNumberFormat="1" applyFont="1" applyFill="1" applyBorder="1" applyAlignment="1">
      <alignment vertical="center"/>
    </xf>
    <xf numFmtId="0" fontId="8" fillId="0" borderId="1" xfId="2" applyBorder="1" applyAlignment="1"/>
    <xf numFmtId="1" fontId="14" fillId="0" borderId="1" xfId="2" applyNumberFormat="1" applyFont="1" applyBorder="1" applyAlignment="1">
      <alignment vertical="center"/>
    </xf>
    <xf numFmtId="178" fontId="8" fillId="0" borderId="1" xfId="2" applyNumberFormat="1" applyBorder="1" applyAlignment="1"/>
    <xf numFmtId="0" fontId="13" fillId="5" borderId="1" xfId="2" applyNumberFormat="1" applyFont="1" applyFill="1" applyBorder="1" applyAlignment="1">
      <alignment vertical="center"/>
    </xf>
    <xf numFmtId="177" fontId="14" fillId="3" borderId="1" xfId="2" applyNumberFormat="1" applyFont="1" applyFill="1" applyBorder="1" applyAlignment="1">
      <alignment vertical="center"/>
    </xf>
    <xf numFmtId="0" fontId="8" fillId="0" borderId="0" xfId="2" applyFill="1" applyBorder="1" applyAlignment="1"/>
    <xf numFmtId="177" fontId="13" fillId="5" borderId="1" xfId="2" applyNumberFormat="1" applyFont="1" applyFill="1" applyBorder="1" applyAlignment="1">
      <alignment vertical="center"/>
    </xf>
    <xf numFmtId="178" fontId="8" fillId="0" borderId="0" xfId="2" applyNumberFormat="1" applyAlignment="1"/>
    <xf numFmtId="0" fontId="14" fillId="0" borderId="0" xfId="2" applyFont="1" applyAlignment="1"/>
    <xf numFmtId="177" fontId="13" fillId="3" borderId="1" xfId="2" applyNumberFormat="1" applyFont="1" applyFill="1" applyBorder="1" applyAlignment="1">
      <alignment vertical="center"/>
    </xf>
    <xf numFmtId="176" fontId="13" fillId="0" borderId="1" xfId="2" applyNumberFormat="1" applyFont="1" applyBorder="1" applyAlignment="1">
      <alignment vertical="center"/>
    </xf>
    <xf numFmtId="177" fontId="16" fillId="6" borderId="1" xfId="2" applyNumberFormat="1" applyFont="1" applyFill="1" applyBorder="1" applyAlignment="1">
      <alignment vertical="center"/>
    </xf>
    <xf numFmtId="0" fontId="8" fillId="0" borderId="0" xfId="2" applyFill="1" applyAlignment="1"/>
    <xf numFmtId="0" fontId="8" fillId="0" borderId="1" xfId="2" applyFont="1" applyBorder="1" applyAlignment="1"/>
    <xf numFmtId="0" fontId="8" fillId="0" borderId="2" xfId="2" applyBorder="1" applyAlignment="1"/>
    <xf numFmtId="0" fontId="8" fillId="2" borderId="1" xfId="2" applyFill="1" applyBorder="1" applyAlignment="1"/>
    <xf numFmtId="0" fontId="14" fillId="6" borderId="1" xfId="2" applyFont="1" applyFill="1" applyBorder="1" applyAlignment="1"/>
    <xf numFmtId="0" fontId="7" fillId="2" borderId="1" xfId="2" applyFont="1" applyFill="1" applyBorder="1" applyAlignment="1"/>
    <xf numFmtId="0" fontId="6" fillId="0" borderId="0" xfId="2" applyFont="1" applyAlignment="1"/>
    <xf numFmtId="0" fontId="6" fillId="0" borderId="0" xfId="4" applyAlignment="1"/>
    <xf numFmtId="0" fontId="6" fillId="0" borderId="0" xfId="4" applyBorder="1" applyAlignment="1"/>
    <xf numFmtId="0" fontId="6" fillId="0" borderId="0" xfId="4">
      <alignment vertical="center"/>
    </xf>
    <xf numFmtId="0" fontId="6" fillId="0" borderId="1" xfId="4" applyFill="1" applyBorder="1" applyAlignment="1"/>
    <xf numFmtId="0" fontId="14" fillId="3" borderId="1" xfId="4" applyFont="1" applyFill="1" applyBorder="1" applyAlignment="1"/>
    <xf numFmtId="0" fontId="14" fillId="6" borderId="1" xfId="4" applyFont="1" applyFill="1" applyBorder="1" applyAlignment="1"/>
    <xf numFmtId="0" fontId="6" fillId="0" borderId="1" xfId="4" applyBorder="1" applyAlignment="1"/>
    <xf numFmtId="0" fontId="6" fillId="0" borderId="0" xfId="4" applyFill="1" applyBorder="1" applyAlignment="1"/>
    <xf numFmtId="0" fontId="6" fillId="4" borderId="1" xfId="4" applyFill="1" applyBorder="1" applyAlignment="1"/>
    <xf numFmtId="0" fontId="6" fillId="0" borderId="0" xfId="4" applyFill="1" applyAlignment="1"/>
    <xf numFmtId="0" fontId="6" fillId="2" borderId="0" xfId="4" applyFill="1" applyBorder="1" applyAlignment="1"/>
    <xf numFmtId="0" fontId="8" fillId="4" borderId="1" xfId="2" applyFill="1" applyBorder="1" applyAlignment="1"/>
    <xf numFmtId="177" fontId="8" fillId="0" borderId="0" xfId="2" applyNumberFormat="1" applyAlignment="1"/>
    <xf numFmtId="0" fontId="6" fillId="0" borderId="0" xfId="2" applyFont="1" applyBorder="1" applyAlignment="1"/>
    <xf numFmtId="0" fontId="6" fillId="0" borderId="1" xfId="2" applyFont="1" applyBorder="1" applyAlignment="1"/>
    <xf numFmtId="0" fontId="6" fillId="5" borderId="1" xfId="4" applyFill="1" applyBorder="1" applyAlignment="1"/>
    <xf numFmtId="0" fontId="6" fillId="0" borderId="1" xfId="4" applyBorder="1" applyAlignment="1">
      <alignment horizontal="left"/>
    </xf>
    <xf numFmtId="0" fontId="6" fillId="5" borderId="1" xfId="4" applyFill="1" applyBorder="1" applyAlignment="1">
      <alignment horizontal="right"/>
    </xf>
    <xf numFmtId="0" fontId="6" fillId="0" borderId="1" xfId="4" applyFill="1" applyBorder="1" applyAlignment="1">
      <alignment horizontal="right"/>
    </xf>
    <xf numFmtId="0" fontId="6" fillId="0" borderId="1" xfId="4" applyBorder="1" applyAlignment="1">
      <alignment horizontal="right"/>
    </xf>
    <xf numFmtId="0" fontId="6" fillId="6" borderId="1" xfId="4" applyFill="1" applyBorder="1" applyAlignment="1"/>
    <xf numFmtId="0" fontId="6" fillId="7" borderId="1" xfId="4" applyFill="1" applyBorder="1" applyAlignment="1"/>
    <xf numFmtId="0" fontId="18" fillId="2" borderId="1" xfId="4" applyFont="1" applyFill="1" applyBorder="1" applyAlignment="1"/>
    <xf numFmtId="0" fontId="6" fillId="3" borderId="1" xfId="4" applyFill="1" applyBorder="1" applyAlignment="1"/>
    <xf numFmtId="0" fontId="16" fillId="3" borderId="0" xfId="2" applyFont="1" applyFill="1" applyAlignment="1"/>
    <xf numFmtId="0" fontId="8" fillId="4" borderId="1" xfId="2" applyFill="1" applyBorder="1" applyAlignment="1">
      <alignment horizontal="right"/>
    </xf>
    <xf numFmtId="0" fontId="16" fillId="4" borderId="1" xfId="4" applyFont="1" applyFill="1" applyBorder="1" applyAlignment="1"/>
    <xf numFmtId="0" fontId="16" fillId="6" borderId="0" xfId="4" applyFont="1" applyFill="1" applyBorder="1" applyAlignment="1"/>
    <xf numFmtId="0" fontId="5" fillId="0" borderId="0" xfId="4" applyFont="1" applyBorder="1" applyAlignment="1"/>
    <xf numFmtId="0" fontId="5" fillId="0" borderId="1" xfId="4" applyFont="1" applyBorder="1" applyAlignment="1"/>
    <xf numFmtId="0" fontId="5" fillId="0" borderId="0" xfId="4" applyFont="1">
      <alignment vertical="center"/>
    </xf>
    <xf numFmtId="0" fontId="5" fillId="0" borderId="0" xfId="2" applyFont="1" applyBorder="1" applyAlignment="1"/>
    <xf numFmtId="0" fontId="6" fillId="0" borderId="0" xfId="4" applyBorder="1">
      <alignment vertical="center"/>
    </xf>
    <xf numFmtId="178" fontId="6" fillId="0" borderId="0" xfId="4" applyNumberFormat="1" applyBorder="1" applyAlignment="1"/>
    <xf numFmtId="0" fontId="5" fillId="0" borderId="0" xfId="2" applyFont="1" applyFill="1" applyBorder="1" applyAlignment="1"/>
    <xf numFmtId="0" fontId="8" fillId="8" borderId="1" xfId="2" applyFill="1" applyBorder="1" applyAlignment="1"/>
    <xf numFmtId="0" fontId="5" fillId="0" borderId="1" xfId="2" applyFont="1" applyFill="1" applyBorder="1" applyAlignment="1"/>
    <xf numFmtId="0" fontId="4" fillId="0" borderId="0" xfId="4" applyFont="1">
      <alignment vertical="center"/>
    </xf>
    <xf numFmtId="0" fontId="4" fillId="0" borderId="0" xfId="4" applyFont="1" applyBorder="1" applyAlignment="1"/>
    <xf numFmtId="0" fontId="2" fillId="0" borderId="0" xfId="4" applyFont="1">
      <alignment vertical="center"/>
    </xf>
    <xf numFmtId="9" fontId="6" fillId="0" borderId="0" xfId="4" applyNumberFormat="1">
      <alignment vertical="center"/>
    </xf>
    <xf numFmtId="0" fontId="12" fillId="0" borderId="0" xfId="4" applyFont="1" applyAlignment="1">
      <alignment horizontal="center"/>
    </xf>
    <xf numFmtId="0" fontId="17" fillId="0" borderId="0" xfId="1" applyFont="1" applyAlignment="1">
      <alignment horizontal="left" vertical="center"/>
    </xf>
    <xf numFmtId="0" fontId="5" fillId="0" borderId="0" xfId="4" applyFont="1" applyBorder="1" applyAlignment="1">
      <alignment horizontal="left" vertical="center" wrapText="1"/>
    </xf>
    <xf numFmtId="0" fontId="5" fillId="0" borderId="0" xfId="4" applyFont="1" applyBorder="1" applyAlignment="1">
      <alignment horizontal="left" vertical="center"/>
    </xf>
    <xf numFmtId="0" fontId="5" fillId="0" borderId="0" xfId="4" applyFont="1" applyFill="1" applyBorder="1" applyAlignment="1">
      <alignment horizontal="left" vertical="top" wrapText="1"/>
    </xf>
    <xf numFmtId="0" fontId="4" fillId="0" borderId="0" xfId="4" applyFont="1" applyBorder="1" applyAlignment="1">
      <alignment horizontal="left" vertical="center" wrapText="1"/>
    </xf>
  </cellXfs>
  <cellStyles count="7">
    <cellStyle name="표준" xfId="0" builtinId="0"/>
    <cellStyle name="표준 2" xfId="2"/>
    <cellStyle name="표준 2 2" xfId="3"/>
    <cellStyle name="표준 2 3" xfId="4"/>
    <cellStyle name="표준 2 3 2" xfId="6"/>
    <cellStyle name="표준 2 4" xfId="5"/>
    <cellStyle name="표준_20080312_동작점설계_해송_150MF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22860</xdr:colOff>
          <xdr:row>25</xdr:row>
          <xdr:rowOff>22860</xdr:rowOff>
        </xdr:from>
        <xdr:to>
          <xdr:col>15</xdr:col>
          <xdr:colOff>769620</xdr:colOff>
          <xdr:row>33</xdr:row>
          <xdr:rowOff>83820</xdr:rowOff>
        </xdr:to>
        <xdr:sp macro="" textlink="">
          <xdr:nvSpPr>
            <xdr:cNvPr id="3207169" name="Object 1" hidden="1">
              <a:extLst>
                <a:ext uri="{63B3BB69-23CF-44E3-9099-C40C66FF867C}">
                  <a14:compatExt spid="_x0000_s320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</xdr:col>
      <xdr:colOff>980964</xdr:colOff>
      <xdr:row>1</xdr:row>
      <xdr:rowOff>0</xdr:rowOff>
    </xdr:from>
    <xdr:to>
      <xdr:col>14</xdr:col>
      <xdr:colOff>353970</xdr:colOff>
      <xdr:row>23</xdr:row>
      <xdr:rowOff>120947</xdr:rowOff>
    </xdr:to>
    <xdr:grpSp>
      <xdr:nvGrpSpPr>
        <xdr:cNvPr id="19" name="그룹 18"/>
        <xdr:cNvGrpSpPr/>
      </xdr:nvGrpSpPr>
      <xdr:grpSpPr>
        <a:xfrm>
          <a:off x="9990493" y="224118"/>
          <a:ext cx="7512959" cy="5051535"/>
          <a:chOff x="9990493" y="224118"/>
          <a:chExt cx="7512959" cy="5051535"/>
        </a:xfrm>
      </xdr:grpSpPr>
      <xdr:pic>
        <xdr:nvPicPr>
          <xdr:cNvPr id="2" name="그림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990493" y="224118"/>
            <a:ext cx="7512959" cy="5051535"/>
          </a:xfrm>
          <a:prstGeom prst="rect">
            <a:avLst/>
          </a:prstGeom>
        </xdr:spPr>
      </xdr:pic>
      <xdr:cxnSp macro="">
        <xdr:nvCxnSpPr>
          <xdr:cNvPr id="4" name="직선 화살표 연결선 3"/>
          <xdr:cNvCxnSpPr/>
        </xdr:nvCxnSpPr>
        <xdr:spPr>
          <a:xfrm flipV="1">
            <a:off x="10829363" y="4420381"/>
            <a:ext cx="2581835" cy="7409"/>
          </a:xfrm>
          <a:prstGeom prst="straightConnector1">
            <a:avLst/>
          </a:prstGeom>
          <a:ln w="19050">
            <a:solidFill>
              <a:srgbClr val="FFFF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직선 화살표 연결선 5"/>
          <xdr:cNvCxnSpPr/>
        </xdr:nvCxnSpPr>
        <xdr:spPr>
          <a:xfrm>
            <a:off x="10829363" y="3979573"/>
            <a:ext cx="878543" cy="776"/>
          </a:xfrm>
          <a:prstGeom prst="straightConnector1">
            <a:avLst/>
          </a:prstGeom>
          <a:ln w="19050">
            <a:solidFill>
              <a:srgbClr val="FFFF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TextBox 6"/>
          <xdr:cNvSpPr txBox="1"/>
        </xdr:nvSpPr>
        <xdr:spPr>
          <a:xfrm>
            <a:off x="11940991" y="4383745"/>
            <a:ext cx="331694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500" b="1">
                <a:solidFill>
                  <a:srgbClr val="FF0000"/>
                </a:solidFill>
              </a:rPr>
              <a:t>e</a:t>
            </a:r>
            <a:endParaRPr lang="ko-KR" altLang="en-US" sz="1500" b="1">
              <a:solidFill>
                <a:srgbClr val="FF0000"/>
              </a:solidFill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11098309" y="3738298"/>
            <a:ext cx="331694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500" b="1">
                <a:solidFill>
                  <a:srgbClr val="FF0000"/>
                </a:solidFill>
              </a:rPr>
              <a:t>a</a:t>
            </a:r>
            <a:endParaRPr lang="ko-KR" altLang="en-US" sz="1500" b="1">
              <a:solidFill>
                <a:srgbClr val="FF0000"/>
              </a:solidFill>
            </a:endParaRPr>
          </a:p>
        </xdr:txBody>
      </xdr:sp>
      <xdr:cxnSp macro="">
        <xdr:nvCxnSpPr>
          <xdr:cNvPr id="10" name="직선 화살표 연결선 9"/>
          <xdr:cNvCxnSpPr/>
        </xdr:nvCxnSpPr>
        <xdr:spPr>
          <a:xfrm>
            <a:off x="11720946" y="3980329"/>
            <a:ext cx="798675" cy="776"/>
          </a:xfrm>
          <a:prstGeom prst="straightConnector1">
            <a:avLst/>
          </a:prstGeom>
          <a:ln w="19050">
            <a:solidFill>
              <a:srgbClr val="FFFF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TextBox 11"/>
          <xdr:cNvSpPr txBox="1"/>
        </xdr:nvSpPr>
        <xdr:spPr>
          <a:xfrm>
            <a:off x="11949957" y="3738300"/>
            <a:ext cx="331694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500" b="1">
                <a:solidFill>
                  <a:srgbClr val="FF0000"/>
                </a:solidFill>
              </a:rPr>
              <a:t>b</a:t>
            </a:r>
            <a:endParaRPr lang="ko-KR" altLang="en-US" sz="1500" b="1">
              <a:solidFill>
                <a:srgbClr val="FF0000"/>
              </a:solidFill>
            </a:endParaRPr>
          </a:p>
        </xdr:txBody>
      </xdr:sp>
      <xdr:cxnSp macro="">
        <xdr:nvCxnSpPr>
          <xdr:cNvPr id="13" name="직선 화살표 연결선 12"/>
          <xdr:cNvCxnSpPr/>
        </xdr:nvCxnSpPr>
        <xdr:spPr>
          <a:xfrm flipH="1">
            <a:off x="14415247" y="2043196"/>
            <a:ext cx="8963" cy="1497863"/>
          </a:xfrm>
          <a:prstGeom prst="straightConnector1">
            <a:avLst/>
          </a:prstGeom>
          <a:ln w="19050">
            <a:solidFill>
              <a:srgbClr val="FFFF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TextBox 16"/>
          <xdr:cNvSpPr txBox="1"/>
        </xdr:nvSpPr>
        <xdr:spPr>
          <a:xfrm>
            <a:off x="14388356" y="2689415"/>
            <a:ext cx="331694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500" b="1">
                <a:solidFill>
                  <a:srgbClr val="FF0000"/>
                </a:solidFill>
              </a:rPr>
              <a:t>c</a:t>
            </a:r>
            <a:endParaRPr lang="ko-KR" altLang="en-US" sz="1500" b="1">
              <a:solidFill>
                <a:srgbClr val="FF0000"/>
              </a:solidFill>
            </a:endParaRPr>
          </a:p>
        </xdr:txBody>
      </xdr:sp>
      <xdr:cxnSp macro="">
        <xdr:nvCxnSpPr>
          <xdr:cNvPr id="18" name="직선 화살표 연결선 17"/>
          <xdr:cNvCxnSpPr/>
        </xdr:nvCxnSpPr>
        <xdr:spPr>
          <a:xfrm>
            <a:off x="15526868" y="4633996"/>
            <a:ext cx="1290920" cy="9722"/>
          </a:xfrm>
          <a:prstGeom prst="straightConnector1">
            <a:avLst/>
          </a:prstGeom>
          <a:ln w="19050">
            <a:solidFill>
              <a:srgbClr val="FFFF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/>
          <xdr:cNvSpPr txBox="1"/>
        </xdr:nvSpPr>
        <xdr:spPr>
          <a:xfrm>
            <a:off x="15984074" y="4338935"/>
            <a:ext cx="331694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500" b="1">
                <a:solidFill>
                  <a:srgbClr val="FF0000"/>
                </a:solidFill>
              </a:rPr>
              <a:t>d</a:t>
            </a:r>
            <a:endParaRPr lang="ko-KR" altLang="en-US" sz="15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2351315</xdr:colOff>
      <xdr:row>36</xdr:row>
      <xdr:rowOff>104775</xdr:rowOff>
    </xdr:from>
    <xdr:to>
      <xdr:col>7</xdr:col>
      <xdr:colOff>657225</xdr:colOff>
      <xdr:row>48</xdr:row>
      <xdr:rowOff>87085</xdr:rowOff>
    </xdr:to>
    <xdr:cxnSp macro="">
      <xdr:nvCxnSpPr>
        <xdr:cNvPr id="5" name="직선 화살표 연결선 4"/>
        <xdr:cNvCxnSpPr/>
      </xdr:nvCxnSpPr>
      <xdr:spPr>
        <a:xfrm flipH="1">
          <a:off x="7141029" y="7942489"/>
          <a:ext cx="1811110" cy="2594882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3429000</xdr:colOff>
      <xdr:row>26</xdr:row>
      <xdr:rowOff>123825</xdr:rowOff>
    </xdr:from>
    <xdr:to>
      <xdr:col>8</xdr:col>
      <xdr:colOff>0</xdr:colOff>
      <xdr:row>54</xdr:row>
      <xdr:rowOff>47625</xdr:rowOff>
    </xdr:to>
    <xdr:cxnSp macro="">
      <xdr:nvCxnSpPr>
        <xdr:cNvPr id="21" name="직선 화살표 연결선 20"/>
        <xdr:cNvCxnSpPr/>
      </xdr:nvCxnSpPr>
      <xdr:spPr>
        <a:xfrm flipH="1">
          <a:off x="8229600" y="5819775"/>
          <a:ext cx="752475" cy="6057900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1752600</xdr:colOff>
      <xdr:row>27</xdr:row>
      <xdr:rowOff>97971</xdr:rowOff>
    </xdr:from>
    <xdr:to>
      <xdr:col>21</xdr:col>
      <xdr:colOff>9527</xdr:colOff>
      <xdr:row>40</xdr:row>
      <xdr:rowOff>95251</xdr:rowOff>
    </xdr:to>
    <xdr:cxnSp macro="">
      <xdr:nvCxnSpPr>
        <xdr:cNvPr id="22" name="직선 화살표 연결선 21"/>
        <xdr:cNvCxnSpPr/>
      </xdr:nvCxnSpPr>
      <xdr:spPr>
        <a:xfrm flipH="1" flipV="1">
          <a:off x="23545800" y="5976257"/>
          <a:ext cx="2262870" cy="2827565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34</xdr:row>
      <xdr:rowOff>114300</xdr:rowOff>
    </xdr:from>
    <xdr:to>
      <xdr:col>20</xdr:col>
      <xdr:colOff>638175</xdr:colOff>
      <xdr:row>41</xdr:row>
      <xdr:rowOff>114300</xdr:rowOff>
    </xdr:to>
    <xdr:cxnSp macro="">
      <xdr:nvCxnSpPr>
        <xdr:cNvPr id="23" name="직선 화살표 연결선 22"/>
        <xdr:cNvCxnSpPr/>
      </xdr:nvCxnSpPr>
      <xdr:spPr>
        <a:xfrm>
          <a:off x="3448050" y="7562850"/>
          <a:ext cx="22336125" cy="1533525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22860</xdr:colOff>
          <xdr:row>25</xdr:row>
          <xdr:rowOff>22860</xdr:rowOff>
        </xdr:from>
        <xdr:to>
          <xdr:col>18</xdr:col>
          <xdr:colOff>769620</xdr:colOff>
          <xdr:row>33</xdr:row>
          <xdr:rowOff>83820</xdr:rowOff>
        </xdr:to>
        <xdr:sp macro="" textlink="">
          <xdr:nvSpPr>
            <xdr:cNvPr id="3210241" name="Object 1" hidden="1">
              <a:extLst>
                <a:ext uri="{63B3BB69-23CF-44E3-9099-C40C66FF867C}">
                  <a14:compatExt spid="_x0000_s3210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11</xdr:col>
      <xdr:colOff>980964</xdr:colOff>
      <xdr:row>1</xdr:row>
      <xdr:rowOff>0</xdr:rowOff>
    </xdr:from>
    <xdr:to>
      <xdr:col>17</xdr:col>
      <xdr:colOff>353970</xdr:colOff>
      <xdr:row>23</xdr:row>
      <xdr:rowOff>120947</xdr:rowOff>
    </xdr:to>
    <xdr:grpSp>
      <xdr:nvGrpSpPr>
        <xdr:cNvPr id="3" name="그룹 2"/>
        <xdr:cNvGrpSpPr/>
      </xdr:nvGrpSpPr>
      <xdr:grpSpPr>
        <a:xfrm>
          <a:off x="17574635" y="224118"/>
          <a:ext cx="7512959" cy="5051535"/>
          <a:chOff x="9990493" y="224118"/>
          <a:chExt cx="7512959" cy="5051535"/>
        </a:xfrm>
      </xdr:grpSpPr>
      <xdr:pic>
        <xdr:nvPicPr>
          <xdr:cNvPr id="4" name="그림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990493" y="224118"/>
            <a:ext cx="7512959" cy="5051535"/>
          </a:xfrm>
          <a:prstGeom prst="rect">
            <a:avLst/>
          </a:prstGeom>
        </xdr:spPr>
      </xdr:pic>
      <xdr:cxnSp macro="">
        <xdr:nvCxnSpPr>
          <xdr:cNvPr id="5" name="직선 화살표 연결선 4"/>
          <xdr:cNvCxnSpPr/>
        </xdr:nvCxnSpPr>
        <xdr:spPr>
          <a:xfrm flipV="1">
            <a:off x="10829363" y="4420381"/>
            <a:ext cx="2581835" cy="7409"/>
          </a:xfrm>
          <a:prstGeom prst="straightConnector1">
            <a:avLst/>
          </a:prstGeom>
          <a:ln w="19050">
            <a:solidFill>
              <a:srgbClr val="FFFF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직선 화살표 연결선 5"/>
          <xdr:cNvCxnSpPr/>
        </xdr:nvCxnSpPr>
        <xdr:spPr>
          <a:xfrm>
            <a:off x="10829363" y="3979573"/>
            <a:ext cx="878543" cy="776"/>
          </a:xfrm>
          <a:prstGeom prst="straightConnector1">
            <a:avLst/>
          </a:prstGeom>
          <a:ln w="19050">
            <a:solidFill>
              <a:srgbClr val="FFFF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TextBox 6"/>
          <xdr:cNvSpPr txBox="1"/>
        </xdr:nvSpPr>
        <xdr:spPr>
          <a:xfrm>
            <a:off x="11940991" y="4383745"/>
            <a:ext cx="331694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500" b="1">
                <a:solidFill>
                  <a:srgbClr val="FF0000"/>
                </a:solidFill>
              </a:rPr>
              <a:t>e</a:t>
            </a:r>
            <a:endParaRPr lang="ko-KR" altLang="en-US" sz="1500" b="1">
              <a:solidFill>
                <a:srgbClr val="FF0000"/>
              </a:solidFill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11098309" y="3738298"/>
            <a:ext cx="331694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500" b="1">
                <a:solidFill>
                  <a:srgbClr val="FF0000"/>
                </a:solidFill>
              </a:rPr>
              <a:t>a</a:t>
            </a:r>
            <a:endParaRPr lang="ko-KR" altLang="en-US" sz="1500" b="1">
              <a:solidFill>
                <a:srgbClr val="FF0000"/>
              </a:solidFill>
            </a:endParaRPr>
          </a:p>
        </xdr:txBody>
      </xdr:sp>
      <xdr:cxnSp macro="">
        <xdr:nvCxnSpPr>
          <xdr:cNvPr id="9" name="직선 화살표 연결선 8"/>
          <xdr:cNvCxnSpPr/>
        </xdr:nvCxnSpPr>
        <xdr:spPr>
          <a:xfrm>
            <a:off x="11720946" y="3980329"/>
            <a:ext cx="798675" cy="776"/>
          </a:xfrm>
          <a:prstGeom prst="straightConnector1">
            <a:avLst/>
          </a:prstGeom>
          <a:ln w="19050">
            <a:solidFill>
              <a:srgbClr val="FFFF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/>
          <xdr:cNvSpPr txBox="1"/>
        </xdr:nvSpPr>
        <xdr:spPr>
          <a:xfrm>
            <a:off x="11949957" y="3738300"/>
            <a:ext cx="331694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500" b="1">
                <a:solidFill>
                  <a:srgbClr val="FF0000"/>
                </a:solidFill>
              </a:rPr>
              <a:t>b</a:t>
            </a:r>
            <a:endParaRPr lang="ko-KR" altLang="en-US" sz="1500" b="1">
              <a:solidFill>
                <a:srgbClr val="FF0000"/>
              </a:solidFill>
            </a:endParaRPr>
          </a:p>
        </xdr:txBody>
      </xdr:sp>
      <xdr:cxnSp macro="">
        <xdr:nvCxnSpPr>
          <xdr:cNvPr id="11" name="직선 화살표 연결선 10"/>
          <xdr:cNvCxnSpPr/>
        </xdr:nvCxnSpPr>
        <xdr:spPr>
          <a:xfrm flipH="1">
            <a:off x="14415247" y="2043196"/>
            <a:ext cx="8963" cy="1497863"/>
          </a:xfrm>
          <a:prstGeom prst="straightConnector1">
            <a:avLst/>
          </a:prstGeom>
          <a:ln w="19050">
            <a:solidFill>
              <a:srgbClr val="FFFF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TextBox 11"/>
          <xdr:cNvSpPr txBox="1"/>
        </xdr:nvSpPr>
        <xdr:spPr>
          <a:xfrm>
            <a:off x="14388356" y="2689415"/>
            <a:ext cx="331694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500" b="1">
                <a:solidFill>
                  <a:srgbClr val="FF0000"/>
                </a:solidFill>
              </a:rPr>
              <a:t>c</a:t>
            </a:r>
            <a:endParaRPr lang="ko-KR" altLang="en-US" sz="1500" b="1">
              <a:solidFill>
                <a:srgbClr val="FF0000"/>
              </a:solidFill>
            </a:endParaRPr>
          </a:p>
        </xdr:txBody>
      </xdr:sp>
      <xdr:cxnSp macro="">
        <xdr:nvCxnSpPr>
          <xdr:cNvPr id="13" name="직선 화살표 연결선 12"/>
          <xdr:cNvCxnSpPr/>
        </xdr:nvCxnSpPr>
        <xdr:spPr>
          <a:xfrm>
            <a:off x="15526868" y="4633996"/>
            <a:ext cx="1290920" cy="9722"/>
          </a:xfrm>
          <a:prstGeom prst="straightConnector1">
            <a:avLst/>
          </a:prstGeom>
          <a:ln w="19050">
            <a:solidFill>
              <a:srgbClr val="FFFF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TextBox 13"/>
          <xdr:cNvSpPr txBox="1"/>
        </xdr:nvSpPr>
        <xdr:spPr>
          <a:xfrm>
            <a:off x="15984074" y="4338935"/>
            <a:ext cx="331694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500" b="1">
                <a:solidFill>
                  <a:srgbClr val="FF0000"/>
                </a:solidFill>
              </a:rPr>
              <a:t>d</a:t>
            </a:r>
            <a:endParaRPr lang="ko-KR" altLang="en-US" sz="15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9</xdr:col>
      <xdr:colOff>2351315</xdr:colOff>
      <xdr:row>36</xdr:row>
      <xdr:rowOff>104775</xdr:rowOff>
    </xdr:from>
    <xdr:to>
      <xdr:col>10</xdr:col>
      <xdr:colOff>657225</xdr:colOff>
      <xdr:row>48</xdr:row>
      <xdr:rowOff>87085</xdr:rowOff>
    </xdr:to>
    <xdr:cxnSp macro="">
      <xdr:nvCxnSpPr>
        <xdr:cNvPr id="15" name="직선 화살표 연결선 14"/>
        <xdr:cNvCxnSpPr/>
      </xdr:nvCxnSpPr>
      <xdr:spPr>
        <a:xfrm flipH="1">
          <a:off x="7159535" y="8060055"/>
          <a:ext cx="1811110" cy="2634070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3429000</xdr:colOff>
      <xdr:row>26</xdr:row>
      <xdr:rowOff>123825</xdr:rowOff>
    </xdr:from>
    <xdr:to>
      <xdr:col>11</xdr:col>
      <xdr:colOff>0</xdr:colOff>
      <xdr:row>54</xdr:row>
      <xdr:rowOff>47625</xdr:rowOff>
    </xdr:to>
    <xdr:cxnSp macro="">
      <xdr:nvCxnSpPr>
        <xdr:cNvPr id="16" name="직선 화살표 연결선 15"/>
        <xdr:cNvCxnSpPr/>
      </xdr:nvCxnSpPr>
      <xdr:spPr>
        <a:xfrm flipH="1">
          <a:off x="8237220" y="5869305"/>
          <a:ext cx="754380" cy="6111240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1752600</xdr:colOff>
      <xdr:row>27</xdr:row>
      <xdr:rowOff>97971</xdr:rowOff>
    </xdr:from>
    <xdr:to>
      <xdr:col>24</xdr:col>
      <xdr:colOff>9527</xdr:colOff>
      <xdr:row>40</xdr:row>
      <xdr:rowOff>95251</xdr:rowOff>
    </xdr:to>
    <xdr:cxnSp macro="">
      <xdr:nvCxnSpPr>
        <xdr:cNvPr id="17" name="직선 화살표 연결선 16"/>
        <xdr:cNvCxnSpPr/>
      </xdr:nvCxnSpPr>
      <xdr:spPr>
        <a:xfrm flipH="1" flipV="1">
          <a:off x="23583900" y="6064431"/>
          <a:ext cx="2265047" cy="2870020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114300</xdr:rowOff>
    </xdr:from>
    <xdr:to>
      <xdr:col>23</xdr:col>
      <xdr:colOff>638175</xdr:colOff>
      <xdr:row>41</xdr:row>
      <xdr:rowOff>114300</xdr:rowOff>
    </xdr:to>
    <xdr:cxnSp macro="">
      <xdr:nvCxnSpPr>
        <xdr:cNvPr id="18" name="직선 화살표 연결선 17"/>
        <xdr:cNvCxnSpPr/>
      </xdr:nvCxnSpPr>
      <xdr:spPr>
        <a:xfrm>
          <a:off x="3451860" y="7627620"/>
          <a:ext cx="22347555" cy="1546860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116540</xdr:colOff>
      <xdr:row>20</xdr:row>
      <xdr:rowOff>152399</xdr:rowOff>
    </xdr:from>
    <xdr:to>
      <xdr:col>1</xdr:col>
      <xdr:colOff>2205109</xdr:colOff>
      <xdr:row>36</xdr:row>
      <xdr:rowOff>89181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40" y="4634752"/>
          <a:ext cx="4993134" cy="3522664"/>
        </a:xfrm>
        <a:prstGeom prst="rect">
          <a:avLst/>
        </a:prstGeom>
      </xdr:spPr>
    </xdr:pic>
    <xdr:clientData/>
  </xdr:twoCellAnchor>
  <xdr:twoCellAnchor>
    <xdr:from>
      <xdr:col>1</xdr:col>
      <xdr:colOff>466163</xdr:colOff>
      <xdr:row>25</xdr:row>
      <xdr:rowOff>80682</xdr:rowOff>
    </xdr:from>
    <xdr:to>
      <xdr:col>1</xdr:col>
      <xdr:colOff>699246</xdr:colOff>
      <xdr:row>26</xdr:row>
      <xdr:rowOff>143435</xdr:rowOff>
    </xdr:to>
    <xdr:sp macro="" textlink="">
      <xdr:nvSpPr>
        <xdr:cNvPr id="19" name="직사각형 18"/>
        <xdr:cNvSpPr/>
      </xdr:nvSpPr>
      <xdr:spPr>
        <a:xfrm>
          <a:off x="3370728" y="5683623"/>
          <a:ext cx="233083" cy="286871"/>
        </a:xfrm>
        <a:prstGeom prst="rect">
          <a:avLst/>
        </a:prstGeom>
        <a:solidFill>
          <a:schemeClr val="accent1">
            <a:alpha val="5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717176</xdr:colOff>
      <xdr:row>26</xdr:row>
      <xdr:rowOff>17929</xdr:rowOff>
    </xdr:from>
    <xdr:to>
      <xdr:col>3</xdr:col>
      <xdr:colOff>1353670</xdr:colOff>
      <xdr:row>27</xdr:row>
      <xdr:rowOff>161365</xdr:rowOff>
    </xdr:to>
    <xdr:cxnSp macro="">
      <xdr:nvCxnSpPr>
        <xdr:cNvPr id="21" name="직선 화살표 연결선 20"/>
        <xdr:cNvCxnSpPr/>
      </xdr:nvCxnSpPr>
      <xdr:spPr>
        <a:xfrm>
          <a:off x="3621741" y="5844988"/>
          <a:ext cx="5325035" cy="3675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1326776</xdr:colOff>
      <xdr:row>26</xdr:row>
      <xdr:rowOff>215153</xdr:rowOff>
    </xdr:from>
    <xdr:to>
      <xdr:col>3</xdr:col>
      <xdr:colOff>663388</xdr:colOff>
      <xdr:row>36</xdr:row>
      <xdr:rowOff>116541</xdr:rowOff>
    </xdr:to>
    <xdr:cxnSp macro="">
      <xdr:nvCxnSpPr>
        <xdr:cNvPr id="24" name="직선 화살표 연결선 23"/>
        <xdr:cNvCxnSpPr/>
      </xdr:nvCxnSpPr>
      <xdr:spPr>
        <a:xfrm>
          <a:off x="4231341" y="6042212"/>
          <a:ext cx="4025153" cy="21425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3:Z70"/>
  <sheetViews>
    <sheetView tabSelected="1" zoomScale="85" zoomScaleNormal="85" workbookViewId="0">
      <selection activeCell="L45" sqref="L45"/>
    </sheetView>
  </sheetViews>
  <sheetFormatPr defaultColWidth="8.8984375" defaultRowHeight="17.399999999999999" x14ac:dyDescent="0.25"/>
  <cols>
    <col min="1" max="1" width="8.8984375" style="31"/>
    <col min="2" max="2" width="21.19921875" style="31" bestFit="1" customWidth="1"/>
    <col min="3" max="3" width="8.8984375" style="31"/>
    <col min="4" max="4" width="6.296875" style="31" bestFit="1" customWidth="1"/>
    <col min="5" max="6" width="8.8984375" style="31"/>
    <col min="7" max="7" width="46" style="31" customWidth="1"/>
    <col min="8" max="8" width="8.8984375" style="31"/>
    <col min="9" max="9" width="25.3984375" style="31" bestFit="1" customWidth="1"/>
    <col min="10" max="11" width="8.8984375" style="31"/>
    <col min="12" max="12" width="45.59765625" style="31" bestFit="1" customWidth="1"/>
    <col min="13" max="15" width="8.8984375" style="31"/>
    <col min="16" max="16" width="11.69921875" style="31" customWidth="1"/>
    <col min="17" max="17" width="19.09765625" style="31" bestFit="1" customWidth="1"/>
    <col min="18" max="18" width="13.296875" style="31" bestFit="1" customWidth="1"/>
    <col min="19" max="19" width="8.8984375" style="31"/>
    <col min="20" max="20" width="43.69921875" style="31" bestFit="1" customWidth="1"/>
    <col min="21" max="21" width="8.8984375" style="31"/>
    <col min="22" max="22" width="17.796875" style="31" bestFit="1" customWidth="1"/>
    <col min="23" max="23" width="10.59765625" style="31" bestFit="1" customWidth="1"/>
    <col min="24" max="24" width="10.8984375" style="31" bestFit="1" customWidth="1"/>
    <col min="25" max="16384" width="8.8984375" style="31"/>
  </cols>
  <sheetData>
    <row r="23" spans="2:24" x14ac:dyDescent="0.4">
      <c r="B23" s="70" t="s">
        <v>21</v>
      </c>
      <c r="C23" s="70"/>
      <c r="D23" s="29"/>
      <c r="E23" s="30"/>
      <c r="F23" s="30"/>
      <c r="G23" s="30"/>
      <c r="H23" s="30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2:24" x14ac:dyDescent="0.4">
      <c r="B24" s="29"/>
      <c r="C24" s="29"/>
      <c r="D24" s="29"/>
      <c r="E24" s="30"/>
      <c r="F24" s="30"/>
      <c r="G24" s="30"/>
      <c r="H24" s="30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2:24" x14ac:dyDescent="0.4">
      <c r="B25" s="35" t="s">
        <v>22</v>
      </c>
      <c r="C25" s="44">
        <v>400</v>
      </c>
      <c r="D25" s="35" t="s">
        <v>55</v>
      </c>
      <c r="E25" s="30"/>
      <c r="F25" s="30"/>
      <c r="G25" s="57" t="s">
        <v>154</v>
      </c>
      <c r="H25" s="30"/>
      <c r="I25" s="29" t="s">
        <v>174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2:24" x14ac:dyDescent="0.4">
      <c r="B26" s="45" t="s">
        <v>56</v>
      </c>
      <c r="C26" s="46">
        <v>380</v>
      </c>
      <c r="D26" s="45" t="s">
        <v>0</v>
      </c>
      <c r="E26" s="30"/>
      <c r="F26" s="30"/>
      <c r="G26" s="57" t="s">
        <v>155</v>
      </c>
      <c r="H26" s="30"/>
      <c r="I26" s="35" t="s">
        <v>57</v>
      </c>
      <c r="J26" s="35"/>
      <c r="K26" s="35"/>
      <c r="L26" s="30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2:24" x14ac:dyDescent="0.4">
      <c r="B27" s="45" t="s">
        <v>58</v>
      </c>
      <c r="C27" s="47">
        <f>17.5/C26</f>
        <v>4.6052631578947366E-2</v>
      </c>
      <c r="D27" s="45"/>
      <c r="E27" s="30"/>
      <c r="F27" s="30"/>
      <c r="G27" s="30"/>
      <c r="H27" s="30"/>
      <c r="I27" s="35" t="s">
        <v>23</v>
      </c>
      <c r="J27" s="37">
        <v>60</v>
      </c>
      <c r="K27" s="35" t="s">
        <v>8</v>
      </c>
      <c r="L27" s="57" t="s">
        <v>163</v>
      </c>
      <c r="M27" s="30"/>
      <c r="N27" s="29"/>
      <c r="O27" s="29"/>
      <c r="P27" s="29"/>
      <c r="Q27" s="3" t="s">
        <v>59</v>
      </c>
      <c r="R27" s="33" t="s">
        <v>177</v>
      </c>
      <c r="S27" s="3"/>
      <c r="T27" s="15"/>
      <c r="U27" s="1"/>
      <c r="V27" s="71" t="s">
        <v>60</v>
      </c>
      <c r="W27" s="71"/>
      <c r="X27" s="71"/>
    </row>
    <row r="28" spans="2:24" x14ac:dyDescent="0.4">
      <c r="B28" s="45" t="s">
        <v>61</v>
      </c>
      <c r="C28" s="48">
        <v>19.7</v>
      </c>
      <c r="D28" s="45" t="s">
        <v>0</v>
      </c>
      <c r="E28" s="30"/>
      <c r="F28" s="30"/>
      <c r="G28" s="30"/>
      <c r="H28" s="30"/>
      <c r="I28" s="35" t="s">
        <v>62</v>
      </c>
      <c r="J28" s="37">
        <v>80</v>
      </c>
      <c r="K28" s="35" t="s">
        <v>8</v>
      </c>
      <c r="L28" s="57" t="s">
        <v>164</v>
      </c>
      <c r="M28" s="30"/>
      <c r="N28" s="29"/>
      <c r="O28" s="29"/>
      <c r="P28" s="29"/>
      <c r="Q28" s="3" t="s">
        <v>63</v>
      </c>
      <c r="R28" s="40">
        <v>52.8</v>
      </c>
      <c r="S28" s="3" t="s">
        <v>64</v>
      </c>
      <c r="T28" s="63" t="s">
        <v>167</v>
      </c>
      <c r="U28" s="1"/>
      <c r="V28" s="4" t="s">
        <v>6</v>
      </c>
      <c r="W28" s="5" t="s">
        <v>7</v>
      </c>
      <c r="X28" s="5"/>
    </row>
    <row r="29" spans="2:24" x14ac:dyDescent="0.4">
      <c r="B29" s="45" t="s">
        <v>65</v>
      </c>
      <c r="C29" s="48">
        <v>56</v>
      </c>
      <c r="D29" s="45" t="s">
        <v>14</v>
      </c>
      <c r="E29" s="30"/>
      <c r="F29" s="30"/>
      <c r="G29" s="30"/>
      <c r="H29" s="30"/>
      <c r="I29" s="35" t="s">
        <v>66</v>
      </c>
      <c r="J29" s="37">
        <v>200</v>
      </c>
      <c r="K29" s="35" t="s">
        <v>8</v>
      </c>
      <c r="L29" s="57" t="s">
        <v>165</v>
      </c>
      <c r="M29" s="30"/>
      <c r="N29" s="29"/>
      <c r="O29" s="29"/>
      <c r="P29" s="29"/>
      <c r="Q29" s="3" t="s">
        <v>67</v>
      </c>
      <c r="R29" s="40">
        <v>12</v>
      </c>
      <c r="S29" s="3" t="s">
        <v>15</v>
      </c>
      <c r="T29" s="63" t="s">
        <v>168</v>
      </c>
      <c r="U29" s="1"/>
      <c r="V29" s="6" t="s">
        <v>68</v>
      </c>
      <c r="W29" s="7">
        <v>1.75</v>
      </c>
      <c r="X29" s="6" t="s">
        <v>10</v>
      </c>
    </row>
    <row r="30" spans="2:24" x14ac:dyDescent="0.4">
      <c r="B30" s="45" t="s">
        <v>24</v>
      </c>
      <c r="C30" s="46">
        <v>360</v>
      </c>
      <c r="D30" s="45" t="s">
        <v>2</v>
      </c>
      <c r="E30" s="30"/>
      <c r="F30" s="30"/>
      <c r="G30" s="57" t="s">
        <v>156</v>
      </c>
      <c r="H30" s="30"/>
      <c r="I30" s="35" t="s">
        <v>69</v>
      </c>
      <c r="J30" s="37">
        <v>80</v>
      </c>
      <c r="K30" s="35" t="s">
        <v>8</v>
      </c>
      <c r="L30" s="67" t="s">
        <v>173</v>
      </c>
      <c r="M30" s="30"/>
      <c r="N30" s="29"/>
      <c r="O30" s="29"/>
      <c r="P30" s="29"/>
      <c r="Q30" s="3" t="s">
        <v>70</v>
      </c>
      <c r="R30" s="54">
        <v>2</v>
      </c>
      <c r="S30" s="3" t="s">
        <v>30</v>
      </c>
      <c r="T30" s="63" t="s">
        <v>169</v>
      </c>
      <c r="U30" s="1"/>
      <c r="V30" s="6" t="s">
        <v>11</v>
      </c>
      <c r="W30" s="8">
        <v>3.8999999999999998E-3</v>
      </c>
      <c r="X30" s="6" t="s">
        <v>71</v>
      </c>
    </row>
    <row r="31" spans="2:24" x14ac:dyDescent="0.4">
      <c r="B31" s="45" t="s">
        <v>25</v>
      </c>
      <c r="C31" s="48">
        <f>C29/100*1000/C30</f>
        <v>1.5555555555555556</v>
      </c>
      <c r="D31" s="45" t="s">
        <v>31</v>
      </c>
      <c r="E31" s="30"/>
      <c r="F31" s="30"/>
      <c r="G31" s="30"/>
      <c r="H31" s="30"/>
      <c r="I31" s="35" t="s">
        <v>32</v>
      </c>
      <c r="J31" s="49">
        <f>2*J27+J28</f>
        <v>200</v>
      </c>
      <c r="K31" s="35" t="s">
        <v>8</v>
      </c>
      <c r="L31" s="30"/>
      <c r="M31" s="30"/>
      <c r="N31" s="29"/>
      <c r="O31" s="29"/>
      <c r="P31" s="29"/>
      <c r="Q31" s="3" t="s">
        <v>33</v>
      </c>
      <c r="R31" s="26">
        <f>C35/R28</f>
        <v>16.402633565768674</v>
      </c>
      <c r="S31" s="3" t="s">
        <v>72</v>
      </c>
      <c r="T31" s="15"/>
      <c r="U31" s="1"/>
      <c r="V31" s="6" t="s">
        <v>12</v>
      </c>
      <c r="W31" s="9">
        <v>45</v>
      </c>
      <c r="X31" s="6" t="s">
        <v>13</v>
      </c>
    </row>
    <row r="32" spans="2:24" x14ac:dyDescent="0.4">
      <c r="B32" s="45" t="s">
        <v>34</v>
      </c>
      <c r="C32" s="47">
        <v>90</v>
      </c>
      <c r="D32" s="45" t="s">
        <v>14</v>
      </c>
      <c r="E32" s="30"/>
      <c r="F32" s="30"/>
      <c r="G32" s="30"/>
      <c r="H32" s="30"/>
      <c r="I32" s="35"/>
      <c r="J32" s="51"/>
      <c r="K32" s="35"/>
      <c r="L32" s="30"/>
      <c r="M32" s="30"/>
      <c r="N32" s="29"/>
      <c r="O32" s="29"/>
      <c r="P32" s="29"/>
      <c r="Q32" s="1"/>
      <c r="R32" s="1"/>
      <c r="S32" s="1"/>
      <c r="T32" s="1"/>
      <c r="U32" s="1"/>
      <c r="V32" s="6" t="s">
        <v>73</v>
      </c>
      <c r="W32" s="8">
        <f>W29*(1+W30*(W31-20))</f>
        <v>1.9206249999999998</v>
      </c>
      <c r="X32" s="6" t="s">
        <v>10</v>
      </c>
    </row>
    <row r="33" spans="2:26" x14ac:dyDescent="0.4">
      <c r="B33" s="45" t="s">
        <v>26</v>
      </c>
      <c r="C33" s="48">
        <f>C26*C32/100</f>
        <v>342</v>
      </c>
      <c r="D33" s="45" t="s">
        <v>0</v>
      </c>
      <c r="E33" s="30"/>
      <c r="F33" s="30"/>
      <c r="G33" s="30"/>
      <c r="H33" s="30"/>
      <c r="I33" s="35" t="s">
        <v>35</v>
      </c>
      <c r="J33" s="52">
        <f>J29+E56*C55/2</f>
        <v>216</v>
      </c>
      <c r="K33" s="35" t="s">
        <v>8</v>
      </c>
      <c r="L33" s="30"/>
      <c r="M33" s="30"/>
      <c r="N33" s="29"/>
      <c r="O33" s="29"/>
      <c r="P33" s="29"/>
      <c r="Q33" s="10" t="s">
        <v>36</v>
      </c>
      <c r="R33" s="10"/>
      <c r="S33" s="10"/>
      <c r="T33" s="2"/>
      <c r="U33" s="1"/>
      <c r="V33" s="6" t="s">
        <v>74</v>
      </c>
      <c r="W33" s="11">
        <f>1/(W32/100000000)</f>
        <v>52066384.64041654</v>
      </c>
      <c r="X33" s="6" t="s">
        <v>16</v>
      </c>
    </row>
    <row r="34" spans="2:26" x14ac:dyDescent="0.4">
      <c r="B34" s="45" t="s">
        <v>75</v>
      </c>
      <c r="C34" s="48">
        <f>C33*2^0.5*3/PI()</f>
        <v>461.86227018859546</v>
      </c>
      <c r="D34" s="45" t="s">
        <v>0</v>
      </c>
      <c r="E34" s="30"/>
      <c r="F34" s="30"/>
      <c r="G34" s="30"/>
      <c r="H34" s="30"/>
      <c r="I34" s="35"/>
      <c r="J34" s="35"/>
      <c r="K34" s="35"/>
      <c r="L34" s="30"/>
      <c r="M34" s="30"/>
      <c r="N34" s="29"/>
      <c r="O34" s="29"/>
      <c r="P34" s="29"/>
      <c r="Q34" s="10" t="s">
        <v>76</v>
      </c>
      <c r="R34" s="12">
        <f>C28*C31</f>
        <v>30.644444444444442</v>
      </c>
      <c r="S34" s="10" t="s">
        <v>37</v>
      </c>
      <c r="T34" s="2"/>
      <c r="U34" s="1"/>
      <c r="V34" s="6" t="s">
        <v>77</v>
      </c>
      <c r="W34" s="5">
        <v>1</v>
      </c>
      <c r="X34" s="6" t="s">
        <v>17</v>
      </c>
    </row>
    <row r="35" spans="2:26" x14ac:dyDescent="0.4">
      <c r="B35" s="45" t="s">
        <v>38</v>
      </c>
      <c r="C35" s="48">
        <f>C25/C34*1000</f>
        <v>866.05905227258597</v>
      </c>
      <c r="D35" s="45" t="s">
        <v>1</v>
      </c>
      <c r="E35" s="30"/>
      <c r="F35" s="30"/>
      <c r="G35" s="30"/>
      <c r="H35" s="30"/>
      <c r="I35" s="35" t="s">
        <v>39</v>
      </c>
      <c r="J35" s="52">
        <f>2*J27+J33</f>
        <v>336</v>
      </c>
      <c r="K35" s="35" t="s">
        <v>8</v>
      </c>
      <c r="L35" s="30"/>
      <c r="M35" s="30"/>
      <c r="N35" s="29"/>
      <c r="O35" s="29"/>
      <c r="P35" s="29"/>
      <c r="Q35" s="1"/>
      <c r="R35" s="1"/>
      <c r="S35" s="1"/>
      <c r="T35" s="1"/>
      <c r="U35" s="1"/>
      <c r="V35" s="6" t="s">
        <v>18</v>
      </c>
      <c r="W35" s="13">
        <v>1E-3</v>
      </c>
      <c r="X35" s="6" t="s">
        <v>78</v>
      </c>
      <c r="Y35" s="31" t="s">
        <v>79</v>
      </c>
    </row>
    <row r="36" spans="2:26" x14ac:dyDescent="0.4">
      <c r="B36" s="45" t="s">
        <v>40</v>
      </c>
      <c r="C36" s="46">
        <v>20</v>
      </c>
      <c r="D36" s="45" t="s">
        <v>14</v>
      </c>
      <c r="E36" s="30"/>
      <c r="F36" s="30"/>
      <c r="G36" s="67" t="s">
        <v>172</v>
      </c>
      <c r="H36" s="30"/>
      <c r="I36" s="43" t="s">
        <v>146</v>
      </c>
      <c r="J36" s="40">
        <v>10</v>
      </c>
      <c r="K36" s="43" t="s">
        <v>147</v>
      </c>
      <c r="L36" s="42"/>
      <c r="M36" s="42"/>
      <c r="N36" s="1"/>
      <c r="O36" s="1"/>
      <c r="P36" s="29"/>
      <c r="Q36" s="1"/>
      <c r="R36" s="1"/>
      <c r="S36" s="1"/>
      <c r="T36" s="1"/>
      <c r="U36" s="1"/>
      <c r="V36" s="6" t="s">
        <v>80</v>
      </c>
      <c r="W36" s="14">
        <f>503.3*SQRT((W32/100000000)/(W34*W35))*1000</f>
        <v>2205.7090200347143</v>
      </c>
      <c r="X36" s="6" t="s">
        <v>19</v>
      </c>
    </row>
    <row r="37" spans="2:26" x14ac:dyDescent="0.4">
      <c r="B37" s="45" t="s">
        <v>81</v>
      </c>
      <c r="C37" s="48">
        <v>320</v>
      </c>
      <c r="D37" s="45" t="s">
        <v>1</v>
      </c>
      <c r="E37" s="30"/>
      <c r="F37" s="30"/>
      <c r="G37" s="67"/>
      <c r="H37" s="30"/>
      <c r="I37" s="10" t="s">
        <v>27</v>
      </c>
      <c r="J37" s="10">
        <f>(J27-J36)*J30/100</f>
        <v>40</v>
      </c>
      <c r="K37" s="10" t="s">
        <v>53</v>
      </c>
      <c r="L37" s="60" t="s">
        <v>162</v>
      </c>
      <c r="M37" s="2"/>
      <c r="N37" s="15" t="s">
        <v>41</v>
      </c>
      <c r="O37" s="1"/>
      <c r="P37" s="29"/>
      <c r="Q37" s="1"/>
      <c r="R37" s="1"/>
      <c r="S37" s="1"/>
      <c r="T37" s="1"/>
      <c r="U37" s="1"/>
      <c r="V37" s="6" t="s">
        <v>20</v>
      </c>
      <c r="W37" s="16">
        <v>23000</v>
      </c>
      <c r="X37" s="6" t="s">
        <v>19</v>
      </c>
    </row>
    <row r="38" spans="2:26" x14ac:dyDescent="0.4">
      <c r="B38" s="45" t="s">
        <v>42</v>
      </c>
      <c r="C38" s="48">
        <f>C28*C31/C30</f>
        <v>8.5123456790123453E-2</v>
      </c>
      <c r="D38" s="45" t="s">
        <v>43</v>
      </c>
      <c r="E38" s="30"/>
      <c r="F38" s="30"/>
      <c r="G38" s="30"/>
      <c r="H38" s="30"/>
      <c r="I38" s="10" t="s">
        <v>82</v>
      </c>
      <c r="J38" s="10">
        <f>(J31*J35*J30-J29*J28*J30)/1000*7.83/1000</f>
        <v>32.071680000000001</v>
      </c>
      <c r="K38" s="10" t="s">
        <v>44</v>
      </c>
      <c r="L38" s="2"/>
      <c r="M38" s="2"/>
      <c r="N38" s="17">
        <f>J38*2200/10000</f>
        <v>7.0557695999999996</v>
      </c>
      <c r="O38" s="1" t="s">
        <v>52</v>
      </c>
      <c r="P38" s="29"/>
      <c r="Q38" s="1"/>
      <c r="R38" s="1"/>
      <c r="S38" s="1"/>
      <c r="T38" s="1"/>
      <c r="U38" s="1"/>
      <c r="V38" s="6" t="s">
        <v>83</v>
      </c>
      <c r="W38" s="16">
        <v>1.5</v>
      </c>
      <c r="X38" s="6" t="s">
        <v>19</v>
      </c>
      <c r="Z38" s="59" t="s">
        <v>161</v>
      </c>
    </row>
    <row r="39" spans="2:26" x14ac:dyDescent="0.4">
      <c r="B39" s="45" t="s">
        <v>84</v>
      </c>
      <c r="C39" s="46">
        <v>90</v>
      </c>
      <c r="D39" s="45" t="s">
        <v>2</v>
      </c>
      <c r="E39" s="30"/>
      <c r="F39" s="30"/>
      <c r="G39" s="72" t="s">
        <v>157</v>
      </c>
      <c r="H39" s="30"/>
      <c r="I39" s="1"/>
      <c r="J39" s="1"/>
      <c r="K39" s="2"/>
      <c r="L39" s="2"/>
      <c r="M39" s="2"/>
      <c r="N39" s="28" t="s">
        <v>144</v>
      </c>
      <c r="O39" s="1"/>
      <c r="P39" s="29"/>
      <c r="Q39" s="18" t="s">
        <v>85</v>
      </c>
      <c r="R39" s="1"/>
      <c r="S39" s="1"/>
      <c r="T39" s="1"/>
      <c r="U39" s="1"/>
      <c r="V39" s="6" t="s">
        <v>86</v>
      </c>
      <c r="W39" s="19">
        <f>MIN(W36,W38)</f>
        <v>1.5</v>
      </c>
      <c r="X39" s="6" t="s">
        <v>19</v>
      </c>
    </row>
    <row r="40" spans="2:26" x14ac:dyDescent="0.4">
      <c r="B40" s="45" t="s">
        <v>87</v>
      </c>
      <c r="C40" s="48">
        <f>(4*PI()^2*C38/1000*C39^2)^-1*1000000</f>
        <v>36737.19493920877</v>
      </c>
      <c r="D40" s="45" t="s">
        <v>5</v>
      </c>
      <c r="E40" s="30"/>
      <c r="F40" s="30"/>
      <c r="G40" s="73"/>
      <c r="H40" s="30"/>
      <c r="I40" s="1"/>
      <c r="J40" s="1"/>
      <c r="K40" s="2"/>
      <c r="L40" s="2"/>
      <c r="M40" s="2"/>
      <c r="N40" s="1">
        <f>J38*3</f>
        <v>96.215040000000002</v>
      </c>
      <c r="O40" s="28" t="s">
        <v>145</v>
      </c>
      <c r="P40" s="29"/>
      <c r="Q40" s="10" t="s">
        <v>88</v>
      </c>
      <c r="R40" s="10">
        <v>9000</v>
      </c>
      <c r="S40" s="10" t="s">
        <v>5</v>
      </c>
      <c r="T40" s="2"/>
      <c r="U40" s="1"/>
      <c r="V40" s="6" t="s">
        <v>89</v>
      </c>
      <c r="W40" s="16">
        <v>12.7</v>
      </c>
      <c r="X40" s="6" t="s">
        <v>19</v>
      </c>
      <c r="Z40" s="59" t="s">
        <v>161</v>
      </c>
    </row>
    <row r="41" spans="2:26" x14ac:dyDescent="0.4">
      <c r="B41" s="35" t="s">
        <v>45</v>
      </c>
      <c r="C41" s="35">
        <f>C35*1.65</f>
        <v>1428.9974362497667</v>
      </c>
      <c r="D41" s="35" t="s">
        <v>1</v>
      </c>
      <c r="E41" s="30"/>
      <c r="F41" s="30"/>
      <c r="G41" s="73"/>
      <c r="H41" s="30"/>
      <c r="I41" s="1"/>
      <c r="J41" s="1"/>
      <c r="K41" s="2"/>
      <c r="L41" s="2"/>
      <c r="M41" s="2"/>
      <c r="N41" s="1"/>
      <c r="O41" s="1"/>
      <c r="P41" s="29"/>
      <c r="Q41" s="10" t="s">
        <v>90</v>
      </c>
      <c r="R41" s="10">
        <v>426</v>
      </c>
      <c r="S41" s="10" t="s">
        <v>91</v>
      </c>
      <c r="T41" s="2"/>
      <c r="U41" s="1"/>
      <c r="V41" s="6" t="s">
        <v>92</v>
      </c>
      <c r="W41" s="14">
        <f>(PI()*(W40/2)^2)-(PI()*(W40/2-W39)^2)</f>
        <v>52.778756580308524</v>
      </c>
      <c r="X41" s="6" t="s">
        <v>93</v>
      </c>
    </row>
    <row r="42" spans="2:26" x14ac:dyDescent="0.4">
      <c r="B42" s="35"/>
      <c r="C42" s="35"/>
      <c r="D42" s="35"/>
      <c r="E42" s="30"/>
      <c r="F42" s="30"/>
      <c r="G42" s="30"/>
      <c r="H42" s="30"/>
      <c r="I42" s="10" t="s">
        <v>94</v>
      </c>
      <c r="J42" s="10">
        <f>J37*J28*J29/100</f>
        <v>6400</v>
      </c>
      <c r="K42" s="10" t="s">
        <v>95</v>
      </c>
      <c r="L42" s="2"/>
      <c r="M42" s="2"/>
      <c r="N42" s="28" t="s">
        <v>149</v>
      </c>
      <c r="O42" s="1"/>
      <c r="P42" s="29"/>
      <c r="Q42" s="10" t="s">
        <v>28</v>
      </c>
      <c r="R42" s="10">
        <f>1/(2*3.14*SQRT((R40/1000000)*(R41/1000000)))</f>
        <v>81.323170519625208</v>
      </c>
      <c r="S42" s="10" t="s">
        <v>3</v>
      </c>
      <c r="T42" s="2"/>
      <c r="U42" s="1"/>
      <c r="V42" s="6" t="s">
        <v>96</v>
      </c>
      <c r="W42" s="16">
        <v>866</v>
      </c>
      <c r="X42" s="20" t="s">
        <v>97</v>
      </c>
      <c r="Z42" s="59" t="s">
        <v>160</v>
      </c>
    </row>
    <row r="43" spans="2:26" x14ac:dyDescent="0.4">
      <c r="B43" s="35" t="s">
        <v>46</v>
      </c>
      <c r="C43" s="44">
        <v>1.45</v>
      </c>
      <c r="D43" s="35" t="s">
        <v>9</v>
      </c>
      <c r="E43" s="30"/>
      <c r="F43" s="30"/>
      <c r="G43" s="30"/>
      <c r="H43" s="30"/>
      <c r="I43" s="10" t="s">
        <v>29</v>
      </c>
      <c r="J43" s="10">
        <f>(J30*2+3.14*(J27+J28/2))/10</f>
        <v>47.4</v>
      </c>
      <c r="K43" s="10" t="s">
        <v>4</v>
      </c>
      <c r="L43" s="2"/>
      <c r="M43" s="2"/>
      <c r="N43" s="41">
        <f>W44</f>
        <v>6276.9264992234002</v>
      </c>
      <c r="O43" s="28" t="s">
        <v>145</v>
      </c>
      <c r="P43" s="29"/>
      <c r="Q43" s="18" t="s">
        <v>85</v>
      </c>
      <c r="R43" s="1"/>
      <c r="S43" s="1"/>
      <c r="T43" s="1"/>
      <c r="U43" s="1"/>
      <c r="V43" s="6" t="s">
        <v>98</v>
      </c>
      <c r="W43" s="21">
        <f>W42/W41</f>
        <v>16.408116752093019</v>
      </c>
      <c r="X43" s="20" t="s">
        <v>97</v>
      </c>
      <c r="Z43" s="59" t="s">
        <v>166</v>
      </c>
    </row>
    <row r="44" spans="2:26" x14ac:dyDescent="0.4">
      <c r="B44" s="35" t="s">
        <v>99</v>
      </c>
      <c r="C44" s="35">
        <v>50</v>
      </c>
      <c r="D44" s="35" t="s">
        <v>13</v>
      </c>
      <c r="E44" s="30"/>
      <c r="F44" s="30"/>
      <c r="G44" s="30"/>
      <c r="H44" s="30"/>
      <c r="I44" s="10" t="s">
        <v>47</v>
      </c>
      <c r="J44" s="10">
        <f>J37</f>
        <v>40</v>
      </c>
      <c r="K44" s="10" t="s">
        <v>53</v>
      </c>
      <c r="L44" s="2"/>
      <c r="M44" s="2"/>
      <c r="N44" s="1"/>
      <c r="O44" s="1"/>
      <c r="P44" s="29"/>
      <c r="Q44" s="10" t="s">
        <v>88</v>
      </c>
      <c r="R44" s="10">
        <v>2800</v>
      </c>
      <c r="S44" s="10" t="s">
        <v>5</v>
      </c>
      <c r="T44" s="2"/>
      <c r="U44" s="1"/>
      <c r="V44" s="6" t="s">
        <v>148</v>
      </c>
      <c r="W44" s="21">
        <f>W32/100000000*(W42^2)/(W41/1000000)*W37/1000</f>
        <v>6276.9264992234002</v>
      </c>
      <c r="X44" s="20" t="s">
        <v>100</v>
      </c>
    </row>
    <row r="45" spans="2:26" x14ac:dyDescent="0.4">
      <c r="B45" s="35" t="s">
        <v>101</v>
      </c>
      <c r="C45" s="48" t="s">
        <v>102</v>
      </c>
      <c r="D45" s="35"/>
      <c r="E45" s="30"/>
      <c r="F45" s="30"/>
      <c r="G45" s="30"/>
      <c r="H45" s="30"/>
      <c r="I45" s="10" t="s">
        <v>103</v>
      </c>
      <c r="J45" s="10">
        <f>J28*J29/100</f>
        <v>160</v>
      </c>
      <c r="K45" s="10" t="s">
        <v>53</v>
      </c>
      <c r="L45" s="2"/>
      <c r="M45" s="2"/>
      <c r="N45" s="28" t="s">
        <v>150</v>
      </c>
      <c r="O45" s="1"/>
      <c r="P45" s="29"/>
      <c r="Q45" s="10" t="s">
        <v>90</v>
      </c>
      <c r="R45" s="10">
        <v>450</v>
      </c>
      <c r="S45" s="10" t="s">
        <v>91</v>
      </c>
      <c r="T45" s="2"/>
      <c r="U45" s="1"/>
      <c r="V45" s="1"/>
      <c r="W45" s="1"/>
      <c r="X45" s="1"/>
    </row>
    <row r="46" spans="2:26" x14ac:dyDescent="0.4">
      <c r="B46" s="35" t="s">
        <v>104</v>
      </c>
      <c r="C46" s="48" t="s">
        <v>48</v>
      </c>
      <c r="D46" s="35"/>
      <c r="E46" s="30"/>
      <c r="F46" s="30"/>
      <c r="G46" s="30"/>
      <c r="H46" s="30"/>
      <c r="I46" s="10" t="s">
        <v>105</v>
      </c>
      <c r="J46" s="10">
        <f>(2*J35*2*J31 + J30*(2*J35+4*J31))/100</f>
        <v>3865.6</v>
      </c>
      <c r="K46" s="10" t="s">
        <v>53</v>
      </c>
      <c r="L46" s="2"/>
      <c r="M46" s="2"/>
      <c r="N46" s="41">
        <f>N40+N43</f>
        <v>6373.1415392234003</v>
      </c>
      <c r="O46" s="28" t="s">
        <v>145</v>
      </c>
      <c r="P46" s="29"/>
      <c r="Q46" s="10" t="s">
        <v>28</v>
      </c>
      <c r="R46" s="10">
        <f>1/(2*3.14*SQRT((R44/1000000)*(R45/1000000)))</f>
        <v>141.85840865839933</v>
      </c>
      <c r="S46" s="10" t="s">
        <v>3</v>
      </c>
      <c r="T46" s="2"/>
      <c r="U46" s="1"/>
      <c r="V46" s="1"/>
      <c r="W46" s="1"/>
      <c r="X46" s="1"/>
    </row>
    <row r="47" spans="2:26" x14ac:dyDescent="0.4">
      <c r="B47" s="35" t="s">
        <v>106</v>
      </c>
      <c r="C47" s="35">
        <f>C43*C37/C41</f>
        <v>0.32470317176895197</v>
      </c>
      <c r="D47" s="35" t="s">
        <v>9</v>
      </c>
      <c r="E47" s="30"/>
      <c r="F47" s="30"/>
      <c r="G47" s="30"/>
      <c r="H47" s="30"/>
      <c r="I47" s="10"/>
      <c r="J47" s="10"/>
      <c r="K47" s="10"/>
      <c r="L47" s="2"/>
      <c r="M47" s="2"/>
      <c r="N47" s="1"/>
      <c r="O47" s="1"/>
      <c r="P47" s="29"/>
      <c r="Q47" s="18" t="s">
        <v>107</v>
      </c>
      <c r="R47" s="1"/>
      <c r="S47" s="1"/>
      <c r="T47" s="1"/>
      <c r="U47" s="1"/>
      <c r="V47" s="1"/>
      <c r="W47" s="1"/>
      <c r="X47" s="1"/>
    </row>
    <row r="48" spans="2:26" x14ac:dyDescent="0.4">
      <c r="B48" s="35" t="s">
        <v>49</v>
      </c>
      <c r="C48" s="44" t="str">
        <f>I26</f>
        <v>규소 강판</v>
      </c>
      <c r="D48" s="35"/>
      <c r="E48" s="30"/>
      <c r="F48" s="30"/>
      <c r="G48" s="30"/>
      <c r="H48" s="30"/>
      <c r="I48" s="10" t="s">
        <v>108</v>
      </c>
      <c r="J48" s="10">
        <f>J29/10</f>
        <v>20</v>
      </c>
      <c r="K48" s="10" t="s">
        <v>4</v>
      </c>
      <c r="L48" s="2"/>
      <c r="M48" s="2"/>
      <c r="N48" s="28" t="s">
        <v>151</v>
      </c>
      <c r="O48" s="1"/>
      <c r="P48" s="29"/>
      <c r="Q48" s="10" t="s">
        <v>109</v>
      </c>
      <c r="R48" s="10">
        <v>17848</v>
      </c>
      <c r="S48" s="10" t="s">
        <v>51</v>
      </c>
      <c r="T48" s="2"/>
      <c r="U48" s="1"/>
      <c r="V48" s="1"/>
      <c r="W48" s="1"/>
      <c r="X48" s="1"/>
    </row>
    <row r="49" spans="2:24" x14ac:dyDescent="0.4">
      <c r="B49" s="35" t="s">
        <v>27</v>
      </c>
      <c r="C49" s="44">
        <f>J37</f>
        <v>40</v>
      </c>
      <c r="D49" s="35" t="s">
        <v>53</v>
      </c>
      <c r="E49" s="30"/>
      <c r="F49" s="30"/>
      <c r="G49" s="57" t="s">
        <v>158</v>
      </c>
      <c r="H49" s="30"/>
      <c r="I49" s="1"/>
      <c r="J49" s="1"/>
      <c r="K49" s="2"/>
      <c r="L49" s="2"/>
      <c r="M49" s="2"/>
      <c r="N49" s="53">
        <f>N46/(C25*1000)*100</f>
        <v>1.5932853848058501</v>
      </c>
      <c r="O49" s="28" t="s">
        <v>14</v>
      </c>
      <c r="P49" s="29"/>
      <c r="Q49" s="3" t="s">
        <v>110</v>
      </c>
      <c r="R49" s="3">
        <v>20942</v>
      </c>
      <c r="S49" s="3" t="s">
        <v>51</v>
      </c>
      <c r="T49" s="2"/>
      <c r="U49" s="1"/>
      <c r="V49" s="1"/>
      <c r="W49" s="1"/>
      <c r="X49" s="1"/>
    </row>
    <row r="50" spans="2:24" x14ac:dyDescent="0.4">
      <c r="B50" s="35" t="s">
        <v>111</v>
      </c>
      <c r="C50" s="32">
        <v>1</v>
      </c>
      <c r="D50" s="35" t="s">
        <v>112</v>
      </c>
      <c r="E50" s="30"/>
      <c r="F50" s="30"/>
      <c r="G50" s="30"/>
      <c r="H50" s="30"/>
      <c r="I50" s="10" t="s">
        <v>113</v>
      </c>
      <c r="J50" s="10">
        <f>C50</f>
        <v>1</v>
      </c>
      <c r="K50" s="10" t="s">
        <v>112</v>
      </c>
      <c r="L50" s="2"/>
      <c r="M50" s="2"/>
      <c r="N50" s="1"/>
      <c r="O50" s="1"/>
      <c r="P50" s="29"/>
      <c r="Q50" s="65" t="s">
        <v>153</v>
      </c>
      <c r="R50" s="3">
        <v>15468</v>
      </c>
      <c r="S50" s="3" t="s">
        <v>51</v>
      </c>
      <c r="T50" s="2"/>
      <c r="U50" s="1"/>
      <c r="V50" s="1"/>
      <c r="W50" s="1"/>
      <c r="X50" s="1"/>
    </row>
    <row r="51" spans="2:24" x14ac:dyDescent="0.4">
      <c r="B51" s="35" t="s">
        <v>114</v>
      </c>
      <c r="C51" s="32">
        <f>C49*C50</f>
        <v>40</v>
      </c>
      <c r="D51" s="35" t="s">
        <v>53</v>
      </c>
      <c r="E51" s="30"/>
      <c r="F51" s="30"/>
      <c r="G51" s="30"/>
      <c r="H51" s="30"/>
      <c r="I51" s="10" t="s">
        <v>115</v>
      </c>
      <c r="J51" s="10">
        <f>J42*J50</f>
        <v>6400</v>
      </c>
      <c r="K51" s="10" t="s">
        <v>95</v>
      </c>
      <c r="L51" s="2"/>
      <c r="M51" s="2"/>
      <c r="N51" s="1"/>
      <c r="O51" s="1"/>
      <c r="P51" s="29"/>
      <c r="Q51" s="3" t="s">
        <v>54</v>
      </c>
      <c r="R51" s="3">
        <v>18086</v>
      </c>
      <c r="S51" s="3" t="s">
        <v>51</v>
      </c>
      <c r="T51" s="2"/>
      <c r="U51" s="1"/>
      <c r="V51" s="1"/>
      <c r="W51" s="1"/>
      <c r="X51" s="1"/>
    </row>
    <row r="52" spans="2:24" x14ac:dyDescent="0.4">
      <c r="B52" s="35"/>
      <c r="C52" s="32"/>
      <c r="D52" s="35"/>
      <c r="E52" s="30"/>
      <c r="F52" s="30"/>
      <c r="G52" s="30"/>
      <c r="H52" s="30"/>
      <c r="I52" s="10" t="s">
        <v>116</v>
      </c>
      <c r="J52" s="10">
        <f>J44*J50</f>
        <v>40</v>
      </c>
      <c r="K52" s="10" t="s">
        <v>53</v>
      </c>
      <c r="L52" s="2"/>
      <c r="M52" s="2"/>
      <c r="N52" s="1" t="s">
        <v>50</v>
      </c>
      <c r="O52" s="1"/>
      <c r="P52" s="29"/>
      <c r="Q52" s="64" t="s">
        <v>141</v>
      </c>
      <c r="R52" s="64">
        <v>12475</v>
      </c>
      <c r="S52" s="64" t="s">
        <v>51</v>
      </c>
      <c r="T52" s="2"/>
      <c r="U52" s="1"/>
      <c r="V52" s="1"/>
      <c r="W52" s="1"/>
      <c r="X52" s="1"/>
    </row>
    <row r="53" spans="2:24" x14ac:dyDescent="0.4">
      <c r="B53" s="35" t="s">
        <v>118</v>
      </c>
      <c r="C53" s="34">
        <f>ROUNDUP(C28*C31/1000*10000/C47/C51,0)</f>
        <v>24</v>
      </c>
      <c r="D53" s="35" t="s">
        <v>119</v>
      </c>
      <c r="E53" s="30"/>
      <c r="F53" s="30"/>
      <c r="G53" s="30"/>
      <c r="H53" s="30"/>
      <c r="I53" s="10" t="s">
        <v>120</v>
      </c>
      <c r="J53" s="10">
        <f>J43</f>
        <v>47.4</v>
      </c>
      <c r="K53" s="10" t="s">
        <v>4</v>
      </c>
      <c r="L53" s="2"/>
      <c r="N53" s="29">
        <v>23</v>
      </c>
      <c r="O53" s="1" t="s">
        <v>121</v>
      </c>
      <c r="P53" s="29"/>
      <c r="Q53" s="25" t="s">
        <v>117</v>
      </c>
      <c r="R53" s="25">
        <v>7900</v>
      </c>
      <c r="S53" s="25" t="s">
        <v>51</v>
      </c>
      <c r="T53" s="2"/>
      <c r="U53" s="1"/>
      <c r="V53" s="1"/>
      <c r="W53" s="1"/>
      <c r="X53" s="1"/>
    </row>
    <row r="54" spans="2:24" x14ac:dyDescent="0.4">
      <c r="B54" s="35" t="s">
        <v>123</v>
      </c>
      <c r="C54" s="32">
        <f>ROUNDUP(0.4*3.1416*C53*C41/10000/C43,2)</f>
        <v>2.98</v>
      </c>
      <c r="D54" s="35" t="s">
        <v>4</v>
      </c>
      <c r="E54" s="30"/>
      <c r="F54" s="36"/>
      <c r="G54" s="36"/>
      <c r="H54" s="36"/>
      <c r="I54" s="10" t="s">
        <v>124</v>
      </c>
      <c r="J54" s="10">
        <f>J38*J50</f>
        <v>32.071680000000001</v>
      </c>
      <c r="K54" s="10" t="s">
        <v>44</v>
      </c>
      <c r="L54" s="24"/>
      <c r="M54" s="61"/>
      <c r="N54" s="62">
        <v>12475</v>
      </c>
      <c r="O54" s="22" t="s">
        <v>51</v>
      </c>
      <c r="P54" s="38"/>
      <c r="Q54" s="25" t="s">
        <v>122</v>
      </c>
      <c r="R54" s="25">
        <v>10200</v>
      </c>
      <c r="S54" s="10" t="s">
        <v>51</v>
      </c>
      <c r="T54" s="2"/>
      <c r="U54" s="22"/>
      <c r="V54" s="22"/>
      <c r="W54" s="22"/>
      <c r="X54" s="1"/>
    </row>
    <row r="55" spans="2:24" x14ac:dyDescent="0.4">
      <c r="B55" s="35" t="s">
        <v>126</v>
      </c>
      <c r="C55" s="55">
        <v>4</v>
      </c>
      <c r="D55" s="35"/>
      <c r="E55" s="42" t="s">
        <v>152</v>
      </c>
      <c r="F55" s="36"/>
      <c r="G55" s="74" t="s">
        <v>159</v>
      </c>
      <c r="H55" s="36"/>
      <c r="I55" s="1"/>
      <c r="J55" s="1"/>
      <c r="K55" s="2"/>
      <c r="L55" s="2"/>
      <c r="M55" s="61"/>
      <c r="N55" s="62">
        <f>N53*N54/10000</f>
        <v>28.692499999999999</v>
      </c>
      <c r="O55" s="22" t="s">
        <v>52</v>
      </c>
      <c r="P55" s="38"/>
      <c r="Q55" s="27" t="s">
        <v>142</v>
      </c>
      <c r="R55" s="25">
        <v>6850</v>
      </c>
      <c r="S55" s="25" t="s">
        <v>51</v>
      </c>
      <c r="T55" s="2"/>
      <c r="U55" s="22"/>
      <c r="V55" s="22"/>
      <c r="W55" s="22"/>
      <c r="X55" s="22"/>
    </row>
    <row r="56" spans="2:24" x14ac:dyDescent="0.4">
      <c r="B56" s="35" t="s">
        <v>128</v>
      </c>
      <c r="C56" s="49">
        <f>C54/C55</f>
        <v>0.745</v>
      </c>
      <c r="D56" s="35" t="s">
        <v>4</v>
      </c>
      <c r="E56" s="56">
        <v>8</v>
      </c>
      <c r="F56" s="39" t="s">
        <v>8</v>
      </c>
      <c r="G56" s="74"/>
      <c r="H56" s="39"/>
      <c r="I56" s="1"/>
      <c r="J56" s="1"/>
      <c r="K56" s="1"/>
      <c r="L56" s="1"/>
      <c r="M56" s="61"/>
      <c r="N56" s="62" t="s">
        <v>129</v>
      </c>
      <c r="O56" s="22"/>
      <c r="P56" s="38"/>
      <c r="Q56" s="23" t="s">
        <v>125</v>
      </c>
      <c r="R56" s="10">
        <v>5200</v>
      </c>
      <c r="S56" s="10" t="s">
        <v>51</v>
      </c>
      <c r="T56" s="2"/>
      <c r="U56" s="22"/>
      <c r="V56" s="22"/>
      <c r="W56" s="22"/>
      <c r="X56" s="22"/>
    </row>
    <row r="57" spans="2:24" x14ac:dyDescent="0.4">
      <c r="B57" s="35" t="s">
        <v>130</v>
      </c>
      <c r="C57" s="32">
        <f>C56/J27*10*100</f>
        <v>12.416666666666666</v>
      </c>
      <c r="D57" s="32" t="s">
        <v>14</v>
      </c>
      <c r="E57" s="30"/>
      <c r="F57" s="30"/>
      <c r="G57" s="30"/>
      <c r="H57" s="30"/>
      <c r="I57" s="1"/>
      <c r="J57" s="1"/>
      <c r="K57" s="1"/>
      <c r="L57" s="1"/>
      <c r="M57" s="61"/>
      <c r="N57" s="62">
        <f>N38+N55</f>
        <v>35.7482696</v>
      </c>
      <c r="O57" s="22" t="s">
        <v>52</v>
      </c>
      <c r="P57" s="38"/>
      <c r="Q57" s="10" t="s">
        <v>127</v>
      </c>
      <c r="R57" s="10">
        <v>5200</v>
      </c>
      <c r="S57" s="10" t="s">
        <v>51</v>
      </c>
      <c r="T57" s="2"/>
      <c r="U57" s="22"/>
      <c r="V57" s="22"/>
      <c r="W57" s="22"/>
      <c r="X57" s="22"/>
    </row>
    <row r="58" spans="2:24" x14ac:dyDescent="0.4">
      <c r="B58" s="35" t="s">
        <v>131</v>
      </c>
      <c r="C58" s="49">
        <f>0.000000004*PI()*C53^2*C51/C54*1000000</f>
        <v>97.157442602293742</v>
      </c>
      <c r="D58" s="35" t="s">
        <v>91</v>
      </c>
      <c r="E58" s="30"/>
      <c r="F58" s="30"/>
      <c r="G58" s="30"/>
      <c r="H58" s="30"/>
      <c r="I58" s="29"/>
      <c r="J58" s="29"/>
      <c r="K58" s="29"/>
      <c r="L58" s="29"/>
      <c r="M58" s="61"/>
      <c r="N58" s="30"/>
      <c r="O58" s="38"/>
      <c r="P58" s="38"/>
      <c r="Q58" s="27" t="s">
        <v>143</v>
      </c>
      <c r="R58" s="25">
        <v>3780</v>
      </c>
      <c r="S58" s="25" t="s">
        <v>51</v>
      </c>
      <c r="T58" s="2"/>
      <c r="U58" s="38"/>
      <c r="V58" s="38"/>
      <c r="W58" s="38"/>
      <c r="X58" s="38"/>
    </row>
    <row r="59" spans="2:24" x14ac:dyDescent="0.4">
      <c r="B59" s="58" t="s">
        <v>132</v>
      </c>
      <c r="C59" s="32">
        <f>1+C56/C51^0.5*LN(2*J48/C56)</f>
        <v>1.469206368378448</v>
      </c>
      <c r="D59" s="35"/>
      <c r="E59" s="30"/>
      <c r="F59" s="30"/>
      <c r="G59" s="66" t="s">
        <v>170</v>
      </c>
      <c r="H59" s="30"/>
      <c r="I59" s="29"/>
      <c r="J59" s="29"/>
      <c r="K59" s="29"/>
      <c r="L59" s="29"/>
      <c r="M59" s="61"/>
      <c r="N59" s="30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2:24" x14ac:dyDescent="0.4">
      <c r="B60" s="35" t="s">
        <v>133</v>
      </c>
      <c r="C60" s="50">
        <f>C38*C59*1000</f>
        <v>125.06392481443702</v>
      </c>
      <c r="D60" s="35" t="s">
        <v>91</v>
      </c>
      <c r="E60" s="30"/>
      <c r="F60" s="30"/>
      <c r="G60" s="75" t="s">
        <v>171</v>
      </c>
      <c r="H60" s="30"/>
      <c r="I60" s="29"/>
      <c r="J60" s="29"/>
      <c r="K60" s="29"/>
      <c r="L60" s="29"/>
      <c r="M60" s="61"/>
      <c r="N60" s="30"/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spans="2:24" x14ac:dyDescent="0.4">
      <c r="B61" s="35"/>
      <c r="C61" s="32"/>
      <c r="D61" s="35"/>
      <c r="E61" s="30"/>
      <c r="F61" s="30"/>
      <c r="G61" s="73"/>
      <c r="H61" s="30"/>
      <c r="I61" s="29"/>
      <c r="J61" s="29"/>
      <c r="K61" s="29"/>
      <c r="L61" s="29"/>
      <c r="M61" s="61"/>
      <c r="N61" s="30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spans="2:24" x14ac:dyDescent="0.4">
      <c r="B62" s="35" t="s">
        <v>134</v>
      </c>
      <c r="C62" s="32">
        <v>40</v>
      </c>
      <c r="D62" s="35" t="s">
        <v>8</v>
      </c>
      <c r="E62" s="30"/>
      <c r="F62" s="30"/>
      <c r="H62" s="30"/>
      <c r="I62" s="38"/>
      <c r="J62" s="38"/>
      <c r="K62" s="38"/>
      <c r="L62" s="38"/>
      <c r="M62" s="61"/>
      <c r="N62" s="30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2:24" x14ac:dyDescent="0.4">
      <c r="B63" s="35" t="s">
        <v>135</v>
      </c>
      <c r="C63" s="32">
        <v>4</v>
      </c>
      <c r="D63" s="35" t="s">
        <v>8</v>
      </c>
      <c r="E63" s="30"/>
      <c r="F63" s="30"/>
      <c r="G63" s="30"/>
      <c r="H63" s="30"/>
      <c r="I63" s="38"/>
      <c r="J63" s="38"/>
      <c r="K63" s="38"/>
      <c r="L63" s="38"/>
      <c r="M63" s="61"/>
      <c r="N63" s="30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pans="2:24" x14ac:dyDescent="0.4">
      <c r="B64" s="35" t="s">
        <v>63</v>
      </c>
      <c r="C64" s="32">
        <f>C62*C63</f>
        <v>160</v>
      </c>
      <c r="D64" s="35" t="s">
        <v>64</v>
      </c>
      <c r="E64" s="30"/>
      <c r="F64" s="30"/>
      <c r="H64" s="30"/>
      <c r="I64" s="38"/>
      <c r="J64" s="38"/>
      <c r="K64" s="38"/>
      <c r="L64" s="38"/>
      <c r="M64" s="61"/>
      <c r="N64" s="30"/>
      <c r="O64" s="38"/>
      <c r="P64" s="38"/>
      <c r="Q64" s="38"/>
      <c r="R64" s="38"/>
      <c r="S64" s="38"/>
      <c r="T64" s="38"/>
      <c r="U64" s="29"/>
      <c r="V64" s="29"/>
      <c r="W64" s="29"/>
      <c r="X64" s="29"/>
    </row>
    <row r="65" spans="2:24" x14ac:dyDescent="0.4">
      <c r="B65" s="35" t="s">
        <v>136</v>
      </c>
      <c r="C65" s="32">
        <v>40</v>
      </c>
      <c r="D65" s="35"/>
      <c r="E65" s="30"/>
      <c r="F65" s="30"/>
      <c r="H65" s="30"/>
      <c r="I65" s="38"/>
      <c r="J65" s="38"/>
      <c r="K65" s="38"/>
      <c r="L65" s="38"/>
      <c r="M65" s="61"/>
      <c r="N65" s="30"/>
      <c r="O65" s="38"/>
      <c r="P65" s="38"/>
      <c r="Q65" s="38"/>
      <c r="R65" s="38"/>
      <c r="S65" s="38"/>
      <c r="T65" s="38"/>
      <c r="U65" s="29"/>
      <c r="V65" s="29"/>
      <c r="W65" s="29"/>
      <c r="X65" s="29"/>
    </row>
    <row r="66" spans="2:24" x14ac:dyDescent="0.4">
      <c r="B66" s="35" t="s">
        <v>137</v>
      </c>
      <c r="C66" s="32">
        <v>0.1</v>
      </c>
      <c r="D66" s="35" t="s">
        <v>8</v>
      </c>
      <c r="E66" s="30"/>
      <c r="F66" s="30"/>
      <c r="G66" s="30"/>
      <c r="H66" s="30"/>
      <c r="I66" s="38"/>
      <c r="J66" s="38"/>
      <c r="K66" s="38"/>
      <c r="L66" s="38"/>
      <c r="M66" s="61"/>
      <c r="N66" s="30"/>
      <c r="O66" s="38"/>
      <c r="P66" s="38"/>
      <c r="Q66" s="38"/>
      <c r="R66" s="38"/>
      <c r="S66" s="38"/>
      <c r="T66" s="38"/>
      <c r="U66" s="29"/>
      <c r="V66" s="29"/>
      <c r="W66" s="29"/>
      <c r="X66" s="29"/>
    </row>
    <row r="67" spans="2:24" x14ac:dyDescent="0.4">
      <c r="B67" s="35" t="s">
        <v>138</v>
      </c>
      <c r="C67" s="32">
        <f>C53*(C63*C65+C66)</f>
        <v>3842.3999999999996</v>
      </c>
      <c r="D67" s="35" t="s">
        <v>8</v>
      </c>
      <c r="E67" s="30"/>
      <c r="F67" s="30"/>
      <c r="G67" s="30"/>
      <c r="H67" s="30"/>
      <c r="I67" s="29"/>
      <c r="J67" s="29"/>
      <c r="K67" s="29"/>
      <c r="L67" s="29"/>
      <c r="M67" s="61"/>
      <c r="N67" s="30"/>
      <c r="O67" s="38"/>
      <c r="P67" s="38"/>
      <c r="Q67" s="38"/>
      <c r="R67" s="38"/>
      <c r="S67" s="38"/>
      <c r="T67" s="38"/>
      <c r="U67" s="29"/>
      <c r="V67" s="29"/>
      <c r="W67" s="29"/>
      <c r="X67" s="29"/>
    </row>
    <row r="68" spans="2:24" x14ac:dyDescent="0.4">
      <c r="B68" s="35" t="s">
        <v>139</v>
      </c>
      <c r="C68" s="32">
        <f>C62*C63*C65*C53/100</f>
        <v>1536</v>
      </c>
      <c r="D68" s="35" t="s">
        <v>53</v>
      </c>
      <c r="E68" s="30"/>
      <c r="F68" s="30"/>
      <c r="G68" s="30"/>
      <c r="H68" s="30"/>
      <c r="I68" s="29"/>
      <c r="J68" s="29"/>
      <c r="K68" s="29"/>
      <c r="L68" s="29"/>
      <c r="M68" s="61"/>
      <c r="N68" s="30"/>
      <c r="O68" s="38"/>
      <c r="P68" s="38"/>
      <c r="Q68" s="38"/>
      <c r="R68" s="38"/>
      <c r="S68" s="38"/>
      <c r="T68" s="38"/>
      <c r="U68" s="29"/>
      <c r="V68" s="29"/>
      <c r="W68" s="29"/>
      <c r="X68" s="29"/>
    </row>
    <row r="69" spans="2:24" x14ac:dyDescent="0.4">
      <c r="B69" s="35" t="s">
        <v>140</v>
      </c>
      <c r="C69" s="32">
        <f>C68/J45*100</f>
        <v>960</v>
      </c>
      <c r="D69" s="35"/>
      <c r="E69" s="30"/>
      <c r="F69" s="30"/>
      <c r="G69" s="30"/>
      <c r="H69" s="30"/>
      <c r="I69" s="29"/>
      <c r="J69" s="29"/>
      <c r="K69" s="29"/>
      <c r="L69" s="29"/>
      <c r="M69" s="61"/>
      <c r="N69" s="30"/>
      <c r="O69" s="38"/>
      <c r="P69" s="38"/>
      <c r="Q69" s="38"/>
      <c r="R69" s="38"/>
      <c r="S69" s="38"/>
      <c r="T69" s="38"/>
      <c r="U69" s="29"/>
      <c r="V69" s="29"/>
      <c r="W69" s="29"/>
      <c r="X69" s="29"/>
    </row>
    <row r="70" spans="2:24" x14ac:dyDescent="0.25">
      <c r="M70" s="61"/>
      <c r="N70" s="61"/>
    </row>
  </sheetData>
  <mergeCells count="5">
    <mergeCell ref="B23:C23"/>
    <mergeCell ref="V27:X27"/>
    <mergeCell ref="G39:G41"/>
    <mergeCell ref="G55:G56"/>
    <mergeCell ref="G60:G61"/>
  </mergeCells>
  <phoneticPr fontId="10" type="noConversion"/>
  <pageMargins left="0.7" right="0.7" top="0.75" bottom="0.75" header="0.3" footer="0.3"/>
  <pageSetup paperSize="9"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StaticMetafile" shapeId="3207169" r:id="rId4">
          <objectPr defaultSize="0" autoPict="0" r:id="rId5">
            <anchor moveWithCells="1">
              <from>
                <xdr:col>13</xdr:col>
                <xdr:colOff>22860</xdr:colOff>
                <xdr:row>25</xdr:row>
                <xdr:rowOff>22860</xdr:rowOff>
              </from>
              <to>
                <xdr:col>15</xdr:col>
                <xdr:colOff>769620</xdr:colOff>
                <xdr:row>33</xdr:row>
                <xdr:rowOff>83820</xdr:rowOff>
              </to>
            </anchor>
          </objectPr>
        </oleObject>
      </mc:Choice>
      <mc:Fallback>
        <oleObject progId="StaticMetafile" shapeId="320716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3:AC70"/>
  <sheetViews>
    <sheetView topLeftCell="B16" zoomScale="85" zoomScaleNormal="85" workbookViewId="0">
      <selection activeCell="I44" sqref="I44"/>
    </sheetView>
  </sheetViews>
  <sheetFormatPr defaultColWidth="8.8984375" defaultRowHeight="17.399999999999999" x14ac:dyDescent="0.25"/>
  <cols>
    <col min="1" max="1" width="38.09765625" style="31" customWidth="1"/>
    <col min="2" max="2" width="33.8984375" style="31" customWidth="1"/>
    <col min="3" max="3" width="27.59765625" style="31" customWidth="1"/>
    <col min="4" max="4" width="8.796875" style="31" customWidth="1"/>
    <col min="5" max="5" width="21.19921875" style="31" bestFit="1" customWidth="1"/>
    <col min="6" max="6" width="8.8984375" style="31"/>
    <col min="7" max="7" width="6.296875" style="31" bestFit="1" customWidth="1"/>
    <col min="8" max="9" width="8.8984375" style="31"/>
    <col min="10" max="10" width="46" style="31" customWidth="1"/>
    <col min="11" max="11" width="8.8984375" style="31"/>
    <col min="12" max="12" width="25.3984375" style="31" bestFit="1" customWidth="1"/>
    <col min="13" max="14" width="8.8984375" style="31"/>
    <col min="15" max="15" width="45.59765625" style="31" bestFit="1" customWidth="1"/>
    <col min="16" max="18" width="8.8984375" style="31"/>
    <col min="19" max="19" width="11.69921875" style="31" customWidth="1"/>
    <col min="20" max="20" width="19.09765625" style="31" bestFit="1" customWidth="1"/>
    <col min="21" max="21" width="13.296875" style="31" bestFit="1" customWidth="1"/>
    <col min="22" max="22" width="8.8984375" style="31"/>
    <col min="23" max="23" width="43.69921875" style="31" bestFit="1" customWidth="1"/>
    <col min="24" max="24" width="8.8984375" style="31"/>
    <col min="25" max="25" width="17.796875" style="31" bestFit="1" customWidth="1"/>
    <col min="26" max="26" width="10.59765625" style="31" bestFit="1" customWidth="1"/>
    <col min="27" max="27" width="10.8984375" style="31" bestFit="1" customWidth="1"/>
    <col min="28" max="16384" width="8.8984375" style="31"/>
  </cols>
  <sheetData>
    <row r="23" spans="3:27" x14ac:dyDescent="0.4">
      <c r="E23" s="70" t="s">
        <v>21</v>
      </c>
      <c r="F23" s="70"/>
      <c r="G23" s="29"/>
      <c r="H23" s="30"/>
      <c r="I23" s="30"/>
      <c r="J23" s="30"/>
      <c r="K23" s="30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3:27" x14ac:dyDescent="0.4">
      <c r="E24" s="29"/>
      <c r="F24" s="29"/>
      <c r="G24" s="29"/>
      <c r="H24" s="30"/>
      <c r="I24" s="30"/>
      <c r="J24" s="30"/>
      <c r="K24" s="30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pans="3:27" x14ac:dyDescent="0.4">
      <c r="E25" s="35" t="s">
        <v>22</v>
      </c>
      <c r="F25" s="44">
        <v>400</v>
      </c>
      <c r="G25" s="35" t="s">
        <v>55</v>
      </c>
      <c r="H25" s="30"/>
      <c r="I25" s="30"/>
      <c r="J25" s="57" t="s">
        <v>154</v>
      </c>
      <c r="K25" s="30"/>
      <c r="L25" s="29" t="s">
        <v>174</v>
      </c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3:27" x14ac:dyDescent="0.4">
      <c r="E26" s="45" t="s">
        <v>56</v>
      </c>
      <c r="F26" s="46">
        <v>380</v>
      </c>
      <c r="G26" s="45" t="s">
        <v>0</v>
      </c>
      <c r="H26" s="30"/>
      <c r="I26" s="30"/>
      <c r="J26" s="57" t="s">
        <v>155</v>
      </c>
      <c r="K26" s="30"/>
      <c r="L26" s="35" t="s">
        <v>57</v>
      </c>
      <c r="M26" s="35"/>
      <c r="N26" s="35"/>
      <c r="O26" s="30"/>
      <c r="P26" s="30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3:27" x14ac:dyDescent="0.4">
      <c r="E27" s="45" t="s">
        <v>58</v>
      </c>
      <c r="F27" s="47">
        <f>17.5/F26</f>
        <v>4.6052631578947366E-2</v>
      </c>
      <c r="G27" s="45"/>
      <c r="H27" s="30"/>
      <c r="I27" s="30"/>
      <c r="J27" s="30"/>
      <c r="K27" s="30"/>
      <c r="L27" s="35" t="s">
        <v>23</v>
      </c>
      <c r="M27" s="37">
        <v>60</v>
      </c>
      <c r="N27" s="35" t="s">
        <v>8</v>
      </c>
      <c r="O27" s="57" t="s">
        <v>163</v>
      </c>
      <c r="P27" s="30"/>
      <c r="Q27" s="29"/>
      <c r="R27" s="29"/>
      <c r="S27" s="29"/>
      <c r="T27" s="3" t="s">
        <v>59</v>
      </c>
      <c r="U27" s="33" t="s">
        <v>142</v>
      </c>
      <c r="V27" s="3"/>
      <c r="W27" s="15"/>
      <c r="X27" s="1"/>
      <c r="Y27" s="71" t="s">
        <v>60</v>
      </c>
      <c r="Z27" s="71"/>
      <c r="AA27" s="71"/>
    </row>
    <row r="28" spans="3:27" x14ac:dyDescent="0.4">
      <c r="C28" s="68" t="s">
        <v>176</v>
      </c>
      <c r="E28" s="45" t="s">
        <v>61</v>
      </c>
      <c r="F28" s="48">
        <v>19.7</v>
      </c>
      <c r="G28" s="45" t="s">
        <v>0</v>
      </c>
      <c r="H28" s="30"/>
      <c r="I28" s="30"/>
      <c r="J28" s="30"/>
      <c r="K28" s="30"/>
      <c r="L28" s="35" t="s">
        <v>62</v>
      </c>
      <c r="M28" s="37">
        <v>80</v>
      </c>
      <c r="N28" s="35" t="s">
        <v>8</v>
      </c>
      <c r="O28" s="57" t="s">
        <v>164</v>
      </c>
      <c r="P28" s="30"/>
      <c r="Q28" s="29"/>
      <c r="R28" s="29"/>
      <c r="S28" s="29"/>
      <c r="T28" s="3" t="s">
        <v>63</v>
      </c>
      <c r="U28" s="40">
        <v>52.8</v>
      </c>
      <c r="V28" s="3" t="s">
        <v>64</v>
      </c>
      <c r="W28" s="63" t="s">
        <v>167</v>
      </c>
      <c r="X28" s="1"/>
      <c r="Y28" s="4" t="s">
        <v>6</v>
      </c>
      <c r="Z28" s="5" t="s">
        <v>7</v>
      </c>
      <c r="AA28" s="5"/>
    </row>
    <row r="29" spans="3:27" x14ac:dyDescent="0.4">
      <c r="C29" s="68" t="s">
        <v>176</v>
      </c>
      <c r="E29" s="45" t="s">
        <v>65</v>
      </c>
      <c r="F29" s="48">
        <v>56</v>
      </c>
      <c r="G29" s="45" t="s">
        <v>14</v>
      </c>
      <c r="H29" s="30"/>
      <c r="I29" s="30"/>
      <c r="J29" s="30"/>
      <c r="K29" s="30"/>
      <c r="L29" s="35" t="s">
        <v>66</v>
      </c>
      <c r="M29" s="37">
        <v>200</v>
      </c>
      <c r="N29" s="35" t="s">
        <v>8</v>
      </c>
      <c r="O29" s="57" t="s">
        <v>165</v>
      </c>
      <c r="P29" s="30"/>
      <c r="Q29" s="29"/>
      <c r="R29" s="29"/>
      <c r="S29" s="29"/>
      <c r="T29" s="3" t="s">
        <v>67</v>
      </c>
      <c r="U29" s="40">
        <v>12</v>
      </c>
      <c r="V29" s="3" t="s">
        <v>15</v>
      </c>
      <c r="W29" s="63" t="s">
        <v>168</v>
      </c>
      <c r="X29" s="1"/>
      <c r="Y29" s="6" t="s">
        <v>68</v>
      </c>
      <c r="Z29" s="7">
        <v>1.75</v>
      </c>
      <c r="AA29" s="6" t="s">
        <v>10</v>
      </c>
    </row>
    <row r="30" spans="3:27" x14ac:dyDescent="0.4">
      <c r="E30" s="45" t="s">
        <v>24</v>
      </c>
      <c r="F30" s="46">
        <v>360</v>
      </c>
      <c r="G30" s="45" t="s">
        <v>2</v>
      </c>
      <c r="H30" s="30"/>
      <c r="I30" s="30"/>
      <c r="J30" s="57" t="s">
        <v>156</v>
      </c>
      <c r="K30" s="30"/>
      <c r="L30" s="35" t="s">
        <v>69</v>
      </c>
      <c r="M30" s="37">
        <v>80</v>
      </c>
      <c r="N30" s="35" t="s">
        <v>8</v>
      </c>
      <c r="O30" s="67" t="s">
        <v>173</v>
      </c>
      <c r="P30" s="30"/>
      <c r="Q30" s="29"/>
      <c r="R30" s="29"/>
      <c r="S30" s="29"/>
      <c r="T30" s="3" t="s">
        <v>70</v>
      </c>
      <c r="U30" s="54">
        <v>2</v>
      </c>
      <c r="V30" s="3" t="s">
        <v>30</v>
      </c>
      <c r="W30" s="63" t="s">
        <v>169</v>
      </c>
      <c r="X30" s="1"/>
      <c r="Y30" s="6" t="s">
        <v>11</v>
      </c>
      <c r="Z30" s="8">
        <v>3.8999999999999998E-3</v>
      </c>
      <c r="AA30" s="6" t="s">
        <v>71</v>
      </c>
    </row>
    <row r="31" spans="3:27" x14ac:dyDescent="0.4">
      <c r="E31" s="45" t="s">
        <v>25</v>
      </c>
      <c r="F31" s="48">
        <f>F29/100*1000/F30</f>
        <v>1.5555555555555556</v>
      </c>
      <c r="G31" s="45" t="s">
        <v>31</v>
      </c>
      <c r="H31" s="30"/>
      <c r="I31" s="30"/>
      <c r="J31" s="30"/>
      <c r="K31" s="30"/>
      <c r="L31" s="35" t="s">
        <v>32</v>
      </c>
      <c r="M31" s="49">
        <f>2*M27+M28</f>
        <v>200</v>
      </c>
      <c r="N31" s="35" t="s">
        <v>8</v>
      </c>
      <c r="O31" s="30"/>
      <c r="P31" s="30"/>
      <c r="Q31" s="29"/>
      <c r="R31" s="29"/>
      <c r="S31" s="29"/>
      <c r="T31" s="3" t="s">
        <v>33</v>
      </c>
      <c r="U31" s="26">
        <f>F35/U28</f>
        <v>16.402633565768674</v>
      </c>
      <c r="V31" s="3" t="s">
        <v>72</v>
      </c>
      <c r="W31" s="15"/>
      <c r="X31" s="1"/>
      <c r="Y31" s="6" t="s">
        <v>12</v>
      </c>
      <c r="Z31" s="9">
        <v>45</v>
      </c>
      <c r="AA31" s="6" t="s">
        <v>13</v>
      </c>
    </row>
    <row r="32" spans="3:27" x14ac:dyDescent="0.4">
      <c r="E32" s="45" t="s">
        <v>34</v>
      </c>
      <c r="F32" s="47">
        <v>90</v>
      </c>
      <c r="G32" s="45" t="s">
        <v>14</v>
      </c>
      <c r="H32" s="30"/>
      <c r="I32" s="30"/>
      <c r="J32" s="30"/>
      <c r="K32" s="30"/>
      <c r="L32" s="35"/>
      <c r="M32" s="51"/>
      <c r="N32" s="35"/>
      <c r="O32" s="30"/>
      <c r="P32" s="30"/>
      <c r="Q32" s="29"/>
      <c r="R32" s="29"/>
      <c r="S32" s="29"/>
      <c r="T32" s="1"/>
      <c r="U32" s="1"/>
      <c r="V32" s="1"/>
      <c r="W32" s="1"/>
      <c r="X32" s="1"/>
      <c r="Y32" s="6" t="s">
        <v>73</v>
      </c>
      <c r="Z32" s="8">
        <f>Z29*(1+Z30*(Z31-20))</f>
        <v>1.9206249999999998</v>
      </c>
      <c r="AA32" s="6" t="s">
        <v>10</v>
      </c>
    </row>
    <row r="33" spans="3:29" x14ac:dyDescent="0.4">
      <c r="E33" s="45" t="s">
        <v>26</v>
      </c>
      <c r="F33" s="48">
        <f>F26*F32/100</f>
        <v>342</v>
      </c>
      <c r="G33" s="45" t="s">
        <v>0</v>
      </c>
      <c r="H33" s="30"/>
      <c r="I33" s="30"/>
      <c r="J33" s="30"/>
      <c r="K33" s="30"/>
      <c r="L33" s="35" t="s">
        <v>35</v>
      </c>
      <c r="M33" s="52">
        <f>M29+H56*F55/2</f>
        <v>216</v>
      </c>
      <c r="N33" s="35" t="s">
        <v>8</v>
      </c>
      <c r="O33" s="30"/>
      <c r="P33" s="30"/>
      <c r="Q33" s="29"/>
      <c r="R33" s="29"/>
      <c r="S33" s="29"/>
      <c r="T33" s="10" t="s">
        <v>36</v>
      </c>
      <c r="U33" s="10"/>
      <c r="V33" s="10"/>
      <c r="W33" s="2"/>
      <c r="X33" s="1"/>
      <c r="Y33" s="6" t="s">
        <v>74</v>
      </c>
      <c r="Z33" s="11">
        <f>1/(Z32/100000000)</f>
        <v>52066384.64041654</v>
      </c>
      <c r="AA33" s="6" t="s">
        <v>16</v>
      </c>
    </row>
    <row r="34" spans="3:29" x14ac:dyDescent="0.4">
      <c r="E34" s="45" t="s">
        <v>75</v>
      </c>
      <c r="F34" s="48">
        <f>F33*2^0.5*3/PI()</f>
        <v>461.86227018859546</v>
      </c>
      <c r="G34" s="45" t="s">
        <v>0</v>
      </c>
      <c r="H34" s="30"/>
      <c r="I34" s="30"/>
      <c r="J34" s="30"/>
      <c r="K34" s="30"/>
      <c r="L34" s="35"/>
      <c r="M34" s="35"/>
      <c r="N34" s="35"/>
      <c r="O34" s="30"/>
      <c r="P34" s="30"/>
      <c r="Q34" s="29"/>
      <c r="R34" s="29"/>
      <c r="S34" s="29"/>
      <c r="T34" s="10" t="s">
        <v>76</v>
      </c>
      <c r="U34" s="12">
        <f>F28*F31</f>
        <v>30.644444444444442</v>
      </c>
      <c r="V34" s="10" t="s">
        <v>37</v>
      </c>
      <c r="W34" s="2"/>
      <c r="X34" s="1"/>
      <c r="Y34" s="6" t="s">
        <v>77</v>
      </c>
      <c r="Z34" s="5">
        <v>1</v>
      </c>
      <c r="AA34" s="6" t="s">
        <v>17</v>
      </c>
    </row>
    <row r="35" spans="3:29" x14ac:dyDescent="0.4">
      <c r="E35" s="45" t="s">
        <v>38</v>
      </c>
      <c r="F35" s="48">
        <f>F25/F34*1000</f>
        <v>866.05905227258597</v>
      </c>
      <c r="G35" s="45" t="s">
        <v>1</v>
      </c>
      <c r="H35" s="30"/>
      <c r="I35" s="30"/>
      <c r="J35" s="30"/>
      <c r="K35" s="30"/>
      <c r="L35" s="35" t="s">
        <v>39</v>
      </c>
      <c r="M35" s="52">
        <f>2*M27+M33</f>
        <v>336</v>
      </c>
      <c r="N35" s="35" t="s">
        <v>8</v>
      </c>
      <c r="O35" s="30"/>
      <c r="P35" s="30"/>
      <c r="Q35" s="29"/>
      <c r="R35" s="29"/>
      <c r="S35" s="29"/>
      <c r="T35" s="1"/>
      <c r="U35" s="1"/>
      <c r="V35" s="1"/>
      <c r="W35" s="1"/>
      <c r="X35" s="1"/>
      <c r="Y35" s="6" t="s">
        <v>18</v>
      </c>
      <c r="Z35" s="13">
        <v>1E-3</v>
      </c>
      <c r="AA35" s="6" t="s">
        <v>78</v>
      </c>
      <c r="AB35" s="31" t="s">
        <v>79</v>
      </c>
    </row>
    <row r="36" spans="3:29" x14ac:dyDescent="0.4">
      <c r="C36" s="69"/>
      <c r="E36" s="45" t="s">
        <v>40</v>
      </c>
      <c r="F36" s="46">
        <v>20</v>
      </c>
      <c r="G36" s="45" t="s">
        <v>14</v>
      </c>
      <c r="H36" s="30"/>
      <c r="I36" s="30"/>
      <c r="J36" s="67" t="s">
        <v>172</v>
      </c>
      <c r="K36" s="30"/>
      <c r="L36" s="43" t="s">
        <v>146</v>
      </c>
      <c r="M36" s="40">
        <v>10</v>
      </c>
      <c r="N36" s="43" t="s">
        <v>147</v>
      </c>
      <c r="O36" s="42"/>
      <c r="P36" s="42"/>
      <c r="Q36" s="1"/>
      <c r="R36" s="1"/>
      <c r="S36" s="29"/>
      <c r="T36" s="1"/>
      <c r="U36" s="1"/>
      <c r="V36" s="1"/>
      <c r="W36" s="1"/>
      <c r="X36" s="1"/>
      <c r="Y36" s="6" t="s">
        <v>80</v>
      </c>
      <c r="Z36" s="14">
        <f>503.3*SQRT((Z32/100000000)/(Z34*Z35))*1000</f>
        <v>2205.7090200347143</v>
      </c>
      <c r="AA36" s="6" t="s">
        <v>19</v>
      </c>
    </row>
    <row r="37" spans="3:29" x14ac:dyDescent="0.4">
      <c r="C37" s="68" t="s">
        <v>176</v>
      </c>
      <c r="E37" s="45" t="s">
        <v>81</v>
      </c>
      <c r="F37" s="48">
        <v>320</v>
      </c>
      <c r="G37" s="45" t="s">
        <v>1</v>
      </c>
      <c r="H37" s="30"/>
      <c r="I37" s="30"/>
      <c r="J37" s="67"/>
      <c r="K37" s="30"/>
      <c r="L37" s="10" t="s">
        <v>27</v>
      </c>
      <c r="M37" s="10">
        <f>(M27-M36)*M30/100</f>
        <v>40</v>
      </c>
      <c r="N37" s="10" t="s">
        <v>53</v>
      </c>
      <c r="O37" s="60" t="s">
        <v>162</v>
      </c>
      <c r="P37" s="2"/>
      <c r="Q37" s="15" t="s">
        <v>41</v>
      </c>
      <c r="R37" s="1"/>
      <c r="S37" s="29"/>
      <c r="T37" s="1"/>
      <c r="U37" s="1"/>
      <c r="V37" s="1"/>
      <c r="W37" s="1"/>
      <c r="X37" s="1"/>
      <c r="Y37" s="6" t="s">
        <v>20</v>
      </c>
      <c r="Z37" s="16">
        <v>23000</v>
      </c>
      <c r="AA37" s="6" t="s">
        <v>19</v>
      </c>
    </row>
    <row r="38" spans="3:29" x14ac:dyDescent="0.4">
      <c r="E38" s="45" t="s">
        <v>42</v>
      </c>
      <c r="F38" s="48">
        <f>F28*F31/F30</f>
        <v>8.5123456790123453E-2</v>
      </c>
      <c r="G38" s="45" t="s">
        <v>43</v>
      </c>
      <c r="H38" s="30"/>
      <c r="I38" s="30"/>
      <c r="J38" s="30"/>
      <c r="K38" s="30"/>
      <c r="L38" s="10" t="s">
        <v>82</v>
      </c>
      <c r="M38" s="10">
        <f>(M31*M35*M30-M29*M28*M30)/1000*7.83/1000</f>
        <v>32.071680000000001</v>
      </c>
      <c r="N38" s="10" t="s">
        <v>44</v>
      </c>
      <c r="O38" s="2"/>
      <c r="P38" s="2"/>
      <c r="Q38" s="17">
        <f>M38*2200/10000</f>
        <v>7.0557695999999996</v>
      </c>
      <c r="R38" s="1" t="s">
        <v>52</v>
      </c>
      <c r="S38" s="29"/>
      <c r="T38" s="1"/>
      <c r="U38" s="1"/>
      <c r="V38" s="1"/>
      <c r="W38" s="1"/>
      <c r="X38" s="1"/>
      <c r="Y38" s="6" t="s">
        <v>83</v>
      </c>
      <c r="Z38" s="16">
        <v>1.5</v>
      </c>
      <c r="AA38" s="6" t="s">
        <v>19</v>
      </c>
      <c r="AC38" s="59" t="s">
        <v>161</v>
      </c>
    </row>
    <row r="39" spans="3:29" x14ac:dyDescent="0.4">
      <c r="E39" s="45" t="s">
        <v>84</v>
      </c>
      <c r="F39" s="46">
        <v>90</v>
      </c>
      <c r="G39" s="45" t="s">
        <v>2</v>
      </c>
      <c r="H39" s="30"/>
      <c r="I39" s="30"/>
      <c r="J39" s="72" t="s">
        <v>157</v>
      </c>
      <c r="K39" s="30"/>
      <c r="L39" s="1"/>
      <c r="M39" s="1"/>
      <c r="N39" s="2"/>
      <c r="O39" s="2"/>
      <c r="P39" s="2"/>
      <c r="Q39" s="28" t="s">
        <v>144</v>
      </c>
      <c r="R39" s="1"/>
      <c r="S39" s="29"/>
      <c r="T39" s="18" t="s">
        <v>85</v>
      </c>
      <c r="U39" s="1"/>
      <c r="V39" s="1"/>
      <c r="W39" s="1"/>
      <c r="X39" s="1"/>
      <c r="Y39" s="6" t="s">
        <v>86</v>
      </c>
      <c r="Z39" s="19">
        <f>MIN(Z36,Z38)</f>
        <v>1.5</v>
      </c>
      <c r="AA39" s="6" t="s">
        <v>19</v>
      </c>
    </row>
    <row r="40" spans="3:29" x14ac:dyDescent="0.4">
      <c r="E40" s="45" t="s">
        <v>87</v>
      </c>
      <c r="F40" s="48">
        <f>(4*PI()^2*F38/1000*F39^2)^-1*1000000</f>
        <v>36737.19493920877</v>
      </c>
      <c r="G40" s="45" t="s">
        <v>5</v>
      </c>
      <c r="H40" s="30"/>
      <c r="I40" s="30"/>
      <c r="J40" s="73"/>
      <c r="K40" s="30"/>
      <c r="L40" s="1"/>
      <c r="M40" s="1"/>
      <c r="N40" s="2"/>
      <c r="O40" s="2"/>
      <c r="P40" s="2"/>
      <c r="Q40" s="1">
        <f>M38*3</f>
        <v>96.215040000000002</v>
      </c>
      <c r="R40" s="28" t="s">
        <v>145</v>
      </c>
      <c r="S40" s="29"/>
      <c r="T40" s="10" t="s">
        <v>88</v>
      </c>
      <c r="U40" s="10">
        <v>9000</v>
      </c>
      <c r="V40" s="10" t="s">
        <v>5</v>
      </c>
      <c r="W40" s="2"/>
      <c r="X40" s="1"/>
      <c r="Y40" s="6" t="s">
        <v>89</v>
      </c>
      <c r="Z40" s="16">
        <v>12.7</v>
      </c>
      <c r="AA40" s="6" t="s">
        <v>19</v>
      </c>
      <c r="AC40" s="59" t="s">
        <v>161</v>
      </c>
    </row>
    <row r="41" spans="3:29" x14ac:dyDescent="0.4">
      <c r="C41" s="68" t="s">
        <v>175</v>
      </c>
      <c r="E41" s="35" t="s">
        <v>45</v>
      </c>
      <c r="F41" s="35">
        <f>F35*1.65</f>
        <v>1428.9974362497667</v>
      </c>
      <c r="G41" s="35" t="s">
        <v>1</v>
      </c>
      <c r="H41" s="30"/>
      <c r="I41" s="30"/>
      <c r="J41" s="73"/>
      <c r="K41" s="30"/>
      <c r="L41" s="1"/>
      <c r="M41" s="1"/>
      <c r="N41" s="2"/>
      <c r="O41" s="2"/>
      <c r="P41" s="2"/>
      <c r="Q41" s="1"/>
      <c r="R41" s="1"/>
      <c r="S41" s="29"/>
      <c r="T41" s="10" t="s">
        <v>90</v>
      </c>
      <c r="U41" s="10">
        <v>426</v>
      </c>
      <c r="V41" s="10" t="s">
        <v>91</v>
      </c>
      <c r="W41" s="2"/>
      <c r="X41" s="1"/>
      <c r="Y41" s="6" t="s">
        <v>92</v>
      </c>
      <c r="Z41" s="14">
        <f>(PI()*(Z40/2)^2)-(PI()*(Z40/2-Z39)^2)</f>
        <v>52.778756580308524</v>
      </c>
      <c r="AA41" s="6" t="s">
        <v>93</v>
      </c>
    </row>
    <row r="42" spans="3:29" x14ac:dyDescent="0.4">
      <c r="E42" s="35"/>
      <c r="F42" s="35"/>
      <c r="G42" s="35"/>
      <c r="H42" s="30"/>
      <c r="I42" s="30"/>
      <c r="J42" s="30"/>
      <c r="K42" s="30"/>
      <c r="L42" s="10" t="s">
        <v>94</v>
      </c>
      <c r="M42" s="10">
        <f>M37*M28*M29/100</f>
        <v>6400</v>
      </c>
      <c r="N42" s="10" t="s">
        <v>95</v>
      </c>
      <c r="O42" s="2"/>
      <c r="P42" s="2"/>
      <c r="Q42" s="28" t="s">
        <v>149</v>
      </c>
      <c r="R42" s="1"/>
      <c r="S42" s="29"/>
      <c r="T42" s="10" t="s">
        <v>28</v>
      </c>
      <c r="U42" s="10">
        <f>1/(2*3.14*SQRT((U40/1000000)*(U41/1000000)))</f>
        <v>81.323170519625208</v>
      </c>
      <c r="V42" s="10" t="s">
        <v>3</v>
      </c>
      <c r="W42" s="2"/>
      <c r="X42" s="1"/>
      <c r="Y42" s="6" t="s">
        <v>96</v>
      </c>
      <c r="Z42" s="16">
        <v>866</v>
      </c>
      <c r="AA42" s="20" t="s">
        <v>97</v>
      </c>
      <c r="AC42" s="59" t="s">
        <v>160</v>
      </c>
    </row>
    <row r="43" spans="3:29" x14ac:dyDescent="0.4">
      <c r="E43" s="35" t="s">
        <v>46</v>
      </c>
      <c r="F43" s="44">
        <v>1.45</v>
      </c>
      <c r="G43" s="35" t="s">
        <v>9</v>
      </c>
      <c r="H43" s="30"/>
      <c r="I43" s="30"/>
      <c r="J43" s="30"/>
      <c r="K43" s="30"/>
      <c r="L43" s="10" t="s">
        <v>29</v>
      </c>
      <c r="M43" s="10">
        <f>(M30*2+3.14*(M27+M28/2))/10</f>
        <v>47.4</v>
      </c>
      <c r="N43" s="10" t="s">
        <v>4</v>
      </c>
      <c r="O43" s="2"/>
      <c r="P43" s="2"/>
      <c r="Q43" s="41">
        <f>Z44</f>
        <v>6276.9264992234002</v>
      </c>
      <c r="R43" s="28" t="s">
        <v>145</v>
      </c>
      <c r="S43" s="29"/>
      <c r="T43" s="18" t="s">
        <v>85</v>
      </c>
      <c r="U43" s="1"/>
      <c r="V43" s="1"/>
      <c r="W43" s="1"/>
      <c r="X43" s="1"/>
      <c r="Y43" s="6" t="s">
        <v>98</v>
      </c>
      <c r="Z43" s="21">
        <f>Z42/Z41</f>
        <v>16.408116752093019</v>
      </c>
      <c r="AA43" s="20" t="s">
        <v>97</v>
      </c>
      <c r="AC43" s="59" t="s">
        <v>166</v>
      </c>
    </row>
    <row r="44" spans="3:29" x14ac:dyDescent="0.4">
      <c r="E44" s="35" t="s">
        <v>99</v>
      </c>
      <c r="F44" s="35">
        <v>50</v>
      </c>
      <c r="G44" s="35" t="s">
        <v>13</v>
      </c>
      <c r="H44" s="30"/>
      <c r="I44" s="30"/>
      <c r="J44" s="30"/>
      <c r="K44" s="30"/>
      <c r="L44" s="10" t="s">
        <v>47</v>
      </c>
      <c r="M44" s="10">
        <f>M37</f>
        <v>40</v>
      </c>
      <c r="N44" s="10" t="s">
        <v>53</v>
      </c>
      <c r="O44" s="2"/>
      <c r="P44" s="2"/>
      <c r="Q44" s="1"/>
      <c r="R44" s="1"/>
      <c r="S44" s="29"/>
      <c r="T44" s="10" t="s">
        <v>88</v>
      </c>
      <c r="U44" s="10">
        <v>2800</v>
      </c>
      <c r="V44" s="10" t="s">
        <v>5</v>
      </c>
      <c r="W44" s="2"/>
      <c r="X44" s="1"/>
      <c r="Y44" s="6" t="s">
        <v>148</v>
      </c>
      <c r="Z44" s="21">
        <f>Z32/100000000*(Z42^2)/(Z41/1000000)*Z37/1000</f>
        <v>6276.9264992234002</v>
      </c>
      <c r="AA44" s="20" t="s">
        <v>100</v>
      </c>
    </row>
    <row r="45" spans="3:29" x14ac:dyDescent="0.4">
      <c r="E45" s="35" t="s">
        <v>101</v>
      </c>
      <c r="F45" s="48" t="s">
        <v>102</v>
      </c>
      <c r="G45" s="35"/>
      <c r="H45" s="30"/>
      <c r="I45" s="30"/>
      <c r="J45" s="30"/>
      <c r="K45" s="30"/>
      <c r="L45" s="10" t="s">
        <v>103</v>
      </c>
      <c r="M45" s="10">
        <f>M28*M29/100</f>
        <v>160</v>
      </c>
      <c r="N45" s="10" t="s">
        <v>53</v>
      </c>
      <c r="O45" s="2"/>
      <c r="P45" s="2"/>
      <c r="Q45" s="28" t="s">
        <v>150</v>
      </c>
      <c r="R45" s="1"/>
      <c r="S45" s="29"/>
      <c r="T45" s="10" t="s">
        <v>90</v>
      </c>
      <c r="U45" s="10">
        <v>450</v>
      </c>
      <c r="V45" s="10" t="s">
        <v>91</v>
      </c>
      <c r="W45" s="2"/>
      <c r="X45" s="1"/>
      <c r="Y45" s="1"/>
      <c r="Z45" s="1"/>
      <c r="AA45" s="1"/>
    </row>
    <row r="46" spans="3:29" x14ac:dyDescent="0.4">
      <c r="E46" s="35" t="s">
        <v>104</v>
      </c>
      <c r="F46" s="48" t="s">
        <v>48</v>
      </c>
      <c r="G46" s="35"/>
      <c r="H46" s="30"/>
      <c r="I46" s="30"/>
      <c r="J46" s="30"/>
      <c r="K46" s="30"/>
      <c r="L46" s="10" t="s">
        <v>105</v>
      </c>
      <c r="M46" s="10">
        <f>(2*M35*2*M31 + M30*(2*M35+4*M31))/100</f>
        <v>3865.6</v>
      </c>
      <c r="N46" s="10" t="s">
        <v>53</v>
      </c>
      <c r="O46" s="2"/>
      <c r="P46" s="2"/>
      <c r="Q46" s="41">
        <f>Q40+Q43</f>
        <v>6373.1415392234003</v>
      </c>
      <c r="R46" s="28" t="s">
        <v>145</v>
      </c>
      <c r="S46" s="29"/>
      <c r="T46" s="10" t="s">
        <v>28</v>
      </c>
      <c r="U46" s="10">
        <f>1/(2*3.14*SQRT((U44/1000000)*(U45/1000000)))</f>
        <v>141.85840865839933</v>
      </c>
      <c r="V46" s="10" t="s">
        <v>3</v>
      </c>
      <c r="W46" s="2"/>
      <c r="X46" s="1"/>
      <c r="Y46" s="1"/>
      <c r="Z46" s="1"/>
      <c r="AA46" s="1"/>
    </row>
    <row r="47" spans="3:29" x14ac:dyDescent="0.4">
      <c r="E47" s="35" t="s">
        <v>106</v>
      </c>
      <c r="F47" s="35">
        <f>F43*F37/F41</f>
        <v>0.32470317176895197</v>
      </c>
      <c r="G47" s="35" t="s">
        <v>9</v>
      </c>
      <c r="H47" s="30"/>
      <c r="I47" s="30"/>
      <c r="J47" s="30"/>
      <c r="K47" s="30"/>
      <c r="L47" s="10"/>
      <c r="M47" s="10"/>
      <c r="N47" s="10"/>
      <c r="O47" s="2"/>
      <c r="P47" s="2"/>
      <c r="Q47" s="1"/>
      <c r="R47" s="1"/>
      <c r="S47" s="29"/>
      <c r="T47" s="18" t="s">
        <v>107</v>
      </c>
      <c r="U47" s="1"/>
      <c r="V47" s="1"/>
      <c r="W47" s="1"/>
      <c r="X47" s="1"/>
      <c r="Y47" s="1"/>
      <c r="Z47" s="1"/>
      <c r="AA47" s="1"/>
    </row>
    <row r="48" spans="3:29" x14ac:dyDescent="0.4">
      <c r="E48" s="35" t="s">
        <v>49</v>
      </c>
      <c r="F48" s="44" t="str">
        <f>L26</f>
        <v>규소 강판</v>
      </c>
      <c r="G48" s="35"/>
      <c r="H48" s="30"/>
      <c r="I48" s="30"/>
      <c r="J48" s="30"/>
      <c r="K48" s="30"/>
      <c r="L48" s="10" t="s">
        <v>108</v>
      </c>
      <c r="M48" s="10">
        <f>M29/10</f>
        <v>20</v>
      </c>
      <c r="N48" s="10" t="s">
        <v>4</v>
      </c>
      <c r="O48" s="2"/>
      <c r="P48" s="2"/>
      <c r="Q48" s="28" t="s">
        <v>151</v>
      </c>
      <c r="R48" s="1"/>
      <c r="S48" s="29"/>
      <c r="T48" s="10" t="s">
        <v>109</v>
      </c>
      <c r="U48" s="10">
        <v>17848</v>
      </c>
      <c r="V48" s="10" t="s">
        <v>51</v>
      </c>
      <c r="W48" s="2"/>
      <c r="X48" s="1"/>
      <c r="Y48" s="1"/>
      <c r="Z48" s="1"/>
      <c r="AA48" s="1"/>
    </row>
    <row r="49" spans="5:27" x14ac:dyDescent="0.4">
      <c r="E49" s="35" t="s">
        <v>27</v>
      </c>
      <c r="F49" s="44">
        <f>M37</f>
        <v>40</v>
      </c>
      <c r="G49" s="35" t="s">
        <v>53</v>
      </c>
      <c r="H49" s="30"/>
      <c r="I49" s="30"/>
      <c r="J49" s="57" t="s">
        <v>158</v>
      </c>
      <c r="K49" s="30"/>
      <c r="L49" s="1"/>
      <c r="M49" s="1"/>
      <c r="N49" s="2"/>
      <c r="O49" s="2"/>
      <c r="P49" s="2"/>
      <c r="Q49" s="53">
        <f>Q46/(F25*1000)*100</f>
        <v>1.5932853848058501</v>
      </c>
      <c r="R49" s="28" t="s">
        <v>14</v>
      </c>
      <c r="S49" s="29"/>
      <c r="T49" s="3" t="s">
        <v>110</v>
      </c>
      <c r="U49" s="3">
        <v>20942</v>
      </c>
      <c r="V49" s="3" t="s">
        <v>51</v>
      </c>
      <c r="W49" s="2"/>
      <c r="X49" s="1"/>
      <c r="Y49" s="1"/>
      <c r="Z49" s="1"/>
      <c r="AA49" s="1"/>
    </row>
    <row r="50" spans="5:27" x14ac:dyDescent="0.4">
      <c r="E50" s="35" t="s">
        <v>111</v>
      </c>
      <c r="F50" s="32">
        <v>1</v>
      </c>
      <c r="G50" s="35" t="s">
        <v>112</v>
      </c>
      <c r="H50" s="30"/>
      <c r="I50" s="30"/>
      <c r="J50" s="30"/>
      <c r="K50" s="30"/>
      <c r="L50" s="10" t="s">
        <v>113</v>
      </c>
      <c r="M50" s="10">
        <f>F50</f>
        <v>1</v>
      </c>
      <c r="N50" s="10" t="s">
        <v>112</v>
      </c>
      <c r="O50" s="2"/>
      <c r="P50" s="2"/>
      <c r="Q50" s="1"/>
      <c r="R50" s="1"/>
      <c r="S50" s="29"/>
      <c r="T50" s="65" t="s">
        <v>153</v>
      </c>
      <c r="U50" s="3">
        <v>15468</v>
      </c>
      <c r="V50" s="3" t="s">
        <v>51</v>
      </c>
      <c r="W50" s="2"/>
      <c r="X50" s="1"/>
      <c r="Y50" s="1"/>
      <c r="Z50" s="1"/>
      <c r="AA50" s="1"/>
    </row>
    <row r="51" spans="5:27" x14ac:dyDescent="0.4">
      <c r="E51" s="35" t="s">
        <v>114</v>
      </c>
      <c r="F51" s="32">
        <f>F49*F50</f>
        <v>40</v>
      </c>
      <c r="G51" s="35" t="s">
        <v>53</v>
      </c>
      <c r="H51" s="30"/>
      <c r="I51" s="30"/>
      <c r="J51" s="30"/>
      <c r="K51" s="30"/>
      <c r="L51" s="10" t="s">
        <v>115</v>
      </c>
      <c r="M51" s="10">
        <f>M42*M50</f>
        <v>6400</v>
      </c>
      <c r="N51" s="10" t="s">
        <v>95</v>
      </c>
      <c r="O51" s="2"/>
      <c r="P51" s="2"/>
      <c r="Q51" s="1"/>
      <c r="R51" s="1"/>
      <c r="S51" s="29"/>
      <c r="T51" s="3" t="s">
        <v>54</v>
      </c>
      <c r="U51" s="3">
        <v>18086</v>
      </c>
      <c r="V51" s="3" t="s">
        <v>51</v>
      </c>
      <c r="W51" s="2"/>
      <c r="X51" s="1"/>
      <c r="Y51" s="1"/>
      <c r="Z51" s="1"/>
      <c r="AA51" s="1"/>
    </row>
    <row r="52" spans="5:27" x14ac:dyDescent="0.4">
      <c r="E52" s="35"/>
      <c r="F52" s="32"/>
      <c r="G52" s="35"/>
      <c r="H52" s="30"/>
      <c r="I52" s="30"/>
      <c r="J52" s="30"/>
      <c r="K52" s="30"/>
      <c r="L52" s="10" t="s">
        <v>116</v>
      </c>
      <c r="M52" s="10">
        <f>M44*M50</f>
        <v>40</v>
      </c>
      <c r="N52" s="10" t="s">
        <v>53</v>
      </c>
      <c r="O52" s="2"/>
      <c r="P52" s="2"/>
      <c r="Q52" s="1" t="s">
        <v>50</v>
      </c>
      <c r="R52" s="1"/>
      <c r="S52" s="29"/>
      <c r="T52" s="64" t="s">
        <v>141</v>
      </c>
      <c r="U52" s="64">
        <v>12475</v>
      </c>
      <c r="V52" s="64" t="s">
        <v>51</v>
      </c>
      <c r="W52" s="2"/>
      <c r="X52" s="1"/>
      <c r="Y52" s="1"/>
      <c r="Z52" s="1"/>
      <c r="AA52" s="1"/>
    </row>
    <row r="53" spans="5:27" x14ac:dyDescent="0.4">
      <c r="E53" s="35" t="s">
        <v>118</v>
      </c>
      <c r="F53" s="34">
        <f>ROUNDUP(F28*F31/1000*10000/F47/F51,0)</f>
        <v>24</v>
      </c>
      <c r="G53" s="35" t="s">
        <v>119</v>
      </c>
      <c r="H53" s="30"/>
      <c r="I53" s="30"/>
      <c r="J53" s="30"/>
      <c r="K53" s="30"/>
      <c r="L53" s="10" t="s">
        <v>120</v>
      </c>
      <c r="M53" s="10">
        <f>M43</f>
        <v>47.4</v>
      </c>
      <c r="N53" s="10" t="s">
        <v>4</v>
      </c>
      <c r="O53" s="2"/>
      <c r="Q53" s="29">
        <v>23</v>
      </c>
      <c r="R53" s="1" t="s">
        <v>121</v>
      </c>
      <c r="S53" s="29"/>
      <c r="T53" s="25" t="s">
        <v>117</v>
      </c>
      <c r="U53" s="25">
        <v>7900</v>
      </c>
      <c r="V53" s="25" t="s">
        <v>51</v>
      </c>
      <c r="W53" s="2"/>
      <c r="X53" s="1"/>
      <c r="Y53" s="1"/>
      <c r="Z53" s="1"/>
      <c r="AA53" s="1"/>
    </row>
    <row r="54" spans="5:27" x14ac:dyDescent="0.4">
      <c r="E54" s="35" t="s">
        <v>123</v>
      </c>
      <c r="F54" s="32">
        <f>ROUNDUP(0.4*3.1416*F53*F41/10000/F43,2)</f>
        <v>2.98</v>
      </c>
      <c r="G54" s="35" t="s">
        <v>4</v>
      </c>
      <c r="H54" s="30"/>
      <c r="I54" s="36"/>
      <c r="J54" s="36"/>
      <c r="K54" s="36"/>
      <c r="L54" s="10" t="s">
        <v>124</v>
      </c>
      <c r="M54" s="10">
        <f>M38*M50</f>
        <v>32.071680000000001</v>
      </c>
      <c r="N54" s="10" t="s">
        <v>44</v>
      </c>
      <c r="O54" s="24"/>
      <c r="P54" s="61"/>
      <c r="Q54" s="62">
        <v>12475</v>
      </c>
      <c r="R54" s="22" t="s">
        <v>51</v>
      </c>
      <c r="S54" s="38"/>
      <c r="T54" s="25" t="s">
        <v>122</v>
      </c>
      <c r="U54" s="25">
        <v>10200</v>
      </c>
      <c r="V54" s="10" t="s">
        <v>51</v>
      </c>
      <c r="W54" s="2"/>
      <c r="X54" s="22"/>
      <c r="Y54" s="22"/>
      <c r="Z54" s="22"/>
      <c r="AA54" s="1"/>
    </row>
    <row r="55" spans="5:27" x14ac:dyDescent="0.4">
      <c r="E55" s="35" t="s">
        <v>126</v>
      </c>
      <c r="F55" s="55">
        <v>4</v>
      </c>
      <c r="G55" s="35"/>
      <c r="H55" s="42" t="s">
        <v>152</v>
      </c>
      <c r="I55" s="36"/>
      <c r="J55" s="74" t="s">
        <v>159</v>
      </c>
      <c r="K55" s="36"/>
      <c r="L55" s="1"/>
      <c r="M55" s="1"/>
      <c r="N55" s="2"/>
      <c r="O55" s="2"/>
      <c r="P55" s="61"/>
      <c r="Q55" s="62">
        <f>Q53*Q54/10000</f>
        <v>28.692499999999999</v>
      </c>
      <c r="R55" s="22" t="s">
        <v>52</v>
      </c>
      <c r="S55" s="38"/>
      <c r="T55" s="27" t="s">
        <v>142</v>
      </c>
      <c r="U55" s="25">
        <v>6850</v>
      </c>
      <c r="V55" s="25" t="s">
        <v>51</v>
      </c>
      <c r="W55" s="2"/>
      <c r="X55" s="22"/>
      <c r="Y55" s="22"/>
      <c r="Z55" s="22"/>
      <c r="AA55" s="22"/>
    </row>
    <row r="56" spans="5:27" x14ac:dyDescent="0.4">
      <c r="E56" s="35" t="s">
        <v>128</v>
      </c>
      <c r="F56" s="49">
        <f>F54/F55</f>
        <v>0.745</v>
      </c>
      <c r="G56" s="35" t="s">
        <v>4</v>
      </c>
      <c r="H56" s="56">
        <v>8</v>
      </c>
      <c r="I56" s="39" t="s">
        <v>8</v>
      </c>
      <c r="J56" s="74"/>
      <c r="K56" s="39"/>
      <c r="L56" s="1"/>
      <c r="M56" s="1"/>
      <c r="N56" s="1"/>
      <c r="O56" s="1"/>
      <c r="P56" s="61"/>
      <c r="Q56" s="62" t="s">
        <v>129</v>
      </c>
      <c r="R56" s="22"/>
      <c r="S56" s="38"/>
      <c r="T56" s="23" t="s">
        <v>125</v>
      </c>
      <c r="U56" s="10">
        <v>5200</v>
      </c>
      <c r="V56" s="10" t="s">
        <v>51</v>
      </c>
      <c r="W56" s="2"/>
      <c r="X56" s="22"/>
      <c r="Y56" s="22"/>
      <c r="Z56" s="22"/>
      <c r="AA56" s="22"/>
    </row>
    <row r="57" spans="5:27" x14ac:dyDescent="0.4">
      <c r="E57" s="35" t="s">
        <v>130</v>
      </c>
      <c r="F57" s="32">
        <f>F56/M27*10*100</f>
        <v>12.416666666666666</v>
      </c>
      <c r="G57" s="32" t="s">
        <v>14</v>
      </c>
      <c r="H57" s="30"/>
      <c r="I57" s="30"/>
      <c r="J57" s="30"/>
      <c r="K57" s="30"/>
      <c r="L57" s="1"/>
      <c r="M57" s="1"/>
      <c r="N57" s="1"/>
      <c r="O57" s="1"/>
      <c r="P57" s="61"/>
      <c r="Q57" s="62">
        <f>Q38+Q55</f>
        <v>35.7482696</v>
      </c>
      <c r="R57" s="22" t="s">
        <v>52</v>
      </c>
      <c r="S57" s="38"/>
      <c r="T57" s="10" t="s">
        <v>127</v>
      </c>
      <c r="U57" s="10">
        <v>5200</v>
      </c>
      <c r="V57" s="10" t="s">
        <v>51</v>
      </c>
      <c r="W57" s="2"/>
      <c r="X57" s="22"/>
      <c r="Y57" s="22"/>
      <c r="Z57" s="22"/>
      <c r="AA57" s="22"/>
    </row>
    <row r="58" spans="5:27" x14ac:dyDescent="0.4">
      <c r="E58" s="35" t="s">
        <v>131</v>
      </c>
      <c r="F58" s="49">
        <f>0.000000004*PI()*F53^2*F51/F54*1000000</f>
        <v>97.157442602293742</v>
      </c>
      <c r="G58" s="35" t="s">
        <v>91</v>
      </c>
      <c r="H58" s="30"/>
      <c r="I58" s="30"/>
      <c r="J58" s="30"/>
      <c r="K58" s="30"/>
      <c r="L58" s="29"/>
      <c r="M58" s="29"/>
      <c r="N58" s="29"/>
      <c r="O58" s="29"/>
      <c r="P58" s="61"/>
      <c r="Q58" s="30"/>
      <c r="R58" s="38"/>
      <c r="S58" s="38"/>
      <c r="T58" s="27" t="s">
        <v>143</v>
      </c>
      <c r="U58" s="25">
        <v>3780</v>
      </c>
      <c r="V58" s="25" t="s">
        <v>51</v>
      </c>
      <c r="W58" s="2"/>
      <c r="X58" s="38"/>
      <c r="Y58" s="38"/>
      <c r="Z58" s="38"/>
      <c r="AA58" s="38"/>
    </row>
    <row r="59" spans="5:27" x14ac:dyDescent="0.4">
      <c r="E59" s="58" t="s">
        <v>132</v>
      </c>
      <c r="F59" s="32">
        <f>1+F56/F51^0.5*LN(2*M48/F56)</f>
        <v>1.469206368378448</v>
      </c>
      <c r="G59" s="35"/>
      <c r="H59" s="30"/>
      <c r="I59" s="30"/>
      <c r="J59" s="66" t="s">
        <v>170</v>
      </c>
      <c r="K59" s="30"/>
      <c r="L59" s="29"/>
      <c r="M59" s="29"/>
      <c r="N59" s="29"/>
      <c r="O59" s="29"/>
      <c r="P59" s="61"/>
      <c r="Q59" s="30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 spans="5:27" x14ac:dyDescent="0.4">
      <c r="E60" s="35" t="s">
        <v>133</v>
      </c>
      <c r="F60" s="50">
        <f>F38*F59*1000</f>
        <v>125.06392481443702</v>
      </c>
      <c r="G60" s="35" t="s">
        <v>91</v>
      </c>
      <c r="H60" s="30"/>
      <c r="I60" s="30"/>
      <c r="J60" s="75" t="s">
        <v>171</v>
      </c>
      <c r="K60" s="30"/>
      <c r="L60" s="29"/>
      <c r="M60" s="29"/>
      <c r="N60" s="29"/>
      <c r="O60" s="29"/>
      <c r="P60" s="61"/>
      <c r="Q60" s="30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 spans="5:27" x14ac:dyDescent="0.4">
      <c r="E61" s="35"/>
      <c r="F61" s="32"/>
      <c r="G61" s="35"/>
      <c r="H61" s="30"/>
      <c r="I61" s="30"/>
      <c r="J61" s="73"/>
      <c r="K61" s="30"/>
      <c r="L61" s="29"/>
      <c r="M61" s="29"/>
      <c r="N61" s="29"/>
      <c r="O61" s="29"/>
      <c r="P61" s="61"/>
      <c r="Q61" s="30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spans="5:27" x14ac:dyDescent="0.4">
      <c r="E62" s="35" t="s">
        <v>134</v>
      </c>
      <c r="F62" s="32">
        <v>40</v>
      </c>
      <c r="G62" s="35" t="s">
        <v>8</v>
      </c>
      <c r="H62" s="30"/>
      <c r="I62" s="30"/>
      <c r="K62" s="30"/>
      <c r="L62" s="38"/>
      <c r="M62" s="38"/>
      <c r="N62" s="38"/>
      <c r="O62" s="38"/>
      <c r="P62" s="61"/>
      <c r="Q62" s="30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 spans="5:27" x14ac:dyDescent="0.4">
      <c r="E63" s="35" t="s">
        <v>135</v>
      </c>
      <c r="F63" s="32">
        <v>4</v>
      </c>
      <c r="G63" s="35" t="s">
        <v>8</v>
      </c>
      <c r="H63" s="30"/>
      <c r="I63" s="30"/>
      <c r="J63" s="30"/>
      <c r="K63" s="30"/>
      <c r="L63" s="38"/>
      <c r="M63" s="38"/>
      <c r="N63" s="38"/>
      <c r="O63" s="38"/>
      <c r="P63" s="61"/>
      <c r="Q63" s="30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 spans="5:27" x14ac:dyDescent="0.4">
      <c r="E64" s="35" t="s">
        <v>63</v>
      </c>
      <c r="F64" s="32">
        <f>F62*F63</f>
        <v>160</v>
      </c>
      <c r="G64" s="35" t="s">
        <v>64</v>
      </c>
      <c r="H64" s="30"/>
      <c r="I64" s="30"/>
      <c r="K64" s="30"/>
      <c r="L64" s="38"/>
      <c r="M64" s="38"/>
      <c r="N64" s="38"/>
      <c r="O64" s="38"/>
      <c r="P64" s="61"/>
      <c r="Q64" s="30"/>
      <c r="R64" s="38"/>
      <c r="S64" s="38"/>
      <c r="T64" s="38"/>
      <c r="U64" s="38"/>
      <c r="V64" s="38"/>
      <c r="W64" s="38"/>
      <c r="X64" s="29"/>
      <c r="Y64" s="29"/>
      <c r="Z64" s="29"/>
      <c r="AA64" s="29"/>
    </row>
    <row r="65" spans="5:27" x14ac:dyDescent="0.4">
      <c r="E65" s="35" t="s">
        <v>136</v>
      </c>
      <c r="F65" s="32">
        <v>40</v>
      </c>
      <c r="G65" s="35"/>
      <c r="H65" s="30"/>
      <c r="I65" s="30"/>
      <c r="K65" s="30"/>
      <c r="L65" s="38"/>
      <c r="M65" s="38"/>
      <c r="N65" s="38"/>
      <c r="O65" s="38"/>
      <c r="P65" s="61"/>
      <c r="Q65" s="30"/>
      <c r="R65" s="38"/>
      <c r="S65" s="38"/>
      <c r="T65" s="38"/>
      <c r="U65" s="38"/>
      <c r="V65" s="38"/>
      <c r="W65" s="38"/>
      <c r="X65" s="29"/>
      <c r="Y65" s="29"/>
      <c r="Z65" s="29"/>
      <c r="AA65" s="29"/>
    </row>
    <row r="66" spans="5:27" x14ac:dyDescent="0.4">
      <c r="E66" s="35" t="s">
        <v>137</v>
      </c>
      <c r="F66" s="32">
        <v>0.1</v>
      </c>
      <c r="G66" s="35" t="s">
        <v>8</v>
      </c>
      <c r="H66" s="30"/>
      <c r="I66" s="30"/>
      <c r="J66" s="30"/>
      <c r="K66" s="30"/>
      <c r="L66" s="38"/>
      <c r="M66" s="38"/>
      <c r="N66" s="38"/>
      <c r="O66" s="38"/>
      <c r="P66" s="61"/>
      <c r="Q66" s="30"/>
      <c r="R66" s="38"/>
      <c r="S66" s="38"/>
      <c r="T66" s="38"/>
      <c r="U66" s="38"/>
      <c r="V66" s="38"/>
      <c r="W66" s="38"/>
      <c r="X66" s="29"/>
      <c r="Y66" s="29"/>
      <c r="Z66" s="29"/>
      <c r="AA66" s="29"/>
    </row>
    <row r="67" spans="5:27" x14ac:dyDescent="0.4">
      <c r="E67" s="35" t="s">
        <v>138</v>
      </c>
      <c r="F67" s="32">
        <f>F53*(F63*F65+F66)</f>
        <v>3842.3999999999996</v>
      </c>
      <c r="G67" s="35" t="s">
        <v>8</v>
      </c>
      <c r="H67" s="30"/>
      <c r="I67" s="30"/>
      <c r="J67" s="30"/>
      <c r="K67" s="30"/>
      <c r="L67" s="29"/>
      <c r="M67" s="29"/>
      <c r="N67" s="29"/>
      <c r="O67" s="29"/>
      <c r="P67" s="61"/>
      <c r="Q67" s="30"/>
      <c r="R67" s="38"/>
      <c r="S67" s="38"/>
      <c r="T67" s="38"/>
      <c r="U67" s="38"/>
      <c r="V67" s="38"/>
      <c r="W67" s="38"/>
      <c r="X67" s="29"/>
      <c r="Y67" s="29"/>
      <c r="Z67" s="29"/>
      <c r="AA67" s="29"/>
    </row>
    <row r="68" spans="5:27" x14ac:dyDescent="0.4">
      <c r="E68" s="35" t="s">
        <v>139</v>
      </c>
      <c r="F68" s="32">
        <f>F62*F63*F65*F53/100</f>
        <v>1536</v>
      </c>
      <c r="G68" s="35" t="s">
        <v>53</v>
      </c>
      <c r="H68" s="30"/>
      <c r="I68" s="30"/>
      <c r="J68" s="30"/>
      <c r="K68" s="30"/>
      <c r="L68" s="29"/>
      <c r="M68" s="29"/>
      <c r="N68" s="29"/>
      <c r="O68" s="29"/>
      <c r="P68" s="61"/>
      <c r="Q68" s="30"/>
      <c r="R68" s="38"/>
      <c r="S68" s="38"/>
      <c r="T68" s="38"/>
      <c r="U68" s="38"/>
      <c r="V68" s="38"/>
      <c r="W68" s="38"/>
      <c r="X68" s="29"/>
      <c r="Y68" s="29"/>
      <c r="Z68" s="29"/>
      <c r="AA68" s="29"/>
    </row>
    <row r="69" spans="5:27" x14ac:dyDescent="0.4">
      <c r="E69" s="35" t="s">
        <v>140</v>
      </c>
      <c r="F69" s="32">
        <f>F68/M45*100</f>
        <v>960</v>
      </c>
      <c r="G69" s="35"/>
      <c r="H69" s="30"/>
      <c r="I69" s="30"/>
      <c r="J69" s="30"/>
      <c r="K69" s="30"/>
      <c r="L69" s="29"/>
      <c r="M69" s="29"/>
      <c r="N69" s="29"/>
      <c r="O69" s="29"/>
      <c r="P69" s="61"/>
      <c r="Q69" s="30"/>
      <c r="R69" s="38"/>
      <c r="S69" s="38"/>
      <c r="T69" s="38"/>
      <c r="U69" s="38"/>
      <c r="V69" s="38"/>
      <c r="W69" s="38"/>
      <c r="X69" s="29"/>
      <c r="Y69" s="29"/>
      <c r="Z69" s="29"/>
      <c r="AA69" s="29"/>
    </row>
    <row r="70" spans="5:27" x14ac:dyDescent="0.25">
      <c r="P70" s="61"/>
      <c r="Q70" s="61"/>
    </row>
  </sheetData>
  <mergeCells count="5">
    <mergeCell ref="E23:F23"/>
    <mergeCell ref="Y27:AA27"/>
    <mergeCell ref="J39:J41"/>
    <mergeCell ref="J55:J56"/>
    <mergeCell ref="J60:J61"/>
  </mergeCells>
  <phoneticPr fontId="10" type="noConversion"/>
  <pageMargins left="0.7" right="0.7" top="0.75" bottom="0.75" header="0.3" footer="0.3"/>
  <pageSetup paperSize="9"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StaticMetafile" shapeId="3210241" r:id="rId4">
          <objectPr defaultSize="0" autoPict="0" r:id="rId5">
            <anchor moveWithCells="1">
              <from>
                <xdr:col>16</xdr:col>
                <xdr:colOff>22860</xdr:colOff>
                <xdr:row>25</xdr:row>
                <xdr:rowOff>22860</xdr:rowOff>
              </from>
              <to>
                <xdr:col>18</xdr:col>
                <xdr:colOff>769620</xdr:colOff>
                <xdr:row>33</xdr:row>
                <xdr:rowOff>83820</xdr:rowOff>
              </to>
            </anchor>
          </objectPr>
        </oleObject>
      </mc:Choice>
      <mc:Fallback>
        <oleObject progId="StaticMetafile" shapeId="321024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DC 인덕터_한두철강_380V_확정</vt:lpstr>
      <vt:lpstr>DC 인덕터_한두철강_380V_확정_설명</vt:lpstr>
    </vt:vector>
  </TitlesOfParts>
  <Company>PSTEK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Windows User</cp:lastModifiedBy>
  <cp:lastPrinted>2006-06-20T05:42:32Z</cp:lastPrinted>
  <dcterms:created xsi:type="dcterms:W3CDTF">2002-10-01T05:20:05Z</dcterms:created>
  <dcterms:modified xsi:type="dcterms:W3CDTF">2021-12-29T00:01:58Z</dcterms:modified>
</cp:coreProperties>
</file>