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19104" windowHeight="7932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E14" i="37" l="1"/>
  <c r="E18" i="37" s="1"/>
  <c r="E24" i="37" s="1"/>
  <c r="E27" i="37" s="1"/>
  <c r="E69" i="37"/>
  <c r="E34" i="37"/>
  <c r="E20" i="37"/>
  <c r="E10" i="37"/>
  <c r="E39" i="37" s="1"/>
  <c r="E41" i="37" s="1"/>
  <c r="E6" i="37"/>
  <c r="E8" i="37" s="1"/>
  <c r="E30" i="37" l="1"/>
  <c r="E11" i="37"/>
  <c r="E23" i="37"/>
  <c r="J69" i="37"/>
  <c r="I69" i="37"/>
  <c r="H69" i="37"/>
  <c r="J34" i="37"/>
  <c r="I34" i="37"/>
  <c r="H34" i="37"/>
  <c r="J20" i="37"/>
  <c r="I20" i="37"/>
  <c r="H20" i="37"/>
  <c r="J14" i="37"/>
  <c r="J18" i="37" s="1"/>
  <c r="I14" i="37"/>
  <c r="I18" i="37" s="1"/>
  <c r="H14" i="37"/>
  <c r="H18" i="37" s="1"/>
  <c r="J10" i="37"/>
  <c r="J11" i="37" s="1"/>
  <c r="I10" i="37"/>
  <c r="I39" i="37" s="1"/>
  <c r="I41" i="37" s="1"/>
  <c r="H10" i="37"/>
  <c r="H39" i="37" s="1"/>
  <c r="H41" i="37" s="1"/>
  <c r="J6" i="37"/>
  <c r="J8" i="37" s="1"/>
  <c r="I6" i="37"/>
  <c r="I8" i="37" s="1"/>
  <c r="H6" i="37"/>
  <c r="H8" i="37" s="1"/>
  <c r="C14" i="37"/>
  <c r="D14" i="37"/>
  <c r="D18" i="37" s="1"/>
  <c r="D24" i="37" s="1"/>
  <c r="D27" i="37" s="1"/>
  <c r="D69" i="37"/>
  <c r="D34" i="37"/>
  <c r="D20" i="37"/>
  <c r="D10" i="37"/>
  <c r="D39" i="37" s="1"/>
  <c r="D41" i="37" s="1"/>
  <c r="D6" i="37"/>
  <c r="D8" i="37" s="1"/>
  <c r="J23" i="37" l="1"/>
  <c r="J25" i="37" s="1"/>
  <c r="E56" i="37"/>
  <c r="E25" i="37"/>
  <c r="E26" i="37"/>
  <c r="E45" i="37"/>
  <c r="E32" i="37"/>
  <c r="E31" i="37"/>
  <c r="H11" i="37"/>
  <c r="J39" i="37"/>
  <c r="J41" i="37" s="1"/>
  <c r="H23" i="37"/>
  <c r="H26" i="37" s="1"/>
  <c r="H24" i="37"/>
  <c r="H27" i="37" s="1"/>
  <c r="H30" i="37" s="1"/>
  <c r="I24" i="37"/>
  <c r="I23" i="37"/>
  <c r="J24" i="37"/>
  <c r="J27" i="37" s="1"/>
  <c r="I11" i="37"/>
  <c r="D30" i="37"/>
  <c r="D23" i="37"/>
  <c r="D11" i="37"/>
  <c r="J56" i="37" l="1"/>
  <c r="J61" i="37" s="1"/>
  <c r="J64" i="37" s="1"/>
  <c r="J26" i="37"/>
  <c r="J28" i="37" s="1"/>
  <c r="E28" i="37"/>
  <c r="E33" i="37" s="1"/>
  <c r="E43" i="37" s="1"/>
  <c r="E68" i="37" s="1"/>
  <c r="E36" i="37"/>
  <c r="E35" i="37"/>
  <c r="E46" i="37"/>
  <c r="E47" i="37" s="1"/>
  <c r="E48" i="37" s="1"/>
  <c r="E52" i="37"/>
  <c r="E62" i="37"/>
  <c r="E55" i="37"/>
  <c r="E61" i="37"/>
  <c r="E64" i="37" s="1"/>
  <c r="H25" i="37"/>
  <c r="H28" i="37" s="1"/>
  <c r="H33" i="37" s="1"/>
  <c r="H43" i="37" s="1"/>
  <c r="H68" i="37" s="1"/>
  <c r="H56" i="37"/>
  <c r="H55" i="37" s="1"/>
  <c r="I56" i="37"/>
  <c r="I25" i="37"/>
  <c r="I26" i="37"/>
  <c r="J30" i="37"/>
  <c r="H45" i="37"/>
  <c r="H32" i="37"/>
  <c r="H31" i="37"/>
  <c r="J62" i="37"/>
  <c r="J55" i="37"/>
  <c r="I27" i="37"/>
  <c r="D45" i="37"/>
  <c r="D32" i="37"/>
  <c r="D31" i="37"/>
  <c r="D56" i="37"/>
  <c r="D25" i="37"/>
  <c r="D26" i="37"/>
  <c r="E65" i="37" l="1"/>
  <c r="E57" i="37"/>
  <c r="H62" i="37"/>
  <c r="H61" i="37"/>
  <c r="H64" i="37" s="1"/>
  <c r="I28" i="37"/>
  <c r="I30" i="37"/>
  <c r="J31" i="37"/>
  <c r="J45" i="37"/>
  <c r="J32" i="37"/>
  <c r="J33" i="37"/>
  <c r="J43" i="37" s="1"/>
  <c r="J68" i="37" s="1"/>
  <c r="H36" i="37"/>
  <c r="H35" i="37"/>
  <c r="H52" i="37"/>
  <c r="H46" i="37"/>
  <c r="H47" i="37" s="1"/>
  <c r="H48" i="37" s="1"/>
  <c r="I62" i="37"/>
  <c r="I55" i="37"/>
  <c r="I61" i="37"/>
  <c r="I64" i="37" s="1"/>
  <c r="D28" i="37"/>
  <c r="D33" i="37" s="1"/>
  <c r="D43" i="37" s="1"/>
  <c r="D68" i="37" s="1"/>
  <c r="D62" i="37"/>
  <c r="D55" i="37"/>
  <c r="D61" i="37"/>
  <c r="D64" i="37" s="1"/>
  <c r="D46" i="37"/>
  <c r="D47" i="37" s="1"/>
  <c r="D48" i="37" s="1"/>
  <c r="D52" i="37"/>
  <c r="D36" i="37"/>
  <c r="D35" i="37"/>
  <c r="E70" i="37" l="1"/>
  <c r="E73" i="37" s="1"/>
  <c r="E72" i="37"/>
  <c r="E75" i="37" s="1"/>
  <c r="E77" i="37" s="1"/>
  <c r="E71" i="37"/>
  <c r="E74" i="37" s="1"/>
  <c r="J52" i="37"/>
  <c r="J46" i="37"/>
  <c r="J47" i="37" s="1"/>
  <c r="J48" i="37" s="1"/>
  <c r="H65" i="37"/>
  <c r="H57" i="37"/>
  <c r="J35" i="37"/>
  <c r="J36" i="37"/>
  <c r="I33" i="37"/>
  <c r="I43" i="37" s="1"/>
  <c r="I68" i="37" s="1"/>
  <c r="I31" i="37"/>
  <c r="I45" i="37"/>
  <c r="I32" i="37"/>
  <c r="D65" i="37"/>
  <c r="D57" i="37"/>
  <c r="E94" i="37" l="1"/>
  <c r="E79" i="37"/>
  <c r="E82" i="37"/>
  <c r="E88" i="37" s="1"/>
  <c r="E90" i="37"/>
  <c r="E84" i="37"/>
  <c r="E91" i="37"/>
  <c r="E85" i="37"/>
  <c r="E83" i="37"/>
  <c r="E89" i="37" s="1"/>
  <c r="I35" i="37"/>
  <c r="I36" i="37"/>
  <c r="I46" i="37"/>
  <c r="I47" i="37" s="1"/>
  <c r="I48" i="37" s="1"/>
  <c r="I52" i="37"/>
  <c r="J65" i="37"/>
  <c r="J57" i="37"/>
  <c r="H72" i="37"/>
  <c r="H75" i="37" s="1"/>
  <c r="H77" i="37" s="1"/>
  <c r="H70" i="37"/>
  <c r="H73" i="37" s="1"/>
  <c r="H71" i="37"/>
  <c r="H74" i="37" s="1"/>
  <c r="D70" i="37"/>
  <c r="D73" i="37" s="1"/>
  <c r="D72" i="37"/>
  <c r="D75" i="37" s="1"/>
  <c r="D77" i="37" s="1"/>
  <c r="D71" i="37"/>
  <c r="D74" i="37" s="1"/>
  <c r="H90" i="37" l="1"/>
  <c r="H84" i="37"/>
  <c r="H82" i="37"/>
  <c r="H88" i="37" s="1"/>
  <c r="H79" i="37"/>
  <c r="H94" i="37"/>
  <c r="I65" i="37"/>
  <c r="I57" i="37"/>
  <c r="H91" i="37"/>
  <c r="H85" i="37"/>
  <c r="H83" i="37"/>
  <c r="H89" i="37" s="1"/>
  <c r="J70" i="37"/>
  <c r="J73" i="37" s="1"/>
  <c r="J71" i="37"/>
  <c r="J74" i="37" s="1"/>
  <c r="J72" i="37"/>
  <c r="J75" i="37" s="1"/>
  <c r="J77" i="37" s="1"/>
  <c r="D91" i="37"/>
  <c r="D85" i="37"/>
  <c r="D83" i="37"/>
  <c r="D89" i="37" s="1"/>
  <c r="D94" i="37"/>
  <c r="D79" i="37"/>
  <c r="D82" i="37"/>
  <c r="D88" i="37" s="1"/>
  <c r="D90" i="37"/>
  <c r="D84" i="37"/>
  <c r="J82" i="37" l="1"/>
  <c r="J88" i="37" s="1"/>
  <c r="J90" i="37"/>
  <c r="J84" i="37"/>
  <c r="J83" i="37"/>
  <c r="J89" i="37" s="1"/>
  <c r="J91" i="37"/>
  <c r="J85" i="37"/>
  <c r="I70" i="37"/>
  <c r="I73" i="37" s="1"/>
  <c r="I71" i="37"/>
  <c r="I74" i="37" s="1"/>
  <c r="I72" i="37"/>
  <c r="I75" i="37" s="1"/>
  <c r="I77" i="37" s="1"/>
  <c r="J94" i="37"/>
  <c r="J79" i="37"/>
  <c r="I91" i="37" l="1"/>
  <c r="I85" i="37"/>
  <c r="I83" i="37"/>
  <c r="I89" i="37" s="1"/>
  <c r="I82" i="37"/>
  <c r="I88" i="37" s="1"/>
  <c r="I90" i="37"/>
  <c r="I84" i="37"/>
  <c r="I79" i="37"/>
  <c r="I94" i="37"/>
  <c r="F14" i="37" l="1"/>
  <c r="F18" i="37" s="1"/>
  <c r="F22" i="37" s="1"/>
  <c r="F69" i="37"/>
  <c r="F34" i="37"/>
  <c r="F20" i="37"/>
  <c r="F10" i="37"/>
  <c r="F39" i="37" s="1"/>
  <c r="F41" i="37" s="1"/>
  <c r="F6" i="37"/>
  <c r="F8" i="37" s="1"/>
  <c r="C69" i="37"/>
  <c r="C34" i="37"/>
  <c r="C20" i="37"/>
  <c r="C18" i="37"/>
  <c r="C24" i="37" s="1"/>
  <c r="C27" i="37" s="1"/>
  <c r="C10" i="37"/>
  <c r="C39" i="37" s="1"/>
  <c r="C41" i="37" s="1"/>
  <c r="C6" i="37"/>
  <c r="C8" i="37" s="1"/>
  <c r="F24" i="37" l="1"/>
  <c r="F11" i="37"/>
  <c r="C30" i="37"/>
  <c r="C23" i="37"/>
  <c r="C11" i="37"/>
  <c r="F27" i="37" l="1"/>
  <c r="F30" i="37" s="1"/>
  <c r="F31" i="37" s="1"/>
  <c r="F23" i="37"/>
  <c r="F56" i="37" s="1"/>
  <c r="C45" i="37"/>
  <c r="C32" i="37"/>
  <c r="C31" i="37"/>
  <c r="C26" i="37"/>
  <c r="C56" i="37"/>
  <c r="C25" i="37"/>
  <c r="F45" i="37" l="1"/>
  <c r="F52" i="37" s="1"/>
  <c r="F26" i="37"/>
  <c r="F32" i="37"/>
  <c r="F36" i="37" s="1"/>
  <c r="F25" i="37"/>
  <c r="F62" i="37"/>
  <c r="F55" i="37"/>
  <c r="F61" i="37"/>
  <c r="F64" i="37" s="1"/>
  <c r="C62" i="37"/>
  <c r="C55" i="37"/>
  <c r="C61" i="37"/>
  <c r="C64" i="37" s="1"/>
  <c r="C46" i="37"/>
  <c r="C47" i="37" s="1"/>
  <c r="C48" i="37" s="1"/>
  <c r="C52" i="37"/>
  <c r="C28" i="37"/>
  <c r="C33" i="37" s="1"/>
  <c r="C43" i="37" s="1"/>
  <c r="C68" i="37" s="1"/>
  <c r="C35" i="37"/>
  <c r="C36" i="37"/>
  <c r="F46" i="37" l="1"/>
  <c r="F47" i="37" s="1"/>
  <c r="F48" i="37" s="1"/>
  <c r="F35" i="37"/>
  <c r="F28" i="37"/>
  <c r="F33" i="37" s="1"/>
  <c r="F43" i="37" s="1"/>
  <c r="F68" i="37" s="1"/>
  <c r="F65" i="37"/>
  <c r="F57" i="37"/>
  <c r="C65" i="37"/>
  <c r="C57" i="37"/>
  <c r="F70" i="37" l="1"/>
  <c r="F73" i="37" s="1"/>
  <c r="F72" i="37"/>
  <c r="F75" i="37" s="1"/>
  <c r="F77" i="37" s="1"/>
  <c r="F71" i="37"/>
  <c r="F74" i="37" s="1"/>
  <c r="C71" i="37"/>
  <c r="C74" i="37" s="1"/>
  <c r="C70" i="37"/>
  <c r="C73" i="37" s="1"/>
  <c r="C72" i="37"/>
  <c r="C75" i="37" s="1"/>
  <c r="C77" i="37" s="1"/>
  <c r="F94" i="37" l="1"/>
  <c r="F79" i="37"/>
  <c r="F82" i="37"/>
  <c r="F88" i="37" s="1"/>
  <c r="F90" i="37"/>
  <c r="F84" i="37"/>
  <c r="F91" i="37"/>
  <c r="F85" i="37"/>
  <c r="F83" i="37"/>
  <c r="F89" i="37" s="1"/>
  <c r="C82" i="37"/>
  <c r="C88" i="37" s="1"/>
  <c r="C90" i="37"/>
  <c r="C84" i="37"/>
  <c r="C91" i="37"/>
  <c r="C85" i="37"/>
  <c r="C83" i="37"/>
  <c r="C89" i="37" s="1"/>
  <c r="C79" i="37"/>
  <c r="C94" i="37"/>
  <c r="F25" i="46" l="1"/>
  <c r="F26" i="46" s="1"/>
  <c r="G11" i="46"/>
  <c r="G12" i="46"/>
  <c r="F11" i="46"/>
  <c r="F12" i="46"/>
  <c r="F9" i="46"/>
  <c r="AC43" i="37"/>
  <c r="AC38" i="37"/>
  <c r="AC37" i="37"/>
  <c r="J41" i="45"/>
  <c r="D41" i="45"/>
  <c r="E41" i="45"/>
  <c r="C41" i="45"/>
  <c r="F41" i="45"/>
  <c r="AC32" i="37"/>
  <c r="AC28" i="37"/>
  <c r="AC24" i="37"/>
  <c r="Y74" i="37"/>
  <c r="Y76" i="37" s="1"/>
  <c r="Y68" i="37"/>
  <c r="Y69" i="37" s="1"/>
  <c r="Y48" i="37"/>
  <c r="Y52" i="37" s="1"/>
  <c r="Y55" i="37" s="1"/>
  <c r="Y58" i="37" s="1"/>
  <c r="Y29" i="37"/>
  <c r="Y30" i="37" s="1"/>
  <c r="Y8" i="37"/>
  <c r="Y12" i="37" s="1"/>
  <c r="Y17" i="37" s="1"/>
  <c r="Y19" i="37" s="1"/>
  <c r="G41" i="45"/>
  <c r="O41" i="45"/>
  <c r="AC17" i="37"/>
  <c r="AC18" i="37" s="1"/>
  <c r="AC19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5" i="37"/>
  <c r="U58" i="37" s="1"/>
  <c r="U60" i="37" s="1"/>
  <c r="Q61" i="37"/>
  <c r="Q55" i="37"/>
  <c r="U50" i="37"/>
  <c r="Q48" i="37"/>
  <c r="Q49" i="37" s="1"/>
  <c r="Q47" i="37"/>
  <c r="Q38" i="37"/>
  <c r="Q37" i="37"/>
  <c r="U36" i="37"/>
  <c r="U32" i="37"/>
  <c r="U28" i="37"/>
  <c r="U40" i="37" s="1"/>
  <c r="U41" i="37" s="1"/>
  <c r="U42" i="37" s="1"/>
  <c r="Q28" i="37"/>
  <c r="Q27" i="37"/>
  <c r="Q26" i="37"/>
  <c r="U21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Y49" i="37"/>
  <c r="Y9" i="37" l="1"/>
  <c r="Q39" i="37"/>
  <c r="Q40" i="37" s="1"/>
  <c r="U37" i="37"/>
  <c r="Q29" i="37"/>
  <c r="U43" i="37"/>
  <c r="U44" i="37" s="1"/>
  <c r="Y22" i="37"/>
  <c r="Y21" i="37"/>
  <c r="Y33" i="37"/>
  <c r="Y36" i="37" s="1"/>
  <c r="Y38" i="37" s="1"/>
  <c r="Y40" i="37" s="1"/>
  <c r="Y77" i="37"/>
  <c r="Y61" i="37"/>
  <c r="Y60" i="37"/>
  <c r="Y41" i="37" l="1"/>
</calcChain>
</file>

<file path=xl/sharedStrings.xml><?xml version="1.0" encoding="utf-8"?>
<sst xmlns="http://schemas.openxmlformats.org/spreadsheetml/2006/main" count="1224" uniqueCount="663">
  <si>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</si>
  <si>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</si>
  <si>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</si>
  <si>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</si>
  <si>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</si>
  <si>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</si>
  <si>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</si>
  <si>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</si>
  <si>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</si>
  <si>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</si>
  <si>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</si>
  <si>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</si>
  <si>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</si>
  <si>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</si>
  <si>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</si>
  <si>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</si>
  <si>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</si>
  <si>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</si>
  <si>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</si>
  <si>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</si>
  <si>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</si>
  <si>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</si>
  <si>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</si>
  <si>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</si>
  <si>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</si>
  <si>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</si>
  <si>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</si>
  <si>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</si>
  <si>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</si>
  <si>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</si>
  <si>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</si>
  <si>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</si>
  <si>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</si>
  <si>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</si>
  <si>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</si>
  <si>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</si>
  <si>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</si>
  <si>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</si>
  <si>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</si>
  <si>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</si>
  <si>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</si>
  <si>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</si>
  <si>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</si>
  <si>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</si>
  <si>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</si>
  <si>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</si>
  <si>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</si>
  <si>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</si>
  <si>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</si>
  <si>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</si>
  <si>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</si>
  <si>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</si>
  <si>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</si>
  <si>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</si>
  <si>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</si>
  <si>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</si>
  <si>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</si>
  <si>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</si>
  <si>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</si>
  <si>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</si>
  <si>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</si>
  <si>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</si>
  <si>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</si>
  <si>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</si>
  <si>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</si>
  <si>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</si>
  <si>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</si>
  <si>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</si>
  <si>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</si>
  <si>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</si>
  <si>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</si>
  <si>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</si>
  <si>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</si>
  <si>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</si>
  <si>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</si>
  <si>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</si>
  <si>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</si>
  <si>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</si>
  <si>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</si>
  <si>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</si>
  <si>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</si>
  <si>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</si>
  <si>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</si>
  <si>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</si>
  <si>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</si>
  <si>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</si>
  <si>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</si>
  <si>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</si>
  <si>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</si>
  <si>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</si>
  <si>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</si>
  <si>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</si>
  <si>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</si>
  <si>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</si>
  <si>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</si>
  <si>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</si>
  <si>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</si>
  <si>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</si>
  <si>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</si>
  <si>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</si>
  <si>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</si>
  <si>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</si>
  <si>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</si>
  <si>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</si>
  <si>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</si>
  <si>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</si>
  <si>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</si>
  <si>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</si>
  <si>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</si>
  <si>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</si>
  <si>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</si>
  <si>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</si>
  <si>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</si>
  <si>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</si>
  <si>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</si>
  <si>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</si>
  <si>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</si>
  <si>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</si>
  <si>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</si>
  <si>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</si>
  <si>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</si>
  <si>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</si>
  <si>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</si>
  <si>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</si>
  <si>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</si>
  <si>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</si>
  <si>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</si>
  <si>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</si>
  <si>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</si>
  <si>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</si>
  <si>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</si>
  <si>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</si>
  <si>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</si>
  <si>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</si>
  <si>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</si>
  <si>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</si>
  <si>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</si>
  <si>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</si>
  <si>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</si>
  <si>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</si>
  <si>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</si>
  <si>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</si>
  <si>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</si>
  <si>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</si>
  <si>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</si>
  <si>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</si>
  <si>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</si>
  <si>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</si>
  <si>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</si>
  <si>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</si>
  <si>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</si>
  <si>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</si>
  <si>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</si>
  <si>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</si>
  <si>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</si>
  <si>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</si>
  <si>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</si>
  <si>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</si>
  <si>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</si>
  <si>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</si>
  <si>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</si>
  <si>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</si>
  <si>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</si>
  <si>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</si>
  <si>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</si>
  <si>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</si>
  <si>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</si>
  <si>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</si>
  <si>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</si>
  <si>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</si>
  <si>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</si>
  <si>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</si>
  <si>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</si>
  <si>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</si>
  <si>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</si>
  <si>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</si>
  <si>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</si>
  <si>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</si>
  <si>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</si>
  <si>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</si>
  <si>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</si>
  <si>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</si>
  <si>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</si>
  <si>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</si>
  <si>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</si>
  <si>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</si>
  <si>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</si>
  <si>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</si>
  <si>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</si>
  <si>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</si>
  <si>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</si>
  <si>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</si>
  <si>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</si>
  <si>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</si>
  <si>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</si>
  <si>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</si>
  <si>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</si>
  <si>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</si>
  <si>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</si>
  <si>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</si>
  <si>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</si>
  <si>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</si>
  <si>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</si>
  <si>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</si>
  <si>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</si>
  <si>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</si>
  <si>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</si>
  <si>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</si>
  <si>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</si>
  <si>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</si>
  <si>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</si>
  <si>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</si>
  <si>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</si>
  <si>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</si>
  <si>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</si>
  <si>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</si>
  <si>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</si>
  <si>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</si>
  <si>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</si>
  <si>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</si>
  <si>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</si>
  <si>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</si>
  <si>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</si>
  <si>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</si>
  <si>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</si>
  <si>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</si>
  <si>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</si>
  <si>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</si>
  <si>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</si>
  <si>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</si>
  <si>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</si>
  <si>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</si>
  <si>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</si>
  <si>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</si>
  <si>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</si>
  <si>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</si>
  <si>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</si>
  <si>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</si>
  <si>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</si>
  <si>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</si>
  <si>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</si>
  <si>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</si>
  <si>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</si>
  <si>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</si>
  <si>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</si>
  <si>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</si>
  <si>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</si>
  <si>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</si>
  <si>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</si>
  <si>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</si>
  <si>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</si>
  <si>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</si>
  <si>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</si>
  <si>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</si>
  <si>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</si>
  <si>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</si>
  <si>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</si>
  <si>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</si>
  <si>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</si>
  <si>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</si>
  <si>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</si>
  <si>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</si>
  <si>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</si>
  <si>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</si>
  <si>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</si>
  <si>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</si>
  <si>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</si>
  <si>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</si>
  <si>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</si>
  <si>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</si>
  <si>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</si>
  <si>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</si>
  <si>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</si>
  <si>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</si>
  <si>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</si>
  <si>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</si>
  <si>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</si>
  <si>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</si>
  <si>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</si>
  <si>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</si>
  <si>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</si>
  <si>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</si>
  <si>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</si>
  <si>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</si>
  <si>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</si>
  <si>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</si>
  <si>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</si>
  <si>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</si>
  <si>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</si>
  <si>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</si>
  <si>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</si>
  <si>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</si>
  <si>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</si>
  <si>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</si>
  <si>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</si>
  <si>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</si>
  <si>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</si>
  <si>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</si>
  <si>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</si>
  <si>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</si>
  <si>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</si>
  <si>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</si>
  <si>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</si>
  <si>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</si>
  <si>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</si>
  <si>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</si>
  <si>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</si>
  <si>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</si>
  <si>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</si>
  <si>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</si>
  <si>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</si>
  <si>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</si>
  <si>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</si>
  <si>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</si>
  <si>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</si>
  <si>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</si>
  <si>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</si>
  <si>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</si>
  <si>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</si>
  <si>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</si>
  <si>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</si>
  <si>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</si>
  <si>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</si>
  <si>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</si>
  <si>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</si>
  <si>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</si>
  <si>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</si>
  <si>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</si>
  <si>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</si>
  <si>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</si>
  <si>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</si>
  <si>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</si>
  <si>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</si>
  <si>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</si>
  <si>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</si>
  <si>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</si>
  <si>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</si>
  <si>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</si>
  <si>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</si>
  <si>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</si>
  <si>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</si>
  <si>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</si>
  <si>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</si>
  <si>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</si>
  <si>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</si>
  <si>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</si>
  <si>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</si>
  <si>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</si>
  <si>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</si>
  <si>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</si>
  <si>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</si>
  <si>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</si>
  <si>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</si>
  <si>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</si>
  <si>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</si>
  <si>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</si>
  <si>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</si>
  <si>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</si>
  <si>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</si>
  <si>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</si>
  <si>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</si>
  <si>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</si>
  <si>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</si>
  <si>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</si>
  <si>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</si>
  <si>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</si>
  <si>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</si>
  <si>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</si>
  <si>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</si>
  <si>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</si>
  <si>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</si>
  <si>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</si>
  <si>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</si>
  <si>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</si>
  <si>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</si>
  <si>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</si>
  <si>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</si>
  <si>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</si>
  <si>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</si>
  <si>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</si>
  <si>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</si>
  <si>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</si>
  <si>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</si>
  <si>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</si>
  <si>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</si>
  <si>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</si>
  <si>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</si>
  <si>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</si>
  <si>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</si>
  <si>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</si>
  <si>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</si>
  <si>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</si>
  <si>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</si>
  <si>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</si>
  <si>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</si>
  <si>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</si>
  <si>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</si>
  <si>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</si>
  <si>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</si>
  <si>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</si>
  <si>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</si>
  <si>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</si>
  <si>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</si>
  <si>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</si>
  <si>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</si>
  <si>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</si>
  <si>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</si>
  <si>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</si>
  <si>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</si>
  <si>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</si>
  <si>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</si>
  <si>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</si>
  <si>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</si>
  <si>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</si>
  <si>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</si>
  <si>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</si>
  <si>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</si>
  <si>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</si>
  <si>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</si>
  <si>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</si>
  <si>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</si>
  <si>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</si>
  <si>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</si>
  <si>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</si>
  <si>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</si>
  <si>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</si>
  <si>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</si>
  <si>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</si>
  <si>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</si>
  <si>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</si>
  <si>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</si>
  <si>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</si>
  <si>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</si>
  <si>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</si>
  <si>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</si>
  <si>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</si>
  <si>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</si>
  <si>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</si>
  <si>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</si>
  <si>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</si>
  <si>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</si>
  <si>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</si>
  <si>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</si>
  <si>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</si>
  <si>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</si>
  <si>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</si>
  <si>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</si>
  <si>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</si>
  <si>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</si>
  <si>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</si>
  <si>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</si>
  <si>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</si>
  <si>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</si>
  <si>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</si>
  <si>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</si>
  <si>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</si>
  <si>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</si>
  <si>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</si>
  <si>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</si>
  <si>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</si>
  <si>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</si>
  <si>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MCCB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</si>
  <si>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</si>
  <si>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</si>
  <si>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</si>
  <si>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</si>
  <si>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</si>
  <si>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</si>
  <si>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</si>
  <si>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</si>
  <si>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</si>
  <si>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</si>
  <si>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</si>
  <si>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</si>
  <si>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</si>
  <si>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</si>
  <si>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</si>
  <si>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</si>
  <si>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</si>
  <si>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</si>
  <si>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</si>
  <si>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</si>
  <si>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</si>
  <si>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</si>
  <si>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</si>
  <si>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</si>
  <si>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</si>
  <si>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</si>
  <si>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</si>
  <si>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</si>
  <si>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</si>
  <si>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</si>
  <si>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</si>
  <si>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</si>
  <si>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</si>
  <si>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</si>
  <si>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</si>
  <si>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</si>
  <si>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</si>
  <si>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</si>
  <si>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</si>
  <si>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</si>
  <si>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</si>
  <si>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</si>
  <si>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</si>
  <si>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</si>
  <si>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</si>
  <si>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</si>
  <si>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</si>
  <si>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</si>
  <si>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</si>
  <si>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</si>
  <si>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</si>
  <si>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</si>
  <si>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</si>
  <si>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</si>
  <si>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</si>
  <si>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</si>
  <si>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</si>
  <si>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</si>
  <si>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</si>
  <si>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</si>
  <si>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</si>
  <si>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</si>
  <si>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</si>
  <si>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</si>
  <si>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</si>
  <si>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</si>
  <si>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</si>
  <si>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100A</t>
    <phoneticPr fontId="8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</si>
  <si>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</si>
  <si>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</si>
  <si>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</si>
  <si>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</si>
  <si>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</si>
  <si>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</si>
  <si>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</si>
  <si>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</si>
  <si>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</si>
  <si>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</si>
  <si>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</si>
  <si>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</si>
  <si>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</si>
  <si>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</si>
  <si>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</si>
  <si>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</si>
  <si>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</si>
  <si>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</si>
  <si>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</si>
  <si>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</si>
  <si>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</si>
  <si>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</si>
  <si>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</si>
  <si>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</si>
  <si>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</si>
  <si>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</si>
  <si>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</si>
  <si>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</si>
  <si>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</si>
  <si>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</si>
  <si>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</si>
  <si>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</si>
  <si>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</si>
  <si>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</si>
  <si>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</si>
  <si>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</si>
  <si>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</si>
  <si>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</si>
  <si>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</si>
  <si>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</si>
  <si>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</si>
  <si>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</si>
  <si>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</si>
  <si>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</si>
  <si>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</si>
  <si>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</si>
  <si>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</si>
  <si>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</si>
  <si>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</si>
  <si>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</si>
  <si>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</si>
  <si>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</si>
  <si>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</si>
  <si>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</si>
  <si>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</si>
  <si>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</si>
  <si>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</si>
  <si>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</si>
  <si>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</si>
  <si>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</si>
  <si>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</si>
  <si>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</si>
  <si>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</si>
  <si>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</si>
  <si>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</si>
  <si>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</si>
  <si>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</si>
  <si>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</si>
  <si>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</si>
  <si>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</si>
  <si>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</si>
  <si>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</si>
  <si>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</si>
  <si>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</si>
  <si>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</si>
  <si>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</si>
  <si>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</si>
  <si>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</si>
  <si>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</si>
  <si>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</si>
  <si>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</si>
  <si>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</si>
  <si>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</si>
  <si>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</si>
  <si>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</si>
  <si>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</si>
  <si>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</si>
  <si>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</si>
  <si>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</si>
  <si>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</si>
  <si>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</si>
  <si>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</si>
  <si>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</si>
  <si>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</si>
  <si>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GATE DRIVER DUAL_V21_R7_800A (2EA)</t>
    <phoneticPr fontId="2" type="noConversion"/>
  </si>
  <si>
    <t>소선:15mm, 갭 9mm</t>
    <phoneticPr fontId="2" type="noConversion"/>
  </si>
  <si>
    <t>시뮬레이션</t>
    <phoneticPr fontId="2" type="noConversion"/>
  </si>
  <si>
    <t>M/T 1차 전류(인버터 출력 전류)_FF300R, 25kHz, 100A, 29%</t>
    <phoneticPr fontId="2" type="noConversion"/>
  </si>
  <si>
    <t xml:space="preserve">MC-50a </t>
    <phoneticPr fontId="8" type="noConversion"/>
  </si>
  <si>
    <t>SMM00040</t>
    <phoneticPr fontId="2" type="noConversion"/>
  </si>
  <si>
    <t>50A</t>
    <phoneticPr fontId="8" type="noConversion"/>
  </si>
  <si>
    <t>DF75LA-LB160 (1EA)</t>
    <phoneticPr fontId="8" type="noConversion"/>
  </si>
  <si>
    <t>개발팀 문의</t>
    <phoneticPr fontId="2" type="noConversion"/>
  </si>
  <si>
    <t>100:1</t>
    <phoneticPr fontId="8" type="noConversion"/>
  </si>
  <si>
    <t>X</t>
    <phoneticPr fontId="3" type="noConversion"/>
  </si>
  <si>
    <t>X</t>
    <phoneticPr fontId="2" type="noConversion"/>
  </si>
  <si>
    <t>코일 연결 구조 &amp; 출력케이블</t>
    <phoneticPr fontId="8" type="noConversion"/>
  </si>
  <si>
    <t>코일</t>
    <phoneticPr fontId="2" type="noConversion"/>
  </si>
  <si>
    <t>출력케이블</t>
    <phoneticPr fontId="2" type="noConversion"/>
  </si>
  <si>
    <t>선익시스템</t>
    <phoneticPr fontId="8" type="noConversion"/>
  </si>
  <si>
    <t>티타늄 가열장치</t>
    <phoneticPr fontId="8" type="noConversion"/>
  </si>
  <si>
    <t>10KW</t>
    <phoneticPr fontId="8" type="noConversion"/>
  </si>
  <si>
    <t>20kHz</t>
    <phoneticPr fontId="8" type="noConversion"/>
  </si>
  <si>
    <t>PSPWM</t>
    <phoneticPr fontId="8" type="noConversion"/>
  </si>
  <si>
    <t>PSA03Y21-0014 삼한진공 참고</t>
    <phoneticPr fontId="2" type="noConversion"/>
  </si>
  <si>
    <t>19A</t>
    <phoneticPr fontId="8" type="noConversion"/>
  </si>
  <si>
    <t>20A</t>
    <phoneticPr fontId="8" type="noConversion"/>
  </si>
  <si>
    <t>32A</t>
    <phoneticPr fontId="8" type="noConversion"/>
  </si>
  <si>
    <t>20~28</t>
    <phoneticPr fontId="8" type="noConversion"/>
  </si>
  <si>
    <t>선익 시스템</t>
    <phoneticPr fontId="3" type="noConversion"/>
  </si>
  <si>
    <t>LCD 설정: 50A</t>
    <phoneticPr fontId="2" type="noConversion"/>
  </si>
  <si>
    <t>PSPWM</t>
    <phoneticPr fontId="3" type="noConversion"/>
  </si>
  <si>
    <t>2021.12.02</t>
    <phoneticPr fontId="2" type="noConversion"/>
  </si>
  <si>
    <t>2021.12.31</t>
    <phoneticPr fontId="3" type="noConversion"/>
  </si>
  <si>
    <t>2021.12.20</t>
    <phoneticPr fontId="2" type="noConversion"/>
  </si>
  <si>
    <t>코어: UU120C 2조(중족단면적 24cm^2)
1차 권선: 30SQ 24TURN 이상
2차 권선: 동판(물라인) 1턴
1차전류 약 32A, 2차전류 약 770A</t>
    <phoneticPr fontId="3" type="noConversion"/>
  </si>
  <si>
    <t xml:space="preserve">770A </t>
    <phoneticPr fontId="8" type="noConversion"/>
  </si>
  <si>
    <t>CI3H0001</t>
    <phoneticPr fontId="2" type="noConversion"/>
  </si>
  <si>
    <t>[DHF-S500P1000A] 700V 10uF, DHF-S500P, W*T*H=100*100*47</t>
    <phoneticPr fontId="3" type="noConversion"/>
  </si>
  <si>
    <t>2병렬, 
 :총 20uF, 700V, 2000A,</t>
    <phoneticPr fontId="8" type="noConversion"/>
  </si>
  <si>
    <t>실사용 콘덴서
출력케이블 4P 5M</t>
    <phoneticPr fontId="2" type="noConversion"/>
  </si>
  <si>
    <t>ok</t>
    <phoneticPr fontId="2" type="noConversion"/>
  </si>
  <si>
    <t>19mm 수냉식 케이블  5m 4가닥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</si>
</sst>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88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191" fontId="11" fillId="9" borderId="28" xfId="2" applyNumberFormat="1" applyFont="1" applyFill="1" applyBorder="1">
      <alignment vertical="center"/>
    </xf>
    <xf numFmtId="22" fontId="16" fillId="8" borderId="31" xfId="0" quotePrefix="1" applyNumberFormat="1" applyFont="1" applyFill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1" fillId="8" borderId="0" xfId="0" applyFont="1" applyFill="1" applyBorder="1" applyAlignment="1">
      <alignment vertical="center"/>
    </xf>
    <xf numFmtId="182" fontId="12" fillId="1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0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1" fillId="0" borderId="28" xfId="2" applyFont="1" applyFill="1" applyBorder="1">
      <alignment vertical="center"/>
    </xf>
    <xf numFmtId="0" fontId="13" fillId="0" borderId="50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0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" fillId="0" borderId="50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50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50" xfId="2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21</xdr:row>
      <xdr:rowOff>58555</xdr:rowOff>
    </xdr:from>
    <xdr:to>
      <xdr:col>27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21</xdr:row>
      <xdr:rowOff>61441</xdr:rowOff>
    </xdr:from>
    <xdr:to>
      <xdr:col>27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25</xdr:row>
      <xdr:rowOff>58555</xdr:rowOff>
    </xdr:from>
    <xdr:to>
      <xdr:col>27</xdr:col>
      <xdr:colOff>1657845</xdr:colOff>
      <xdr:row>25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25</xdr:row>
      <xdr:rowOff>61441</xdr:rowOff>
    </xdr:from>
    <xdr:to>
      <xdr:col>27</xdr:col>
      <xdr:colOff>1787119</xdr:colOff>
      <xdr:row>25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25</xdr:row>
      <xdr:rowOff>54807</xdr:rowOff>
    </xdr:from>
    <xdr:to>
      <xdr:col>27</xdr:col>
      <xdr:colOff>1919896</xdr:colOff>
      <xdr:row>25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25</xdr:row>
      <xdr:rowOff>57693</xdr:rowOff>
    </xdr:from>
    <xdr:to>
      <xdr:col>27</xdr:col>
      <xdr:colOff>2046918</xdr:colOff>
      <xdr:row>25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29</xdr:row>
      <xdr:rowOff>23231</xdr:rowOff>
    </xdr:from>
    <xdr:to>
      <xdr:col>27</xdr:col>
      <xdr:colOff>1633924</xdr:colOff>
      <xdr:row>29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29</xdr:row>
      <xdr:rowOff>23231</xdr:rowOff>
    </xdr:from>
    <xdr:to>
      <xdr:col>27</xdr:col>
      <xdr:colOff>1744825</xdr:colOff>
      <xdr:row>29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29</xdr:row>
      <xdr:rowOff>127780</xdr:rowOff>
    </xdr:from>
    <xdr:to>
      <xdr:col>27</xdr:col>
      <xdr:colOff>1748853</xdr:colOff>
      <xdr:row>29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29</xdr:row>
      <xdr:rowOff>128635</xdr:rowOff>
    </xdr:from>
    <xdr:to>
      <xdr:col>27</xdr:col>
      <xdr:colOff>1633687</xdr:colOff>
      <xdr:row>29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21</xdr:row>
      <xdr:rowOff>58555</xdr:rowOff>
    </xdr:from>
    <xdr:to>
      <xdr:col>27</xdr:col>
      <xdr:colOff>1657845</xdr:colOff>
      <xdr:row>21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21</xdr:row>
      <xdr:rowOff>55621</xdr:rowOff>
    </xdr:from>
    <xdr:to>
      <xdr:col>27</xdr:col>
      <xdr:colOff>1788955</xdr:colOff>
      <xdr:row>21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25</xdr:row>
      <xdr:rowOff>56203</xdr:rowOff>
    </xdr:from>
    <xdr:to>
      <xdr:col>27</xdr:col>
      <xdr:colOff>1657845</xdr:colOff>
      <xdr:row>25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25</xdr:row>
      <xdr:rowOff>54429</xdr:rowOff>
    </xdr:from>
    <xdr:to>
      <xdr:col>27</xdr:col>
      <xdr:colOff>1789132</xdr:colOff>
      <xdr:row>25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25</xdr:row>
      <xdr:rowOff>53245</xdr:rowOff>
    </xdr:from>
    <xdr:to>
      <xdr:col>27</xdr:col>
      <xdr:colOff>1919896</xdr:colOff>
      <xdr:row>25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25</xdr:row>
      <xdr:rowOff>54428</xdr:rowOff>
    </xdr:from>
    <xdr:to>
      <xdr:col>27</xdr:col>
      <xdr:colOff>2054405</xdr:colOff>
      <xdr:row>25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29</xdr:row>
      <xdr:rowOff>23664</xdr:rowOff>
    </xdr:from>
    <xdr:to>
      <xdr:col>27</xdr:col>
      <xdr:colOff>1638944</xdr:colOff>
      <xdr:row>29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29</xdr:row>
      <xdr:rowOff>23230</xdr:rowOff>
    </xdr:from>
    <xdr:to>
      <xdr:col>27</xdr:col>
      <xdr:colOff>1747883</xdr:colOff>
      <xdr:row>29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29</xdr:row>
      <xdr:rowOff>127780</xdr:rowOff>
    </xdr:from>
    <xdr:to>
      <xdr:col>27</xdr:col>
      <xdr:colOff>1754186</xdr:colOff>
      <xdr:row>29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29</xdr:row>
      <xdr:rowOff>131859</xdr:rowOff>
    </xdr:from>
    <xdr:to>
      <xdr:col>27</xdr:col>
      <xdr:colOff>1633687</xdr:colOff>
      <xdr:row>29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94"/>
  <sheetViews>
    <sheetView tabSelected="1" zoomScale="80" zoomScaleNormal="80" workbookViewId="0">
      <selection activeCell="M10" sqref="M10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5" width="9.796875" style="1" customWidth="1"/>
    <col min="6" max="6" width="9.796875" style="1" hidden="1" customWidth="1"/>
    <col min="7" max="11" width="9.796875" style="1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18.8984375" style="1" bestFit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0" ht="19.2" customHeight="1" x14ac:dyDescent="0.25">
      <c r="B1" s="130" t="s">
        <v>311</v>
      </c>
      <c r="C1" s="239" t="s">
        <v>626</v>
      </c>
      <c r="D1" s="239"/>
      <c r="E1" s="239"/>
      <c r="F1" s="239"/>
      <c r="G1" s="232"/>
      <c r="H1" s="241" t="s">
        <v>660</v>
      </c>
      <c r="I1" s="241"/>
      <c r="J1" s="241"/>
      <c r="K1" s="226"/>
    </row>
    <row r="2" spans="2:30" ht="17.399999999999999" x14ac:dyDescent="0.25">
      <c r="B2" s="112" t="s">
        <v>240</v>
      </c>
      <c r="C2" s="240"/>
      <c r="D2" s="240"/>
      <c r="E2" s="240"/>
      <c r="F2" s="238"/>
      <c r="G2" s="231"/>
      <c r="H2" s="242"/>
      <c r="I2" s="242"/>
      <c r="J2" s="242"/>
      <c r="K2" s="227"/>
      <c r="L2" s="113"/>
      <c r="M2" s="113" t="s">
        <v>294</v>
      </c>
      <c r="N2" s="113" t="s">
        <v>245</v>
      </c>
    </row>
    <row r="3" spans="2:30" ht="17.399999999999999" x14ac:dyDescent="0.25">
      <c r="B3" s="114" t="s">
        <v>18</v>
      </c>
      <c r="C3" s="115">
        <v>10</v>
      </c>
      <c r="D3" s="115">
        <v>10</v>
      </c>
      <c r="E3" s="115">
        <v>10</v>
      </c>
      <c r="F3" s="115">
        <v>10</v>
      </c>
      <c r="G3" s="115"/>
      <c r="H3" s="115">
        <v>10</v>
      </c>
      <c r="I3" s="115">
        <v>10</v>
      </c>
      <c r="J3" s="115">
        <v>10</v>
      </c>
      <c r="K3" s="115"/>
      <c r="L3" s="114" t="s">
        <v>1</v>
      </c>
      <c r="M3" s="116">
        <v>1</v>
      </c>
      <c r="N3" s="117" t="s">
        <v>243</v>
      </c>
      <c r="P3" s="236" t="s">
        <v>280</v>
      </c>
      <c r="Q3" s="236"/>
      <c r="R3" s="236"/>
      <c r="S3" s="77"/>
      <c r="T3" s="235" t="s">
        <v>241</v>
      </c>
      <c r="U3" s="235"/>
      <c r="V3" s="235"/>
      <c r="W3" s="77" t="s">
        <v>528</v>
      </c>
      <c r="X3" s="235" t="s">
        <v>513</v>
      </c>
      <c r="Y3" s="235"/>
      <c r="Z3" s="235"/>
      <c r="AA3" s="77"/>
      <c r="AB3" s="236" t="s">
        <v>261</v>
      </c>
      <c r="AC3" s="236"/>
      <c r="AD3" s="236"/>
    </row>
    <row r="4" spans="2:30" ht="17.399999999999999" x14ac:dyDescent="0.25">
      <c r="B4" s="114" t="s">
        <v>524</v>
      </c>
      <c r="C4" s="115">
        <v>380</v>
      </c>
      <c r="D4" s="115">
        <v>380</v>
      </c>
      <c r="E4" s="115">
        <v>380</v>
      </c>
      <c r="F4" s="115">
        <v>380</v>
      </c>
      <c r="G4" s="115"/>
      <c r="H4" s="115">
        <v>380</v>
      </c>
      <c r="I4" s="115">
        <v>380</v>
      </c>
      <c r="J4" s="115">
        <v>380</v>
      </c>
      <c r="K4" s="115"/>
      <c r="L4" s="114" t="s">
        <v>0</v>
      </c>
      <c r="M4" s="116">
        <v>2</v>
      </c>
      <c r="N4" s="117" t="s">
        <v>244</v>
      </c>
      <c r="P4" s="69" t="s">
        <v>10</v>
      </c>
      <c r="Q4" s="71">
        <v>7</v>
      </c>
      <c r="R4" s="69" t="s">
        <v>11</v>
      </c>
      <c r="S4" s="77"/>
      <c r="T4" s="69" t="s">
        <v>20</v>
      </c>
      <c r="U4" s="71">
        <v>500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200</v>
      </c>
      <c r="AD4" s="70" t="s">
        <v>15</v>
      </c>
    </row>
    <row r="5" spans="2:30" ht="17.399999999999999" x14ac:dyDescent="0.25">
      <c r="B5" s="114" t="s">
        <v>73</v>
      </c>
      <c r="C5" s="152">
        <v>0.9</v>
      </c>
      <c r="D5" s="152">
        <v>0.9</v>
      </c>
      <c r="E5" s="152">
        <v>0.9</v>
      </c>
      <c r="F5" s="152">
        <v>0.9</v>
      </c>
      <c r="G5" s="152"/>
      <c r="H5" s="152">
        <v>0.9</v>
      </c>
      <c r="I5" s="152">
        <v>0.9</v>
      </c>
      <c r="J5" s="152">
        <v>0.9</v>
      </c>
      <c r="K5" s="152"/>
      <c r="L5" s="114"/>
      <c r="M5" s="116"/>
      <c r="N5" s="114" t="s">
        <v>502</v>
      </c>
      <c r="P5" s="69" t="s">
        <v>12</v>
      </c>
      <c r="Q5" s="71">
        <v>150</v>
      </c>
      <c r="R5" s="69" t="s">
        <v>13</v>
      </c>
      <c r="S5" s="77"/>
      <c r="T5" s="69" t="s">
        <v>21</v>
      </c>
      <c r="U5" s="71">
        <v>0.4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7200</v>
      </c>
      <c r="AD5" s="70" t="s">
        <v>2</v>
      </c>
    </row>
    <row r="6" spans="2:30" ht="17.399999999999999" x14ac:dyDescent="0.25">
      <c r="B6" s="114" t="s">
        <v>64</v>
      </c>
      <c r="C6" s="119">
        <f>ROUND(C3*1000/(C4*0.9)/(3^0.5)/C5,1)</f>
        <v>18.8</v>
      </c>
      <c r="D6" s="119">
        <f>ROUND(D3*1000/(D4*0.9)/(3^0.5)/D5,1)</f>
        <v>18.8</v>
      </c>
      <c r="E6" s="119">
        <f>ROUND(E3*1000/(E4*0.9)/(3^0.5)/E5,1)</f>
        <v>18.8</v>
      </c>
      <c r="F6" s="119">
        <f>ROUND(F3*1000/(F4*0.9)/(3^0.5)/F5,1)</f>
        <v>18.8</v>
      </c>
      <c r="G6" s="119"/>
      <c r="H6" s="119">
        <f>ROUND(H3*1000/(H4*0.9)/(3^0.5)/H5,1)</f>
        <v>18.8</v>
      </c>
      <c r="I6" s="119">
        <f>ROUND(I3*1000/(I4*0.9)/(3^0.5)/I5,1)</f>
        <v>18.8</v>
      </c>
      <c r="J6" s="119">
        <f>ROUND(J3*1000/(J4*0.9)/(3^0.5)/J5,1)</f>
        <v>18.8</v>
      </c>
      <c r="K6" s="119"/>
      <c r="L6" s="114" t="s">
        <v>2</v>
      </c>
      <c r="M6" s="116"/>
      <c r="N6" s="114" t="s">
        <v>292</v>
      </c>
      <c r="P6" s="69" t="s">
        <v>14</v>
      </c>
      <c r="Q6" s="71">
        <v>159</v>
      </c>
      <c r="R6" s="69" t="s">
        <v>13</v>
      </c>
      <c r="S6" s="77" t="s">
        <v>625</v>
      </c>
      <c r="T6" s="69" t="s">
        <v>22</v>
      </c>
      <c r="U6" s="71">
        <v>24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12800</v>
      </c>
      <c r="AD6" s="70" t="s">
        <v>28</v>
      </c>
    </row>
    <row r="7" spans="2:30" ht="17.399999999999999" x14ac:dyDescent="0.25">
      <c r="B7" s="114" t="s">
        <v>51</v>
      </c>
      <c r="C7" s="118">
        <v>2</v>
      </c>
      <c r="D7" s="118">
        <v>2</v>
      </c>
      <c r="E7" s="118">
        <v>2</v>
      </c>
      <c r="F7" s="118">
        <v>2</v>
      </c>
      <c r="G7" s="118"/>
      <c r="H7" s="118">
        <v>2</v>
      </c>
      <c r="I7" s="118">
        <v>2</v>
      </c>
      <c r="J7" s="118">
        <v>2</v>
      </c>
      <c r="K7" s="118"/>
      <c r="L7" s="114" t="s">
        <v>74</v>
      </c>
      <c r="M7" s="116"/>
      <c r="N7" s="114"/>
      <c r="P7" s="69" t="s">
        <v>97</v>
      </c>
      <c r="Q7" s="72">
        <f>(Q5*Q4)*(Q5*Q4)/(101.6*(4.5*Q5+10*Q6))</f>
        <v>4.7908953433800905</v>
      </c>
      <c r="R7" s="69" t="s">
        <v>15</v>
      </c>
      <c r="S7" s="77"/>
      <c r="T7" s="69" t="s">
        <v>24</v>
      </c>
      <c r="U7" s="71">
        <v>15000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284</v>
      </c>
      <c r="AC7" s="71">
        <v>645</v>
      </c>
      <c r="AD7" s="70" t="s">
        <v>0</v>
      </c>
    </row>
    <row r="8" spans="2:30" ht="17.399999999999999" x14ac:dyDescent="0.25">
      <c r="B8" s="114" t="s">
        <v>65</v>
      </c>
      <c r="C8" s="118">
        <f>ROUND(C6/C7,0)</f>
        <v>9</v>
      </c>
      <c r="D8" s="118">
        <f>ROUND(D6/D7,0)</f>
        <v>9</v>
      </c>
      <c r="E8" s="118">
        <f>ROUND(E6/E7,0)</f>
        <v>9</v>
      </c>
      <c r="F8" s="118">
        <f>ROUND(F6/F7,0)</f>
        <v>9</v>
      </c>
      <c r="G8" s="118"/>
      <c r="H8" s="118">
        <f>ROUND(H6/H7,0)</f>
        <v>9</v>
      </c>
      <c r="I8" s="118">
        <f>ROUND(I6/I7,0)</f>
        <v>9</v>
      </c>
      <c r="J8" s="118">
        <f>ROUND(J6/J7,0)</f>
        <v>9</v>
      </c>
      <c r="K8" s="118"/>
      <c r="L8" s="114" t="s">
        <v>3</v>
      </c>
      <c r="M8" s="116"/>
      <c r="N8" s="114"/>
      <c r="P8" s="69" t="s">
        <v>98</v>
      </c>
      <c r="Q8" s="71">
        <v>72</v>
      </c>
      <c r="R8" s="69" t="s">
        <v>7</v>
      </c>
      <c r="S8" s="77"/>
      <c r="T8" s="69" t="s">
        <v>26</v>
      </c>
      <c r="U8" s="88">
        <f>(5000*U4)/(U5*U6*U7)</f>
        <v>17.361111111111107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283</v>
      </c>
      <c r="AC8" s="88">
        <f>SQRT(AC7^2+AC4*AC5^2/AC6)</f>
        <v>1107.2601320376345</v>
      </c>
      <c r="AD8" s="70" t="s">
        <v>0</v>
      </c>
    </row>
    <row r="9" spans="2:30" ht="17.399999999999999" x14ac:dyDescent="0.25">
      <c r="B9" s="114"/>
      <c r="C9" s="120"/>
      <c r="D9" s="120"/>
      <c r="E9" s="120"/>
      <c r="F9" s="120"/>
      <c r="G9" s="120"/>
      <c r="H9" s="120"/>
      <c r="I9" s="120"/>
      <c r="J9" s="120"/>
      <c r="K9" s="120"/>
      <c r="L9" s="114"/>
      <c r="M9" s="116"/>
      <c r="N9" s="114"/>
      <c r="P9" s="69" t="s">
        <v>95</v>
      </c>
      <c r="Q9" s="72">
        <f>Q7*Q8/100</f>
        <v>3.4494446472336655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</row>
    <row r="10" spans="2:30" ht="17.399999999999999" x14ac:dyDescent="0.25">
      <c r="B10" s="114" t="s">
        <v>16</v>
      </c>
      <c r="C10" s="119">
        <f>ROUND(C4*2^0.5*0.93,1)</f>
        <v>499.8</v>
      </c>
      <c r="D10" s="119">
        <f>ROUND(D4*2^0.5*0.93,1)</f>
        <v>499.8</v>
      </c>
      <c r="E10" s="119">
        <f>ROUND(E4*2^0.5*0.93,1)</f>
        <v>499.8</v>
      </c>
      <c r="F10" s="119">
        <f>ROUND(F4*2^0.5*0.93,1)</f>
        <v>499.8</v>
      </c>
      <c r="G10" s="119"/>
      <c r="H10" s="119">
        <f>ROUND(H4*2^0.5*0.93,1)</f>
        <v>499.8</v>
      </c>
      <c r="I10" s="119">
        <f>ROUND(I4*2^0.5*0.93,1)</f>
        <v>499.8</v>
      </c>
      <c r="J10" s="119">
        <f>ROUND(J4*2^0.5*0.93,1)</f>
        <v>499.8</v>
      </c>
      <c r="K10" s="119"/>
      <c r="L10" s="114" t="s">
        <v>0</v>
      </c>
      <c r="M10" s="116"/>
      <c r="N10" s="114" t="s">
        <v>291</v>
      </c>
      <c r="P10" s="70" t="s">
        <v>94</v>
      </c>
      <c r="Q10" s="71">
        <v>0.9133</v>
      </c>
      <c r="R10" s="69" t="s">
        <v>15</v>
      </c>
      <c r="S10" s="77"/>
      <c r="T10" s="235" t="s">
        <v>526</v>
      </c>
      <c r="U10" s="235"/>
      <c r="V10" s="235"/>
      <c r="W10" s="77"/>
      <c r="X10" s="76" t="s">
        <v>222</v>
      </c>
      <c r="Y10" s="67">
        <v>1</v>
      </c>
      <c r="Z10" s="76" t="s">
        <v>223</v>
      </c>
      <c r="AA10" s="77"/>
      <c r="AB10" s="236" t="s">
        <v>270</v>
      </c>
      <c r="AC10" s="236"/>
      <c r="AD10" s="236"/>
    </row>
    <row r="11" spans="2:30" ht="17.399999999999999" x14ac:dyDescent="0.25">
      <c r="B11" s="114" t="s">
        <v>17</v>
      </c>
      <c r="C11" s="119">
        <f>ROUND(C3*1000/C10,1)</f>
        <v>20</v>
      </c>
      <c r="D11" s="119">
        <f>ROUND(D3*1000/D10,1)</f>
        <v>20</v>
      </c>
      <c r="E11" s="119">
        <f>ROUND(E3*1000/E10,1)</f>
        <v>20</v>
      </c>
      <c r="F11" s="119">
        <f>ROUND(F3*1000/F10,1)</f>
        <v>20</v>
      </c>
      <c r="G11" s="119"/>
      <c r="H11" s="119">
        <f>ROUND(H3*1000/H10,1)</f>
        <v>20</v>
      </c>
      <c r="I11" s="119">
        <f>ROUND(I3*1000/I10,1)</f>
        <v>20</v>
      </c>
      <c r="J11" s="119">
        <f>ROUND(J3*1000/J10,1)</f>
        <v>20</v>
      </c>
      <c r="K11" s="119"/>
      <c r="L11" s="114" t="s">
        <v>2</v>
      </c>
      <c r="M11" s="116"/>
      <c r="N11" s="114" t="s">
        <v>293</v>
      </c>
      <c r="P11" s="70" t="s">
        <v>281</v>
      </c>
      <c r="Q11" s="71">
        <v>1</v>
      </c>
      <c r="R11" s="69" t="s">
        <v>42</v>
      </c>
      <c r="S11" s="77"/>
      <c r="T11" s="69" t="s">
        <v>27</v>
      </c>
      <c r="U11" s="71">
        <v>0.52800000000000002</v>
      </c>
      <c r="V11" s="69" t="s">
        <v>28</v>
      </c>
      <c r="W11" s="77"/>
      <c r="X11" s="76" t="s">
        <v>37</v>
      </c>
      <c r="Y11" s="82">
        <v>1000</v>
      </c>
      <c r="Z11" s="76" t="s">
        <v>224</v>
      </c>
      <c r="AA11" s="77"/>
      <c r="AB11" s="69" t="s">
        <v>108</v>
      </c>
      <c r="AC11" s="71">
        <v>9284</v>
      </c>
      <c r="AD11" s="69" t="s">
        <v>28</v>
      </c>
    </row>
    <row r="12" spans="2:30" ht="17.399999999999999" x14ac:dyDescent="0.25">
      <c r="B12" s="114"/>
      <c r="C12" s="120"/>
      <c r="D12" s="120"/>
      <c r="E12" s="120"/>
      <c r="F12" s="120"/>
      <c r="G12" s="120"/>
      <c r="H12" s="120"/>
      <c r="I12" s="120"/>
      <c r="J12" s="120"/>
      <c r="K12" s="120"/>
      <c r="L12" s="114"/>
      <c r="M12" s="116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0.27</v>
      </c>
      <c r="V12" s="69" t="s">
        <v>15</v>
      </c>
      <c r="W12" s="77"/>
      <c r="X12" s="76" t="s">
        <v>254</v>
      </c>
      <c r="Y12" s="95">
        <f>503.3*SQRT((Y8/100000000)/(Y10*Y11))*1000</f>
        <v>2.205709020034714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0" ht="17.399999999999999" x14ac:dyDescent="0.25">
      <c r="B13" s="112" t="s">
        <v>239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14"/>
      <c r="M13" s="116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421736.81406829093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4300</v>
      </c>
      <c r="AD13" s="69" t="s">
        <v>2</v>
      </c>
    </row>
    <row r="14" spans="2:30" ht="17.399999999999999" x14ac:dyDescent="0.25">
      <c r="B14" s="233" t="s">
        <v>75</v>
      </c>
      <c r="C14" s="224">
        <f t="shared" ref="C14:D14" si="0">C15+C16</f>
        <v>1.1287</v>
      </c>
      <c r="D14" s="224">
        <f t="shared" si="0"/>
        <v>1.0329999999999999</v>
      </c>
      <c r="E14" s="224">
        <f t="shared" ref="E14" si="1">E15+E16</f>
        <v>1.0216000000000001</v>
      </c>
      <c r="F14" s="224">
        <f>F15+F16</f>
        <v>3.16</v>
      </c>
      <c r="G14" s="224"/>
      <c r="H14" s="224">
        <f>H15+H16</f>
        <v>3.16</v>
      </c>
      <c r="I14" s="224">
        <f>I15+I16</f>
        <v>3.16</v>
      </c>
      <c r="J14" s="224">
        <f>J15+J16</f>
        <v>3.16</v>
      </c>
      <c r="K14" s="224"/>
      <c r="L14" s="114" t="s">
        <v>15</v>
      </c>
      <c r="M14" s="116">
        <v>3</v>
      </c>
      <c r="N14" s="117" t="s">
        <v>288</v>
      </c>
      <c r="P14" s="70" t="s">
        <v>282</v>
      </c>
      <c r="Q14" s="94">
        <f>Q9/Q12*Q13*Q11^2+Q10</f>
        <v>4.3627446472336651</v>
      </c>
      <c r="R14" s="69" t="s">
        <v>15</v>
      </c>
      <c r="S14" s="77"/>
      <c r="T14" s="77"/>
      <c r="U14" s="77"/>
      <c r="V14" s="77"/>
      <c r="W14" s="77"/>
      <c r="X14" s="76" t="s">
        <v>279</v>
      </c>
      <c r="Y14" s="89">
        <v>5</v>
      </c>
      <c r="Z14" s="76" t="s">
        <v>225</v>
      </c>
      <c r="AA14" s="77"/>
      <c r="AB14" s="69" t="s">
        <v>112</v>
      </c>
      <c r="AC14" s="71">
        <v>800</v>
      </c>
      <c r="AD14" s="69" t="s">
        <v>25</v>
      </c>
    </row>
    <row r="15" spans="2:30" ht="17.399999999999999" x14ac:dyDescent="0.25">
      <c r="B15" s="233" t="s">
        <v>637</v>
      </c>
      <c r="C15" s="224">
        <v>1.1287</v>
      </c>
      <c r="D15" s="224">
        <v>1.0329999999999999</v>
      </c>
      <c r="E15" s="224">
        <v>1.0216000000000001</v>
      </c>
      <c r="F15" s="224">
        <v>1.1000000000000001</v>
      </c>
      <c r="G15" s="224"/>
      <c r="H15" s="224">
        <v>1.1000000000000001</v>
      </c>
      <c r="I15" s="224">
        <v>1.1000000000000001</v>
      </c>
      <c r="J15" s="224">
        <v>1.1000000000000001</v>
      </c>
      <c r="K15" s="224"/>
      <c r="L15" s="114"/>
      <c r="M15" s="116"/>
      <c r="N15" s="117"/>
      <c r="P15" s="228"/>
      <c r="Q15" s="229"/>
      <c r="R15" s="230"/>
      <c r="S15" s="77"/>
      <c r="T15" s="77"/>
      <c r="U15" s="77"/>
      <c r="V15" s="77"/>
      <c r="W15" s="77"/>
      <c r="X15" s="76"/>
      <c r="Y15" s="89"/>
      <c r="Z15" s="76"/>
      <c r="AA15" s="77"/>
      <c r="AB15" s="69"/>
      <c r="AC15" s="71"/>
      <c r="AD15" s="69"/>
    </row>
    <row r="16" spans="2:30" ht="17.399999999999999" x14ac:dyDescent="0.25">
      <c r="B16" s="233" t="s">
        <v>638</v>
      </c>
      <c r="C16" s="224"/>
      <c r="D16" s="224"/>
      <c r="E16" s="224"/>
      <c r="F16" s="224">
        <v>2.06</v>
      </c>
      <c r="G16" s="224"/>
      <c r="H16" s="224">
        <v>2.06</v>
      </c>
      <c r="I16" s="224">
        <v>2.06</v>
      </c>
      <c r="J16" s="224">
        <v>2.06</v>
      </c>
      <c r="K16" s="224"/>
      <c r="L16" s="114"/>
      <c r="M16" s="116"/>
      <c r="N16" s="117"/>
      <c r="P16" s="228"/>
      <c r="Q16" s="229"/>
      <c r="R16" s="230"/>
      <c r="S16" s="77"/>
      <c r="T16" s="77"/>
      <c r="U16" s="77"/>
      <c r="V16" s="77"/>
      <c r="W16" s="77"/>
      <c r="X16" s="76"/>
      <c r="Y16" s="89"/>
      <c r="Z16" s="76"/>
      <c r="AA16" s="77"/>
      <c r="AB16" s="69"/>
      <c r="AC16" s="71"/>
      <c r="AD16" s="69"/>
    </row>
    <row r="17" spans="2:30" ht="17.399999999999999" x14ac:dyDescent="0.25">
      <c r="B17" s="233" t="s">
        <v>76</v>
      </c>
      <c r="C17" s="115">
        <v>60.3</v>
      </c>
      <c r="D17" s="115">
        <v>65.7</v>
      </c>
      <c r="E17" s="115">
        <v>66.400000000000006</v>
      </c>
      <c r="F17" s="115">
        <v>20</v>
      </c>
      <c r="G17" s="115"/>
      <c r="H17" s="115">
        <v>20</v>
      </c>
      <c r="I17" s="115">
        <v>20</v>
      </c>
      <c r="J17" s="115">
        <v>20</v>
      </c>
      <c r="K17" s="115"/>
      <c r="L17" s="114" t="s">
        <v>28</v>
      </c>
      <c r="M17" s="116">
        <v>4</v>
      </c>
      <c r="N17" s="117" t="s">
        <v>290</v>
      </c>
      <c r="O17" s="2"/>
      <c r="P17" s="77"/>
      <c r="Q17" s="77"/>
      <c r="R17" s="77"/>
      <c r="S17" s="77"/>
      <c r="T17" s="235" t="s">
        <v>248</v>
      </c>
      <c r="U17" s="235"/>
      <c r="V17" s="235"/>
      <c r="W17" s="77"/>
      <c r="X17" s="76" t="s">
        <v>277</v>
      </c>
      <c r="Y17" s="90">
        <f>MIN(Y12,Y14)</f>
        <v>2.205709020034714</v>
      </c>
      <c r="Z17" s="76" t="s">
        <v>225</v>
      </c>
      <c r="AA17" s="77"/>
      <c r="AB17" s="69" t="s">
        <v>113</v>
      </c>
      <c r="AC17" s="72">
        <f>(1.414*AC13*0.421)/(2*3.14159*AC14*AC12*2*AC11*0.000001)*2*100</f>
        <v>8.1262759844751162</v>
      </c>
      <c r="AD17" s="69" t="s">
        <v>7</v>
      </c>
    </row>
    <row r="18" spans="2:30" ht="17.399999999999999" x14ac:dyDescent="0.25">
      <c r="B18" s="233" t="s">
        <v>77</v>
      </c>
      <c r="C18" s="119">
        <f>1000/(2*PI()*(C14*C17)^0.5)</f>
        <v>19.291776108181757</v>
      </c>
      <c r="D18" s="119">
        <f>1000/(2*PI()*(D14*D17)^0.5)</f>
        <v>19.319117597976728</v>
      </c>
      <c r="E18" s="119">
        <f>1000/(2*PI()*(E14*E17)^0.5)</f>
        <v>19.323938641978806</v>
      </c>
      <c r="F18" s="119">
        <f>1000/(2*PI()*(F14*F17)^0.5)</f>
        <v>20.019885648274993</v>
      </c>
      <c r="G18" s="119"/>
      <c r="H18" s="119">
        <f>1000/(2*PI()*(H14*H17)^0.5)</f>
        <v>20.019885648274993</v>
      </c>
      <c r="I18" s="119">
        <f>1000/(2*PI()*(I14*I17)^0.5)</f>
        <v>20.019885648274993</v>
      </c>
      <c r="J18" s="119">
        <f>1000/(2*PI()*(J14*J17)^0.5)</f>
        <v>20.019885648274993</v>
      </c>
      <c r="K18" s="119"/>
      <c r="L18" s="114" t="s">
        <v>4</v>
      </c>
      <c r="M18" s="116"/>
      <c r="N18" s="114" t="s">
        <v>247</v>
      </c>
      <c r="P18" s="236" t="s">
        <v>226</v>
      </c>
      <c r="Q18" s="236"/>
      <c r="R18" s="236"/>
      <c r="S18" s="77" t="s">
        <v>661</v>
      </c>
      <c r="T18" s="69" t="s">
        <v>32</v>
      </c>
      <c r="U18" s="71">
        <v>42</v>
      </c>
      <c r="V18" s="69" t="s">
        <v>33</v>
      </c>
      <c r="W18" s="77"/>
      <c r="X18" s="76" t="s">
        <v>275</v>
      </c>
      <c r="Y18" s="89">
        <v>200</v>
      </c>
      <c r="Z18" s="76" t="s">
        <v>225</v>
      </c>
      <c r="AA18" s="77"/>
      <c r="AB18" s="69" t="s">
        <v>109</v>
      </c>
      <c r="AC18" s="88">
        <f>AC12*AC17/100</f>
        <v>54.852362895207037</v>
      </c>
      <c r="AD18" s="69" t="s">
        <v>0</v>
      </c>
    </row>
    <row r="19" spans="2:30" ht="17.399999999999999" x14ac:dyDescent="0.25">
      <c r="B19" s="233" t="s">
        <v>78</v>
      </c>
      <c r="C19" s="115">
        <v>30</v>
      </c>
      <c r="D19" s="115">
        <v>30</v>
      </c>
      <c r="E19" s="115">
        <v>30</v>
      </c>
      <c r="F19" s="115">
        <v>30</v>
      </c>
      <c r="G19" s="115"/>
      <c r="H19" s="115">
        <v>30</v>
      </c>
      <c r="I19" s="115">
        <v>30</v>
      </c>
      <c r="J19" s="115">
        <v>30</v>
      </c>
      <c r="K19" s="115"/>
      <c r="L19" s="114" t="s">
        <v>79</v>
      </c>
      <c r="M19" s="116">
        <v>5</v>
      </c>
      <c r="N19" s="117" t="s">
        <v>271</v>
      </c>
      <c r="P19" s="84" t="s">
        <v>231</v>
      </c>
      <c r="Q19" s="85">
        <v>10</v>
      </c>
      <c r="R19" s="84" t="s">
        <v>28</v>
      </c>
      <c r="S19" s="77"/>
      <c r="T19" s="69" t="s">
        <v>34</v>
      </c>
      <c r="U19" s="71">
        <v>17.34</v>
      </c>
      <c r="V19" s="69" t="s">
        <v>4</v>
      </c>
      <c r="W19" s="77"/>
      <c r="X19" s="76" t="s">
        <v>274</v>
      </c>
      <c r="Y19" s="95">
        <f>Y17*Y18</f>
        <v>441.14180400694283</v>
      </c>
      <c r="Z19" s="76" t="s">
        <v>251</v>
      </c>
      <c r="AA19" s="77"/>
      <c r="AB19" s="69" t="s">
        <v>111</v>
      </c>
      <c r="AC19" s="88">
        <f>2*3.14159*AC14*AC11*0.000001*AC18</f>
        <v>2559.7641999999996</v>
      </c>
      <c r="AD19" s="69" t="s">
        <v>2</v>
      </c>
    </row>
    <row r="20" spans="2:30" ht="17.399999999999999" x14ac:dyDescent="0.25">
      <c r="B20" s="233" t="s">
        <v>80</v>
      </c>
      <c r="C20" s="118">
        <f>ROUNDUP(TAN(PI()*C19/180),3)</f>
        <v>0.57799999999999996</v>
      </c>
      <c r="D20" s="118">
        <f>ROUNDUP(TAN(PI()*D19/180),3)</f>
        <v>0.57799999999999996</v>
      </c>
      <c r="E20" s="118">
        <f>ROUNDUP(TAN(PI()*E19/180),3)</f>
        <v>0.57799999999999996</v>
      </c>
      <c r="F20" s="118">
        <f>ROUNDUP(TAN(PI()*F19/180),3)</f>
        <v>0.57799999999999996</v>
      </c>
      <c r="G20" s="118"/>
      <c r="H20" s="118">
        <f>ROUNDUP(TAN(PI()*H19/180),3)</f>
        <v>0.57799999999999996</v>
      </c>
      <c r="I20" s="118">
        <f>ROUNDUP(TAN(PI()*I19/180),3)</f>
        <v>0.57799999999999996</v>
      </c>
      <c r="J20" s="118">
        <f>ROUNDUP(TAN(PI()*J19/180),3)</f>
        <v>0.57799999999999996</v>
      </c>
      <c r="K20" s="118"/>
      <c r="L20" s="114"/>
      <c r="M20" s="116"/>
      <c r="N20" s="114"/>
      <c r="P20" s="84" t="s">
        <v>227</v>
      </c>
      <c r="Q20" s="85">
        <v>1</v>
      </c>
      <c r="R20" s="84" t="s">
        <v>234</v>
      </c>
      <c r="S20" s="77"/>
      <c r="T20" s="69" t="s">
        <v>35</v>
      </c>
      <c r="U20" s="71">
        <v>1396</v>
      </c>
      <c r="V20" s="69" t="s">
        <v>2</v>
      </c>
      <c r="W20" s="77"/>
      <c r="X20" s="76" t="s">
        <v>256</v>
      </c>
      <c r="Y20" s="89">
        <v>1000</v>
      </c>
      <c r="Z20" s="68" t="s">
        <v>252</v>
      </c>
      <c r="AA20" s="77"/>
      <c r="AB20" s="77"/>
    </row>
    <row r="21" spans="2:30" ht="17.399999999999999" x14ac:dyDescent="0.25">
      <c r="B21" s="233"/>
      <c r="C21" s="120"/>
      <c r="D21" s="120"/>
      <c r="E21" s="120"/>
      <c r="F21" s="120"/>
      <c r="G21" s="120"/>
      <c r="H21" s="120"/>
      <c r="I21" s="120"/>
      <c r="J21" s="120"/>
      <c r="K21" s="120"/>
      <c r="L21" s="114"/>
      <c r="M21" s="116"/>
      <c r="N21" s="114"/>
      <c r="P21" s="84" t="s">
        <v>229</v>
      </c>
      <c r="Q21" s="85">
        <v>700</v>
      </c>
      <c r="R21" s="84" t="s">
        <v>0</v>
      </c>
      <c r="S21" s="77"/>
      <c r="T21" s="69" t="s">
        <v>36</v>
      </c>
      <c r="U21" s="88">
        <f>(U20)/(2*3.14*U19*1000*(U18/1000000))</f>
        <v>305.2301225223448</v>
      </c>
      <c r="V21" s="69" t="s">
        <v>0</v>
      </c>
      <c r="W21" s="77"/>
      <c r="X21" s="76" t="s">
        <v>516</v>
      </c>
      <c r="Y21" s="91">
        <f>Y20/Y19</f>
        <v>2.2668447898541522</v>
      </c>
      <c r="Z21" s="68" t="s">
        <v>252</v>
      </c>
      <c r="AA21" s="77"/>
      <c r="AB21" s="236" t="s">
        <v>511</v>
      </c>
      <c r="AC21" s="236"/>
      <c r="AD21" s="236"/>
    </row>
    <row r="22" spans="2:30" ht="17.399999999999999" x14ac:dyDescent="0.25">
      <c r="B22" s="233" t="s">
        <v>41</v>
      </c>
      <c r="C22" s="184">
        <v>8</v>
      </c>
      <c r="D22" s="184">
        <v>8.33</v>
      </c>
      <c r="E22" s="184">
        <v>8.5399999999999991</v>
      </c>
      <c r="F22" s="184">
        <f>SQRT(F18/D18)*D22*F14/F15</f>
        <v>24.359958947353473</v>
      </c>
      <c r="G22" s="184"/>
      <c r="H22" s="184">
        <v>16</v>
      </c>
      <c r="I22" s="184">
        <v>25</v>
      </c>
      <c r="J22" s="184">
        <v>34</v>
      </c>
      <c r="K22" s="184"/>
      <c r="L22" s="114"/>
      <c r="M22" s="116">
        <v>6</v>
      </c>
      <c r="N22" s="117" t="s">
        <v>289</v>
      </c>
      <c r="P22" s="84" t="s">
        <v>230</v>
      </c>
      <c r="Q22" s="85">
        <v>1000</v>
      </c>
      <c r="R22" s="84" t="s">
        <v>2</v>
      </c>
      <c r="S22" s="77"/>
      <c r="T22" s="77"/>
      <c r="U22" s="77"/>
      <c r="V22" s="77"/>
      <c r="W22" s="77"/>
      <c r="X22" s="76" t="s">
        <v>257</v>
      </c>
      <c r="Y22" s="91">
        <f>Y8/100000000*(Y20^2)/(Y19/1000000)*Y13/1000</f>
        <v>266.71126252670501</v>
      </c>
      <c r="Z22" s="68" t="s">
        <v>253</v>
      </c>
      <c r="AA22" s="77"/>
      <c r="AB22" s="154" t="s">
        <v>505</v>
      </c>
      <c r="AC22" s="114">
        <v>0.9133</v>
      </c>
      <c r="AD22" s="114" t="s">
        <v>504</v>
      </c>
    </row>
    <row r="23" spans="2:30" ht="17.399999999999999" x14ac:dyDescent="0.25">
      <c r="B23" s="233" t="s">
        <v>81</v>
      </c>
      <c r="C23" s="186">
        <f>C18*((C20/C22)+(((C20/C22)^2+4)^0.5))/2</f>
        <v>20.001275450499541</v>
      </c>
      <c r="D23" s="186">
        <f>D18*((D20/D22)+(((D20/D22)^2+4)^0.5))/2</f>
        <v>20.000996075892505</v>
      </c>
      <c r="E23" s="186">
        <f>E18*((E20/E22)+(((E20/E22)^2+4)^0.5))/2</f>
        <v>19.988936892938707</v>
      </c>
      <c r="F23" s="186">
        <f>F18*((F20/F22)+(((F20/F22)^2+4)^0.5))/2</f>
        <v>20.258805017150376</v>
      </c>
      <c r="G23" s="186"/>
      <c r="H23" s="186">
        <f>H18*((H20/H22)+(((H20/H22)^2+4)^0.5))/2</f>
        <v>20.384760349419512</v>
      </c>
      <c r="I23" s="186">
        <f>I18*((I20/I22)+(((I20/I22)^2+4)^0.5))/2</f>
        <v>20.252653146378186</v>
      </c>
      <c r="J23" s="186">
        <f>J18*((J20/J22)+(((J20/J22)^2+4)^0.5))/2</f>
        <v>20.190777881591714</v>
      </c>
      <c r="K23" s="186"/>
      <c r="L23" s="114" t="s">
        <v>4</v>
      </c>
      <c r="M23" s="116"/>
      <c r="N23" s="122" t="s">
        <v>269</v>
      </c>
      <c r="P23" s="84" t="s">
        <v>228</v>
      </c>
      <c r="Q23" s="85">
        <v>1</v>
      </c>
      <c r="R23" s="84" t="s">
        <v>234</v>
      </c>
      <c r="S23" s="77"/>
      <c r="T23" s="235" t="s">
        <v>249</v>
      </c>
      <c r="U23" s="235"/>
      <c r="V23" s="235"/>
      <c r="W23" s="77"/>
      <c r="X23" s="77"/>
      <c r="Y23" s="77"/>
      <c r="Z23" s="77"/>
      <c r="AA23" s="77"/>
      <c r="AB23" s="84" t="s">
        <v>506</v>
      </c>
      <c r="AC23" s="129">
        <v>5</v>
      </c>
      <c r="AD23" s="114" t="s">
        <v>327</v>
      </c>
    </row>
    <row r="24" spans="2:30" ht="17.399999999999999" x14ac:dyDescent="0.25">
      <c r="B24" s="233" t="s">
        <v>310</v>
      </c>
      <c r="C24" s="118">
        <f>2*PI()*C18*C14</f>
        <v>136.81402079187814</v>
      </c>
      <c r="D24" s="118">
        <f>2*PI()*D18*D14</f>
        <v>125.39132050197826</v>
      </c>
      <c r="E24" s="118">
        <f>2*PI()*E18*E14</f>
        <v>124.0384705189269</v>
      </c>
      <c r="F24" s="118">
        <f>2*PI()*F18*F14</f>
        <v>397.4921382870358</v>
      </c>
      <c r="G24" s="118"/>
      <c r="H24" s="118">
        <f>2*PI()*H18*H14</f>
        <v>397.4921382870358</v>
      </c>
      <c r="I24" s="118">
        <f>2*PI()*I18*I14</f>
        <v>397.4921382870358</v>
      </c>
      <c r="J24" s="118">
        <f>2*PI()*J18*J14</f>
        <v>397.4921382870358</v>
      </c>
      <c r="K24" s="118"/>
      <c r="L24" s="114" t="s">
        <v>83</v>
      </c>
      <c r="M24" s="116"/>
      <c r="N24" s="114"/>
      <c r="P24" s="84" t="s">
        <v>235</v>
      </c>
      <c r="Q24" s="85">
        <v>1</v>
      </c>
      <c r="R24" s="84" t="s">
        <v>67</v>
      </c>
      <c r="S24" s="77"/>
      <c r="T24" s="70" t="s">
        <v>152</v>
      </c>
      <c r="U24" s="71">
        <v>680</v>
      </c>
      <c r="V24" s="69" t="s">
        <v>153</v>
      </c>
      <c r="W24" s="77"/>
      <c r="X24" s="235" t="s">
        <v>514</v>
      </c>
      <c r="Y24" s="235"/>
      <c r="Z24" s="235"/>
      <c r="AA24" s="77"/>
      <c r="AB24" s="84" t="s">
        <v>507</v>
      </c>
      <c r="AC24" s="153">
        <f>AC22*AC23</f>
        <v>4.5664999999999996</v>
      </c>
      <c r="AD24" s="114" t="s">
        <v>504</v>
      </c>
    </row>
    <row r="25" spans="2:30" ht="17.399999999999999" x14ac:dyDescent="0.25">
      <c r="B25" s="233" t="s">
        <v>82</v>
      </c>
      <c r="C25" s="118">
        <f>2*PI()*C23*C14</f>
        <v>141.8456704039904</v>
      </c>
      <c r="D25" s="118">
        <f>2*PI()*D23*D14</f>
        <v>129.81707350721348</v>
      </c>
      <c r="E25" s="118">
        <f>2*PI()*E23*E14</f>
        <v>128.30702919503648</v>
      </c>
      <c r="F25" s="118">
        <f>2*PI()*F23*F14</f>
        <v>402.23585023829003</v>
      </c>
      <c r="G25" s="118"/>
      <c r="H25" s="118">
        <f>2*PI()*H23*H14</f>
        <v>404.73667642840502</v>
      </c>
      <c r="I25" s="118">
        <f>2*PI()*I23*I14</f>
        <v>402.11370567109998</v>
      </c>
      <c r="J25" s="118">
        <f>2*PI()*J23*J14</f>
        <v>400.88518060661386</v>
      </c>
      <c r="K25" s="118"/>
      <c r="L25" s="114" t="s">
        <v>83</v>
      </c>
      <c r="M25" s="116"/>
      <c r="N25" s="114"/>
      <c r="P25" s="84" t="s">
        <v>236</v>
      </c>
      <c r="Q25" s="85">
        <v>2</v>
      </c>
      <c r="R25" s="84" t="s">
        <v>66</v>
      </c>
      <c r="S25" s="77"/>
      <c r="T25" s="70" t="s">
        <v>154</v>
      </c>
      <c r="U25" s="71">
        <v>22</v>
      </c>
      <c r="V25" s="69" t="s">
        <v>155</v>
      </c>
      <c r="W25" s="77"/>
      <c r="X25" s="69" t="s">
        <v>212</v>
      </c>
      <c r="Y25" s="67" t="s">
        <v>213</v>
      </c>
      <c r="Z25" s="67"/>
      <c r="AA25" s="77"/>
      <c r="AB25" s="84"/>
      <c r="AC25" s="114"/>
      <c r="AD25" s="114"/>
    </row>
    <row r="26" spans="2:30" ht="17.399999999999999" x14ac:dyDescent="0.25">
      <c r="B26" s="233" t="s">
        <v>84</v>
      </c>
      <c r="C26" s="118">
        <f>1000000/(2*PI()*C23*C17)</f>
        <v>131.96085740177722</v>
      </c>
      <c r="D26" s="118">
        <f>1000000/(2*PI()*D23*D17)</f>
        <v>121.11645126830069</v>
      </c>
      <c r="E26" s="118">
        <f>1000000/(2*PI()*E23*E17)</f>
        <v>119.91191959785382</v>
      </c>
      <c r="F26" s="118">
        <f>1000000/(2*PI()*F23*F17)</f>
        <v>392.80437063578159</v>
      </c>
      <c r="G26" s="118"/>
      <c r="H26" s="118">
        <f>1000000/(2*PI()*H23*H17)</f>
        <v>390.37727293278562</v>
      </c>
      <c r="I26" s="118">
        <f>1000000/(2*PI()*I23*I17)</f>
        <v>392.92368743390364</v>
      </c>
      <c r="J26" s="118">
        <f>1000000/(2*PI()*J23*J17)</f>
        <v>394.12781425573428</v>
      </c>
      <c r="K26" s="118"/>
      <c r="L26" s="114" t="s">
        <v>83</v>
      </c>
      <c r="M26" s="116"/>
      <c r="N26" s="114"/>
      <c r="P26" s="84" t="s">
        <v>262</v>
      </c>
      <c r="Q26" s="93">
        <f>Q19*(Q23/Q20)*Q25/Q24</f>
        <v>20</v>
      </c>
      <c r="R26" s="84" t="s">
        <v>28</v>
      </c>
      <c r="S26" s="77"/>
      <c r="T26" s="70" t="s">
        <v>158</v>
      </c>
      <c r="U26" s="71">
        <v>66</v>
      </c>
      <c r="V26" s="69" t="s">
        <v>159</v>
      </c>
      <c r="W26" s="77"/>
      <c r="X26" s="76" t="s">
        <v>214</v>
      </c>
      <c r="Y26" s="78">
        <v>1.75</v>
      </c>
      <c r="Z26" s="76" t="s">
        <v>215</v>
      </c>
      <c r="AA26" s="77"/>
      <c r="AB26" s="154" t="s">
        <v>508</v>
      </c>
      <c r="AC26" s="114">
        <v>0.48</v>
      </c>
      <c r="AD26" s="114" t="s">
        <v>504</v>
      </c>
    </row>
    <row r="27" spans="2:30" ht="17.399999999999999" x14ac:dyDescent="0.25">
      <c r="B27" s="233" t="s">
        <v>68</v>
      </c>
      <c r="C27" s="152">
        <f>C24/C22</f>
        <v>17.101752598984767</v>
      </c>
      <c r="D27" s="152">
        <f>D24/D22</f>
        <v>15.05297965209823</v>
      </c>
      <c r="E27" s="152">
        <f>E24/E22</f>
        <v>14.524411067790037</v>
      </c>
      <c r="F27" s="118">
        <f>F24/F22</f>
        <v>16.31743875866508</v>
      </c>
      <c r="G27" s="118"/>
      <c r="H27" s="118">
        <f>H24/H22</f>
        <v>24.843258642939738</v>
      </c>
      <c r="I27" s="118">
        <f>I24/I22</f>
        <v>15.899685531481431</v>
      </c>
      <c r="J27" s="118">
        <f>J24/J22</f>
        <v>11.690945243736348</v>
      </c>
      <c r="K27" s="118"/>
      <c r="L27" s="114" t="s">
        <v>83</v>
      </c>
      <c r="M27" s="116"/>
      <c r="N27" s="114"/>
      <c r="P27" s="84" t="s">
        <v>232</v>
      </c>
      <c r="Q27" s="86">
        <f>Q21*Q24</f>
        <v>700</v>
      </c>
      <c r="R27" s="84" t="s">
        <v>0</v>
      </c>
      <c r="S27" s="77"/>
      <c r="T27" s="70" t="s">
        <v>162</v>
      </c>
      <c r="U27" s="71">
        <v>2</v>
      </c>
      <c r="V27" s="69"/>
      <c r="W27" s="77"/>
      <c r="X27" s="76" t="s">
        <v>216</v>
      </c>
      <c r="Y27" s="79">
        <v>3.8999999999999998E-3</v>
      </c>
      <c r="Z27" s="76" t="s">
        <v>217</v>
      </c>
      <c r="AA27" s="77"/>
      <c r="AB27" s="84" t="s">
        <v>509</v>
      </c>
      <c r="AC27" s="129">
        <v>5</v>
      </c>
      <c r="AD27" s="114" t="s">
        <v>327</v>
      </c>
    </row>
    <row r="28" spans="2:30" ht="17.399999999999999" x14ac:dyDescent="0.25">
      <c r="B28" s="114" t="s">
        <v>85</v>
      </c>
      <c r="C28" s="118">
        <f>(C27^2+(C25-C26)^2)^0.5</f>
        <v>19.752961045008036</v>
      </c>
      <c r="D28" s="118">
        <f>(D27^2+(D25-D26)^2)^0.5</f>
        <v>17.386575963965623</v>
      </c>
      <c r="E28" s="118">
        <f>(E27^2+(E25-E26)^2)^0.5</f>
        <v>16.776065749002356</v>
      </c>
      <c r="F28" s="118">
        <f>(F27^2+(F25-F26)^2)^0.5</f>
        <v>18.847058527402041</v>
      </c>
      <c r="G28" s="118"/>
      <c r="H28" s="118">
        <f>(H27^2+(H25-H26)^2)^0.5</f>
        <v>28.694598250367729</v>
      </c>
      <c r="I28" s="118">
        <f>(I27^2+(I25-I26)^2)^0.5</f>
        <v>18.364542880235309</v>
      </c>
      <c r="J28" s="118">
        <f>(J27^2+(J25-J26)^2)^0.5</f>
        <v>13.503340353114156</v>
      </c>
      <c r="K28" s="118"/>
      <c r="L28" s="114" t="s">
        <v>83</v>
      </c>
      <c r="M28" s="116"/>
      <c r="N28" s="114"/>
      <c r="P28" s="84" t="s">
        <v>233</v>
      </c>
      <c r="Q28" s="86">
        <f>Q22*(Q23/Q20)*Q25</f>
        <v>2000</v>
      </c>
      <c r="R28" s="84" t="s">
        <v>2</v>
      </c>
      <c r="S28" s="77"/>
      <c r="T28" s="70" t="s">
        <v>165</v>
      </c>
      <c r="U28" s="72">
        <f>U25*U26*U27*2</f>
        <v>5808</v>
      </c>
      <c r="V28" s="69" t="s">
        <v>155</v>
      </c>
      <c r="W28" s="77"/>
      <c r="X28" s="76" t="s">
        <v>218</v>
      </c>
      <c r="Y28" s="80">
        <v>45</v>
      </c>
      <c r="Z28" s="76" t="s">
        <v>48</v>
      </c>
      <c r="AA28" s="77"/>
      <c r="AB28" s="84" t="s">
        <v>510</v>
      </c>
      <c r="AC28" s="153">
        <f>AC26*AC27</f>
        <v>2.4</v>
      </c>
      <c r="AD28" s="114" t="s">
        <v>504</v>
      </c>
    </row>
    <row r="29" spans="2:30" ht="17.399999999999999" x14ac:dyDescent="0.25">
      <c r="B29" s="114"/>
      <c r="C29" s="120"/>
      <c r="D29" s="120"/>
      <c r="E29" s="120"/>
      <c r="F29" s="120"/>
      <c r="G29" s="120"/>
      <c r="H29" s="120"/>
      <c r="I29" s="120"/>
      <c r="J29" s="120"/>
      <c r="K29" s="120"/>
      <c r="L29" s="114"/>
      <c r="M29" s="116"/>
      <c r="N29" s="114"/>
      <c r="P29" s="84" t="s">
        <v>47</v>
      </c>
      <c r="Q29" s="86">
        <f>Q27*Q28/1000</f>
        <v>1400</v>
      </c>
      <c r="R29" s="84" t="s">
        <v>47</v>
      </c>
      <c r="S29" s="77"/>
      <c r="T29" s="70" t="s">
        <v>168</v>
      </c>
      <c r="U29" s="71">
        <v>20</v>
      </c>
      <c r="V29" s="69" t="s">
        <v>169</v>
      </c>
      <c r="W29" s="77"/>
      <c r="X29" s="76" t="s">
        <v>219</v>
      </c>
      <c r="Y29" s="79">
        <f>Y26*(1+Y27*(Y28-20))</f>
        <v>1.9206249999999998</v>
      </c>
      <c r="Z29" s="76" t="s">
        <v>215</v>
      </c>
      <c r="AA29" s="77"/>
      <c r="AB29" s="84"/>
      <c r="AC29" s="114"/>
      <c r="AD29" s="114"/>
    </row>
    <row r="30" spans="2:30" ht="17.399999999999999" x14ac:dyDescent="0.25">
      <c r="B30" s="114" t="s">
        <v>105</v>
      </c>
      <c r="C30" s="121">
        <f>(C3*1000000/C27)^0.5</f>
        <v>764.67992743616583</v>
      </c>
      <c r="D30" s="121">
        <f>(D3*1000000/D27)^0.5</f>
        <v>815.05846585700874</v>
      </c>
      <c r="E30" s="121">
        <f>(E3*1000000/E27)^0.5</f>
        <v>829.75663551636853</v>
      </c>
      <c r="F30" s="121">
        <f>(F3*1000000/F27)^0.5</f>
        <v>782.84179539561137</v>
      </c>
      <c r="G30" s="121"/>
      <c r="H30" s="121">
        <f>(H3*1000000/H27)^0.5</f>
        <v>634.44754262373976</v>
      </c>
      <c r="I30" s="121">
        <f>(I3*1000000/I27)^0.5</f>
        <v>793.05942827967476</v>
      </c>
      <c r="J30" s="121">
        <f>(J3*1000000/J27)^0.5</f>
        <v>924.85827521045996</v>
      </c>
      <c r="K30" s="121"/>
      <c r="L30" s="114" t="s">
        <v>2</v>
      </c>
      <c r="M30" s="116"/>
      <c r="N30" s="122" t="s">
        <v>268</v>
      </c>
      <c r="P30" s="77"/>
      <c r="Q30" s="77"/>
      <c r="R30" s="77"/>
      <c r="S30" s="77"/>
      <c r="T30" s="70" t="s">
        <v>170</v>
      </c>
      <c r="U30" s="71">
        <v>300</v>
      </c>
      <c r="V30" s="69" t="s">
        <v>171</v>
      </c>
      <c r="W30" s="77"/>
      <c r="X30" s="76" t="s">
        <v>220</v>
      </c>
      <c r="Y30" s="81">
        <f>1/(Y29/100000000)</f>
        <v>52066384.64041654</v>
      </c>
      <c r="Z30" s="76" t="s">
        <v>221</v>
      </c>
      <c r="AA30" s="77"/>
      <c r="AB30" s="154" t="s">
        <v>508</v>
      </c>
      <c r="AC30" s="114">
        <v>0.4133</v>
      </c>
      <c r="AD30" s="114" t="s">
        <v>504</v>
      </c>
    </row>
    <row r="31" spans="2:30" ht="17.399999999999999" x14ac:dyDescent="0.25">
      <c r="B31" s="114" t="s">
        <v>103</v>
      </c>
      <c r="C31" s="118">
        <f>C30*C27/1000</f>
        <v>13.077366936422932</v>
      </c>
      <c r="D31" s="118">
        <f>D30*D27/1000</f>
        <v>12.269058501815953</v>
      </c>
      <c r="E31" s="118">
        <f>E30*E27/1000</f>
        <v>12.051726460466167</v>
      </c>
      <c r="F31" s="118">
        <f>F30*F27/1000</f>
        <v>12.773973054091307</v>
      </c>
      <c r="G31" s="118"/>
      <c r="H31" s="118">
        <f>H30*H27/1000</f>
        <v>15.7617443967791</v>
      </c>
      <c r="I31" s="118">
        <f>I30*I27/1000</f>
        <v>12.60939551742328</v>
      </c>
      <c r="J31" s="118">
        <f>J30*J27/1000</f>
        <v>10.812467453701929</v>
      </c>
      <c r="K31" s="118"/>
      <c r="L31" s="114" t="s">
        <v>0</v>
      </c>
      <c r="M31" s="116"/>
      <c r="N31" s="114"/>
      <c r="P31" s="236" t="s">
        <v>237</v>
      </c>
      <c r="Q31" s="236"/>
      <c r="R31" s="236"/>
      <c r="S31" s="77"/>
      <c r="T31" s="70" t="s">
        <v>172</v>
      </c>
      <c r="U31" s="71">
        <v>1</v>
      </c>
      <c r="V31" s="69" t="s">
        <v>173</v>
      </c>
      <c r="W31" s="77"/>
      <c r="X31" s="76" t="s">
        <v>222</v>
      </c>
      <c r="Y31" s="67">
        <v>1</v>
      </c>
      <c r="Z31" s="76" t="s">
        <v>223</v>
      </c>
      <c r="AA31" s="77"/>
      <c r="AB31" s="84" t="s">
        <v>509</v>
      </c>
      <c r="AC31" s="129">
        <v>5</v>
      </c>
      <c r="AD31" s="114" t="s">
        <v>327</v>
      </c>
    </row>
    <row r="32" spans="2:30" ht="17.399999999999999" x14ac:dyDescent="0.25">
      <c r="B32" s="114" t="s">
        <v>306</v>
      </c>
      <c r="C32" s="121">
        <f>C30/(2*3.14159*C23*1000*C17/1000000)</f>
        <v>100.90790409566553</v>
      </c>
      <c r="D32" s="121">
        <f>D30/(2*3.14159*D23*1000*D17/1000000)</f>
        <v>98.717072343530191</v>
      </c>
      <c r="E32" s="121">
        <f>E30/(2*3.14159*E23*1000*E17/1000000)</f>
        <v>99.497795006016588</v>
      </c>
      <c r="F32" s="121">
        <f>F30/(2*3.14159*F23*1000*F17/1000000)</f>
        <v>307.50393848522361</v>
      </c>
      <c r="G32" s="121"/>
      <c r="H32" s="121">
        <f>H30/(2*3.14159*H23*1000*H17/1000000)</f>
        <v>247.67411070973441</v>
      </c>
      <c r="I32" s="121">
        <f>I30/(2*3.14159*I23*1000*I17/1000000)</f>
        <v>311.61209812135246</v>
      </c>
      <c r="J32" s="121">
        <f>J30/(2*3.14159*J23*1000*J17/1000000)</f>
        <v>364.51267839571477</v>
      </c>
      <c r="K32" s="121"/>
      <c r="L32" s="114" t="s">
        <v>0</v>
      </c>
      <c r="M32" s="116"/>
      <c r="N32" s="122" t="s">
        <v>71</v>
      </c>
      <c r="P32" s="70" t="s">
        <v>37</v>
      </c>
      <c r="Q32" s="71">
        <v>19760</v>
      </c>
      <c r="R32" s="70" t="s">
        <v>25</v>
      </c>
      <c r="S32" s="77"/>
      <c r="T32" s="70" t="s">
        <v>174</v>
      </c>
      <c r="U32" s="72">
        <f>U30*U31</f>
        <v>300</v>
      </c>
      <c r="V32" s="69" t="s">
        <v>171</v>
      </c>
      <c r="W32" s="77"/>
      <c r="X32" s="76" t="s">
        <v>37</v>
      </c>
      <c r="Y32" s="82">
        <v>1000</v>
      </c>
      <c r="Z32" s="76" t="s">
        <v>224</v>
      </c>
      <c r="AA32" s="77"/>
      <c r="AB32" s="84" t="s">
        <v>510</v>
      </c>
      <c r="AC32" s="153">
        <f>AC30*AC31</f>
        <v>2.0665</v>
      </c>
      <c r="AD32" s="114" t="s">
        <v>504</v>
      </c>
    </row>
    <row r="33" spans="2:31" ht="17.399999999999999" x14ac:dyDescent="0.25">
      <c r="B33" s="114" t="s">
        <v>104</v>
      </c>
      <c r="C33" s="118">
        <f>C30*C28/1000</f>
        <v>15.104692818546155</v>
      </c>
      <c r="D33" s="118">
        <f>D30*D28/1000</f>
        <v>14.171075931696164</v>
      </c>
      <c r="E33" s="118">
        <f>E30*E28/1000</f>
        <v>13.920051873093582</v>
      </c>
      <c r="F33" s="118">
        <f>F30*F28/1000</f>
        <v>14.75426513551758</v>
      </c>
      <c r="G33" s="118"/>
      <c r="H33" s="118">
        <f>H30*H28/1000</f>
        <v>18.20521734652127</v>
      </c>
      <c r="I33" s="118">
        <f>I30*I28/1000</f>
        <v>14.564173877216987</v>
      </c>
      <c r="J33" s="118">
        <f>J30*J28/1000</f>
        <v>12.488676068560963</v>
      </c>
      <c r="K33" s="118"/>
      <c r="L33" s="114" t="s">
        <v>0</v>
      </c>
      <c r="M33" s="116"/>
      <c r="N33" s="114"/>
      <c r="P33" s="70" t="s">
        <v>52</v>
      </c>
      <c r="Q33" s="71">
        <v>40</v>
      </c>
      <c r="R33" s="70" t="s">
        <v>28</v>
      </c>
      <c r="S33" s="77"/>
      <c r="T33" s="69"/>
      <c r="U33" s="69"/>
      <c r="V33" s="69"/>
      <c r="W33" s="77"/>
      <c r="X33" s="76" t="s">
        <v>254</v>
      </c>
      <c r="Y33" s="95">
        <f>503.3*SQRT((Y29/100000000)/(Y31*Y32))*1000</f>
        <v>2.205709020034714</v>
      </c>
      <c r="Z33" s="76" t="s">
        <v>225</v>
      </c>
      <c r="AA33" s="77"/>
      <c r="AB33" s="77"/>
    </row>
    <row r="34" spans="2:31" ht="17.399999999999999" x14ac:dyDescent="0.25">
      <c r="B34" s="114" t="s">
        <v>102</v>
      </c>
      <c r="C34" s="118">
        <f>ROUNDUP(COS(PI()*C19/180),3)</f>
        <v>0.86699999999999999</v>
      </c>
      <c r="D34" s="118">
        <f>ROUNDUP(COS(PI()*D19/180),3)</f>
        <v>0.86699999999999999</v>
      </c>
      <c r="E34" s="118">
        <f>ROUNDUP(COS(PI()*E19/180),3)</f>
        <v>0.86699999999999999</v>
      </c>
      <c r="F34" s="118">
        <f>ROUNDUP(COS(PI()*F19/180),3)</f>
        <v>0.86699999999999999</v>
      </c>
      <c r="G34" s="118"/>
      <c r="H34" s="118">
        <f>ROUNDUP(COS(PI()*H19/180),3)</f>
        <v>0.86699999999999999</v>
      </c>
      <c r="I34" s="118">
        <f>ROUNDUP(COS(PI()*I19/180),3)</f>
        <v>0.86699999999999999</v>
      </c>
      <c r="J34" s="118">
        <f>ROUNDUP(COS(PI()*J19/180),3)</f>
        <v>0.86699999999999999</v>
      </c>
      <c r="K34" s="118"/>
      <c r="L34" s="114"/>
      <c r="M34" s="116"/>
      <c r="N34" s="114"/>
      <c r="P34" s="70" t="s">
        <v>53</v>
      </c>
      <c r="Q34" s="71">
        <v>53.4</v>
      </c>
      <c r="R34" s="70" t="s">
        <v>2</v>
      </c>
      <c r="S34" s="77"/>
      <c r="T34" s="73" t="s">
        <v>175</v>
      </c>
      <c r="U34" s="237" t="s">
        <v>176</v>
      </c>
      <c r="V34" s="237"/>
      <c r="W34" s="77"/>
      <c r="X34" s="76" t="s">
        <v>255</v>
      </c>
      <c r="Y34" s="89">
        <v>6126</v>
      </c>
      <c r="Z34" s="76" t="s">
        <v>225</v>
      </c>
      <c r="AA34" s="77"/>
      <c r="AB34" s="235" t="s">
        <v>518</v>
      </c>
      <c r="AC34" s="235"/>
      <c r="AD34" s="235"/>
      <c r="AE34" s="77"/>
    </row>
    <row r="35" spans="2:31" ht="17.399999999999999" x14ac:dyDescent="0.25">
      <c r="B35" s="114" t="s">
        <v>101</v>
      </c>
      <c r="C35" s="123">
        <f>C32/(C27*C30/1000)</f>
        <v>7.7162248781609089</v>
      </c>
      <c r="D35" s="123">
        <f>D32/(D27*D30/1000)</f>
        <v>8.0460185538213054</v>
      </c>
      <c r="E35" s="123">
        <f>E32/(E27*E30/1000)</f>
        <v>8.2558955625489663</v>
      </c>
      <c r="F35" s="123">
        <f>F32/(F27*F30/1000)</f>
        <v>24.072693529499407</v>
      </c>
      <c r="G35" s="123"/>
      <c r="H35" s="123">
        <f>H32/(H27*H30/1000)</f>
        <v>15.713623091131106</v>
      </c>
      <c r="I35" s="123">
        <f>I32/(I27*I30/1000)</f>
        <v>24.712691238114967</v>
      </c>
      <c r="J35" s="123">
        <f>J32/(J27*J30/1000)</f>
        <v>33.712256703340586</v>
      </c>
      <c r="K35" s="123"/>
      <c r="L35" s="114"/>
      <c r="M35" s="116"/>
      <c r="N35" s="122" t="s">
        <v>267</v>
      </c>
      <c r="P35" s="70" t="s">
        <v>54</v>
      </c>
      <c r="Q35" s="71">
        <v>9.5</v>
      </c>
      <c r="R35" s="70" t="s">
        <v>1</v>
      </c>
      <c r="S35" s="77"/>
      <c r="T35" s="70" t="s">
        <v>177</v>
      </c>
      <c r="U35" s="71">
        <v>30</v>
      </c>
      <c r="V35" s="69" t="s">
        <v>178</v>
      </c>
      <c r="W35" s="77"/>
      <c r="X35" s="76" t="s">
        <v>278</v>
      </c>
      <c r="Y35" s="89">
        <v>2</v>
      </c>
      <c r="Z35" s="76" t="s">
        <v>225</v>
      </c>
      <c r="AA35" s="77"/>
      <c r="AB35" s="69" t="s">
        <v>519</v>
      </c>
      <c r="AC35" s="71">
        <v>380</v>
      </c>
      <c r="AD35" s="69" t="s">
        <v>0</v>
      </c>
    </row>
    <row r="36" spans="2:31" ht="17.399999999999999" x14ac:dyDescent="0.25">
      <c r="B36" s="114" t="s">
        <v>307</v>
      </c>
      <c r="C36" s="121">
        <f>C32+C30*C20*C27/1000</f>
        <v>108.46662218491798</v>
      </c>
      <c r="D36" s="121">
        <f>D32+D30*D20*D27/1000</f>
        <v>105.80858815757981</v>
      </c>
      <c r="E36" s="121">
        <f>E32+E30*E20*E27/1000</f>
        <v>106.46369290016604</v>
      </c>
      <c r="F36" s="121">
        <f>F32+F30*F20*F27/1000</f>
        <v>314.88729491048838</v>
      </c>
      <c r="G36" s="121"/>
      <c r="H36" s="121">
        <f>H32+H30*H20*H27/1000</f>
        <v>256.78439897107273</v>
      </c>
      <c r="I36" s="121">
        <f>I32+I30*I20*I27/1000</f>
        <v>318.9003287304231</v>
      </c>
      <c r="J36" s="121">
        <f>J32+J30*J20*J27/1000</f>
        <v>370.76228458395451</v>
      </c>
      <c r="K36" s="121"/>
      <c r="L36" s="114" t="s">
        <v>0</v>
      </c>
      <c r="M36" s="116"/>
      <c r="N36" s="122" t="s">
        <v>266</v>
      </c>
      <c r="P36" s="70" t="s">
        <v>285</v>
      </c>
      <c r="Q36" s="71">
        <v>14</v>
      </c>
      <c r="R36" s="70" t="s">
        <v>42</v>
      </c>
      <c r="S36" s="77"/>
      <c r="T36" s="70" t="s">
        <v>179</v>
      </c>
      <c r="U36" s="74">
        <f>U30*SQRT(2)*SIN(U35*PI()/180)</f>
        <v>212.13203435596424</v>
      </c>
      <c r="V36" s="69" t="s">
        <v>180</v>
      </c>
      <c r="W36" s="77"/>
      <c r="X36" s="76" t="s">
        <v>277</v>
      </c>
      <c r="Y36" s="90">
        <f>MIN(Y33,Y35)</f>
        <v>2</v>
      </c>
      <c r="Z36" s="76" t="s">
        <v>225</v>
      </c>
      <c r="AA36" s="77"/>
      <c r="AB36" s="69" t="s">
        <v>64</v>
      </c>
      <c r="AC36" s="71">
        <v>75</v>
      </c>
      <c r="AD36" s="69" t="s">
        <v>2</v>
      </c>
    </row>
    <row r="37" spans="2:31" ht="17.399999999999999" x14ac:dyDescent="0.25">
      <c r="B37" s="114"/>
      <c r="C37" s="120"/>
      <c r="D37" s="120"/>
      <c r="E37" s="120"/>
      <c r="F37" s="120"/>
      <c r="G37" s="120"/>
      <c r="H37" s="120"/>
      <c r="I37" s="120"/>
      <c r="J37" s="120"/>
      <c r="K37" s="120"/>
      <c r="L37" s="114"/>
      <c r="M37" s="116"/>
      <c r="N37" s="114"/>
      <c r="P37" s="70" t="s">
        <v>55</v>
      </c>
      <c r="Q37" s="72">
        <f>(Q34*Q36)/(2*3.1415*Q32*(Q33/1000000))</f>
        <v>150.54117498474449</v>
      </c>
      <c r="R37" s="70" t="s">
        <v>56</v>
      </c>
      <c r="S37" s="77"/>
      <c r="T37" s="70" t="s">
        <v>181</v>
      </c>
      <c r="U37" s="87">
        <f>U24*U28/U36</f>
        <v>18617.838705929324</v>
      </c>
      <c r="V37" s="69" t="s">
        <v>182</v>
      </c>
      <c r="W37" s="77"/>
      <c r="X37" s="76" t="s">
        <v>258</v>
      </c>
      <c r="Y37" s="89">
        <v>30</v>
      </c>
      <c r="Z37" s="76" t="s">
        <v>225</v>
      </c>
      <c r="AA37" s="77"/>
      <c r="AB37" s="69" t="s">
        <v>522</v>
      </c>
      <c r="AC37" s="88">
        <f>AC35</f>
        <v>380</v>
      </c>
      <c r="AD37" s="69" t="s">
        <v>520</v>
      </c>
    </row>
    <row r="38" spans="2:31" ht="17.399999999999999" x14ac:dyDescent="0.25">
      <c r="B38" s="114" t="s">
        <v>86</v>
      </c>
      <c r="C38" s="118">
        <v>1</v>
      </c>
      <c r="D38" s="118">
        <v>1</v>
      </c>
      <c r="E38" s="118">
        <v>1</v>
      </c>
      <c r="F38" s="118">
        <v>1</v>
      </c>
      <c r="G38" s="118"/>
      <c r="H38" s="118">
        <v>1</v>
      </c>
      <c r="I38" s="118">
        <v>1</v>
      </c>
      <c r="J38" s="118">
        <v>1</v>
      </c>
      <c r="K38" s="118"/>
      <c r="L38" s="114"/>
      <c r="M38" s="116"/>
      <c r="N38" s="114" t="s">
        <v>87</v>
      </c>
      <c r="P38" s="70" t="s">
        <v>57</v>
      </c>
      <c r="Q38" s="72">
        <f>Q34*Q36</f>
        <v>747.6</v>
      </c>
      <c r="R38" s="70"/>
      <c r="S38" s="77"/>
      <c r="T38" s="69"/>
      <c r="U38" s="69"/>
      <c r="V38" s="69"/>
      <c r="W38" s="77"/>
      <c r="X38" s="76" t="s">
        <v>276</v>
      </c>
      <c r="Y38" s="95">
        <f>(PI()*(Y37/2)^2)-(PI()*(Y37/2-Y36)^2)</f>
        <v>175.92918860102839</v>
      </c>
      <c r="Z38" s="76" t="s">
        <v>251</v>
      </c>
      <c r="AA38" s="77"/>
      <c r="AB38" s="69" t="s">
        <v>523</v>
      </c>
      <c r="AC38" s="88">
        <f>AC36*1.25</f>
        <v>93.75</v>
      </c>
      <c r="AD38" s="69" t="s">
        <v>521</v>
      </c>
    </row>
    <row r="39" spans="2:31" ht="17.399999999999999" x14ac:dyDescent="0.25">
      <c r="B39" s="114" t="s">
        <v>308</v>
      </c>
      <c r="C39" s="118">
        <f>C10/C38*4/PI()/2^0.5</f>
        <v>449.97809481532158</v>
      </c>
      <c r="D39" s="118">
        <f>D10/D38*4/PI()/2^0.5</f>
        <v>449.97809481532158</v>
      </c>
      <c r="E39" s="118">
        <f>E10/E38*4/PI()/2^0.5</f>
        <v>449.97809481532158</v>
      </c>
      <c r="F39" s="118">
        <f>F10/F38*4/PI()/2^0.5</f>
        <v>449.97809481532158</v>
      </c>
      <c r="G39" s="118"/>
      <c r="H39" s="118">
        <f>H10/H38*4/PI()/2^0.5</f>
        <v>449.97809481532158</v>
      </c>
      <c r="I39" s="118">
        <f>I10/I38*4/PI()/2^0.5</f>
        <v>449.97809481532158</v>
      </c>
      <c r="J39" s="118">
        <f>J10/J38*4/PI()/2^0.5</f>
        <v>449.97809481532158</v>
      </c>
      <c r="K39" s="118"/>
      <c r="L39" s="114" t="s">
        <v>0</v>
      </c>
      <c r="M39" s="116"/>
      <c r="N39" s="114" t="s">
        <v>246</v>
      </c>
      <c r="P39" s="70" t="s">
        <v>527</v>
      </c>
      <c r="Q39" s="72">
        <f>Q37*Q38/1000</f>
        <v>112.54458241859497</v>
      </c>
      <c r="R39" s="70" t="s">
        <v>527</v>
      </c>
      <c r="S39" s="77"/>
      <c r="T39" s="73" t="s">
        <v>183</v>
      </c>
      <c r="U39" s="70"/>
      <c r="V39" s="70"/>
      <c r="W39" s="77"/>
      <c r="X39" s="76" t="s">
        <v>256</v>
      </c>
      <c r="Y39" s="89">
        <v>850</v>
      </c>
      <c r="Z39" s="68" t="s">
        <v>252</v>
      </c>
      <c r="AA39" s="77"/>
      <c r="AB39" s="77"/>
    </row>
    <row r="40" spans="2:31" ht="17.399999999999999" x14ac:dyDescent="0.25">
      <c r="B40" s="114" t="s">
        <v>88</v>
      </c>
      <c r="C40" s="115">
        <v>28</v>
      </c>
      <c r="D40" s="115">
        <v>28</v>
      </c>
      <c r="E40" s="115">
        <v>28</v>
      </c>
      <c r="F40" s="115">
        <v>24</v>
      </c>
      <c r="G40" s="115"/>
      <c r="H40" s="115">
        <v>24</v>
      </c>
      <c r="I40" s="115">
        <v>24</v>
      </c>
      <c r="J40" s="115">
        <v>24</v>
      </c>
      <c r="K40" s="115"/>
      <c r="L40" s="114" t="s">
        <v>42</v>
      </c>
      <c r="M40" s="116">
        <v>7</v>
      </c>
      <c r="N40" s="117" t="s">
        <v>273</v>
      </c>
      <c r="P40" s="70" t="s">
        <v>41</v>
      </c>
      <c r="Q40" s="88">
        <f>Q39/Q35</f>
        <v>11.846798149325787</v>
      </c>
      <c r="R40" s="70"/>
      <c r="S40" s="77"/>
      <c r="T40" s="70" t="s">
        <v>184</v>
      </c>
      <c r="U40" s="74">
        <f>U24*U28/U29/1000</f>
        <v>197.47200000000001</v>
      </c>
      <c r="V40" s="69" t="s">
        <v>180</v>
      </c>
      <c r="W40" s="77"/>
      <c r="X40" s="76" t="s">
        <v>516</v>
      </c>
      <c r="Y40" s="91">
        <f>Y39/Y38</f>
        <v>4.8314893438611097</v>
      </c>
      <c r="Z40" s="68" t="s">
        <v>252</v>
      </c>
      <c r="AA40" s="77"/>
      <c r="AB40" s="235" t="s">
        <v>525</v>
      </c>
      <c r="AC40" s="235"/>
      <c r="AD40" s="235"/>
    </row>
    <row r="41" spans="2:31" ht="17.399999999999999" x14ac:dyDescent="0.25">
      <c r="B41" s="114" t="s">
        <v>89</v>
      </c>
      <c r="C41" s="118">
        <f>ROUND(C39/C40,1)</f>
        <v>16.100000000000001</v>
      </c>
      <c r="D41" s="118">
        <f>ROUND(D39/D40,1)</f>
        <v>16.100000000000001</v>
      </c>
      <c r="E41" s="118">
        <f>ROUND(E39/E40,1)</f>
        <v>16.100000000000001</v>
      </c>
      <c r="F41" s="118">
        <f>ROUND(F39/F40,1)</f>
        <v>18.7</v>
      </c>
      <c r="G41" s="118"/>
      <c r="H41" s="118">
        <f>ROUND(H39/H40,1)</f>
        <v>18.7</v>
      </c>
      <c r="I41" s="118">
        <f>ROUND(I39/I40,1)</f>
        <v>18.7</v>
      </c>
      <c r="J41" s="118">
        <f>ROUND(J39/J40,1)</f>
        <v>18.7</v>
      </c>
      <c r="K41" s="118"/>
      <c r="L41" s="114" t="s">
        <v>0</v>
      </c>
      <c r="M41" s="116"/>
      <c r="N41" s="114" t="s">
        <v>309</v>
      </c>
      <c r="P41" s="77"/>
      <c r="Q41" s="77"/>
      <c r="R41" s="77"/>
      <c r="S41" s="77"/>
      <c r="T41" s="70" t="s">
        <v>185</v>
      </c>
      <c r="U41" s="74">
        <f>U40/SIN(U35*PI()/180)/SQRT(2)</f>
        <v>279.26758058893984</v>
      </c>
      <c r="V41" s="69" t="s">
        <v>171</v>
      </c>
      <c r="W41" s="77"/>
      <c r="X41" s="76" t="s">
        <v>257</v>
      </c>
      <c r="Y41" s="91">
        <f>Y29/100000000*(Y39^2)/(Y38/1000000)*Y34/1000</f>
        <v>483.19176251946334</v>
      </c>
      <c r="Z41" s="68" t="s">
        <v>253</v>
      </c>
      <c r="AA41" s="77"/>
      <c r="AB41" s="69" t="s">
        <v>27</v>
      </c>
      <c r="AC41" s="71">
        <v>0.52800000000000002</v>
      </c>
      <c r="AD41" s="69" t="s">
        <v>28</v>
      </c>
    </row>
    <row r="42" spans="2:31" ht="17.399999999999999" x14ac:dyDescent="0.25">
      <c r="B42" s="114"/>
      <c r="C42" s="120"/>
      <c r="D42" s="120"/>
      <c r="E42" s="120"/>
      <c r="F42" s="120"/>
      <c r="G42" s="120"/>
      <c r="H42" s="120"/>
      <c r="I42" s="120"/>
      <c r="J42" s="120"/>
      <c r="K42" s="120"/>
      <c r="L42" s="114"/>
      <c r="M42" s="116"/>
      <c r="N42" s="114"/>
      <c r="P42" s="236" t="s">
        <v>238</v>
      </c>
      <c r="Q42" s="236"/>
      <c r="R42" s="236"/>
      <c r="S42" s="77"/>
      <c r="T42" s="70" t="s">
        <v>174</v>
      </c>
      <c r="U42" s="87">
        <f>U41*U31</f>
        <v>279.26758058893984</v>
      </c>
      <c r="V42" s="69" t="s">
        <v>171</v>
      </c>
      <c r="W42" s="77"/>
      <c r="X42" s="77"/>
      <c r="Y42" s="77"/>
      <c r="Z42" s="77"/>
      <c r="AA42" s="77"/>
      <c r="AB42" s="69" t="s">
        <v>29</v>
      </c>
      <c r="AC42" s="71">
        <v>0.27</v>
      </c>
      <c r="AD42" s="69" t="s">
        <v>15</v>
      </c>
    </row>
    <row r="43" spans="2:31" ht="17.399999999999999" x14ac:dyDescent="0.25">
      <c r="B43" s="114" t="s">
        <v>72</v>
      </c>
      <c r="C43" s="123">
        <f>C33/C41*100</f>
        <v>93.817967817056854</v>
      </c>
      <c r="D43" s="123">
        <f>D33/D41*100</f>
        <v>88.019105165814665</v>
      </c>
      <c r="E43" s="123">
        <f>E33/E41*100</f>
        <v>86.459949522320372</v>
      </c>
      <c r="F43" s="123">
        <f>F33/F41*100</f>
        <v>78.899813558917543</v>
      </c>
      <c r="G43" s="123"/>
      <c r="H43" s="123">
        <f>H33/H41*100</f>
        <v>97.354103457332997</v>
      </c>
      <c r="I43" s="123">
        <f>I33/I41*100</f>
        <v>77.883282765866241</v>
      </c>
      <c r="J43" s="123">
        <f>J33/J41*100</f>
        <v>66.784364002999808</v>
      </c>
      <c r="K43" s="123"/>
      <c r="L43" s="114" t="s">
        <v>7</v>
      </c>
      <c r="M43" s="116"/>
      <c r="N43" s="124" t="s">
        <v>272</v>
      </c>
      <c r="P43" s="84" t="s">
        <v>18</v>
      </c>
      <c r="Q43" s="85">
        <v>40</v>
      </c>
      <c r="R43" s="84" t="s">
        <v>263</v>
      </c>
      <c r="S43" s="77"/>
      <c r="T43" s="70" t="s">
        <v>186</v>
      </c>
      <c r="U43" s="74">
        <f>U42/U32*100</f>
        <v>93.089193529646607</v>
      </c>
      <c r="V43" s="75" t="s">
        <v>187</v>
      </c>
      <c r="W43" s="77"/>
      <c r="X43" s="235" t="s">
        <v>515</v>
      </c>
      <c r="Y43" s="235"/>
      <c r="Z43" s="235"/>
      <c r="AA43" s="77" t="s">
        <v>528</v>
      </c>
      <c r="AB43" s="69" t="s">
        <v>30</v>
      </c>
      <c r="AC43" s="88">
        <f>1/(2*3.14*SQRT((AC41/1000000)*(AC42/1000000)))</f>
        <v>421736.81406829093</v>
      </c>
      <c r="AD43" s="69" t="s">
        <v>31</v>
      </c>
    </row>
    <row r="44" spans="2:31" ht="17.399999999999999" x14ac:dyDescent="0.25">
      <c r="B44" s="114"/>
      <c r="C44" s="120"/>
      <c r="D44" s="120"/>
      <c r="E44" s="120"/>
      <c r="F44" s="120"/>
      <c r="G44" s="120"/>
      <c r="H44" s="120"/>
      <c r="I44" s="120"/>
      <c r="J44" s="120"/>
      <c r="K44" s="120"/>
      <c r="L44" s="114"/>
      <c r="M44" s="116"/>
      <c r="N44" s="114"/>
      <c r="P44" s="84" t="s">
        <v>100</v>
      </c>
      <c r="Q44" s="85">
        <v>127</v>
      </c>
      <c r="R44" s="84" t="s">
        <v>2</v>
      </c>
      <c r="S44" s="77"/>
      <c r="T44" s="70" t="s">
        <v>188</v>
      </c>
      <c r="U44" s="74">
        <f>U43*U43/100</f>
        <v>86.655979520000002</v>
      </c>
      <c r="V44" s="75" t="s">
        <v>187</v>
      </c>
      <c r="W44" s="77"/>
      <c r="X44" s="69" t="s">
        <v>212</v>
      </c>
      <c r="Y44" s="67" t="s">
        <v>213</v>
      </c>
      <c r="Z44" s="67"/>
      <c r="AA44" s="77"/>
      <c r="AB44" s="77"/>
    </row>
    <row r="45" spans="2:31" ht="17.399999999999999" x14ac:dyDescent="0.25">
      <c r="B45" s="114" t="s">
        <v>90</v>
      </c>
      <c r="C45" s="121">
        <f>C30/C40</f>
        <v>27.309997408434494</v>
      </c>
      <c r="D45" s="121">
        <f>D30/D40</f>
        <v>29.109230923464597</v>
      </c>
      <c r="E45" s="121">
        <f>E30/E40</f>
        <v>29.63416555415602</v>
      </c>
      <c r="F45" s="121">
        <f>F30/F40</f>
        <v>32.618408141483805</v>
      </c>
      <c r="G45" s="121"/>
      <c r="H45" s="121">
        <f>H30/H40</f>
        <v>26.435314275989157</v>
      </c>
      <c r="I45" s="121">
        <f>I30/I40</f>
        <v>33.044142844986446</v>
      </c>
      <c r="J45" s="121">
        <f>J30/J40</f>
        <v>38.535761467102496</v>
      </c>
      <c r="K45" s="121"/>
      <c r="L45" s="114" t="s">
        <v>2</v>
      </c>
      <c r="M45" s="116"/>
      <c r="N45" s="122" t="s">
        <v>627</v>
      </c>
      <c r="P45" s="84" t="s">
        <v>44</v>
      </c>
      <c r="Q45" s="85">
        <v>401</v>
      </c>
      <c r="R45" s="84" t="s">
        <v>0</v>
      </c>
      <c r="S45" s="77"/>
      <c r="T45" s="77"/>
      <c r="U45" s="77"/>
      <c r="V45" s="77"/>
      <c r="W45" s="77"/>
      <c r="X45" s="76" t="s">
        <v>214</v>
      </c>
      <c r="Y45" s="78">
        <v>1.75</v>
      </c>
      <c r="Z45" s="76" t="s">
        <v>215</v>
      </c>
      <c r="AA45" s="77"/>
      <c r="AB45" s="77"/>
    </row>
    <row r="46" spans="2:31" ht="17.399999999999999" x14ac:dyDescent="0.25">
      <c r="B46" s="114" t="s">
        <v>91</v>
      </c>
      <c r="C46" s="118">
        <f>ROUND(C45*2^0.5*2/PI(),0)</f>
        <v>25</v>
      </c>
      <c r="D46" s="118">
        <f>ROUND(D45*2^0.5*2/PI(),0)</f>
        <v>26</v>
      </c>
      <c r="E46" s="118">
        <f>ROUND(E45*2^0.5*2/PI(),0)</f>
        <v>27</v>
      </c>
      <c r="F46" s="118">
        <f>ROUND(F45*2^0.5*2/PI(),0)</f>
        <v>29</v>
      </c>
      <c r="G46" s="118"/>
      <c r="H46" s="118">
        <f>ROUND(H45*2^0.5*2/PI(),0)</f>
        <v>24</v>
      </c>
      <c r="I46" s="118">
        <f>ROUND(I45*2^0.5*2/PI(),0)</f>
        <v>30</v>
      </c>
      <c r="J46" s="118">
        <f>ROUND(J45*2^0.5*2/PI(),0)</f>
        <v>35</v>
      </c>
      <c r="K46" s="118"/>
      <c r="L46" s="114" t="s">
        <v>2</v>
      </c>
      <c r="M46" s="116"/>
      <c r="N46" s="114"/>
      <c r="P46" s="84" t="s">
        <v>491</v>
      </c>
      <c r="Q46" s="85">
        <v>1</v>
      </c>
      <c r="R46" s="84"/>
      <c r="S46" s="77"/>
      <c r="T46" s="235" t="s">
        <v>250</v>
      </c>
      <c r="U46" s="235"/>
      <c r="V46" s="235"/>
      <c r="W46" s="77"/>
      <c r="X46" s="76" t="s">
        <v>216</v>
      </c>
      <c r="Y46" s="79">
        <v>3.8999999999999998E-3</v>
      </c>
      <c r="Z46" s="76" t="s">
        <v>217</v>
      </c>
      <c r="AA46" s="77"/>
      <c r="AB46" s="77"/>
    </row>
    <row r="47" spans="2:31" ht="17.399999999999999" x14ac:dyDescent="0.25">
      <c r="B47" s="114" t="s">
        <v>92</v>
      </c>
      <c r="C47" s="118">
        <f>C46/C38</f>
        <v>25</v>
      </c>
      <c r="D47" s="118">
        <f>D46/D38</f>
        <v>26</v>
      </c>
      <c r="E47" s="118">
        <f>E46/E38</f>
        <v>27</v>
      </c>
      <c r="F47" s="118">
        <f>F46/F38</f>
        <v>29</v>
      </c>
      <c r="G47" s="118"/>
      <c r="H47" s="118">
        <f>H46/H38</f>
        <v>24</v>
      </c>
      <c r="I47" s="118">
        <f>I46/I38</f>
        <v>30</v>
      </c>
      <c r="J47" s="118">
        <f>J46/J38</f>
        <v>35</v>
      </c>
      <c r="K47" s="118"/>
      <c r="L47" s="114" t="s">
        <v>2</v>
      </c>
      <c r="M47" s="116"/>
      <c r="N47" s="114"/>
      <c r="P47" s="84" t="s">
        <v>56</v>
      </c>
      <c r="Q47" s="86">
        <f>Q45*0.9/Q46</f>
        <v>360.90000000000003</v>
      </c>
      <c r="R47" s="84" t="s">
        <v>0</v>
      </c>
      <c r="S47" s="77"/>
      <c r="T47" s="70" t="s">
        <v>156</v>
      </c>
      <c r="U47" s="71">
        <v>5808</v>
      </c>
      <c r="V47" s="70" t="s">
        <v>157</v>
      </c>
      <c r="W47" s="77"/>
      <c r="X47" s="76" t="s">
        <v>218</v>
      </c>
      <c r="Y47" s="80">
        <v>45</v>
      </c>
      <c r="Z47" s="76" t="s">
        <v>48</v>
      </c>
      <c r="AA47" s="77"/>
      <c r="AB47" s="77"/>
    </row>
    <row r="48" spans="2:31" ht="17.399999999999999" x14ac:dyDescent="0.25">
      <c r="B48" s="114" t="s">
        <v>93</v>
      </c>
      <c r="C48" s="118">
        <f>ROUND(C47/C11,3)</f>
        <v>1.25</v>
      </c>
      <c r="D48" s="118">
        <f>ROUND(D47/D11,3)</f>
        <v>1.3</v>
      </c>
      <c r="E48" s="118">
        <f>ROUND(E47/E11,3)</f>
        <v>1.35</v>
      </c>
      <c r="F48" s="118">
        <f>ROUND(F47/F11,3)</f>
        <v>1.45</v>
      </c>
      <c r="G48" s="118"/>
      <c r="H48" s="118">
        <f>ROUND(H47/H11,3)</f>
        <v>1.2</v>
      </c>
      <c r="I48" s="118">
        <f>ROUND(I47/I11,3)</f>
        <v>1.5</v>
      </c>
      <c r="J48" s="118">
        <f>ROUND(J47/J11,3)</f>
        <v>1.75</v>
      </c>
      <c r="K48" s="118"/>
      <c r="L48" s="114"/>
      <c r="M48" s="116"/>
      <c r="N48" s="114"/>
      <c r="P48" s="84" t="s">
        <v>264</v>
      </c>
      <c r="Q48" s="86">
        <f>(Q43*1000)/(Q44*Q45*0.9/Q46)</f>
        <v>0.87270886650390644</v>
      </c>
      <c r="R48" s="84"/>
      <c r="S48" s="77"/>
      <c r="T48" s="70" t="s">
        <v>160</v>
      </c>
      <c r="U48" s="71">
        <v>680</v>
      </c>
      <c r="V48" s="70" t="s">
        <v>161</v>
      </c>
      <c r="W48" s="77"/>
      <c r="X48" s="76" t="s">
        <v>219</v>
      </c>
      <c r="Y48" s="79">
        <f>Y45*(1+Y46*(Y47-20))</f>
        <v>1.9206249999999998</v>
      </c>
      <c r="Z48" s="76" t="s">
        <v>215</v>
      </c>
      <c r="AA48" s="77"/>
      <c r="AB48" s="77"/>
    </row>
    <row r="49" spans="2:28" ht="17.399999999999999" x14ac:dyDescent="0.25">
      <c r="P49" s="84" t="s">
        <v>265</v>
      </c>
      <c r="Q49" s="92">
        <f>DEGREES(ACOS(Q48))</f>
        <v>29.225030363895115</v>
      </c>
      <c r="R49" s="84"/>
      <c r="S49" s="77"/>
      <c r="T49" s="70" t="s">
        <v>163</v>
      </c>
      <c r="U49" s="71">
        <v>300</v>
      </c>
      <c r="V49" s="70" t="s">
        <v>164</v>
      </c>
      <c r="W49" s="77"/>
      <c r="X49" s="76" t="s">
        <v>220</v>
      </c>
      <c r="Y49" s="81">
        <f>1/(Y48/100000000)</f>
        <v>52066384.64041654</v>
      </c>
      <c r="Z49" s="76" t="s">
        <v>221</v>
      </c>
      <c r="AA49" s="77"/>
      <c r="AB49" s="77"/>
    </row>
    <row r="50" spans="2:28" ht="17.399999999999999" x14ac:dyDescent="0.25">
      <c r="B50" s="112" t="s">
        <v>312</v>
      </c>
      <c r="P50" s="77"/>
      <c r="Q50" s="77"/>
      <c r="R50" s="77"/>
      <c r="S50" s="77"/>
      <c r="T50" s="70" t="s">
        <v>166</v>
      </c>
      <c r="U50" s="88">
        <f>U47*U48/U49</f>
        <v>13164.8</v>
      </c>
      <c r="V50" s="70" t="s">
        <v>167</v>
      </c>
      <c r="W50" s="77"/>
      <c r="X50" s="76" t="s">
        <v>222</v>
      </c>
      <c r="Y50" s="67">
        <v>1</v>
      </c>
      <c r="Z50" s="76" t="s">
        <v>223</v>
      </c>
      <c r="AA50" s="77"/>
      <c r="AB50" s="77"/>
    </row>
    <row r="51" spans="2:28" ht="17.399999999999999" x14ac:dyDescent="0.4">
      <c r="B51" s="96" t="s">
        <v>296</v>
      </c>
      <c r="C51" s="98">
        <v>1</v>
      </c>
      <c r="D51" s="98">
        <v>1</v>
      </c>
      <c r="E51" s="98">
        <v>1</v>
      </c>
      <c r="F51" s="98">
        <v>1</v>
      </c>
      <c r="G51" s="98"/>
      <c r="H51" s="98">
        <v>1</v>
      </c>
      <c r="I51" s="98">
        <v>1</v>
      </c>
      <c r="J51" s="98">
        <v>1</v>
      </c>
      <c r="K51" s="98"/>
      <c r="L51" s="96" t="s">
        <v>49</v>
      </c>
      <c r="M51" s="116">
        <v>8</v>
      </c>
      <c r="N51" s="99" t="s">
        <v>300</v>
      </c>
      <c r="P51" s="236" t="s">
        <v>287</v>
      </c>
      <c r="Q51" s="236"/>
      <c r="R51" s="236"/>
      <c r="S51" s="77"/>
      <c r="T51" s="77"/>
      <c r="U51" s="77"/>
      <c r="V51" s="77"/>
      <c r="W51" s="77"/>
      <c r="X51" s="76" t="s">
        <v>37</v>
      </c>
      <c r="Y51" s="82">
        <v>18000</v>
      </c>
      <c r="Z51" s="76" t="s">
        <v>224</v>
      </c>
      <c r="AA51" s="77"/>
      <c r="AB51" s="77"/>
    </row>
    <row r="52" spans="2:28" ht="17.399999999999999" x14ac:dyDescent="0.4">
      <c r="B52" s="96" t="s">
        <v>114</v>
      </c>
      <c r="C52" s="127">
        <f>C45/C51</f>
        <v>27.309997408434494</v>
      </c>
      <c r="D52" s="127">
        <f>D45/D51</f>
        <v>29.109230923464597</v>
      </c>
      <c r="E52" s="127">
        <f>E45/E51</f>
        <v>29.63416555415602</v>
      </c>
      <c r="F52" s="127">
        <f>F45/F51</f>
        <v>32.618408141483805</v>
      </c>
      <c r="G52" s="127"/>
      <c r="H52" s="127">
        <f>H45/H51</f>
        <v>26.435314275989157</v>
      </c>
      <c r="I52" s="127">
        <f>I45/I51</f>
        <v>33.044142844986446</v>
      </c>
      <c r="J52" s="127">
        <f>J45/J51</f>
        <v>38.535761467102496</v>
      </c>
      <c r="K52" s="127"/>
      <c r="L52" s="96" t="s">
        <v>2</v>
      </c>
      <c r="M52" s="116"/>
      <c r="N52" s="96" t="s">
        <v>299</v>
      </c>
      <c r="P52" s="96" t="s">
        <v>316</v>
      </c>
      <c r="Q52" s="97">
        <v>300</v>
      </c>
      <c r="R52" s="96" t="s">
        <v>13</v>
      </c>
      <c r="S52" s="77"/>
      <c r="T52" s="235" t="s">
        <v>328</v>
      </c>
      <c r="U52" s="235"/>
      <c r="V52" s="235"/>
      <c r="W52" s="77"/>
      <c r="X52" s="76" t="s">
        <v>254</v>
      </c>
      <c r="Y52" s="95">
        <f>503.3*SQRT((Y48/100000000)/(Y50*Y51))*1000</f>
        <v>0.51989060179696034</v>
      </c>
      <c r="Z52" s="76" t="s">
        <v>225</v>
      </c>
      <c r="AA52" s="77"/>
      <c r="AB52" s="77"/>
    </row>
    <row r="53" spans="2:28" ht="17.399999999999999" x14ac:dyDescent="0.4">
      <c r="B53" s="96" t="s">
        <v>8</v>
      </c>
      <c r="C53" s="104">
        <v>0</v>
      </c>
      <c r="D53" s="104">
        <v>0</v>
      </c>
      <c r="E53" s="104">
        <v>0</v>
      </c>
      <c r="F53" s="104">
        <v>0</v>
      </c>
      <c r="G53" s="104"/>
      <c r="H53" s="104">
        <v>0</v>
      </c>
      <c r="I53" s="104">
        <v>0</v>
      </c>
      <c r="J53" s="104">
        <v>0</v>
      </c>
      <c r="K53" s="104"/>
      <c r="L53" s="96" t="s">
        <v>45</v>
      </c>
      <c r="M53" s="116">
        <v>9</v>
      </c>
      <c r="N53" s="99" t="s">
        <v>117</v>
      </c>
      <c r="P53" s="96" t="s">
        <v>38</v>
      </c>
      <c r="Q53" s="97">
        <v>1</v>
      </c>
      <c r="R53" s="96" t="s">
        <v>13</v>
      </c>
      <c r="S53" s="77"/>
      <c r="T53" s="84" t="s">
        <v>319</v>
      </c>
      <c r="U53" s="85">
        <v>15.4</v>
      </c>
      <c r="V53" s="84" t="s">
        <v>13</v>
      </c>
      <c r="W53" s="77"/>
      <c r="X53" s="76" t="s">
        <v>255</v>
      </c>
      <c r="Y53" s="89">
        <v>16000</v>
      </c>
      <c r="Z53" s="76" t="s">
        <v>225</v>
      </c>
      <c r="AA53" s="77"/>
      <c r="AB53" s="77"/>
    </row>
    <row r="54" spans="2:28" ht="17.399999999999999" x14ac:dyDescent="0.4">
      <c r="B54" s="96" t="s">
        <v>118</v>
      </c>
      <c r="C54" s="104">
        <v>0</v>
      </c>
      <c r="D54" s="104">
        <v>0</v>
      </c>
      <c r="E54" s="104">
        <v>0</v>
      </c>
      <c r="F54" s="104">
        <v>0</v>
      </c>
      <c r="G54" s="104"/>
      <c r="H54" s="104">
        <v>0</v>
      </c>
      <c r="I54" s="104">
        <v>0</v>
      </c>
      <c r="J54" s="104">
        <v>0</v>
      </c>
      <c r="K54" s="104"/>
      <c r="L54" s="96" t="s">
        <v>0</v>
      </c>
      <c r="M54" s="116">
        <v>10</v>
      </c>
      <c r="N54" s="99" t="s">
        <v>119</v>
      </c>
      <c r="P54" s="96" t="s">
        <v>39</v>
      </c>
      <c r="Q54" s="97">
        <v>100</v>
      </c>
      <c r="R54" s="96" t="s">
        <v>13</v>
      </c>
      <c r="S54" s="77"/>
      <c r="T54" s="84" t="s">
        <v>320</v>
      </c>
      <c r="U54" s="85">
        <v>2</v>
      </c>
      <c r="V54" s="84" t="s">
        <v>13</v>
      </c>
      <c r="W54" s="77"/>
      <c r="X54" s="76" t="s">
        <v>278</v>
      </c>
      <c r="Y54" s="89">
        <v>2</v>
      </c>
      <c r="Z54" s="76" t="s">
        <v>225</v>
      </c>
      <c r="AA54" s="77"/>
      <c r="AB54" s="77"/>
    </row>
    <row r="55" spans="2:28" ht="17.399999999999999" x14ac:dyDescent="0.4">
      <c r="B55" s="96" t="s">
        <v>9</v>
      </c>
      <c r="C55" s="108">
        <f>C54*C53/1000000*C56*1000</f>
        <v>0</v>
      </c>
      <c r="D55" s="108">
        <f>D54*D53/1000000*D56*1000</f>
        <v>0</v>
      </c>
      <c r="E55" s="108">
        <f>E54*E53/1000000*E56*1000</f>
        <v>0</v>
      </c>
      <c r="F55" s="108">
        <f>F54*F53/1000000*F56*1000</f>
        <v>0</v>
      </c>
      <c r="G55" s="108"/>
      <c r="H55" s="108">
        <f>H54*H53/1000000*H56*1000</f>
        <v>0</v>
      </c>
      <c r="I55" s="108">
        <f>I54*I53/1000000*I56*1000</f>
        <v>0</v>
      </c>
      <c r="J55" s="108">
        <f>J54*J53/1000000*J56*1000</f>
        <v>0</v>
      </c>
      <c r="K55" s="108"/>
      <c r="L55" s="96" t="s">
        <v>6</v>
      </c>
      <c r="M55" s="116"/>
      <c r="N55" s="96"/>
      <c r="P55" s="96" t="s">
        <v>75</v>
      </c>
      <c r="Q55" s="102">
        <f>12.5*(Q53/10)*(Q54/10)/(Q52/10)</f>
        <v>0.41666666666666669</v>
      </c>
      <c r="R55" s="96" t="s">
        <v>40</v>
      </c>
      <c r="S55" s="77"/>
      <c r="T55" s="84" t="s">
        <v>321</v>
      </c>
      <c r="U55" s="86">
        <f>U53+U54*2</f>
        <v>19.399999999999999</v>
      </c>
      <c r="V55" s="84" t="s">
        <v>13</v>
      </c>
      <c r="W55" s="77"/>
      <c r="X55" s="76" t="s">
        <v>277</v>
      </c>
      <c r="Y55" s="90">
        <f>MIN(Y52,Y54)</f>
        <v>0.51989060179696034</v>
      </c>
      <c r="Z55" s="76" t="s">
        <v>225</v>
      </c>
      <c r="AA55" s="77"/>
      <c r="AB55" s="77"/>
    </row>
    <row r="56" spans="2:28" ht="17.399999999999999" x14ac:dyDescent="0.4">
      <c r="B56" s="96" t="s">
        <v>116</v>
      </c>
      <c r="C56" s="127">
        <f>C23</f>
        <v>20.001275450499541</v>
      </c>
      <c r="D56" s="127">
        <f>D23</f>
        <v>20.000996075892505</v>
      </c>
      <c r="E56" s="127">
        <f>E23</f>
        <v>19.988936892938707</v>
      </c>
      <c r="F56" s="127">
        <f>F23</f>
        <v>20.258805017150376</v>
      </c>
      <c r="G56" s="127"/>
      <c r="H56" s="127">
        <f>H23</f>
        <v>20.384760349419512</v>
      </c>
      <c r="I56" s="127">
        <f>I23</f>
        <v>20.252653146378186</v>
      </c>
      <c r="J56" s="127">
        <f>J23</f>
        <v>20.190777881591714</v>
      </c>
      <c r="K56" s="127"/>
      <c r="L56" s="96" t="s">
        <v>4</v>
      </c>
      <c r="M56" s="116"/>
      <c r="N56" s="96" t="s">
        <v>115</v>
      </c>
      <c r="T56" s="131" t="s">
        <v>322</v>
      </c>
      <c r="U56" s="132">
        <v>8.8539999999999992E-12</v>
      </c>
      <c r="V56" s="114"/>
      <c r="X56" s="76" t="s">
        <v>259</v>
      </c>
      <c r="Y56" s="89">
        <v>15</v>
      </c>
      <c r="Z56" s="76" t="s">
        <v>225</v>
      </c>
    </row>
    <row r="57" spans="2:28" ht="17.399999999999999" x14ac:dyDescent="0.4">
      <c r="B57" s="96" t="s">
        <v>295</v>
      </c>
      <c r="C57" s="107">
        <f>C52*1.414</f>
        <v>38.61633633552637</v>
      </c>
      <c r="D57" s="107">
        <f>D52*1.414</f>
        <v>41.160452525778936</v>
      </c>
      <c r="E57" s="107">
        <f>E52*1.414</f>
        <v>41.902710093576609</v>
      </c>
      <c r="F57" s="107">
        <f>F52*1.414</f>
        <v>46.1224291120581</v>
      </c>
      <c r="G57" s="107"/>
      <c r="H57" s="107">
        <f>H52*1.414</f>
        <v>37.379534386248665</v>
      </c>
      <c r="I57" s="107">
        <f>I52*1.414</f>
        <v>46.724417982810834</v>
      </c>
      <c r="J57" s="107">
        <f>J52*1.414</f>
        <v>54.489566714482926</v>
      </c>
      <c r="K57" s="107"/>
      <c r="L57" s="96" t="s">
        <v>2</v>
      </c>
      <c r="M57" s="116"/>
      <c r="N57" s="96" t="s">
        <v>301</v>
      </c>
      <c r="P57" s="236" t="s">
        <v>313</v>
      </c>
      <c r="Q57" s="236"/>
      <c r="R57" s="236"/>
      <c r="T57" s="131" t="s">
        <v>323</v>
      </c>
      <c r="U57" s="129">
        <v>2.1</v>
      </c>
      <c r="V57" s="114" t="s">
        <v>318</v>
      </c>
      <c r="X57" s="76" t="s">
        <v>260</v>
      </c>
      <c r="Y57" s="89">
        <v>15</v>
      </c>
      <c r="Z57" s="76" t="s">
        <v>225</v>
      </c>
    </row>
    <row r="58" spans="2:28" ht="17.399999999999999" x14ac:dyDescent="0.4">
      <c r="B58" s="96" t="s">
        <v>120</v>
      </c>
      <c r="C58" s="104">
        <v>0</v>
      </c>
      <c r="D58" s="104">
        <v>0</v>
      </c>
      <c r="E58" s="104">
        <v>0</v>
      </c>
      <c r="F58" s="104">
        <v>0</v>
      </c>
      <c r="G58" s="104"/>
      <c r="H58" s="104">
        <v>0</v>
      </c>
      <c r="I58" s="104">
        <v>0</v>
      </c>
      <c r="J58" s="104">
        <v>0</v>
      </c>
      <c r="K58" s="104"/>
      <c r="L58" s="96" t="s">
        <v>5</v>
      </c>
      <c r="M58" s="116">
        <v>11</v>
      </c>
      <c r="N58" s="99" t="s">
        <v>121</v>
      </c>
      <c r="P58" s="96" t="s">
        <v>314</v>
      </c>
      <c r="Q58" s="97">
        <v>3000</v>
      </c>
      <c r="R58" s="96" t="s">
        <v>50</v>
      </c>
      <c r="T58" s="114" t="s">
        <v>324</v>
      </c>
      <c r="U58" s="132">
        <f>2*PI()*U56*U57/(LN(U55/U53))*1000000000</f>
        <v>0.50594615125588516</v>
      </c>
      <c r="V58" s="114" t="s">
        <v>317</v>
      </c>
      <c r="X58" s="76" t="s">
        <v>274</v>
      </c>
      <c r="Y58" s="95">
        <f>(Y56*Y57)-((Y56-2*Y55)*(Y57-2*Y55))</f>
        <v>30.112291156470377</v>
      </c>
      <c r="Z58" s="76" t="s">
        <v>251</v>
      </c>
    </row>
    <row r="59" spans="2:28" ht="17.399999999999999" x14ac:dyDescent="0.4">
      <c r="B59" s="96" t="s">
        <v>122</v>
      </c>
      <c r="C59" s="108">
        <v>0</v>
      </c>
      <c r="D59" s="108">
        <v>0</v>
      </c>
      <c r="E59" s="108">
        <v>0</v>
      </c>
      <c r="F59" s="108">
        <v>0</v>
      </c>
      <c r="G59" s="108"/>
      <c r="H59" s="108">
        <v>0</v>
      </c>
      <c r="I59" s="108">
        <v>0</v>
      </c>
      <c r="J59" s="108">
        <v>0</v>
      </c>
      <c r="K59" s="108"/>
      <c r="L59" s="96" t="s">
        <v>5</v>
      </c>
      <c r="M59" s="116"/>
      <c r="N59" s="96"/>
      <c r="P59" s="96" t="s">
        <v>38</v>
      </c>
      <c r="Q59" s="97">
        <v>1</v>
      </c>
      <c r="R59" s="96" t="s">
        <v>13</v>
      </c>
      <c r="T59" s="114" t="s">
        <v>325</v>
      </c>
      <c r="U59" s="129">
        <v>10</v>
      </c>
      <c r="V59" s="114" t="s">
        <v>327</v>
      </c>
      <c r="X59" s="76" t="s">
        <v>256</v>
      </c>
      <c r="Y59" s="89">
        <v>935</v>
      </c>
      <c r="Z59" s="68" t="s">
        <v>252</v>
      </c>
    </row>
    <row r="60" spans="2:28" ht="17.399999999999999" x14ac:dyDescent="0.4">
      <c r="B60" s="96" t="s">
        <v>123</v>
      </c>
      <c r="C60" s="108">
        <v>0</v>
      </c>
      <c r="D60" s="108">
        <v>0</v>
      </c>
      <c r="E60" s="108">
        <v>0</v>
      </c>
      <c r="F60" s="108">
        <v>0</v>
      </c>
      <c r="G60" s="108"/>
      <c r="H60" s="108">
        <v>0</v>
      </c>
      <c r="I60" s="108">
        <v>0</v>
      </c>
      <c r="J60" s="108">
        <v>0</v>
      </c>
      <c r="K60" s="108"/>
      <c r="L60" s="96" t="s">
        <v>5</v>
      </c>
      <c r="M60" s="116"/>
      <c r="N60" s="96"/>
      <c r="P60" s="96" t="s">
        <v>315</v>
      </c>
      <c r="Q60" s="97">
        <v>2.1</v>
      </c>
      <c r="R60" s="96" t="s">
        <v>318</v>
      </c>
      <c r="S60" s="2"/>
      <c r="T60" s="114" t="s">
        <v>326</v>
      </c>
      <c r="U60" s="133">
        <f>U58*U59</f>
        <v>5.0594615125588511</v>
      </c>
      <c r="V60" s="114" t="s">
        <v>317</v>
      </c>
      <c r="X60" s="76" t="s">
        <v>516</v>
      </c>
      <c r="Y60" s="91">
        <f>Y59/Y58</f>
        <v>31.050443659086763</v>
      </c>
      <c r="Z60" s="68" t="s">
        <v>252</v>
      </c>
    </row>
    <row r="61" spans="2:28" ht="17.399999999999999" x14ac:dyDescent="0.4">
      <c r="B61" s="96" t="s">
        <v>124</v>
      </c>
      <c r="C61" s="105">
        <f>C58*C56+C59*C56</f>
        <v>0</v>
      </c>
      <c r="D61" s="105">
        <f>D58*D56+D59*D56</f>
        <v>0</v>
      </c>
      <c r="E61" s="105">
        <f>E58*E56+E59*E56</f>
        <v>0</v>
      </c>
      <c r="F61" s="105">
        <f>F58*F56+F59*F56</f>
        <v>0</v>
      </c>
      <c r="G61" s="105"/>
      <c r="H61" s="105">
        <f>H58*H56+H59*H56</f>
        <v>0</v>
      </c>
      <c r="I61" s="105">
        <f>I58*I56+I59*I56</f>
        <v>0</v>
      </c>
      <c r="J61" s="105">
        <f>J58*J56+J59*J56</f>
        <v>0</v>
      </c>
      <c r="K61" s="105"/>
      <c r="L61" s="96" t="s">
        <v>6</v>
      </c>
      <c r="M61" s="116"/>
      <c r="N61" s="96"/>
      <c r="P61" s="96" t="s">
        <v>76</v>
      </c>
      <c r="Q61" s="102">
        <f>8.854/1000000000000*Q60*(Q58/1000000)/(Q59/1000)*1000000000</f>
        <v>5.5780200000000002E-2</v>
      </c>
      <c r="R61" s="96" t="s">
        <v>317</v>
      </c>
      <c r="X61" s="76" t="s">
        <v>257</v>
      </c>
      <c r="Y61" s="91">
        <f>Y48/100000000*(Y59^2)/(Y58/1000000)*Y53/1000</f>
        <v>8921.5842495689321</v>
      </c>
      <c r="Z61" s="68" t="s">
        <v>253</v>
      </c>
    </row>
    <row r="62" spans="2:28" ht="17.399999999999999" x14ac:dyDescent="0.4">
      <c r="B62" s="96" t="s">
        <v>125</v>
      </c>
      <c r="C62" s="108">
        <f>C56*C60</f>
        <v>0</v>
      </c>
      <c r="D62" s="108">
        <f>D56*D60</f>
        <v>0</v>
      </c>
      <c r="E62" s="108">
        <f>E56*E60</f>
        <v>0</v>
      </c>
      <c r="F62" s="108">
        <f>F56*F60</f>
        <v>0</v>
      </c>
      <c r="G62" s="108"/>
      <c r="H62" s="108">
        <f>H56*H60</f>
        <v>0</v>
      </c>
      <c r="I62" s="108">
        <f>I56*I60</f>
        <v>0</v>
      </c>
      <c r="J62" s="108">
        <f>J56*J60</f>
        <v>0</v>
      </c>
      <c r="K62" s="108"/>
      <c r="L62" s="96" t="s">
        <v>6</v>
      </c>
      <c r="M62" s="116"/>
      <c r="N62" s="96"/>
    </row>
    <row r="63" spans="2:28" ht="17.399999999999999" x14ac:dyDescent="0.4">
      <c r="B63" s="96" t="s">
        <v>126</v>
      </c>
      <c r="C63" s="104">
        <v>100</v>
      </c>
      <c r="D63" s="104">
        <v>100</v>
      </c>
      <c r="E63" s="104">
        <v>100</v>
      </c>
      <c r="F63" s="104">
        <v>100</v>
      </c>
      <c r="G63" s="104"/>
      <c r="H63" s="104">
        <v>100</v>
      </c>
      <c r="I63" s="104">
        <v>100</v>
      </c>
      <c r="J63" s="104">
        <v>100</v>
      </c>
      <c r="K63" s="104"/>
      <c r="L63" s="96" t="s">
        <v>7</v>
      </c>
      <c r="M63" s="116">
        <v>12</v>
      </c>
      <c r="N63" s="99" t="s">
        <v>127</v>
      </c>
      <c r="P63" s="234" t="s">
        <v>492</v>
      </c>
      <c r="Q63" s="234"/>
      <c r="R63" s="234"/>
      <c r="S63"/>
      <c r="X63" s="235" t="s">
        <v>512</v>
      </c>
      <c r="Y63" s="235"/>
      <c r="Z63" s="235"/>
    </row>
    <row r="64" spans="2:28" ht="17.399999999999999" x14ac:dyDescent="0.4">
      <c r="B64" s="96" t="s">
        <v>128</v>
      </c>
      <c r="C64" s="109">
        <f>C61*C63/100</f>
        <v>0</v>
      </c>
      <c r="D64" s="109">
        <f>D61*D63/100</f>
        <v>0</v>
      </c>
      <c r="E64" s="109">
        <f>E61*E63/100</f>
        <v>0</v>
      </c>
      <c r="F64" s="109">
        <f>F61*F63/100</f>
        <v>0</v>
      </c>
      <c r="G64" s="109"/>
      <c r="H64" s="109">
        <f>H61*H63/100</f>
        <v>0</v>
      </c>
      <c r="I64" s="109">
        <f>I61*I63/100</f>
        <v>0</v>
      </c>
      <c r="J64" s="109">
        <f>J61*J63/100</f>
        <v>0</v>
      </c>
      <c r="K64" s="109"/>
      <c r="L64" s="96" t="s">
        <v>6</v>
      </c>
      <c r="M64" s="116"/>
      <c r="N64" s="96"/>
      <c r="P64" s="149"/>
      <c r="Q64" s="150" t="s">
        <v>485</v>
      </c>
      <c r="R64" s="150" t="s">
        <v>486</v>
      </c>
      <c r="S64" s="150" t="s">
        <v>487</v>
      </c>
      <c r="X64" s="69" t="s">
        <v>212</v>
      </c>
      <c r="Y64" s="67" t="s">
        <v>213</v>
      </c>
      <c r="Z64" s="67"/>
    </row>
    <row r="65" spans="2:26" ht="17.399999999999999" x14ac:dyDescent="0.4">
      <c r="B65" s="96" t="s">
        <v>129</v>
      </c>
      <c r="C65" s="107">
        <f>C52*0.9</f>
        <v>24.578997667591047</v>
      </c>
      <c r="D65" s="107">
        <f>D52*0.9</f>
        <v>26.198307831118139</v>
      </c>
      <c r="E65" s="107">
        <f>E52*0.9</f>
        <v>26.670748998740418</v>
      </c>
      <c r="F65" s="107">
        <f>F52*0.9</f>
        <v>29.356567327335426</v>
      </c>
      <c r="G65" s="107"/>
      <c r="H65" s="107">
        <f>H52*0.9</f>
        <v>23.791782848390241</v>
      </c>
      <c r="I65" s="107">
        <f>I52*0.9</f>
        <v>29.739728560487801</v>
      </c>
      <c r="J65" s="107">
        <f>J52*0.9</f>
        <v>34.68218532039225</v>
      </c>
      <c r="K65" s="107"/>
      <c r="L65" s="96" t="s">
        <v>2</v>
      </c>
      <c r="M65" s="116"/>
      <c r="N65" s="96"/>
      <c r="P65" s="150" t="s">
        <v>484</v>
      </c>
      <c r="Q65" s="150" t="s">
        <v>490</v>
      </c>
      <c r="R65" s="150" t="s">
        <v>488</v>
      </c>
      <c r="S65" s="150" t="s">
        <v>489</v>
      </c>
      <c r="X65" s="76" t="s">
        <v>214</v>
      </c>
      <c r="Y65" s="78">
        <v>1.75</v>
      </c>
      <c r="Z65" s="76" t="s">
        <v>215</v>
      </c>
    </row>
    <row r="66" spans="2:26" ht="17.399999999999999" x14ac:dyDescent="0.4">
      <c r="B66" s="96" t="s">
        <v>130</v>
      </c>
      <c r="C66" s="104">
        <v>0</v>
      </c>
      <c r="D66" s="104">
        <v>0</v>
      </c>
      <c r="E66" s="104">
        <v>0</v>
      </c>
      <c r="F66" s="104">
        <v>0</v>
      </c>
      <c r="G66" s="104"/>
      <c r="H66" s="104">
        <v>0</v>
      </c>
      <c r="I66" s="104">
        <v>0</v>
      </c>
      <c r="J66" s="104">
        <v>0</v>
      </c>
      <c r="K66" s="104"/>
      <c r="L66" s="96" t="s">
        <v>44</v>
      </c>
      <c r="M66" s="116">
        <v>13</v>
      </c>
      <c r="N66" s="99" t="s">
        <v>131</v>
      </c>
      <c r="P66" s="148">
        <v>0.5</v>
      </c>
      <c r="Q66" s="148"/>
      <c r="R66" s="148">
        <v>2.5</v>
      </c>
      <c r="S66" s="148"/>
      <c r="X66" s="76" t="s">
        <v>216</v>
      </c>
      <c r="Y66" s="79">
        <v>3.8999999999999998E-3</v>
      </c>
      <c r="Z66" s="76" t="s">
        <v>217</v>
      </c>
    </row>
    <row r="67" spans="2:26" ht="17.399999999999999" x14ac:dyDescent="0.4">
      <c r="B67" s="96" t="s">
        <v>132</v>
      </c>
      <c r="C67" s="104">
        <v>0</v>
      </c>
      <c r="D67" s="104">
        <v>0</v>
      </c>
      <c r="E67" s="104">
        <v>0</v>
      </c>
      <c r="F67" s="104">
        <v>0</v>
      </c>
      <c r="G67" s="104"/>
      <c r="H67" s="104">
        <v>0</v>
      </c>
      <c r="I67" s="104">
        <v>0</v>
      </c>
      <c r="J67" s="104">
        <v>0</v>
      </c>
      <c r="K67" s="104"/>
      <c r="L67" s="96" t="s">
        <v>44</v>
      </c>
      <c r="M67" s="116">
        <v>14</v>
      </c>
      <c r="N67" s="99" t="s">
        <v>133</v>
      </c>
      <c r="P67" s="148">
        <v>0.8</v>
      </c>
      <c r="Q67" s="148">
        <v>2</v>
      </c>
      <c r="R67" s="148">
        <v>1.42</v>
      </c>
      <c r="S67" s="148"/>
      <c r="X67" s="76" t="s">
        <v>218</v>
      </c>
      <c r="Y67" s="80">
        <v>45</v>
      </c>
      <c r="Z67" s="76" t="s">
        <v>48</v>
      </c>
    </row>
    <row r="68" spans="2:26" ht="17.399999999999999" x14ac:dyDescent="0.4">
      <c r="B68" s="96" t="s">
        <v>72</v>
      </c>
      <c r="C68" s="108">
        <f>C43</f>
        <v>93.817967817056854</v>
      </c>
      <c r="D68" s="108">
        <f>D43</f>
        <v>88.019105165814665</v>
      </c>
      <c r="E68" s="108">
        <f>E43</f>
        <v>86.459949522320372</v>
      </c>
      <c r="F68" s="108">
        <f>F43</f>
        <v>78.899813558917543</v>
      </c>
      <c r="G68" s="108"/>
      <c r="H68" s="108">
        <f>H43</f>
        <v>97.354103457332997</v>
      </c>
      <c r="I68" s="108">
        <f>I43</f>
        <v>77.883282765866241</v>
      </c>
      <c r="J68" s="108">
        <f>J43</f>
        <v>66.784364002999808</v>
      </c>
      <c r="K68" s="108"/>
      <c r="L68" s="96" t="s">
        <v>7</v>
      </c>
      <c r="M68" s="116"/>
      <c r="N68" s="99"/>
      <c r="P68" s="148">
        <v>1</v>
      </c>
      <c r="Q68" s="148">
        <v>2</v>
      </c>
      <c r="R68" s="148">
        <v>1.4</v>
      </c>
      <c r="S68" s="148"/>
      <c r="X68" s="76" t="s">
        <v>219</v>
      </c>
      <c r="Y68" s="79">
        <f>Y65*(1+Y66*(Y67-20))</f>
        <v>1.9206249999999998</v>
      </c>
      <c r="Z68" s="76" t="s">
        <v>215</v>
      </c>
    </row>
    <row r="69" spans="2:26" ht="17.399999999999999" x14ac:dyDescent="0.4">
      <c r="B69" s="96" t="s">
        <v>134</v>
      </c>
      <c r="C69" s="108">
        <f>C19</f>
        <v>30</v>
      </c>
      <c r="D69" s="108">
        <f>D19</f>
        <v>30</v>
      </c>
      <c r="E69" s="108">
        <f>E19</f>
        <v>30</v>
      </c>
      <c r="F69" s="108">
        <f>F19</f>
        <v>30</v>
      </c>
      <c r="G69" s="108"/>
      <c r="H69" s="108">
        <f>H19</f>
        <v>30</v>
      </c>
      <c r="I69" s="108">
        <f>I19</f>
        <v>30</v>
      </c>
      <c r="J69" s="108">
        <f>J19</f>
        <v>30</v>
      </c>
      <c r="K69" s="108"/>
      <c r="L69" s="96" t="s">
        <v>79</v>
      </c>
      <c r="M69" s="116"/>
      <c r="N69" s="96"/>
      <c r="P69" s="148">
        <v>1.2</v>
      </c>
      <c r="Q69" s="148"/>
      <c r="R69" s="148">
        <v>1.04</v>
      </c>
      <c r="S69" s="148"/>
      <c r="X69" s="76" t="s">
        <v>220</v>
      </c>
      <c r="Y69" s="81">
        <f>1/(Y68/100000000)</f>
        <v>52066384.64041654</v>
      </c>
      <c r="Z69" s="76" t="s">
        <v>221</v>
      </c>
    </row>
    <row r="70" spans="2:26" ht="17.399999999999999" x14ac:dyDescent="0.4">
      <c r="B70" s="96" t="s">
        <v>135</v>
      </c>
      <c r="C70" s="108">
        <f>ROUNDUP((C65*C66*((C68*180/100-C69)/180))/2,0)</f>
        <v>0</v>
      </c>
      <c r="D70" s="108">
        <f>ROUNDUP((D65*D66*((D68*180/100-D69)/180))/2,0)</f>
        <v>0</v>
      </c>
      <c r="E70" s="108">
        <f>ROUNDUP((E65*E66*((E68*180/100-E69)/180))/2,0)</f>
        <v>0</v>
      </c>
      <c r="F70" s="108">
        <f>ROUNDUP((F65*F66*((F68*180/100-F69)/180))/2,0)</f>
        <v>0</v>
      </c>
      <c r="G70" s="108"/>
      <c r="H70" s="108">
        <f>ROUNDUP((H65*H66*((H68*180/100-H69)/180))/2,0)</f>
        <v>0</v>
      </c>
      <c r="I70" s="108">
        <f>ROUNDUP((I65*I66*((I68*180/100-I69)/180))/2,0)</f>
        <v>0</v>
      </c>
      <c r="J70" s="108">
        <f>ROUNDUP((J65*J66*((J68*180/100-J69)/180))/2,0)</f>
        <v>0</v>
      </c>
      <c r="K70" s="108"/>
      <c r="L70" s="96" t="s">
        <v>6</v>
      </c>
      <c r="M70" s="116"/>
      <c r="N70" s="96"/>
      <c r="P70" s="148">
        <v>2</v>
      </c>
      <c r="Q70" s="148">
        <v>1.1200000000000001</v>
      </c>
      <c r="R70" s="148">
        <v>0.75</v>
      </c>
      <c r="S70" s="148"/>
      <c r="X70" s="76" t="s">
        <v>222</v>
      </c>
      <c r="Y70" s="67">
        <v>1</v>
      </c>
      <c r="Z70" s="76" t="s">
        <v>223</v>
      </c>
    </row>
    <row r="71" spans="2:26" ht="17.399999999999999" x14ac:dyDescent="0.4">
      <c r="B71" s="96" t="s">
        <v>136</v>
      </c>
      <c r="C71" s="108">
        <f>ROUNDUP((C65*C67*(1-(C68*180/100-C69)/180))/2,0)</f>
        <v>0</v>
      </c>
      <c r="D71" s="108">
        <f>ROUNDUP((D65*D67*(1-(D68*180/100-D69)/180))/2,0)</f>
        <v>0</v>
      </c>
      <c r="E71" s="108">
        <f>ROUNDUP((E65*E67*(1-(E68*180/100-E69)/180))/2,0)</f>
        <v>0</v>
      </c>
      <c r="F71" s="108">
        <f>ROUNDUP((F65*F67*(1-(F68*180/100-F69)/180))/2,0)</f>
        <v>0</v>
      </c>
      <c r="G71" s="108"/>
      <c r="H71" s="108">
        <f>ROUNDUP((H65*H67*(1-(H68*180/100-H69)/180))/2,0)</f>
        <v>0</v>
      </c>
      <c r="I71" s="108">
        <f>ROUNDUP((I65*I67*(1-(I68*180/100-I69)/180))/2,0)</f>
        <v>0</v>
      </c>
      <c r="J71" s="108">
        <f>ROUNDUP((J65*J67*(1-(J68*180/100-J69)/180))/2,0)</f>
        <v>0</v>
      </c>
      <c r="K71" s="108"/>
      <c r="L71" s="96" t="s">
        <v>6</v>
      </c>
      <c r="M71" s="116"/>
      <c r="N71" s="96"/>
      <c r="P71" s="148">
        <v>3</v>
      </c>
      <c r="Q71" s="148">
        <v>0.71</v>
      </c>
      <c r="R71" s="148">
        <v>0.57999999999999996</v>
      </c>
      <c r="S71" s="148"/>
      <c r="X71" s="76" t="s">
        <v>255</v>
      </c>
      <c r="Y71" s="89">
        <v>6126</v>
      </c>
      <c r="Z71" s="76" t="s">
        <v>225</v>
      </c>
    </row>
    <row r="72" spans="2:26" ht="17.399999999999999" x14ac:dyDescent="0.4">
      <c r="B72" s="96" t="s">
        <v>69</v>
      </c>
      <c r="C72" s="109">
        <f>ROUNDUP(((C65*C66*(((C68*180/100-C69)/180))+(C65*C67*(1-(C68*180/100-C69)/180))))/2,0)</f>
        <v>0</v>
      </c>
      <c r="D72" s="109">
        <f>ROUNDUP(((D65*D66*(((D68*180/100-D69)/180))+(D65*D67*(1-(D68*180/100-D69)/180))))/2,0)</f>
        <v>0</v>
      </c>
      <c r="E72" s="109">
        <f>ROUNDUP(((E65*E66*(((E68*180/100-E69)/180))+(E65*E67*(1-(E68*180/100-E69)/180))))/2,0)</f>
        <v>0</v>
      </c>
      <c r="F72" s="109">
        <f>ROUNDUP(((F65*F66*(((F68*180/100-F69)/180))+(F65*F67*(1-(F68*180/100-F69)/180))))/2,0)</f>
        <v>0</v>
      </c>
      <c r="G72" s="109"/>
      <c r="H72" s="109">
        <f>ROUNDUP(((H65*H66*(((H68*180/100-H69)/180))+(H65*H67*(1-(H68*180/100-H69)/180))))/2,0)</f>
        <v>0</v>
      </c>
      <c r="I72" s="109">
        <f>ROUNDUP(((I65*I66*(((I68*180/100-I69)/180))+(I65*I67*(1-(I68*180/100-I69)/180))))/2,0)</f>
        <v>0</v>
      </c>
      <c r="J72" s="109">
        <f>ROUNDUP(((J65*J66*(((J68*180/100-J69)/180))+(J65*J67*(1-(J68*180/100-J69)/180))))/2,0)</f>
        <v>0</v>
      </c>
      <c r="K72" s="109"/>
      <c r="L72" s="96" t="s">
        <v>6</v>
      </c>
      <c r="M72" s="116"/>
      <c r="N72" s="96"/>
      <c r="P72" s="148">
        <v>5</v>
      </c>
      <c r="Q72" s="148">
        <v>0.43</v>
      </c>
      <c r="R72" s="148">
        <v>0.36</v>
      </c>
      <c r="S72" s="148"/>
      <c r="X72" s="76" t="s">
        <v>279</v>
      </c>
      <c r="Y72" s="89">
        <v>2</v>
      </c>
      <c r="Z72" s="76" t="s">
        <v>225</v>
      </c>
    </row>
    <row r="73" spans="2:26" ht="17.399999999999999" x14ac:dyDescent="0.4">
      <c r="B73" s="96" t="s">
        <v>297</v>
      </c>
      <c r="C73" s="108">
        <f>C64+C70</f>
        <v>0</v>
      </c>
      <c r="D73" s="108">
        <f>D64+D70</f>
        <v>0</v>
      </c>
      <c r="E73" s="108">
        <f>E64+E70</f>
        <v>0</v>
      </c>
      <c r="F73" s="108">
        <f>F64+F70</f>
        <v>0</v>
      </c>
      <c r="G73" s="108"/>
      <c r="H73" s="108">
        <f>H64+H70</f>
        <v>0</v>
      </c>
      <c r="I73" s="108">
        <f>I64+I70</f>
        <v>0</v>
      </c>
      <c r="J73" s="108">
        <f>J64+J70</f>
        <v>0</v>
      </c>
      <c r="K73" s="108"/>
      <c r="L73" s="96" t="s">
        <v>6</v>
      </c>
      <c r="M73" s="116"/>
      <c r="N73" s="96"/>
      <c r="P73" s="148">
        <v>6</v>
      </c>
      <c r="Q73" s="148"/>
      <c r="R73" s="148">
        <v>0.34</v>
      </c>
      <c r="S73" s="148">
        <v>0.62</v>
      </c>
      <c r="X73" s="76" t="s">
        <v>275</v>
      </c>
      <c r="Y73" s="89">
        <v>60</v>
      </c>
      <c r="Z73" s="76" t="s">
        <v>225</v>
      </c>
    </row>
    <row r="74" spans="2:26" ht="17.399999999999999" x14ac:dyDescent="0.4">
      <c r="B74" s="96" t="s">
        <v>298</v>
      </c>
      <c r="C74" s="108">
        <f>C71+C62</f>
        <v>0</v>
      </c>
      <c r="D74" s="108">
        <f>D71+D62</f>
        <v>0</v>
      </c>
      <c r="E74" s="108">
        <f>E71+E62</f>
        <v>0</v>
      </c>
      <c r="F74" s="108">
        <f>F71+F62</f>
        <v>0</v>
      </c>
      <c r="G74" s="108"/>
      <c r="H74" s="108">
        <f>H71+H62</f>
        <v>0</v>
      </c>
      <c r="I74" s="108">
        <f>I71+I62</f>
        <v>0</v>
      </c>
      <c r="J74" s="108">
        <f>J71+J62</f>
        <v>0</v>
      </c>
      <c r="K74" s="108"/>
      <c r="L74" s="96" t="s">
        <v>6</v>
      </c>
      <c r="M74" s="116"/>
      <c r="N74" s="96"/>
      <c r="P74" s="148">
        <v>8</v>
      </c>
      <c r="Q74" s="148">
        <v>0.3</v>
      </c>
      <c r="R74" s="148">
        <v>0.25</v>
      </c>
      <c r="S74" s="148"/>
      <c r="X74" s="76" t="s">
        <v>274</v>
      </c>
      <c r="Y74" s="95">
        <f>Y72*Y73</f>
        <v>120</v>
      </c>
      <c r="Z74" s="76" t="s">
        <v>251</v>
      </c>
    </row>
    <row r="75" spans="2:26" ht="17.399999999999999" x14ac:dyDescent="0.4">
      <c r="B75" s="96" t="s">
        <v>305</v>
      </c>
      <c r="C75" s="109">
        <f>ROUNDUP((C55+C64+C72),0)</f>
        <v>0</v>
      </c>
      <c r="D75" s="109">
        <f>ROUNDUP((D55+D64+D72),0)</f>
        <v>0</v>
      </c>
      <c r="E75" s="109">
        <f>ROUNDUP((E55+E64+E72),0)</f>
        <v>0</v>
      </c>
      <c r="F75" s="109">
        <f>ROUNDUP((F55+F64+F72),0)</f>
        <v>0</v>
      </c>
      <c r="G75" s="109"/>
      <c r="H75" s="109">
        <f>ROUNDUP((H55+H64+H72),0)</f>
        <v>0</v>
      </c>
      <c r="I75" s="109">
        <f>ROUNDUP((I55+I64+I72),0)</f>
        <v>0</v>
      </c>
      <c r="J75" s="109">
        <f>ROUNDUP((J55+J64+J72),0)</f>
        <v>0</v>
      </c>
      <c r="K75" s="109"/>
      <c r="L75" s="96" t="s">
        <v>6</v>
      </c>
      <c r="M75" s="116"/>
      <c r="N75" s="96"/>
      <c r="P75" s="148">
        <v>10</v>
      </c>
      <c r="Q75" s="148"/>
      <c r="R75" s="148"/>
      <c r="S75" s="148">
        <v>0.45</v>
      </c>
      <c r="X75" s="76" t="s">
        <v>256</v>
      </c>
      <c r="Y75" s="89">
        <v>850</v>
      </c>
      <c r="Z75" s="68" t="s">
        <v>252</v>
      </c>
    </row>
    <row r="76" spans="2:26" ht="17.399999999999999" x14ac:dyDescent="0.4">
      <c r="B76" s="96" t="s">
        <v>137</v>
      </c>
      <c r="C76" s="185">
        <v>2</v>
      </c>
      <c r="D76" s="185">
        <v>2</v>
      </c>
      <c r="E76" s="185">
        <v>2</v>
      </c>
      <c r="F76" s="185">
        <v>2</v>
      </c>
      <c r="G76" s="185"/>
      <c r="H76" s="185">
        <v>2</v>
      </c>
      <c r="I76" s="185">
        <v>2</v>
      </c>
      <c r="J76" s="185">
        <v>2</v>
      </c>
      <c r="K76" s="185"/>
      <c r="L76" s="96"/>
      <c r="M76" s="116">
        <v>15</v>
      </c>
      <c r="N76" s="99" t="s">
        <v>304</v>
      </c>
      <c r="P76" s="148">
        <v>15</v>
      </c>
      <c r="Q76" s="148"/>
      <c r="R76" s="148"/>
      <c r="S76" s="148">
        <v>0.4</v>
      </c>
      <c r="X76" s="76" t="s">
        <v>516</v>
      </c>
      <c r="Y76" s="91">
        <f>Y75/Y74</f>
        <v>7.083333333333333</v>
      </c>
      <c r="Z76" s="68" t="s">
        <v>252</v>
      </c>
    </row>
    <row r="77" spans="2:26" ht="17.399999999999999" x14ac:dyDescent="0.4">
      <c r="B77" s="96" t="s">
        <v>70</v>
      </c>
      <c r="C77" s="110">
        <f>C75*C76</f>
        <v>0</v>
      </c>
      <c r="D77" s="110">
        <f>D75*D76</f>
        <v>0</v>
      </c>
      <c r="E77" s="110">
        <f>E75*E76</f>
        <v>0</v>
      </c>
      <c r="F77" s="110">
        <f>F75*F76</f>
        <v>0</v>
      </c>
      <c r="G77" s="110"/>
      <c r="H77" s="110">
        <f>H75*H76</f>
        <v>0</v>
      </c>
      <c r="I77" s="110">
        <f>I75*I76</f>
        <v>0</v>
      </c>
      <c r="J77" s="110">
        <f>J75*J76</f>
        <v>0</v>
      </c>
      <c r="K77" s="110"/>
      <c r="L77" s="96" t="s">
        <v>46</v>
      </c>
      <c r="M77" s="116"/>
      <c r="N77" s="96"/>
      <c r="P77" s="148">
        <v>20</v>
      </c>
      <c r="Q77" s="148"/>
      <c r="R77" s="148"/>
      <c r="S77" s="148">
        <v>0.35</v>
      </c>
      <c r="X77" s="76" t="s">
        <v>257</v>
      </c>
      <c r="Y77" s="91">
        <f>Y68/100000000*(Y75^2)/(Y74/1000000)*Y71/1000</f>
        <v>708.39612265624987</v>
      </c>
      <c r="Z77" s="68" t="s">
        <v>253</v>
      </c>
    </row>
    <row r="78" spans="2:26" ht="17.399999999999999" x14ac:dyDescent="0.4">
      <c r="B78" s="96" t="s">
        <v>43</v>
      </c>
      <c r="C78" s="111">
        <v>1950</v>
      </c>
      <c r="D78" s="111">
        <v>1950</v>
      </c>
      <c r="E78" s="111">
        <v>1950</v>
      </c>
      <c r="F78" s="111">
        <v>1950</v>
      </c>
      <c r="G78" s="111"/>
      <c r="H78" s="111">
        <v>1950</v>
      </c>
      <c r="I78" s="111">
        <v>1950</v>
      </c>
      <c r="J78" s="111">
        <v>1950</v>
      </c>
      <c r="K78" s="111"/>
      <c r="L78" s="96" t="s">
        <v>6</v>
      </c>
      <c r="M78" s="116">
        <v>16</v>
      </c>
      <c r="N78" s="99" t="s">
        <v>117</v>
      </c>
      <c r="P78" s="148">
        <v>30</v>
      </c>
      <c r="Q78" s="148"/>
      <c r="R78" s="148"/>
      <c r="S78" s="148">
        <v>0.28939999999999999</v>
      </c>
    </row>
    <row r="79" spans="2:26" ht="17.399999999999999" x14ac:dyDescent="0.4">
      <c r="B79" s="96" t="s">
        <v>302</v>
      </c>
      <c r="C79" s="110">
        <f>ROUNDUP(C77/C78*100,0)</f>
        <v>0</v>
      </c>
      <c r="D79" s="110">
        <f>ROUNDUP(D77/D78*100,0)</f>
        <v>0</v>
      </c>
      <c r="E79" s="110">
        <f>ROUNDUP(E77/E78*100,0)</f>
        <v>0</v>
      </c>
      <c r="F79" s="110">
        <f>ROUNDUP(F77/F78*100,0)</f>
        <v>0</v>
      </c>
      <c r="G79" s="110"/>
      <c r="H79" s="110">
        <f>ROUNDUP(H77/H78*100,0)</f>
        <v>0</v>
      </c>
      <c r="I79" s="110">
        <f>ROUNDUP(I77/I78*100,0)</f>
        <v>0</v>
      </c>
      <c r="J79" s="110">
        <f>ROUNDUP(J77/J78*100,0)</f>
        <v>0</v>
      </c>
      <c r="K79" s="110"/>
      <c r="L79" s="96" t="s">
        <v>7</v>
      </c>
      <c r="M79" s="116"/>
      <c r="N79" s="99" t="s">
        <v>303</v>
      </c>
      <c r="P79" s="148">
        <v>50</v>
      </c>
      <c r="Q79" s="148"/>
      <c r="R79" s="148"/>
      <c r="S79" s="148">
        <v>0.224</v>
      </c>
    </row>
    <row r="80" spans="2:26" ht="17.399999999999999" x14ac:dyDescent="0.4">
      <c r="B80" s="96" t="s">
        <v>138</v>
      </c>
      <c r="C80" s="134">
        <v>9.2999999999999999E-2</v>
      </c>
      <c r="D80" s="134">
        <v>9.2999999999999999E-2</v>
      </c>
      <c r="E80" s="134">
        <v>9.2999999999999999E-2</v>
      </c>
      <c r="F80" s="134">
        <v>9.2999999999999999E-2</v>
      </c>
      <c r="G80" s="134"/>
      <c r="H80" s="134">
        <v>9.2999999999999999E-2</v>
      </c>
      <c r="I80" s="134">
        <v>9.2999999999999999E-2</v>
      </c>
      <c r="J80" s="134">
        <v>9.2999999999999999E-2</v>
      </c>
      <c r="K80" s="134"/>
      <c r="L80" s="96" t="s">
        <v>58</v>
      </c>
      <c r="M80" s="116">
        <v>17</v>
      </c>
      <c r="N80" s="125" t="s">
        <v>117</v>
      </c>
      <c r="P80" s="148">
        <v>100</v>
      </c>
      <c r="Q80" s="148"/>
      <c r="R80" s="148"/>
      <c r="S80" s="148">
        <v>0.161</v>
      </c>
    </row>
    <row r="81" spans="2:19" ht="17.399999999999999" x14ac:dyDescent="0.4">
      <c r="B81" s="96" t="s">
        <v>286</v>
      </c>
      <c r="C81" s="134">
        <v>0.15</v>
      </c>
      <c r="D81" s="134">
        <v>0.15</v>
      </c>
      <c r="E81" s="134">
        <v>0.15</v>
      </c>
      <c r="F81" s="134">
        <v>0.15</v>
      </c>
      <c r="G81" s="134"/>
      <c r="H81" s="134">
        <v>0.15</v>
      </c>
      <c r="I81" s="134">
        <v>0.15</v>
      </c>
      <c r="J81" s="134">
        <v>0.15</v>
      </c>
      <c r="K81" s="134"/>
      <c r="L81" s="96" t="s">
        <v>58</v>
      </c>
      <c r="M81" s="116">
        <v>18</v>
      </c>
      <c r="N81" s="125" t="s">
        <v>117</v>
      </c>
      <c r="P81" s="148">
        <v>200</v>
      </c>
      <c r="Q81" s="148"/>
      <c r="R81" s="148"/>
      <c r="S81" s="148">
        <v>7.7600000000000002E-2</v>
      </c>
    </row>
    <row r="82" spans="2:19" ht="17.399999999999999" x14ac:dyDescent="0.4">
      <c r="B82" s="96" t="s">
        <v>139</v>
      </c>
      <c r="C82" s="100">
        <f t="shared" ref="C82:D83" si="2">125-C80*C73</f>
        <v>125</v>
      </c>
      <c r="D82" s="100">
        <f t="shared" si="2"/>
        <v>125</v>
      </c>
      <c r="E82" s="100">
        <f t="shared" ref="E82" si="3">125-E80*E73</f>
        <v>125</v>
      </c>
      <c r="F82" s="100">
        <f t="shared" ref="F82:F83" si="4">125-F80*F73</f>
        <v>125</v>
      </c>
      <c r="G82" s="100"/>
      <c r="H82" s="100">
        <f t="shared" ref="H82:J82" si="5">125-H80*H73</f>
        <v>125</v>
      </c>
      <c r="I82" s="100">
        <f t="shared" si="5"/>
        <v>125</v>
      </c>
      <c r="J82" s="100">
        <f t="shared" si="5"/>
        <v>125</v>
      </c>
      <c r="K82" s="100"/>
      <c r="L82" s="101" t="s">
        <v>59</v>
      </c>
      <c r="M82" s="116"/>
      <c r="N82" s="99" t="s">
        <v>140</v>
      </c>
      <c r="P82" s="148">
        <v>300</v>
      </c>
      <c r="Q82" s="148"/>
      <c r="R82" s="148"/>
      <c r="S82" s="148">
        <v>5.2400000000000002E-2</v>
      </c>
    </row>
    <row r="83" spans="2:19" ht="17.399999999999999" x14ac:dyDescent="0.4">
      <c r="B83" s="96" t="s">
        <v>141</v>
      </c>
      <c r="C83" s="127">
        <f t="shared" si="2"/>
        <v>125</v>
      </c>
      <c r="D83" s="127">
        <f t="shared" si="2"/>
        <v>125</v>
      </c>
      <c r="E83" s="127">
        <f t="shared" ref="E83" si="6">125-E81*E74</f>
        <v>125</v>
      </c>
      <c r="F83" s="127">
        <f t="shared" si="4"/>
        <v>125</v>
      </c>
      <c r="G83" s="127"/>
      <c r="H83" s="127">
        <f t="shared" ref="H83:J83" si="7">125-H81*H74</f>
        <v>125</v>
      </c>
      <c r="I83" s="127">
        <f t="shared" si="7"/>
        <v>125</v>
      </c>
      <c r="J83" s="127">
        <f t="shared" si="7"/>
        <v>125</v>
      </c>
      <c r="K83" s="127"/>
      <c r="L83" s="101" t="s">
        <v>59</v>
      </c>
      <c r="M83" s="116"/>
      <c r="N83" s="96"/>
    </row>
    <row r="84" spans="2:19" ht="17.399999999999999" x14ac:dyDescent="0.4">
      <c r="B84" s="96" t="s">
        <v>142</v>
      </c>
      <c r="C84" s="127">
        <f t="shared" ref="C84:D85" si="8">C80*C73</f>
        <v>0</v>
      </c>
      <c r="D84" s="127">
        <f t="shared" si="8"/>
        <v>0</v>
      </c>
      <c r="E84" s="127">
        <f t="shared" ref="E84" si="9">E80*E73</f>
        <v>0</v>
      </c>
      <c r="F84" s="127">
        <f t="shared" ref="F84:F85" si="10">F80*F73</f>
        <v>0</v>
      </c>
      <c r="G84" s="127"/>
      <c r="H84" s="127">
        <f t="shared" ref="H84:J84" si="11">H80*H73</f>
        <v>0</v>
      </c>
      <c r="I84" s="127">
        <f t="shared" si="11"/>
        <v>0</v>
      </c>
      <c r="J84" s="127">
        <f t="shared" si="11"/>
        <v>0</v>
      </c>
      <c r="K84" s="127"/>
      <c r="L84" s="101" t="s">
        <v>59</v>
      </c>
      <c r="M84" s="116"/>
      <c r="N84" s="96"/>
      <c r="P84" s="234" t="s">
        <v>503</v>
      </c>
      <c r="Q84" s="234"/>
      <c r="R84" s="234"/>
    </row>
    <row r="85" spans="2:19" ht="17.399999999999999" x14ac:dyDescent="0.4">
      <c r="B85" s="96" t="s">
        <v>143</v>
      </c>
      <c r="C85" s="127">
        <f t="shared" si="8"/>
        <v>0</v>
      </c>
      <c r="D85" s="127">
        <f t="shared" si="8"/>
        <v>0</v>
      </c>
      <c r="E85" s="127">
        <f t="shared" ref="E85" si="12">E81*E74</f>
        <v>0</v>
      </c>
      <c r="F85" s="127">
        <f t="shared" si="10"/>
        <v>0</v>
      </c>
      <c r="G85" s="127"/>
      <c r="H85" s="127">
        <f t="shared" ref="H85:J85" si="13">H81*H74</f>
        <v>0</v>
      </c>
      <c r="I85" s="127">
        <f t="shared" si="13"/>
        <v>0</v>
      </c>
      <c r="J85" s="127">
        <f t="shared" si="13"/>
        <v>0</v>
      </c>
      <c r="K85" s="127"/>
      <c r="L85" s="101" t="s">
        <v>59</v>
      </c>
      <c r="M85" s="116"/>
      <c r="N85" s="96"/>
      <c r="P85" s="151" t="s">
        <v>495</v>
      </c>
      <c r="Q85" s="151" t="s">
        <v>501</v>
      </c>
      <c r="R85" s="151"/>
    </row>
    <row r="86" spans="2:19" ht="17.399999999999999" x14ac:dyDescent="0.4">
      <c r="B86" s="96" t="s">
        <v>144</v>
      </c>
      <c r="C86" s="134">
        <v>3.2000000000000001E-2</v>
      </c>
      <c r="D86" s="134">
        <v>3.2000000000000001E-2</v>
      </c>
      <c r="E86" s="134">
        <v>3.2000000000000001E-2</v>
      </c>
      <c r="F86" s="134">
        <v>3.2000000000000001E-2</v>
      </c>
      <c r="G86" s="134"/>
      <c r="H86" s="134">
        <v>3.2000000000000001E-2</v>
      </c>
      <c r="I86" s="134">
        <v>3.2000000000000001E-2</v>
      </c>
      <c r="J86" s="134">
        <v>3.2000000000000001E-2</v>
      </c>
      <c r="K86" s="134"/>
      <c r="L86" s="96" t="s">
        <v>58</v>
      </c>
      <c r="M86" s="116">
        <v>19</v>
      </c>
      <c r="N86" s="96" t="s">
        <v>117</v>
      </c>
      <c r="P86" s="114" t="s">
        <v>493</v>
      </c>
      <c r="Q86" s="114">
        <v>183</v>
      </c>
      <c r="R86" s="114" t="s">
        <v>496</v>
      </c>
    </row>
    <row r="87" spans="2:19" ht="17.399999999999999" x14ac:dyDescent="0.4">
      <c r="B87" s="96" t="s">
        <v>145</v>
      </c>
      <c r="C87" s="134">
        <v>5.1999999999999998E-2</v>
      </c>
      <c r="D87" s="134">
        <v>5.1999999999999998E-2</v>
      </c>
      <c r="E87" s="134">
        <v>5.1999999999999998E-2</v>
      </c>
      <c r="F87" s="134">
        <v>5.1999999999999998E-2</v>
      </c>
      <c r="G87" s="134"/>
      <c r="H87" s="134">
        <v>5.1999999999999998E-2</v>
      </c>
      <c r="I87" s="134">
        <v>5.1999999999999998E-2</v>
      </c>
      <c r="J87" s="134">
        <v>5.1999999999999998E-2</v>
      </c>
      <c r="K87" s="134"/>
      <c r="L87" s="96" t="s">
        <v>58</v>
      </c>
      <c r="M87" s="116">
        <v>20</v>
      </c>
      <c r="N87" s="96" t="s">
        <v>117</v>
      </c>
      <c r="P87" s="114" t="s">
        <v>494</v>
      </c>
      <c r="Q87" s="114">
        <v>75</v>
      </c>
      <c r="R87" s="114" t="s">
        <v>496</v>
      </c>
    </row>
    <row r="88" spans="2:19" ht="17.399999999999999" x14ac:dyDescent="0.4">
      <c r="B88" s="96" t="s">
        <v>146</v>
      </c>
      <c r="C88" s="128">
        <f t="shared" ref="C88:D89" si="14">C82-C86*C73</f>
        <v>125</v>
      </c>
      <c r="D88" s="128">
        <f t="shared" si="14"/>
        <v>125</v>
      </c>
      <c r="E88" s="128">
        <f t="shared" ref="E88" si="15">E82-E86*E73</f>
        <v>125</v>
      </c>
      <c r="F88" s="128">
        <f t="shared" ref="F88:F89" si="16">F82-F86*F73</f>
        <v>125</v>
      </c>
      <c r="G88" s="128"/>
      <c r="H88" s="128">
        <f t="shared" ref="H88:J88" si="17">H82-H86*H73</f>
        <v>125</v>
      </c>
      <c r="I88" s="128">
        <f t="shared" si="17"/>
        <v>125</v>
      </c>
      <c r="J88" s="128">
        <f t="shared" si="17"/>
        <v>125</v>
      </c>
      <c r="K88" s="128"/>
      <c r="L88" s="101" t="s">
        <v>59</v>
      </c>
      <c r="M88" s="116"/>
      <c r="N88" s="96" t="s">
        <v>140</v>
      </c>
      <c r="P88" s="114" t="s">
        <v>497</v>
      </c>
      <c r="Q88" s="114">
        <v>9</v>
      </c>
      <c r="R88" s="114" t="s">
        <v>496</v>
      </c>
    </row>
    <row r="89" spans="2:19" ht="17.399999999999999" x14ac:dyDescent="0.4">
      <c r="B89" s="96" t="s">
        <v>147</v>
      </c>
      <c r="C89" s="127">
        <f t="shared" si="14"/>
        <v>125</v>
      </c>
      <c r="D89" s="127">
        <f t="shared" si="14"/>
        <v>125</v>
      </c>
      <c r="E89" s="127">
        <f t="shared" ref="E89" si="18">E83-E87*E74</f>
        <v>125</v>
      </c>
      <c r="F89" s="127">
        <f t="shared" si="16"/>
        <v>125</v>
      </c>
      <c r="G89" s="127"/>
      <c r="H89" s="127">
        <f t="shared" ref="H89:J89" si="19">H83-H87*H74</f>
        <v>125</v>
      </c>
      <c r="I89" s="127">
        <f t="shared" si="19"/>
        <v>125</v>
      </c>
      <c r="J89" s="127">
        <f t="shared" si="19"/>
        <v>125</v>
      </c>
      <c r="K89" s="127"/>
      <c r="L89" s="101" t="s">
        <v>59</v>
      </c>
      <c r="M89" s="116"/>
      <c r="N89" s="96"/>
      <c r="P89" s="114" t="s">
        <v>498</v>
      </c>
      <c r="Q89" s="114">
        <v>6</v>
      </c>
      <c r="R89" s="114" t="s">
        <v>496</v>
      </c>
    </row>
    <row r="90" spans="2:19" ht="17.399999999999999" x14ac:dyDescent="0.4">
      <c r="B90" s="96" t="s">
        <v>148</v>
      </c>
      <c r="C90" s="127">
        <f t="shared" ref="C90:D91" si="20">C86*C73</f>
        <v>0</v>
      </c>
      <c r="D90" s="127">
        <f t="shared" si="20"/>
        <v>0</v>
      </c>
      <c r="E90" s="127">
        <f t="shared" ref="E90" si="21">E86*E73</f>
        <v>0</v>
      </c>
      <c r="F90" s="127">
        <f t="shared" ref="F90:F91" si="22">F86*F73</f>
        <v>0</v>
      </c>
      <c r="G90" s="127"/>
      <c r="H90" s="127">
        <f t="shared" ref="H90:J90" si="23">H86*H73</f>
        <v>0</v>
      </c>
      <c r="I90" s="127">
        <f t="shared" si="23"/>
        <v>0</v>
      </c>
      <c r="J90" s="127">
        <f t="shared" si="23"/>
        <v>0</v>
      </c>
      <c r="K90" s="127"/>
      <c r="L90" s="101" t="s">
        <v>59</v>
      </c>
      <c r="M90" s="116"/>
      <c r="N90" s="96"/>
      <c r="P90" s="114" t="s">
        <v>499</v>
      </c>
      <c r="Q90" s="114">
        <v>12</v>
      </c>
      <c r="R90" s="114" t="s">
        <v>496</v>
      </c>
    </row>
    <row r="91" spans="2:19" ht="17.399999999999999" x14ac:dyDescent="0.4">
      <c r="B91" s="96" t="s">
        <v>149</v>
      </c>
      <c r="C91" s="127">
        <f t="shared" si="20"/>
        <v>0</v>
      </c>
      <c r="D91" s="127">
        <f t="shared" si="20"/>
        <v>0</v>
      </c>
      <c r="E91" s="127">
        <f t="shared" ref="E91" si="24">E87*E74</f>
        <v>0</v>
      </c>
      <c r="F91" s="127">
        <f t="shared" si="22"/>
        <v>0</v>
      </c>
      <c r="G91" s="127"/>
      <c r="H91" s="127">
        <f t="shared" ref="H91:J91" si="25">H87*H74</f>
        <v>0</v>
      </c>
      <c r="I91" s="127">
        <f t="shared" si="25"/>
        <v>0</v>
      </c>
      <c r="J91" s="127">
        <f t="shared" si="25"/>
        <v>0</v>
      </c>
      <c r="K91" s="127"/>
      <c r="L91" s="101" t="s">
        <v>59</v>
      </c>
      <c r="M91" s="116"/>
      <c r="N91" s="96"/>
      <c r="P91" s="114" t="s">
        <v>500</v>
      </c>
      <c r="Q91" s="114">
        <v>78.540000000000006</v>
      </c>
      <c r="R91" s="114" t="s">
        <v>496</v>
      </c>
    </row>
    <row r="92" spans="2:19" ht="17.399999999999999" x14ac:dyDescent="0.4">
      <c r="B92" s="96" t="s">
        <v>60</v>
      </c>
      <c r="C92" s="127">
        <v>60</v>
      </c>
      <c r="D92" s="127">
        <v>60</v>
      </c>
      <c r="E92" s="127">
        <v>60</v>
      </c>
      <c r="F92" s="127">
        <v>60</v>
      </c>
      <c r="G92" s="127"/>
      <c r="H92" s="127">
        <v>60</v>
      </c>
      <c r="I92" s="127">
        <v>60</v>
      </c>
      <c r="J92" s="127">
        <v>60</v>
      </c>
      <c r="K92" s="127"/>
      <c r="L92" s="101" t="s">
        <v>59</v>
      </c>
      <c r="M92" s="116"/>
      <c r="N92" s="96" t="s">
        <v>150</v>
      </c>
    </row>
    <row r="93" spans="2:19" ht="17.399999999999999" x14ac:dyDescent="0.4">
      <c r="B93" s="96" t="s">
        <v>61</v>
      </c>
      <c r="C93" s="126">
        <v>8</v>
      </c>
      <c r="D93" s="126">
        <v>8</v>
      </c>
      <c r="E93" s="126">
        <v>8</v>
      </c>
      <c r="F93" s="126">
        <v>8</v>
      </c>
      <c r="G93" s="126"/>
      <c r="H93" s="126">
        <v>8</v>
      </c>
      <c r="I93" s="126">
        <v>8</v>
      </c>
      <c r="J93" s="126">
        <v>8</v>
      </c>
      <c r="K93" s="126"/>
      <c r="L93" s="101" t="s">
        <v>62</v>
      </c>
      <c r="M93" s="116"/>
      <c r="N93" s="96" t="s">
        <v>151</v>
      </c>
    </row>
    <row r="94" spans="2:19" ht="17.399999999999999" x14ac:dyDescent="0.4">
      <c r="B94" s="96" t="s">
        <v>63</v>
      </c>
      <c r="C94" s="106">
        <f>C92-(C77/1000*860/C93/60)</f>
        <v>60</v>
      </c>
      <c r="D94" s="106">
        <f>D92-(D77/1000*860/D93/60)</f>
        <v>60</v>
      </c>
      <c r="E94" s="106">
        <f>E92-(E77/1000*860/E93/60)</f>
        <v>60</v>
      </c>
      <c r="F94" s="106">
        <f>F92-(F77/1000*860/F93/60)</f>
        <v>60</v>
      </c>
      <c r="G94" s="106"/>
      <c r="H94" s="106">
        <f>H92-(H77/1000*860/H93/60)</f>
        <v>60</v>
      </c>
      <c r="I94" s="106">
        <f>I92-(I77/1000*860/I93/60)</f>
        <v>60</v>
      </c>
      <c r="J94" s="106">
        <f>J92-(J77/1000*860/J93/60)</f>
        <v>60</v>
      </c>
      <c r="K94" s="106"/>
      <c r="L94" s="101" t="s">
        <v>59</v>
      </c>
      <c r="M94" s="116"/>
      <c r="N94" s="96"/>
    </row>
  </sheetData>
  <mergeCells count="27">
    <mergeCell ref="AB21:AD21"/>
    <mergeCell ref="X24:Z24"/>
    <mergeCell ref="F1:F2"/>
    <mergeCell ref="C1:E2"/>
    <mergeCell ref="H1:J2"/>
    <mergeCell ref="X43:Z43"/>
    <mergeCell ref="X63:Z63"/>
    <mergeCell ref="AB3:AD3"/>
    <mergeCell ref="AB10:AD10"/>
    <mergeCell ref="AB34:AD34"/>
    <mergeCell ref="AB40:AD40"/>
    <mergeCell ref="P63:R63"/>
    <mergeCell ref="P84:R84"/>
    <mergeCell ref="X3:Z3"/>
    <mergeCell ref="P3:R3"/>
    <mergeCell ref="P18:R18"/>
    <mergeCell ref="P31:R31"/>
    <mergeCell ref="P42:R42"/>
    <mergeCell ref="T3:V3"/>
    <mergeCell ref="T10:V10"/>
    <mergeCell ref="T17:V17"/>
    <mergeCell ref="P57:R57"/>
    <mergeCell ref="P51:R51"/>
    <mergeCell ref="U34:V34"/>
    <mergeCell ref="T23:V23"/>
    <mergeCell ref="T46:V46"/>
    <mergeCell ref="T52:V5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J20" sqref="J20"/>
    </sheetView>
  </sheetViews>
  <sheetFormatPr defaultRowHeight="14.4" x14ac:dyDescent="0.25"/>
  <cols>
    <col min="2" max="2" width="22.19921875" bestFit="1" customWidth="1"/>
    <col min="3" max="3" width="50.3984375" customWidth="1"/>
    <col min="4" max="4" width="36.3984375" customWidth="1"/>
  </cols>
  <sheetData>
    <row r="2" spans="2:4" ht="15" thickBot="1" x14ac:dyDescent="0.3"/>
    <row r="3" spans="2:4" ht="16.2" thickBot="1" x14ac:dyDescent="0.3">
      <c r="B3" s="138" t="s">
        <v>482</v>
      </c>
      <c r="C3" s="139" t="s">
        <v>639</v>
      </c>
      <c r="D3" s="139" t="s">
        <v>481</v>
      </c>
    </row>
    <row r="4" spans="2:4" ht="16.2" thickBot="1" x14ac:dyDescent="0.3">
      <c r="B4" s="140" t="s">
        <v>458</v>
      </c>
      <c r="C4" s="138" t="s">
        <v>640</v>
      </c>
      <c r="D4" s="138"/>
    </row>
    <row r="5" spans="2:4" ht="15.6" x14ac:dyDescent="0.25">
      <c r="B5" s="141" t="s">
        <v>459</v>
      </c>
      <c r="C5" s="142" t="s">
        <v>641</v>
      </c>
      <c r="D5" s="142"/>
    </row>
    <row r="6" spans="2:4" ht="15.6" x14ac:dyDescent="0.25">
      <c r="B6" s="141" t="s">
        <v>460</v>
      </c>
      <c r="C6" s="142" t="s">
        <v>642</v>
      </c>
      <c r="D6" s="142"/>
    </row>
    <row r="7" spans="2:4" ht="15.6" x14ac:dyDescent="0.25">
      <c r="B7" s="141" t="s">
        <v>461</v>
      </c>
      <c r="C7" s="143" t="s">
        <v>628</v>
      </c>
      <c r="D7" s="143" t="s">
        <v>629</v>
      </c>
    </row>
    <row r="8" spans="2:4" ht="15.6" x14ac:dyDescent="0.25">
      <c r="B8" s="141" t="s">
        <v>462</v>
      </c>
      <c r="C8" s="143" t="s">
        <v>630</v>
      </c>
      <c r="D8" s="143"/>
    </row>
    <row r="9" spans="2:4" ht="15.6" x14ac:dyDescent="0.25">
      <c r="B9" s="141" t="s">
        <v>463</v>
      </c>
      <c r="C9" s="143" t="s">
        <v>631</v>
      </c>
      <c r="D9" s="143"/>
    </row>
    <row r="10" spans="2:4" ht="15.6" x14ac:dyDescent="0.25">
      <c r="B10" s="141" t="s">
        <v>464</v>
      </c>
      <c r="C10" s="144" t="s">
        <v>530</v>
      </c>
      <c r="D10" s="144" t="s">
        <v>531</v>
      </c>
    </row>
    <row r="11" spans="2:4" ht="15.6" x14ac:dyDescent="0.25">
      <c r="B11" s="141" t="s">
        <v>465</v>
      </c>
      <c r="C11" s="210" t="s">
        <v>532</v>
      </c>
      <c r="D11" s="144"/>
    </row>
    <row r="12" spans="2:4" ht="15.6" x14ac:dyDescent="0.25">
      <c r="B12" s="141" t="s">
        <v>466</v>
      </c>
      <c r="C12" s="211" t="s">
        <v>529</v>
      </c>
      <c r="D12" s="143"/>
    </row>
    <row r="13" spans="2:4" ht="15.6" x14ac:dyDescent="0.25">
      <c r="B13" s="141" t="s">
        <v>467</v>
      </c>
      <c r="C13" s="211" t="s">
        <v>621</v>
      </c>
      <c r="D13" s="143"/>
    </row>
    <row r="14" spans="2:4" ht="15.6" x14ac:dyDescent="0.25">
      <c r="B14" s="141" t="s">
        <v>468</v>
      </c>
      <c r="C14" s="211" t="s">
        <v>643</v>
      </c>
      <c r="D14" s="143"/>
    </row>
    <row r="15" spans="2:4" ht="15.6" x14ac:dyDescent="0.25">
      <c r="B15" s="141" t="s">
        <v>535</v>
      </c>
      <c r="C15" s="211" t="s">
        <v>622</v>
      </c>
      <c r="D15" s="143"/>
    </row>
    <row r="16" spans="2:4" ht="15.6" x14ac:dyDescent="0.25">
      <c r="B16" s="143" t="s">
        <v>536</v>
      </c>
      <c r="C16" s="211" t="s">
        <v>624</v>
      </c>
      <c r="D16" s="143"/>
    </row>
    <row r="17" spans="2:11" ht="15.6" x14ac:dyDescent="0.25">
      <c r="B17" s="141" t="s">
        <v>469</v>
      </c>
      <c r="C17" s="144" t="s">
        <v>533</v>
      </c>
      <c r="D17" s="144"/>
    </row>
    <row r="18" spans="2:11" ht="15.6" x14ac:dyDescent="0.25">
      <c r="B18" s="141" t="s">
        <v>471</v>
      </c>
      <c r="C18" s="225" t="s">
        <v>633</v>
      </c>
      <c r="D18" s="144"/>
      <c r="E18" s="214"/>
      <c r="F18" s="214"/>
      <c r="G18" s="214"/>
      <c r="H18" s="214"/>
      <c r="I18" s="214"/>
      <c r="J18" s="214"/>
      <c r="K18" s="214"/>
    </row>
    <row r="19" spans="2:11" s="218" customFormat="1" ht="15.6" x14ac:dyDescent="0.25">
      <c r="B19" s="221" t="s">
        <v>623</v>
      </c>
      <c r="C19" s="211" t="s">
        <v>534</v>
      </c>
      <c r="D19" s="220"/>
      <c r="E19" s="217"/>
      <c r="F19" s="217"/>
      <c r="G19" s="217"/>
      <c r="H19" s="217"/>
      <c r="I19" s="217"/>
      <c r="J19" s="217"/>
      <c r="K19" s="217"/>
    </row>
    <row r="20" spans="2:11" ht="62.4" x14ac:dyDescent="0.25">
      <c r="B20" s="141" t="s">
        <v>470</v>
      </c>
      <c r="C20" s="144" t="s">
        <v>655</v>
      </c>
      <c r="D20" s="213" t="s">
        <v>644</v>
      </c>
      <c r="E20" s="214"/>
      <c r="F20" s="214"/>
      <c r="G20" s="214"/>
      <c r="H20" s="215"/>
      <c r="I20" s="214"/>
      <c r="J20" s="214"/>
      <c r="K20" s="214"/>
    </row>
    <row r="21" spans="2:11" ht="15.6" x14ac:dyDescent="0.25">
      <c r="B21" s="212" t="s">
        <v>472</v>
      </c>
      <c r="C21" s="144" t="s">
        <v>658</v>
      </c>
      <c r="D21" s="144" t="s">
        <v>657</v>
      </c>
      <c r="E21" s="214"/>
      <c r="F21" s="214"/>
      <c r="G21" s="214"/>
      <c r="H21" s="214"/>
      <c r="I21" s="214"/>
      <c r="J21" s="214"/>
      <c r="K21" s="214"/>
    </row>
    <row r="22" spans="2:11" ht="31.2" x14ac:dyDescent="0.25">
      <c r="B22" s="212" t="s">
        <v>473</v>
      </c>
      <c r="C22" s="219" t="s">
        <v>659</v>
      </c>
      <c r="D22" s="222"/>
      <c r="E22" s="214"/>
      <c r="F22" s="214"/>
      <c r="G22" s="214"/>
      <c r="H22" s="214"/>
      <c r="I22" s="214"/>
      <c r="J22" s="214"/>
      <c r="K22" s="214"/>
    </row>
    <row r="23" spans="2:11" ht="15.6" x14ac:dyDescent="0.25">
      <c r="B23" s="141" t="s">
        <v>483</v>
      </c>
      <c r="C23" s="144" t="s">
        <v>534</v>
      </c>
      <c r="D23" s="144"/>
      <c r="E23" s="214"/>
      <c r="F23" s="214"/>
      <c r="G23" s="214"/>
      <c r="H23" s="214"/>
      <c r="I23" s="214"/>
      <c r="J23" s="214"/>
      <c r="K23" s="214"/>
    </row>
    <row r="24" spans="2:11" ht="15.6" x14ac:dyDescent="0.25">
      <c r="B24" s="145" t="s">
        <v>474</v>
      </c>
      <c r="C24" s="144" t="s">
        <v>632</v>
      </c>
      <c r="D24" s="144"/>
    </row>
    <row r="25" spans="2:11" ht="15.6" x14ac:dyDescent="0.25">
      <c r="B25" s="141" t="s">
        <v>636</v>
      </c>
      <c r="C25" s="143" t="s">
        <v>662</v>
      </c>
      <c r="D25" s="143"/>
    </row>
    <row r="26" spans="2:11" ht="15.6" x14ac:dyDescent="0.25">
      <c r="B26" s="141" t="s">
        <v>475</v>
      </c>
      <c r="C26" s="141" t="s">
        <v>648</v>
      </c>
      <c r="D26" s="141"/>
    </row>
    <row r="27" spans="2:11" ht="15.6" x14ac:dyDescent="0.25">
      <c r="B27" s="141" t="s">
        <v>476</v>
      </c>
      <c r="C27" s="141" t="s">
        <v>645</v>
      </c>
      <c r="D27" s="141"/>
    </row>
    <row r="28" spans="2:11" ht="15.6" x14ac:dyDescent="0.25">
      <c r="B28" s="141" t="s">
        <v>477</v>
      </c>
      <c r="C28" s="141" t="s">
        <v>646</v>
      </c>
      <c r="D28" s="141"/>
    </row>
    <row r="29" spans="2:11" ht="15.6" x14ac:dyDescent="0.25">
      <c r="B29" s="141" t="s">
        <v>478</v>
      </c>
      <c r="C29" s="216" t="s">
        <v>647</v>
      </c>
      <c r="D29" s="216"/>
    </row>
    <row r="30" spans="2:11" ht="15.6" x14ac:dyDescent="0.25">
      <c r="B30" s="146" t="s">
        <v>479</v>
      </c>
      <c r="C30" s="141" t="s">
        <v>656</v>
      </c>
      <c r="D30" s="141"/>
    </row>
    <row r="31" spans="2:11" ht="16.2" thickBot="1" x14ac:dyDescent="0.3">
      <c r="B31" s="147" t="s">
        <v>480</v>
      </c>
      <c r="C31" s="147" t="s">
        <v>656</v>
      </c>
      <c r="D31" s="14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16" workbookViewId="0">
      <selection activeCell="F35" sqref="F35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</cols>
  <sheetData>
    <row r="2" spans="3:7" ht="27.6" x14ac:dyDescent="0.25">
      <c r="C2" s="259" t="s">
        <v>537</v>
      </c>
      <c r="D2" s="260"/>
      <c r="E2" s="260"/>
      <c r="F2" s="260"/>
      <c r="G2" s="261"/>
    </row>
    <row r="3" spans="3:7" ht="21" x14ac:dyDescent="0.25">
      <c r="C3" s="262" t="s">
        <v>538</v>
      </c>
      <c r="D3" s="262"/>
      <c r="E3" s="256" t="s">
        <v>649</v>
      </c>
      <c r="F3" s="257"/>
      <c r="G3" s="258"/>
    </row>
    <row r="4" spans="3:7" ht="21" x14ac:dyDescent="0.25">
      <c r="C4" s="187" t="s">
        <v>539</v>
      </c>
      <c r="D4" s="188" t="s">
        <v>652</v>
      </c>
      <c r="E4" s="136" t="s">
        <v>456</v>
      </c>
      <c r="F4" s="263" t="s">
        <v>654</v>
      </c>
      <c r="G4" s="264"/>
    </row>
    <row r="5" spans="3:7" ht="21" x14ac:dyDescent="0.25">
      <c r="C5" s="189" t="s">
        <v>540</v>
      </c>
      <c r="D5" s="190"/>
      <c r="E5" s="136" t="s">
        <v>457</v>
      </c>
      <c r="F5" s="256" t="s">
        <v>653</v>
      </c>
      <c r="G5" s="258"/>
    </row>
    <row r="6" spans="3:7" ht="21" x14ac:dyDescent="0.25">
      <c r="C6" s="256" t="s">
        <v>541</v>
      </c>
      <c r="D6" s="257"/>
      <c r="E6" s="257"/>
      <c r="F6" s="257"/>
      <c r="G6" s="258"/>
    </row>
    <row r="7" spans="3:7" ht="17.399999999999999" hidden="1" x14ac:dyDescent="0.25">
      <c r="C7" s="191">
        <v>1</v>
      </c>
      <c r="D7" s="69" t="s">
        <v>542</v>
      </c>
      <c r="E7" s="192" t="s">
        <v>542</v>
      </c>
      <c r="F7" s="193">
        <v>100</v>
      </c>
      <c r="G7" s="194" t="s">
        <v>543</v>
      </c>
    </row>
    <row r="8" spans="3:7" ht="16.5" hidden="1" customHeight="1" x14ac:dyDescent="0.25">
      <c r="C8" s="195"/>
      <c r="D8" s="195"/>
      <c r="E8" s="192" t="s">
        <v>544</v>
      </c>
      <c r="F8" s="193">
        <v>1</v>
      </c>
      <c r="G8" s="194" t="s">
        <v>545</v>
      </c>
    </row>
    <row r="9" spans="3:7" ht="20.25" hidden="1" customHeight="1" x14ac:dyDescent="0.25">
      <c r="C9" s="195"/>
      <c r="D9" s="195"/>
      <c r="E9" s="196" t="s">
        <v>546</v>
      </c>
      <c r="F9" s="197">
        <f>(10*10^6)/F8</f>
        <v>10000000</v>
      </c>
      <c r="G9" s="198"/>
    </row>
    <row r="10" spans="3:7" ht="16.5" hidden="1" customHeight="1" x14ac:dyDescent="0.25">
      <c r="C10" s="195"/>
      <c r="D10" s="195"/>
      <c r="E10" s="196" t="s">
        <v>547</v>
      </c>
      <c r="F10" s="197">
        <v>100000</v>
      </c>
      <c r="G10" s="198">
        <v>50000</v>
      </c>
    </row>
    <row r="11" spans="3:7" ht="16.5" hidden="1" customHeight="1" x14ac:dyDescent="0.25">
      <c r="C11" s="195"/>
      <c r="D11" s="195"/>
      <c r="E11" s="196" t="s">
        <v>548</v>
      </c>
      <c r="F11" s="197" t="e">
        <f>$E9/(F10/10)</f>
        <v>#VALUE!</v>
      </c>
      <c r="G11" s="198" t="e">
        <f>$E9/(G10/10)</f>
        <v>#VALUE!</v>
      </c>
    </row>
    <row r="12" spans="3:7" ht="16.5" hidden="1" customHeight="1" x14ac:dyDescent="0.25">
      <c r="C12" s="195"/>
      <c r="D12" s="195"/>
      <c r="E12" s="196" t="s">
        <v>549</v>
      </c>
      <c r="F12" s="197" t="e">
        <f>F11/2</f>
        <v>#VALUE!</v>
      </c>
      <c r="G12" s="198" t="e">
        <f>G11/2</f>
        <v>#VALUE!</v>
      </c>
    </row>
    <row r="13" spans="3:7" ht="16.5" customHeight="1" x14ac:dyDescent="0.25">
      <c r="C13" s="243">
        <v>2</v>
      </c>
      <c r="D13" s="246" t="s">
        <v>550</v>
      </c>
      <c r="E13" s="192" t="s">
        <v>551</v>
      </c>
      <c r="F13" s="202">
        <v>10</v>
      </c>
      <c r="G13" s="69" t="s">
        <v>552</v>
      </c>
    </row>
    <row r="14" spans="3:7" ht="17.399999999999999" x14ac:dyDescent="0.25">
      <c r="C14" s="245"/>
      <c r="D14" s="254"/>
      <c r="E14" s="192" t="s">
        <v>553</v>
      </c>
      <c r="F14" s="202">
        <v>1</v>
      </c>
      <c r="G14" s="69" t="s">
        <v>552</v>
      </c>
    </row>
    <row r="15" spans="3:7" ht="17.399999999999999" x14ac:dyDescent="0.25">
      <c r="C15" s="243">
        <v>3</v>
      </c>
      <c r="D15" s="246" t="s">
        <v>554</v>
      </c>
      <c r="E15" s="192" t="s">
        <v>554</v>
      </c>
      <c r="F15" s="193">
        <v>380</v>
      </c>
      <c r="G15" s="69" t="s">
        <v>555</v>
      </c>
    </row>
    <row r="16" spans="3:7" ht="17.399999999999999" x14ac:dyDescent="0.25">
      <c r="C16" s="244"/>
      <c r="D16" s="247"/>
      <c r="E16" s="200" t="s">
        <v>556</v>
      </c>
      <c r="F16" s="193">
        <v>763</v>
      </c>
      <c r="G16" s="69" t="s">
        <v>161</v>
      </c>
    </row>
    <row r="17" spans="3:8" ht="17.399999999999999" x14ac:dyDescent="0.25">
      <c r="C17" s="244"/>
      <c r="D17" s="247"/>
      <c r="E17" s="200" t="s">
        <v>557</v>
      </c>
      <c r="F17" s="193">
        <v>400</v>
      </c>
      <c r="G17" s="69" t="s">
        <v>161</v>
      </c>
    </row>
    <row r="18" spans="3:8" ht="17.399999999999999" x14ac:dyDescent="0.25">
      <c r="C18" s="245"/>
      <c r="D18" s="254"/>
      <c r="E18" s="200" t="s">
        <v>558</v>
      </c>
      <c r="F18" s="193">
        <v>350</v>
      </c>
      <c r="G18" s="69" t="s">
        <v>161</v>
      </c>
    </row>
    <row r="19" spans="3:8" ht="17.399999999999999" x14ac:dyDescent="0.25">
      <c r="C19" s="243">
        <v>4</v>
      </c>
      <c r="D19" s="246" t="s">
        <v>559</v>
      </c>
      <c r="E19" s="192" t="s">
        <v>560</v>
      </c>
      <c r="F19" s="193">
        <v>100</v>
      </c>
      <c r="G19" s="69" t="s">
        <v>561</v>
      </c>
    </row>
    <row r="20" spans="3:8" ht="17.399999999999999" x14ac:dyDescent="0.25">
      <c r="C20" s="245"/>
      <c r="D20" s="254"/>
      <c r="E20" s="200" t="s">
        <v>562</v>
      </c>
      <c r="F20" s="193">
        <v>100</v>
      </c>
      <c r="G20" s="69" t="s">
        <v>164</v>
      </c>
    </row>
    <row r="21" spans="3:8" ht="17.399999999999999" x14ac:dyDescent="0.25">
      <c r="C21" s="243">
        <v>5</v>
      </c>
      <c r="D21" s="246" t="s">
        <v>563</v>
      </c>
      <c r="E21" s="201" t="s">
        <v>564</v>
      </c>
      <c r="F21" s="202">
        <v>6.8</v>
      </c>
      <c r="G21" s="67" t="s">
        <v>565</v>
      </c>
    </row>
    <row r="22" spans="3:8" ht="17.399999999999999" x14ac:dyDescent="0.25">
      <c r="C22" s="244"/>
      <c r="D22" s="247"/>
      <c r="E22" s="201" t="s">
        <v>566</v>
      </c>
      <c r="F22" s="193">
        <v>2</v>
      </c>
      <c r="G22" s="67" t="s">
        <v>567</v>
      </c>
    </row>
    <row r="23" spans="3:8" ht="16.5" customHeight="1" x14ac:dyDescent="0.25">
      <c r="C23" s="244"/>
      <c r="D23" s="247"/>
      <c r="E23" s="201" t="s">
        <v>568</v>
      </c>
      <c r="F23" s="193">
        <v>100</v>
      </c>
      <c r="G23" s="67" t="s">
        <v>569</v>
      </c>
    </row>
    <row r="24" spans="3:8" ht="17.399999999999999" x14ac:dyDescent="0.25">
      <c r="C24" s="244"/>
      <c r="D24" s="247"/>
      <c r="E24" s="201" t="s">
        <v>570</v>
      </c>
      <c r="F24" s="193">
        <v>32</v>
      </c>
      <c r="G24" s="67" t="s">
        <v>164</v>
      </c>
      <c r="H24" t="s">
        <v>650</v>
      </c>
    </row>
    <row r="25" spans="3:8" ht="17.399999999999999" x14ac:dyDescent="0.25">
      <c r="C25" s="244"/>
      <c r="D25" s="247"/>
      <c r="E25" s="203" t="s">
        <v>571</v>
      </c>
      <c r="F25" s="193">
        <f>(3/(F21/F22))*F23</f>
        <v>88.235294117647058</v>
      </c>
      <c r="G25" s="67" t="s">
        <v>164</v>
      </c>
    </row>
    <row r="26" spans="3:8" ht="17.399999999999999" x14ac:dyDescent="0.25">
      <c r="C26" s="244"/>
      <c r="D26" s="247"/>
      <c r="E26" s="203" t="s">
        <v>572</v>
      </c>
      <c r="F26" s="193">
        <f>F25*1.11</f>
        <v>97.941176470588246</v>
      </c>
      <c r="G26" s="67" t="s">
        <v>164</v>
      </c>
    </row>
    <row r="27" spans="3:8" ht="17.399999999999999" x14ac:dyDescent="0.25">
      <c r="C27" s="245"/>
      <c r="D27" s="254"/>
      <c r="E27" s="203" t="s">
        <v>573</v>
      </c>
      <c r="F27" s="193">
        <v>50</v>
      </c>
      <c r="G27" s="67" t="s">
        <v>164</v>
      </c>
    </row>
    <row r="28" spans="3:8" ht="16.5" customHeight="1" x14ac:dyDescent="0.25">
      <c r="C28" s="243">
        <v>6</v>
      </c>
      <c r="D28" s="255" t="s">
        <v>574</v>
      </c>
      <c r="E28" s="203" t="s">
        <v>551</v>
      </c>
      <c r="F28" s="193">
        <v>10</v>
      </c>
      <c r="G28" s="103" t="s">
        <v>575</v>
      </c>
    </row>
    <row r="29" spans="3:8" ht="16.5" customHeight="1" x14ac:dyDescent="0.25">
      <c r="C29" s="245"/>
      <c r="D29" s="254"/>
      <c r="E29" s="203" t="s">
        <v>553</v>
      </c>
      <c r="F29" s="199">
        <v>1</v>
      </c>
      <c r="G29" s="103" t="s">
        <v>575</v>
      </c>
    </row>
    <row r="30" spans="3:8" ht="17.399999999999999" x14ac:dyDescent="0.25">
      <c r="C30" s="243">
        <v>7</v>
      </c>
      <c r="D30" s="246" t="s">
        <v>576</v>
      </c>
      <c r="E30" s="203" t="s">
        <v>551</v>
      </c>
      <c r="F30" s="193">
        <v>10</v>
      </c>
      <c r="G30" s="103" t="s">
        <v>575</v>
      </c>
    </row>
    <row r="31" spans="3:8" ht="17.399999999999999" x14ac:dyDescent="0.25">
      <c r="C31" s="245"/>
      <c r="D31" s="254"/>
      <c r="E31" s="203" t="s">
        <v>553</v>
      </c>
      <c r="F31" s="199"/>
      <c r="G31" s="103" t="s">
        <v>575</v>
      </c>
    </row>
    <row r="32" spans="3:8" ht="17.399999999999999" x14ac:dyDescent="0.25">
      <c r="C32" s="243">
        <v>8</v>
      </c>
      <c r="D32" s="246" t="s">
        <v>577</v>
      </c>
      <c r="E32" s="203" t="s">
        <v>551</v>
      </c>
      <c r="F32" s="193"/>
      <c r="G32" s="103" t="s">
        <v>578</v>
      </c>
    </row>
    <row r="33" spans="3:8" ht="17.399999999999999" x14ac:dyDescent="0.25">
      <c r="C33" s="245"/>
      <c r="D33" s="254"/>
      <c r="E33" s="203" t="s">
        <v>553</v>
      </c>
      <c r="F33" s="193"/>
      <c r="G33" s="103" t="s">
        <v>578</v>
      </c>
    </row>
    <row r="34" spans="3:8" ht="17.399999999999999" x14ac:dyDescent="0.25">
      <c r="C34" s="243">
        <v>9</v>
      </c>
      <c r="D34" s="246" t="s">
        <v>579</v>
      </c>
      <c r="E34" s="203" t="s">
        <v>580</v>
      </c>
      <c r="F34" s="193">
        <v>20</v>
      </c>
      <c r="G34" s="103" t="s">
        <v>581</v>
      </c>
    </row>
    <row r="35" spans="3:8" ht="17.399999999999999" x14ac:dyDescent="0.25">
      <c r="C35" s="244"/>
      <c r="D35" s="247"/>
      <c r="E35" s="203" t="s">
        <v>582</v>
      </c>
      <c r="F35" s="193">
        <v>500</v>
      </c>
      <c r="G35" s="103" t="s">
        <v>161</v>
      </c>
    </row>
    <row r="36" spans="3:8" ht="17.399999999999999" x14ac:dyDescent="0.25">
      <c r="C36" s="245"/>
      <c r="D36" s="254"/>
      <c r="E36" s="203" t="s">
        <v>583</v>
      </c>
      <c r="F36" s="193">
        <v>400</v>
      </c>
      <c r="G36" s="103" t="s">
        <v>161</v>
      </c>
    </row>
    <row r="37" spans="3:8" ht="17.399999999999999" x14ac:dyDescent="0.25">
      <c r="C37" s="191">
        <v>10</v>
      </c>
      <c r="D37" s="69" t="s">
        <v>584</v>
      </c>
      <c r="E37" s="203" t="s">
        <v>585</v>
      </c>
      <c r="F37" s="223">
        <v>24</v>
      </c>
      <c r="G37" s="67" t="s">
        <v>569</v>
      </c>
    </row>
    <row r="38" spans="3:8" ht="17.399999999999999" x14ac:dyDescent="0.25">
      <c r="C38" s="243">
        <v>11</v>
      </c>
      <c r="D38" s="246" t="s">
        <v>586</v>
      </c>
      <c r="E38" s="203" t="s">
        <v>553</v>
      </c>
      <c r="F38" s="193">
        <v>30000</v>
      </c>
      <c r="G38" s="67" t="s">
        <v>578</v>
      </c>
    </row>
    <row r="39" spans="3:8" ht="16.5" customHeight="1" x14ac:dyDescent="0.25">
      <c r="C39" s="244"/>
      <c r="D39" s="247"/>
      <c r="E39" s="203" t="s">
        <v>551</v>
      </c>
      <c r="F39" s="193"/>
      <c r="G39" s="67" t="s">
        <v>578</v>
      </c>
      <c r="H39" t="s">
        <v>587</v>
      </c>
    </row>
    <row r="40" spans="3:8" ht="17.399999999999999" x14ac:dyDescent="0.25">
      <c r="C40" s="244"/>
      <c r="D40" s="247"/>
      <c r="E40" s="203" t="s">
        <v>588</v>
      </c>
      <c r="F40" s="193">
        <v>25000</v>
      </c>
      <c r="G40" s="67" t="s">
        <v>578</v>
      </c>
    </row>
    <row r="41" spans="3:8" ht="17.399999999999999" x14ac:dyDescent="0.25">
      <c r="C41" s="245"/>
      <c r="D41" s="254"/>
      <c r="E41" s="203" t="s">
        <v>589</v>
      </c>
      <c r="F41" s="199"/>
      <c r="G41" s="67" t="s">
        <v>578</v>
      </c>
    </row>
    <row r="42" spans="3:8" ht="17.399999999999999" x14ac:dyDescent="0.25">
      <c r="C42" s="204">
        <v>12</v>
      </c>
      <c r="D42" s="205" t="s">
        <v>590</v>
      </c>
      <c r="E42" s="203" t="s">
        <v>590</v>
      </c>
      <c r="F42" s="202">
        <v>1.5</v>
      </c>
      <c r="G42" s="103" t="s">
        <v>591</v>
      </c>
    </row>
    <row r="43" spans="3:8" ht="16.5" hidden="1" customHeight="1" x14ac:dyDescent="0.25">
      <c r="C43" s="243">
        <v>13</v>
      </c>
      <c r="D43" s="246" t="s">
        <v>592</v>
      </c>
      <c r="E43" s="203" t="s">
        <v>593</v>
      </c>
      <c r="F43" s="203" t="s">
        <v>594</v>
      </c>
      <c r="G43" s="206" t="s">
        <v>595</v>
      </c>
    </row>
    <row r="44" spans="3:8" ht="17.399999999999999" x14ac:dyDescent="0.25">
      <c r="C44" s="244"/>
      <c r="D44" s="247"/>
      <c r="E44" s="203" t="s">
        <v>596</v>
      </c>
      <c r="F44" s="203" t="s">
        <v>597</v>
      </c>
      <c r="G44" s="206" t="s">
        <v>606</v>
      </c>
    </row>
    <row r="45" spans="3:8" ht="17.399999999999999" x14ac:dyDescent="0.25">
      <c r="C45" s="244"/>
      <c r="D45" s="247"/>
      <c r="E45" s="203" t="s">
        <v>598</v>
      </c>
      <c r="F45" s="203" t="s">
        <v>599</v>
      </c>
      <c r="G45" s="206" t="s">
        <v>595</v>
      </c>
    </row>
    <row r="46" spans="3:8" ht="17.399999999999999" x14ac:dyDescent="0.25">
      <c r="C46" s="244"/>
      <c r="D46" s="247"/>
      <c r="E46" s="203" t="s">
        <v>600</v>
      </c>
      <c r="F46" s="203" t="s">
        <v>601</v>
      </c>
      <c r="G46" s="206" t="s">
        <v>595</v>
      </c>
    </row>
    <row r="47" spans="3:8" ht="17.399999999999999" x14ac:dyDescent="0.25">
      <c r="C47" s="244"/>
      <c r="D47" s="247"/>
      <c r="E47" s="203" t="s">
        <v>602</v>
      </c>
      <c r="F47" s="203" t="s">
        <v>603</v>
      </c>
      <c r="G47" s="206" t="s">
        <v>595</v>
      </c>
    </row>
    <row r="48" spans="3:8" ht="17.399999999999999" x14ac:dyDescent="0.25">
      <c r="C48" s="244"/>
      <c r="D48" s="247"/>
      <c r="E48" s="203" t="s">
        <v>604</v>
      </c>
      <c r="F48" s="203" t="s">
        <v>605</v>
      </c>
      <c r="G48" s="206" t="s">
        <v>634</v>
      </c>
    </row>
    <row r="49" spans="3:7" ht="17.399999999999999" x14ac:dyDescent="0.25">
      <c r="C49" s="244"/>
      <c r="D49" s="247"/>
      <c r="E49" s="203" t="s">
        <v>607</v>
      </c>
      <c r="F49" s="203" t="s">
        <v>608</v>
      </c>
      <c r="G49" s="206" t="s">
        <v>606</v>
      </c>
    </row>
    <row r="50" spans="3:7" ht="87" x14ac:dyDescent="0.25">
      <c r="C50" s="244"/>
      <c r="D50" s="247"/>
      <c r="E50" s="203" t="s">
        <v>609</v>
      </c>
      <c r="F50" s="207" t="s">
        <v>610</v>
      </c>
      <c r="G50" s="206" t="s">
        <v>635</v>
      </c>
    </row>
    <row r="51" spans="3:7" ht="17.399999999999999" x14ac:dyDescent="0.25">
      <c r="C51" s="244"/>
      <c r="D51" s="247"/>
      <c r="E51" s="203" t="s">
        <v>611</v>
      </c>
      <c r="F51" s="203" t="s">
        <v>612</v>
      </c>
      <c r="G51" s="206" t="s">
        <v>606</v>
      </c>
    </row>
    <row r="52" spans="3:7" ht="37.5" customHeight="1" x14ac:dyDescent="0.25">
      <c r="C52" s="244"/>
      <c r="D52" s="247"/>
      <c r="E52" s="203" t="s">
        <v>613</v>
      </c>
      <c r="F52" s="208" t="s">
        <v>614</v>
      </c>
      <c r="G52" s="206" t="s">
        <v>606</v>
      </c>
    </row>
    <row r="53" spans="3:7" ht="17.399999999999999" x14ac:dyDescent="0.25">
      <c r="C53" s="244"/>
      <c r="D53" s="247"/>
      <c r="E53" s="203"/>
      <c r="F53" s="208" t="s">
        <v>573</v>
      </c>
      <c r="G53" s="206" t="s">
        <v>595</v>
      </c>
    </row>
    <row r="54" spans="3:7" ht="17.399999999999999" x14ac:dyDescent="0.25">
      <c r="C54" s="244"/>
      <c r="D54" s="247"/>
      <c r="E54" s="203"/>
      <c r="F54" s="208" t="s">
        <v>615</v>
      </c>
      <c r="G54" s="206" t="s">
        <v>595</v>
      </c>
    </row>
    <row r="55" spans="3:7" ht="17.399999999999999" x14ac:dyDescent="0.25">
      <c r="C55" s="245"/>
      <c r="D55" s="247"/>
      <c r="E55" s="203"/>
      <c r="F55" s="208" t="s">
        <v>616</v>
      </c>
      <c r="G55" s="206" t="s">
        <v>595</v>
      </c>
    </row>
    <row r="56" spans="3:7" ht="17.399999999999999" x14ac:dyDescent="0.25">
      <c r="C56" s="191">
        <v>14</v>
      </c>
      <c r="D56" s="209" t="s">
        <v>617</v>
      </c>
      <c r="E56" s="248" t="s">
        <v>651</v>
      </c>
      <c r="F56" s="249"/>
      <c r="G56" s="250"/>
    </row>
    <row r="57" spans="3:7" ht="17.399999999999999" x14ac:dyDescent="0.25">
      <c r="C57" s="191">
        <v>15</v>
      </c>
      <c r="D57" s="209" t="s">
        <v>618</v>
      </c>
      <c r="E57" s="248" t="s">
        <v>619</v>
      </c>
      <c r="F57" s="249"/>
      <c r="G57" s="250"/>
    </row>
    <row r="58" spans="3:7" x14ac:dyDescent="0.25">
      <c r="C58" s="3"/>
      <c r="D58" s="3"/>
      <c r="E58" s="3"/>
      <c r="F58" s="135"/>
      <c r="G58" s="3"/>
    </row>
    <row r="59" spans="3:7" x14ac:dyDescent="0.25">
      <c r="C59" s="137" t="s">
        <v>620</v>
      </c>
      <c r="D59" s="251"/>
      <c r="E59" s="252"/>
      <c r="F59" s="252"/>
      <c r="G59" s="253"/>
    </row>
    <row r="61" spans="3:7" ht="100.5" customHeight="1" x14ac:dyDescent="0.2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33" sqref="G33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77" t="s">
        <v>329</v>
      </c>
      <c r="B2" s="267" t="s">
        <v>330</v>
      </c>
      <c r="C2" s="267" t="s">
        <v>331</v>
      </c>
      <c r="D2" s="267" t="s">
        <v>332</v>
      </c>
      <c r="E2" s="267" t="s">
        <v>333</v>
      </c>
      <c r="F2" s="269" t="s">
        <v>334</v>
      </c>
      <c r="G2" s="271" t="s">
        <v>335</v>
      </c>
      <c r="H2" s="267" t="s">
        <v>336</v>
      </c>
      <c r="I2" s="271" t="s">
        <v>337</v>
      </c>
      <c r="J2" s="279" t="s">
        <v>338</v>
      </c>
      <c r="K2" s="267" t="s">
        <v>339</v>
      </c>
      <c r="L2" s="269" t="s">
        <v>340</v>
      </c>
      <c r="M2" s="267" t="s">
        <v>341</v>
      </c>
      <c r="N2" s="267" t="s">
        <v>342</v>
      </c>
      <c r="O2" s="269" t="s">
        <v>343</v>
      </c>
      <c r="P2" s="267" t="s">
        <v>344</v>
      </c>
      <c r="Q2" s="267" t="s">
        <v>345</v>
      </c>
      <c r="R2" s="267"/>
      <c r="S2" s="271" t="s">
        <v>346</v>
      </c>
      <c r="T2" s="273" t="s">
        <v>347</v>
      </c>
      <c r="U2" s="275" t="s">
        <v>348</v>
      </c>
      <c r="V2" s="275" t="s">
        <v>349</v>
      </c>
    </row>
    <row r="3" spans="1:22" ht="18" thickBot="1" x14ac:dyDescent="0.3">
      <c r="A3" s="278"/>
      <c r="B3" s="268"/>
      <c r="C3" s="268"/>
      <c r="D3" s="268"/>
      <c r="E3" s="268"/>
      <c r="F3" s="270"/>
      <c r="G3" s="272"/>
      <c r="H3" s="268"/>
      <c r="I3" s="272"/>
      <c r="J3" s="280"/>
      <c r="K3" s="268"/>
      <c r="L3" s="270"/>
      <c r="M3" s="268"/>
      <c r="N3" s="268"/>
      <c r="O3" s="270"/>
      <c r="P3" s="268"/>
      <c r="Q3" s="155" t="s">
        <v>350</v>
      </c>
      <c r="R3" s="155" t="s">
        <v>351</v>
      </c>
      <c r="S3" s="272"/>
      <c r="T3" s="274"/>
      <c r="U3" s="276"/>
      <c r="V3" s="276"/>
    </row>
    <row r="4" spans="1:22" ht="18" thickTop="1" x14ac:dyDescent="0.4">
      <c r="A4" s="156">
        <v>20</v>
      </c>
      <c r="B4" s="157">
        <v>220</v>
      </c>
      <c r="C4" s="158">
        <f t="shared" ref="C4:C47" si="0">ROUNDUP(A4/(B4*0.9)/3^0.5*1000/0.9,0)</f>
        <v>65</v>
      </c>
      <c r="D4" s="158">
        <f t="shared" ref="D4:D47" si="1">ROUNDUP(B4*2^0.5*0.93,0)</f>
        <v>290</v>
      </c>
      <c r="E4" s="158">
        <f t="shared" ref="E4:E47" si="2">ROUNDUP(A4*1000/D4,0)</f>
        <v>69</v>
      </c>
      <c r="F4" s="159">
        <f t="shared" ref="F4:F47" si="3">30.8*100*C4/(1000*10)</f>
        <v>20.02</v>
      </c>
      <c r="G4" s="160">
        <f t="shared" ref="G4:G47" si="4">C4/(H4*I4)</f>
        <v>1.8571428571428572</v>
      </c>
      <c r="H4" s="157">
        <v>35</v>
      </c>
      <c r="I4" s="157">
        <v>1</v>
      </c>
      <c r="J4" s="157">
        <f t="shared" ref="J4:J47" si="5">L4*0.052</f>
        <v>3.9</v>
      </c>
      <c r="K4" s="157">
        <v>16</v>
      </c>
      <c r="L4" s="157">
        <v>75</v>
      </c>
      <c r="M4" s="157" t="s">
        <v>352</v>
      </c>
      <c r="N4" s="157" t="s">
        <v>353</v>
      </c>
      <c r="O4" s="161">
        <f t="shared" ref="O4:O47" si="6">SUM(C4*1.25)</f>
        <v>81.25</v>
      </c>
      <c r="P4" s="157" t="s">
        <v>354</v>
      </c>
      <c r="Q4" s="157" t="s">
        <v>355</v>
      </c>
      <c r="R4" s="157"/>
      <c r="S4" s="162" t="s">
        <v>356</v>
      </c>
      <c r="T4" s="162" t="s">
        <v>357</v>
      </c>
      <c r="U4" s="157" t="s">
        <v>358</v>
      </c>
      <c r="V4" s="163" t="s">
        <v>359</v>
      </c>
    </row>
    <row r="5" spans="1:22" ht="17.399999999999999" x14ac:dyDescent="0.4">
      <c r="A5" s="156">
        <v>20</v>
      </c>
      <c r="B5" s="157">
        <v>380</v>
      </c>
      <c r="C5" s="158">
        <f t="shared" si="0"/>
        <v>38</v>
      </c>
      <c r="D5" s="158">
        <f t="shared" si="1"/>
        <v>500</v>
      </c>
      <c r="E5" s="158">
        <f t="shared" si="2"/>
        <v>40</v>
      </c>
      <c r="F5" s="159">
        <f t="shared" si="3"/>
        <v>11.704000000000001</v>
      </c>
      <c r="G5" s="160">
        <f t="shared" si="4"/>
        <v>1.52</v>
      </c>
      <c r="H5" s="157">
        <v>25</v>
      </c>
      <c r="I5" s="157">
        <v>1</v>
      </c>
      <c r="J5" s="157">
        <f t="shared" si="5"/>
        <v>2.6</v>
      </c>
      <c r="K5" s="157">
        <v>16</v>
      </c>
      <c r="L5" s="157">
        <v>50</v>
      </c>
      <c r="M5" s="157" t="s">
        <v>360</v>
      </c>
      <c r="N5" s="157" t="s">
        <v>361</v>
      </c>
      <c r="O5" s="161">
        <f t="shared" si="6"/>
        <v>47.5</v>
      </c>
      <c r="P5" s="157" t="s">
        <v>362</v>
      </c>
      <c r="Q5" s="157" t="s">
        <v>355</v>
      </c>
      <c r="R5" s="157"/>
      <c r="S5" s="162" t="s">
        <v>356</v>
      </c>
      <c r="T5" s="162" t="s">
        <v>354</v>
      </c>
      <c r="U5" s="157" t="s">
        <v>363</v>
      </c>
      <c r="V5" s="163" t="s">
        <v>359</v>
      </c>
    </row>
    <row r="6" spans="1:22" ht="17.399999999999999" x14ac:dyDescent="0.4">
      <c r="A6" s="156">
        <v>20</v>
      </c>
      <c r="B6" s="157">
        <v>440</v>
      </c>
      <c r="C6" s="158">
        <f t="shared" si="0"/>
        <v>33</v>
      </c>
      <c r="D6" s="158">
        <f t="shared" si="1"/>
        <v>579</v>
      </c>
      <c r="E6" s="158">
        <f t="shared" si="2"/>
        <v>35</v>
      </c>
      <c r="F6" s="159">
        <f t="shared" si="3"/>
        <v>10.164</v>
      </c>
      <c r="G6" s="160">
        <f t="shared" si="4"/>
        <v>1.32</v>
      </c>
      <c r="H6" s="157">
        <v>25</v>
      </c>
      <c r="I6" s="157">
        <v>1</v>
      </c>
      <c r="J6" s="157">
        <f t="shared" si="5"/>
        <v>2.6</v>
      </c>
      <c r="K6" s="157">
        <v>16</v>
      </c>
      <c r="L6" s="157">
        <v>50</v>
      </c>
      <c r="M6" s="157" t="s">
        <v>360</v>
      </c>
      <c r="N6" s="157" t="s">
        <v>361</v>
      </c>
      <c r="O6" s="161">
        <f t="shared" si="6"/>
        <v>41.25</v>
      </c>
      <c r="P6" s="157" t="s">
        <v>362</v>
      </c>
      <c r="Q6" s="157" t="s">
        <v>355</v>
      </c>
      <c r="R6" s="157"/>
      <c r="S6" s="162" t="s">
        <v>356</v>
      </c>
      <c r="T6" s="162" t="s">
        <v>354</v>
      </c>
      <c r="U6" s="157" t="s">
        <v>363</v>
      </c>
      <c r="V6" s="163" t="s">
        <v>359</v>
      </c>
    </row>
    <row r="7" spans="1:22" ht="17.399999999999999" x14ac:dyDescent="0.4">
      <c r="A7" s="156">
        <v>30</v>
      </c>
      <c r="B7" s="157">
        <v>220</v>
      </c>
      <c r="C7" s="158">
        <f t="shared" si="0"/>
        <v>98</v>
      </c>
      <c r="D7" s="158">
        <f t="shared" si="1"/>
        <v>290</v>
      </c>
      <c r="E7" s="158">
        <f t="shared" si="2"/>
        <v>104</v>
      </c>
      <c r="F7" s="159">
        <f t="shared" si="3"/>
        <v>30.184000000000001</v>
      </c>
      <c r="G7" s="160">
        <f t="shared" si="4"/>
        <v>1.96</v>
      </c>
      <c r="H7" s="157">
        <v>50</v>
      </c>
      <c r="I7" s="157">
        <v>1</v>
      </c>
      <c r="J7" s="157">
        <f t="shared" si="5"/>
        <v>6.5</v>
      </c>
      <c r="K7" s="157">
        <v>16</v>
      </c>
      <c r="L7" s="157">
        <v>125</v>
      </c>
      <c r="M7" s="157" t="s">
        <v>364</v>
      </c>
      <c r="N7" s="157" t="s">
        <v>365</v>
      </c>
      <c r="O7" s="161">
        <f t="shared" si="6"/>
        <v>122.5</v>
      </c>
      <c r="P7" s="157" t="s">
        <v>366</v>
      </c>
      <c r="Q7" s="157" t="s">
        <v>355</v>
      </c>
      <c r="R7" s="164" t="s">
        <v>359</v>
      </c>
      <c r="S7" s="162" t="s">
        <v>356</v>
      </c>
      <c r="T7" s="162" t="s">
        <v>367</v>
      </c>
      <c r="U7" s="157" t="s">
        <v>363</v>
      </c>
      <c r="V7" s="163" t="s">
        <v>359</v>
      </c>
    </row>
    <row r="8" spans="1:22" ht="17.399999999999999" x14ac:dyDescent="0.4">
      <c r="A8" s="156">
        <v>30</v>
      </c>
      <c r="B8" s="157">
        <v>380</v>
      </c>
      <c r="C8" s="158">
        <f t="shared" si="0"/>
        <v>57</v>
      </c>
      <c r="D8" s="158">
        <f t="shared" si="1"/>
        <v>500</v>
      </c>
      <c r="E8" s="158">
        <f t="shared" si="2"/>
        <v>60</v>
      </c>
      <c r="F8" s="159">
        <f t="shared" si="3"/>
        <v>17.556000000000001</v>
      </c>
      <c r="G8" s="160">
        <f t="shared" si="4"/>
        <v>1.6285714285714286</v>
      </c>
      <c r="H8" s="157">
        <v>35</v>
      </c>
      <c r="I8" s="157">
        <v>1</v>
      </c>
      <c r="J8" s="157">
        <f t="shared" si="5"/>
        <v>3.9</v>
      </c>
      <c r="K8" s="157">
        <v>16</v>
      </c>
      <c r="L8" s="157">
        <v>75</v>
      </c>
      <c r="M8" s="157" t="s">
        <v>352</v>
      </c>
      <c r="N8" s="157" t="s">
        <v>353</v>
      </c>
      <c r="O8" s="161">
        <f t="shared" si="6"/>
        <v>71.25</v>
      </c>
      <c r="P8" s="157" t="s">
        <v>354</v>
      </c>
      <c r="Q8" s="157" t="s">
        <v>355</v>
      </c>
      <c r="R8" s="164" t="s">
        <v>359</v>
      </c>
      <c r="S8" s="162" t="s">
        <v>356</v>
      </c>
      <c r="T8" s="162" t="s">
        <v>354</v>
      </c>
      <c r="U8" s="157" t="s">
        <v>363</v>
      </c>
      <c r="V8" s="163" t="s">
        <v>359</v>
      </c>
    </row>
    <row r="9" spans="1:22" ht="17.399999999999999" x14ac:dyDescent="0.4">
      <c r="A9" s="156">
        <v>30</v>
      </c>
      <c r="B9" s="157">
        <v>440</v>
      </c>
      <c r="C9" s="158">
        <f t="shared" si="0"/>
        <v>49</v>
      </c>
      <c r="D9" s="158">
        <f t="shared" si="1"/>
        <v>579</v>
      </c>
      <c r="E9" s="158">
        <f t="shared" si="2"/>
        <v>52</v>
      </c>
      <c r="F9" s="159">
        <f t="shared" si="3"/>
        <v>15.092000000000001</v>
      </c>
      <c r="G9" s="160">
        <f t="shared" si="4"/>
        <v>1.4</v>
      </c>
      <c r="H9" s="157">
        <v>35</v>
      </c>
      <c r="I9" s="157">
        <v>1</v>
      </c>
      <c r="J9" s="157">
        <f t="shared" si="5"/>
        <v>3.9</v>
      </c>
      <c r="K9" s="157">
        <v>16</v>
      </c>
      <c r="L9" s="157">
        <v>75</v>
      </c>
      <c r="M9" s="157" t="s">
        <v>352</v>
      </c>
      <c r="N9" s="157" t="s">
        <v>353</v>
      </c>
      <c r="O9" s="161">
        <f t="shared" si="6"/>
        <v>61.25</v>
      </c>
      <c r="P9" s="157" t="s">
        <v>354</v>
      </c>
      <c r="Q9" s="157" t="s">
        <v>355</v>
      </c>
      <c r="R9" s="164" t="s">
        <v>359</v>
      </c>
      <c r="S9" s="162" t="s">
        <v>356</v>
      </c>
      <c r="T9" s="162" t="s">
        <v>354</v>
      </c>
      <c r="U9" s="157" t="s">
        <v>363</v>
      </c>
      <c r="V9" s="163" t="s">
        <v>359</v>
      </c>
    </row>
    <row r="10" spans="1:22" ht="17.399999999999999" x14ac:dyDescent="0.4">
      <c r="A10" s="156">
        <v>50</v>
      </c>
      <c r="B10" s="157">
        <v>220</v>
      </c>
      <c r="C10" s="158">
        <f t="shared" si="0"/>
        <v>162</v>
      </c>
      <c r="D10" s="158">
        <f t="shared" si="1"/>
        <v>290</v>
      </c>
      <c r="E10" s="158">
        <f t="shared" si="2"/>
        <v>173</v>
      </c>
      <c r="F10" s="159">
        <f t="shared" si="3"/>
        <v>49.896000000000001</v>
      </c>
      <c r="G10" s="160">
        <f t="shared" si="4"/>
        <v>2.3142857142857145</v>
      </c>
      <c r="H10" s="157">
        <v>70</v>
      </c>
      <c r="I10" s="157">
        <v>1</v>
      </c>
      <c r="J10" s="157">
        <f t="shared" si="5"/>
        <v>10.4</v>
      </c>
      <c r="K10" s="157">
        <v>16</v>
      </c>
      <c r="L10" s="157">
        <v>200</v>
      </c>
      <c r="M10" s="157" t="s">
        <v>368</v>
      </c>
      <c r="N10" s="157" t="s">
        <v>369</v>
      </c>
      <c r="O10" s="161">
        <f t="shared" si="6"/>
        <v>202.5</v>
      </c>
      <c r="P10" s="157" t="s">
        <v>370</v>
      </c>
      <c r="Q10" s="157" t="s">
        <v>371</v>
      </c>
      <c r="R10" s="164" t="s">
        <v>359</v>
      </c>
      <c r="S10" s="162" t="s">
        <v>372</v>
      </c>
      <c r="T10" s="162" t="s">
        <v>373</v>
      </c>
      <c r="U10" s="265" t="s">
        <v>374</v>
      </c>
      <c r="V10" s="266"/>
    </row>
    <row r="11" spans="1:22" ht="17.399999999999999" x14ac:dyDescent="0.4">
      <c r="A11" s="156">
        <v>50</v>
      </c>
      <c r="B11" s="157">
        <v>380</v>
      </c>
      <c r="C11" s="158">
        <f t="shared" si="0"/>
        <v>94</v>
      </c>
      <c r="D11" s="158">
        <f t="shared" si="1"/>
        <v>500</v>
      </c>
      <c r="E11" s="158">
        <f t="shared" si="2"/>
        <v>100</v>
      </c>
      <c r="F11" s="159">
        <f t="shared" si="3"/>
        <v>28.952000000000002</v>
      </c>
      <c r="G11" s="160">
        <f t="shared" si="4"/>
        <v>1.3428571428571427</v>
      </c>
      <c r="H11" s="157">
        <v>70</v>
      </c>
      <c r="I11" s="157">
        <v>1</v>
      </c>
      <c r="J11" s="157">
        <f t="shared" si="5"/>
        <v>6.5</v>
      </c>
      <c r="K11" s="157">
        <v>16</v>
      </c>
      <c r="L11" s="157">
        <v>125</v>
      </c>
      <c r="M11" s="157" t="s">
        <v>375</v>
      </c>
      <c r="N11" s="157" t="s">
        <v>365</v>
      </c>
      <c r="O11" s="161">
        <f t="shared" si="6"/>
        <v>117.5</v>
      </c>
      <c r="P11" s="157" t="s">
        <v>366</v>
      </c>
      <c r="Q11" s="157" t="s">
        <v>355</v>
      </c>
      <c r="R11" s="164" t="s">
        <v>359</v>
      </c>
      <c r="S11" s="162" t="s">
        <v>356</v>
      </c>
      <c r="T11" s="162" t="s">
        <v>367</v>
      </c>
      <c r="U11" s="157" t="s">
        <v>363</v>
      </c>
      <c r="V11" s="163" t="s">
        <v>359</v>
      </c>
    </row>
    <row r="12" spans="1:22" ht="17.399999999999999" x14ac:dyDescent="0.4">
      <c r="A12" s="156">
        <v>50</v>
      </c>
      <c r="B12" s="157">
        <v>440</v>
      </c>
      <c r="C12" s="158">
        <f t="shared" si="0"/>
        <v>81</v>
      </c>
      <c r="D12" s="158">
        <f t="shared" si="1"/>
        <v>579</v>
      </c>
      <c r="E12" s="158">
        <f t="shared" si="2"/>
        <v>87</v>
      </c>
      <c r="F12" s="159">
        <f t="shared" si="3"/>
        <v>24.948</v>
      </c>
      <c r="G12" s="160">
        <f t="shared" si="4"/>
        <v>1.1571428571428573</v>
      </c>
      <c r="H12" s="157">
        <v>70</v>
      </c>
      <c r="I12" s="157">
        <v>1</v>
      </c>
      <c r="J12" s="157">
        <f t="shared" si="5"/>
        <v>5.2</v>
      </c>
      <c r="K12" s="157">
        <v>16</v>
      </c>
      <c r="L12" s="157">
        <v>100</v>
      </c>
      <c r="M12" s="157" t="s">
        <v>375</v>
      </c>
      <c r="N12" s="157" t="s">
        <v>365</v>
      </c>
      <c r="O12" s="161">
        <f t="shared" si="6"/>
        <v>101.25</v>
      </c>
      <c r="P12" s="157" t="s">
        <v>366</v>
      </c>
      <c r="Q12" s="157" t="s">
        <v>355</v>
      </c>
      <c r="R12" s="164" t="s">
        <v>359</v>
      </c>
      <c r="S12" s="162" t="s">
        <v>356</v>
      </c>
      <c r="T12" s="162" t="s">
        <v>367</v>
      </c>
      <c r="U12" s="157" t="s">
        <v>363</v>
      </c>
      <c r="V12" s="163" t="s">
        <v>359</v>
      </c>
    </row>
    <row r="13" spans="1:22" ht="17.399999999999999" x14ac:dyDescent="0.4">
      <c r="A13" s="156">
        <v>75</v>
      </c>
      <c r="B13" s="157">
        <v>220</v>
      </c>
      <c r="C13" s="158">
        <f t="shared" si="0"/>
        <v>243</v>
      </c>
      <c r="D13" s="158">
        <f t="shared" si="1"/>
        <v>290</v>
      </c>
      <c r="E13" s="158">
        <f t="shared" si="2"/>
        <v>259</v>
      </c>
      <c r="F13" s="159">
        <f t="shared" si="3"/>
        <v>74.843999999999994</v>
      </c>
      <c r="G13" s="160">
        <f t="shared" si="4"/>
        <v>1.7357142857142858</v>
      </c>
      <c r="H13" s="157">
        <v>70</v>
      </c>
      <c r="I13" s="157">
        <v>2</v>
      </c>
      <c r="J13" s="157">
        <f t="shared" si="5"/>
        <v>15.6</v>
      </c>
      <c r="K13" s="157">
        <v>16</v>
      </c>
      <c r="L13" s="157">
        <v>300</v>
      </c>
      <c r="M13" s="157" t="s">
        <v>376</v>
      </c>
      <c r="N13" s="157" t="s">
        <v>377</v>
      </c>
      <c r="O13" s="161">
        <f t="shared" si="6"/>
        <v>303.75</v>
      </c>
      <c r="P13" s="157" t="s">
        <v>378</v>
      </c>
      <c r="Q13" s="157" t="s">
        <v>371</v>
      </c>
      <c r="R13" s="164" t="s">
        <v>359</v>
      </c>
      <c r="S13" s="162" t="s">
        <v>379</v>
      </c>
      <c r="T13" s="162" t="s">
        <v>378</v>
      </c>
      <c r="U13" s="265" t="s">
        <v>374</v>
      </c>
      <c r="V13" s="266"/>
    </row>
    <row r="14" spans="1:22" ht="17.399999999999999" x14ac:dyDescent="0.4">
      <c r="A14" s="156">
        <v>75</v>
      </c>
      <c r="B14" s="157">
        <v>380</v>
      </c>
      <c r="C14" s="158">
        <f t="shared" si="0"/>
        <v>141</v>
      </c>
      <c r="D14" s="158">
        <f t="shared" si="1"/>
        <v>500</v>
      </c>
      <c r="E14" s="158">
        <f t="shared" si="2"/>
        <v>150</v>
      </c>
      <c r="F14" s="159">
        <f t="shared" si="3"/>
        <v>43.427999999999997</v>
      </c>
      <c r="G14" s="160">
        <f t="shared" si="4"/>
        <v>2.0142857142857142</v>
      </c>
      <c r="H14" s="157">
        <v>70</v>
      </c>
      <c r="I14" s="157">
        <v>1</v>
      </c>
      <c r="J14" s="157">
        <f t="shared" si="5"/>
        <v>9.1</v>
      </c>
      <c r="K14" s="157">
        <v>16</v>
      </c>
      <c r="L14" s="157">
        <v>175</v>
      </c>
      <c r="M14" s="157" t="s">
        <v>368</v>
      </c>
      <c r="N14" s="157" t="s">
        <v>369</v>
      </c>
      <c r="O14" s="161">
        <f t="shared" si="6"/>
        <v>176.25</v>
      </c>
      <c r="P14" s="157" t="s">
        <v>370</v>
      </c>
      <c r="Q14" s="157" t="s">
        <v>371</v>
      </c>
      <c r="R14" s="164" t="s">
        <v>359</v>
      </c>
      <c r="S14" s="162" t="s">
        <v>379</v>
      </c>
      <c r="T14" s="162" t="s">
        <v>370</v>
      </c>
      <c r="U14" s="265" t="s">
        <v>374</v>
      </c>
      <c r="V14" s="266"/>
    </row>
    <row r="15" spans="1:22" ht="17.399999999999999" x14ac:dyDescent="0.4">
      <c r="A15" s="156">
        <v>75</v>
      </c>
      <c r="B15" s="157">
        <v>440</v>
      </c>
      <c r="C15" s="158">
        <f t="shared" si="0"/>
        <v>122</v>
      </c>
      <c r="D15" s="158">
        <f t="shared" si="1"/>
        <v>579</v>
      </c>
      <c r="E15" s="158">
        <f t="shared" si="2"/>
        <v>130</v>
      </c>
      <c r="F15" s="159">
        <f t="shared" si="3"/>
        <v>37.576000000000001</v>
      </c>
      <c r="G15" s="160">
        <f t="shared" si="4"/>
        <v>1.7428571428571429</v>
      </c>
      <c r="H15" s="157">
        <v>70</v>
      </c>
      <c r="I15" s="157">
        <v>1</v>
      </c>
      <c r="J15" s="157">
        <f t="shared" si="5"/>
        <v>7.8</v>
      </c>
      <c r="K15" s="157">
        <v>16</v>
      </c>
      <c r="L15" s="157">
        <v>150</v>
      </c>
      <c r="M15" s="157" t="s">
        <v>368</v>
      </c>
      <c r="N15" s="157" t="s">
        <v>369</v>
      </c>
      <c r="O15" s="161">
        <f t="shared" si="6"/>
        <v>152.5</v>
      </c>
      <c r="P15" s="157" t="s">
        <v>370</v>
      </c>
      <c r="Q15" s="157" t="s">
        <v>371</v>
      </c>
      <c r="R15" s="164" t="s">
        <v>359</v>
      </c>
      <c r="S15" s="162" t="s">
        <v>379</v>
      </c>
      <c r="T15" s="162" t="s">
        <v>370</v>
      </c>
      <c r="U15" s="265" t="s">
        <v>374</v>
      </c>
      <c r="V15" s="266"/>
    </row>
    <row r="16" spans="1:22" ht="17.399999999999999" x14ac:dyDescent="0.4">
      <c r="A16" s="156">
        <v>100</v>
      </c>
      <c r="B16" s="157">
        <v>380</v>
      </c>
      <c r="C16" s="158">
        <f t="shared" si="0"/>
        <v>188</v>
      </c>
      <c r="D16" s="158">
        <f t="shared" si="1"/>
        <v>500</v>
      </c>
      <c r="E16" s="158">
        <f t="shared" si="2"/>
        <v>200</v>
      </c>
      <c r="F16" s="159">
        <f t="shared" si="3"/>
        <v>57.904000000000003</v>
      </c>
      <c r="G16" s="160">
        <f t="shared" si="4"/>
        <v>1.9789473684210526</v>
      </c>
      <c r="H16" s="157">
        <v>95</v>
      </c>
      <c r="I16" s="157">
        <v>1</v>
      </c>
      <c r="J16" s="157">
        <f t="shared" si="5"/>
        <v>10.4</v>
      </c>
      <c r="K16" s="157">
        <v>16</v>
      </c>
      <c r="L16" s="157">
        <v>200</v>
      </c>
      <c r="M16" s="157" t="s">
        <v>368</v>
      </c>
      <c r="N16" s="157" t="s">
        <v>380</v>
      </c>
      <c r="O16" s="161">
        <f t="shared" si="6"/>
        <v>235</v>
      </c>
      <c r="P16" s="157" t="s">
        <v>381</v>
      </c>
      <c r="Q16" s="157" t="s">
        <v>371</v>
      </c>
      <c r="R16" s="164" t="s">
        <v>359</v>
      </c>
      <c r="S16" s="162" t="s">
        <v>379</v>
      </c>
      <c r="T16" s="162" t="s">
        <v>378</v>
      </c>
      <c r="U16" s="265" t="s">
        <v>374</v>
      </c>
      <c r="V16" s="266"/>
    </row>
    <row r="17" spans="1:22" ht="17.399999999999999" x14ac:dyDescent="0.4">
      <c r="A17" s="156">
        <v>100</v>
      </c>
      <c r="B17" s="157">
        <v>440</v>
      </c>
      <c r="C17" s="158">
        <f t="shared" si="0"/>
        <v>162</v>
      </c>
      <c r="D17" s="158">
        <f t="shared" si="1"/>
        <v>579</v>
      </c>
      <c r="E17" s="158">
        <f t="shared" si="2"/>
        <v>173</v>
      </c>
      <c r="F17" s="159">
        <f t="shared" si="3"/>
        <v>49.896000000000001</v>
      </c>
      <c r="G17" s="160">
        <f t="shared" si="4"/>
        <v>1.7052631578947368</v>
      </c>
      <c r="H17" s="157">
        <v>95</v>
      </c>
      <c r="I17" s="157">
        <v>1</v>
      </c>
      <c r="J17" s="157">
        <f t="shared" si="5"/>
        <v>10.4</v>
      </c>
      <c r="K17" s="157">
        <v>16</v>
      </c>
      <c r="L17" s="157">
        <v>200</v>
      </c>
      <c r="M17" s="157" t="s">
        <v>368</v>
      </c>
      <c r="N17" s="157" t="s">
        <v>380</v>
      </c>
      <c r="O17" s="161">
        <f t="shared" si="6"/>
        <v>202.5</v>
      </c>
      <c r="P17" s="157" t="s">
        <v>381</v>
      </c>
      <c r="Q17" s="157" t="s">
        <v>371</v>
      </c>
      <c r="R17" s="164" t="s">
        <v>359</v>
      </c>
      <c r="S17" s="162" t="s">
        <v>379</v>
      </c>
      <c r="T17" s="162" t="s">
        <v>378</v>
      </c>
      <c r="U17" s="265" t="s">
        <v>374</v>
      </c>
      <c r="V17" s="266"/>
    </row>
    <row r="18" spans="1:22" ht="17.399999999999999" x14ac:dyDescent="0.4">
      <c r="A18" s="156">
        <v>125</v>
      </c>
      <c r="B18" s="157">
        <v>380</v>
      </c>
      <c r="C18" s="158">
        <f t="shared" si="0"/>
        <v>235</v>
      </c>
      <c r="D18" s="158">
        <f t="shared" si="1"/>
        <v>500</v>
      </c>
      <c r="E18" s="158">
        <f t="shared" si="2"/>
        <v>250</v>
      </c>
      <c r="F18" s="159">
        <f t="shared" si="3"/>
        <v>72.38</v>
      </c>
      <c r="G18" s="160">
        <f t="shared" si="4"/>
        <v>1.6785714285714286</v>
      </c>
      <c r="H18" s="157">
        <v>70</v>
      </c>
      <c r="I18" s="157">
        <v>2</v>
      </c>
      <c r="J18" s="157">
        <f t="shared" si="5"/>
        <v>13</v>
      </c>
      <c r="K18" s="157">
        <v>16</v>
      </c>
      <c r="L18" s="157">
        <v>250</v>
      </c>
      <c r="M18" s="157" t="s">
        <v>376</v>
      </c>
      <c r="N18" s="157" t="s">
        <v>377</v>
      </c>
      <c r="O18" s="161">
        <f t="shared" si="6"/>
        <v>293.75</v>
      </c>
      <c r="P18" s="157" t="s">
        <v>378</v>
      </c>
      <c r="Q18" s="157" t="s">
        <v>371</v>
      </c>
      <c r="R18" s="164" t="s">
        <v>359</v>
      </c>
      <c r="S18" s="162" t="s">
        <v>382</v>
      </c>
      <c r="T18" s="162" t="s">
        <v>378</v>
      </c>
      <c r="U18" s="265" t="s">
        <v>374</v>
      </c>
      <c r="V18" s="266"/>
    </row>
    <row r="19" spans="1:22" ht="17.399999999999999" x14ac:dyDescent="0.4">
      <c r="A19" s="156">
        <v>125</v>
      </c>
      <c r="B19" s="157">
        <v>440</v>
      </c>
      <c r="C19" s="158">
        <f t="shared" si="0"/>
        <v>203</v>
      </c>
      <c r="D19" s="158">
        <f t="shared" si="1"/>
        <v>579</v>
      </c>
      <c r="E19" s="158">
        <f t="shared" si="2"/>
        <v>216</v>
      </c>
      <c r="F19" s="159">
        <f t="shared" si="3"/>
        <v>62.524000000000001</v>
      </c>
      <c r="G19" s="160">
        <f t="shared" si="4"/>
        <v>1.45</v>
      </c>
      <c r="H19" s="157">
        <v>70</v>
      </c>
      <c r="I19" s="157">
        <v>2</v>
      </c>
      <c r="J19" s="157">
        <f t="shared" si="5"/>
        <v>13</v>
      </c>
      <c r="K19" s="157">
        <v>16</v>
      </c>
      <c r="L19" s="157">
        <v>250</v>
      </c>
      <c r="M19" s="157" t="s">
        <v>383</v>
      </c>
      <c r="N19" s="157" t="s">
        <v>380</v>
      </c>
      <c r="O19" s="161">
        <f t="shared" si="6"/>
        <v>253.75</v>
      </c>
      <c r="P19" s="157" t="s">
        <v>378</v>
      </c>
      <c r="Q19" s="157" t="s">
        <v>371</v>
      </c>
      <c r="R19" s="164" t="s">
        <v>359</v>
      </c>
      <c r="S19" s="162" t="s">
        <v>382</v>
      </c>
      <c r="T19" s="162" t="s">
        <v>378</v>
      </c>
      <c r="U19" s="265" t="s">
        <v>374</v>
      </c>
      <c r="V19" s="266"/>
    </row>
    <row r="20" spans="1:22" ht="17.399999999999999" x14ac:dyDescent="0.4">
      <c r="A20" s="156">
        <v>150</v>
      </c>
      <c r="B20" s="157">
        <v>380</v>
      </c>
      <c r="C20" s="158">
        <f t="shared" si="0"/>
        <v>282</v>
      </c>
      <c r="D20" s="158">
        <f t="shared" si="1"/>
        <v>500</v>
      </c>
      <c r="E20" s="158">
        <f t="shared" si="2"/>
        <v>300</v>
      </c>
      <c r="F20" s="159">
        <f t="shared" si="3"/>
        <v>86.855999999999995</v>
      </c>
      <c r="G20" s="160">
        <f t="shared" si="4"/>
        <v>2.0142857142857142</v>
      </c>
      <c r="H20" s="157">
        <v>70</v>
      </c>
      <c r="I20" s="157">
        <v>2</v>
      </c>
      <c r="J20" s="157">
        <f t="shared" si="5"/>
        <v>15.6</v>
      </c>
      <c r="K20" s="157">
        <v>25</v>
      </c>
      <c r="L20" s="157">
        <v>300</v>
      </c>
      <c r="M20" s="157" t="s">
        <v>376</v>
      </c>
      <c r="N20" s="157" t="s">
        <v>377</v>
      </c>
      <c r="O20" s="161">
        <f t="shared" si="6"/>
        <v>352.5</v>
      </c>
      <c r="P20" s="157" t="s">
        <v>384</v>
      </c>
      <c r="Q20" s="157" t="s">
        <v>371</v>
      </c>
      <c r="R20" s="164" t="s">
        <v>359</v>
      </c>
      <c r="S20" s="162" t="s">
        <v>382</v>
      </c>
      <c r="T20" s="162" t="s">
        <v>384</v>
      </c>
      <c r="U20" s="265" t="s">
        <v>374</v>
      </c>
      <c r="V20" s="266"/>
    </row>
    <row r="21" spans="1:22" ht="17.399999999999999" x14ac:dyDescent="0.4">
      <c r="A21" s="156">
        <v>150</v>
      </c>
      <c r="B21" s="157">
        <v>440</v>
      </c>
      <c r="C21" s="158">
        <f t="shared" si="0"/>
        <v>243</v>
      </c>
      <c r="D21" s="158">
        <f t="shared" si="1"/>
        <v>579</v>
      </c>
      <c r="E21" s="158">
        <f t="shared" si="2"/>
        <v>260</v>
      </c>
      <c r="F21" s="159">
        <f t="shared" si="3"/>
        <v>74.843999999999994</v>
      </c>
      <c r="G21" s="160">
        <f t="shared" si="4"/>
        <v>1.7357142857142858</v>
      </c>
      <c r="H21" s="157">
        <v>70</v>
      </c>
      <c r="I21" s="157">
        <v>2</v>
      </c>
      <c r="J21" s="157">
        <f t="shared" si="5"/>
        <v>15.6</v>
      </c>
      <c r="K21" s="157">
        <v>25</v>
      </c>
      <c r="L21" s="157">
        <v>300</v>
      </c>
      <c r="M21" s="157" t="s">
        <v>376</v>
      </c>
      <c r="N21" s="157" t="s">
        <v>377</v>
      </c>
      <c r="O21" s="161">
        <f t="shared" si="6"/>
        <v>303.75</v>
      </c>
      <c r="P21" s="157" t="s">
        <v>378</v>
      </c>
      <c r="Q21" s="157" t="s">
        <v>371</v>
      </c>
      <c r="R21" s="164" t="s">
        <v>359</v>
      </c>
      <c r="S21" s="162" t="s">
        <v>382</v>
      </c>
      <c r="T21" s="162" t="s">
        <v>384</v>
      </c>
      <c r="U21" s="265" t="s">
        <v>374</v>
      </c>
      <c r="V21" s="266"/>
    </row>
    <row r="22" spans="1:22" ht="17.399999999999999" x14ac:dyDescent="0.4">
      <c r="A22" s="156">
        <v>200</v>
      </c>
      <c r="B22" s="157">
        <v>380</v>
      </c>
      <c r="C22" s="158">
        <f t="shared" si="0"/>
        <v>376</v>
      </c>
      <c r="D22" s="158">
        <f t="shared" si="1"/>
        <v>500</v>
      </c>
      <c r="E22" s="158">
        <f t="shared" si="2"/>
        <v>400</v>
      </c>
      <c r="F22" s="159">
        <f t="shared" si="3"/>
        <v>115.80800000000001</v>
      </c>
      <c r="G22" s="160">
        <f t="shared" si="4"/>
        <v>1.9789473684210526</v>
      </c>
      <c r="H22" s="157">
        <v>95</v>
      </c>
      <c r="I22" s="157">
        <v>2</v>
      </c>
      <c r="J22" s="157">
        <f t="shared" si="5"/>
        <v>20.8</v>
      </c>
      <c r="K22" s="157">
        <v>25</v>
      </c>
      <c r="L22" s="157">
        <v>400</v>
      </c>
      <c r="M22" s="157" t="s">
        <v>385</v>
      </c>
      <c r="N22" s="157" t="s">
        <v>377</v>
      </c>
      <c r="O22" s="161">
        <f t="shared" si="6"/>
        <v>470</v>
      </c>
      <c r="P22" s="157" t="s">
        <v>386</v>
      </c>
      <c r="Q22" s="157" t="s">
        <v>387</v>
      </c>
      <c r="R22" s="164" t="s">
        <v>359</v>
      </c>
      <c r="S22" s="162" t="s">
        <v>382</v>
      </c>
      <c r="T22" s="162" t="s">
        <v>386</v>
      </c>
      <c r="U22" s="265" t="s">
        <v>374</v>
      </c>
      <c r="V22" s="266"/>
    </row>
    <row r="23" spans="1:22" ht="17.399999999999999" x14ac:dyDescent="0.4">
      <c r="A23" s="156">
        <v>200</v>
      </c>
      <c r="B23" s="157">
        <v>440</v>
      </c>
      <c r="C23" s="158">
        <f t="shared" si="0"/>
        <v>324</v>
      </c>
      <c r="D23" s="158">
        <f t="shared" si="1"/>
        <v>579</v>
      </c>
      <c r="E23" s="158">
        <f t="shared" si="2"/>
        <v>346</v>
      </c>
      <c r="F23" s="159">
        <f t="shared" si="3"/>
        <v>99.792000000000002</v>
      </c>
      <c r="G23" s="160">
        <f t="shared" si="4"/>
        <v>1.7052631578947368</v>
      </c>
      <c r="H23" s="157">
        <v>95</v>
      </c>
      <c r="I23" s="157">
        <v>2</v>
      </c>
      <c r="J23" s="157">
        <f t="shared" si="5"/>
        <v>20.8</v>
      </c>
      <c r="K23" s="157">
        <v>25</v>
      </c>
      <c r="L23" s="157">
        <v>400</v>
      </c>
      <c r="M23" s="157" t="s">
        <v>385</v>
      </c>
      <c r="N23" s="157" t="s">
        <v>377</v>
      </c>
      <c r="O23" s="161">
        <f t="shared" si="6"/>
        <v>405</v>
      </c>
      <c r="P23" s="157" t="s">
        <v>384</v>
      </c>
      <c r="Q23" s="157" t="s">
        <v>387</v>
      </c>
      <c r="R23" s="164" t="s">
        <v>359</v>
      </c>
      <c r="S23" s="162" t="s">
        <v>382</v>
      </c>
      <c r="T23" s="162" t="s">
        <v>386</v>
      </c>
      <c r="U23" s="265" t="s">
        <v>374</v>
      </c>
      <c r="V23" s="266"/>
    </row>
    <row r="24" spans="1:22" ht="17.399999999999999" x14ac:dyDescent="0.4">
      <c r="A24" s="156">
        <v>250</v>
      </c>
      <c r="B24" s="157">
        <v>380</v>
      </c>
      <c r="C24" s="158">
        <f t="shared" si="0"/>
        <v>469</v>
      </c>
      <c r="D24" s="158">
        <f t="shared" si="1"/>
        <v>500</v>
      </c>
      <c r="E24" s="158">
        <f t="shared" si="2"/>
        <v>500</v>
      </c>
      <c r="F24" s="159">
        <f t="shared" si="3"/>
        <v>144.452</v>
      </c>
      <c r="G24" s="160">
        <f t="shared" si="4"/>
        <v>1.9541666666666666</v>
      </c>
      <c r="H24" s="157">
        <v>120</v>
      </c>
      <c r="I24" s="157">
        <v>2</v>
      </c>
      <c r="J24" s="157">
        <f t="shared" si="5"/>
        <v>26</v>
      </c>
      <c r="K24" s="157">
        <v>35</v>
      </c>
      <c r="L24" s="157">
        <v>500</v>
      </c>
      <c r="M24" s="157" t="s">
        <v>388</v>
      </c>
      <c r="N24" s="157" t="s">
        <v>389</v>
      </c>
      <c r="O24" s="161">
        <f t="shared" si="6"/>
        <v>586.25</v>
      </c>
      <c r="P24" s="157" t="s">
        <v>390</v>
      </c>
      <c r="Q24" s="157" t="s">
        <v>387</v>
      </c>
      <c r="R24" s="164" t="s">
        <v>359</v>
      </c>
      <c r="S24" s="162" t="s">
        <v>391</v>
      </c>
      <c r="T24" s="162" t="s">
        <v>390</v>
      </c>
      <c r="U24" s="265" t="s">
        <v>374</v>
      </c>
      <c r="V24" s="266"/>
    </row>
    <row r="25" spans="1:22" ht="17.399999999999999" x14ac:dyDescent="0.4">
      <c r="A25" s="156">
        <v>250</v>
      </c>
      <c r="B25" s="157">
        <v>440</v>
      </c>
      <c r="C25" s="158">
        <f t="shared" si="0"/>
        <v>405</v>
      </c>
      <c r="D25" s="158">
        <f t="shared" si="1"/>
        <v>579</v>
      </c>
      <c r="E25" s="158">
        <f t="shared" si="2"/>
        <v>432</v>
      </c>
      <c r="F25" s="159">
        <f t="shared" si="3"/>
        <v>124.74</v>
      </c>
      <c r="G25" s="160">
        <f t="shared" si="4"/>
        <v>1.6875</v>
      </c>
      <c r="H25" s="157">
        <v>120</v>
      </c>
      <c r="I25" s="157">
        <v>2</v>
      </c>
      <c r="J25" s="157">
        <f t="shared" si="5"/>
        <v>26</v>
      </c>
      <c r="K25" s="157">
        <v>35</v>
      </c>
      <c r="L25" s="157">
        <v>500</v>
      </c>
      <c r="M25" s="157" t="s">
        <v>385</v>
      </c>
      <c r="N25" s="157" t="s">
        <v>392</v>
      </c>
      <c r="O25" s="161">
        <f t="shared" si="6"/>
        <v>506.25</v>
      </c>
      <c r="P25" s="157" t="s">
        <v>386</v>
      </c>
      <c r="Q25" s="157" t="s">
        <v>387</v>
      </c>
      <c r="R25" s="164" t="s">
        <v>359</v>
      </c>
      <c r="S25" s="162" t="s">
        <v>391</v>
      </c>
      <c r="T25" s="162" t="s">
        <v>390</v>
      </c>
      <c r="U25" s="265" t="s">
        <v>374</v>
      </c>
      <c r="V25" s="266"/>
    </row>
    <row r="26" spans="1:22" ht="17.399999999999999" x14ac:dyDescent="0.4">
      <c r="A26" s="156">
        <v>300</v>
      </c>
      <c r="B26" s="157">
        <v>380</v>
      </c>
      <c r="C26" s="158">
        <f t="shared" si="0"/>
        <v>563</v>
      </c>
      <c r="D26" s="158">
        <f t="shared" si="1"/>
        <v>500</v>
      </c>
      <c r="E26" s="158">
        <f t="shared" si="2"/>
        <v>600</v>
      </c>
      <c r="F26" s="159">
        <f t="shared" si="3"/>
        <v>173.404</v>
      </c>
      <c r="G26" s="160">
        <f t="shared" si="4"/>
        <v>1.8766666666666667</v>
      </c>
      <c r="H26" s="157">
        <v>150</v>
      </c>
      <c r="I26" s="157">
        <v>2</v>
      </c>
      <c r="J26" s="157">
        <f t="shared" si="5"/>
        <v>32.76</v>
      </c>
      <c r="K26" s="157">
        <v>35</v>
      </c>
      <c r="L26" s="157">
        <v>630</v>
      </c>
      <c r="M26" s="157" t="s">
        <v>393</v>
      </c>
      <c r="N26" s="157" t="s">
        <v>389</v>
      </c>
      <c r="O26" s="161">
        <f t="shared" si="6"/>
        <v>703.75</v>
      </c>
      <c r="P26" s="157" t="s">
        <v>394</v>
      </c>
      <c r="Q26" s="157" t="s">
        <v>387</v>
      </c>
      <c r="R26" s="164" t="s">
        <v>359</v>
      </c>
      <c r="S26" s="162" t="s">
        <v>391</v>
      </c>
      <c r="T26" s="162" t="s">
        <v>394</v>
      </c>
      <c r="U26" s="265" t="s">
        <v>374</v>
      </c>
      <c r="V26" s="266"/>
    </row>
    <row r="27" spans="1:22" ht="17.399999999999999" x14ac:dyDescent="0.4">
      <c r="A27" s="156">
        <v>300</v>
      </c>
      <c r="B27" s="157">
        <v>440</v>
      </c>
      <c r="C27" s="158">
        <f t="shared" si="0"/>
        <v>486</v>
      </c>
      <c r="D27" s="158">
        <f t="shared" si="1"/>
        <v>579</v>
      </c>
      <c r="E27" s="158">
        <f t="shared" si="2"/>
        <v>519</v>
      </c>
      <c r="F27" s="159">
        <f t="shared" si="3"/>
        <v>149.68799999999999</v>
      </c>
      <c r="G27" s="160">
        <f t="shared" si="4"/>
        <v>1.62</v>
      </c>
      <c r="H27" s="157">
        <v>150</v>
      </c>
      <c r="I27" s="157">
        <v>2</v>
      </c>
      <c r="J27" s="157">
        <f t="shared" si="5"/>
        <v>32.76</v>
      </c>
      <c r="K27" s="157">
        <v>35</v>
      </c>
      <c r="L27" s="157">
        <v>630</v>
      </c>
      <c r="M27" s="157" t="s">
        <v>393</v>
      </c>
      <c r="N27" s="157" t="s">
        <v>389</v>
      </c>
      <c r="O27" s="161">
        <f t="shared" si="6"/>
        <v>607.5</v>
      </c>
      <c r="P27" s="157" t="s">
        <v>390</v>
      </c>
      <c r="Q27" s="157" t="s">
        <v>387</v>
      </c>
      <c r="R27" s="164" t="s">
        <v>359</v>
      </c>
      <c r="S27" s="162" t="s">
        <v>391</v>
      </c>
      <c r="T27" s="162" t="s">
        <v>394</v>
      </c>
      <c r="U27" s="265" t="s">
        <v>374</v>
      </c>
      <c r="V27" s="266"/>
    </row>
    <row r="28" spans="1:22" ht="17.399999999999999" x14ac:dyDescent="0.4">
      <c r="A28" s="156">
        <v>350</v>
      </c>
      <c r="B28" s="157">
        <v>440</v>
      </c>
      <c r="C28" s="158">
        <f t="shared" si="0"/>
        <v>567</v>
      </c>
      <c r="D28" s="158">
        <f t="shared" si="1"/>
        <v>579</v>
      </c>
      <c r="E28" s="158">
        <f t="shared" si="2"/>
        <v>605</v>
      </c>
      <c r="F28" s="159">
        <f t="shared" si="3"/>
        <v>174.636</v>
      </c>
      <c r="G28" s="160">
        <f t="shared" si="4"/>
        <v>1.89</v>
      </c>
      <c r="H28" s="157">
        <v>150</v>
      </c>
      <c r="I28" s="157">
        <v>2</v>
      </c>
      <c r="J28" s="157">
        <f t="shared" si="5"/>
        <v>36.4</v>
      </c>
      <c r="K28" s="157">
        <v>50</v>
      </c>
      <c r="L28" s="157">
        <v>700</v>
      </c>
      <c r="M28" s="157" t="s">
        <v>395</v>
      </c>
      <c r="N28" s="157" t="s">
        <v>396</v>
      </c>
      <c r="O28" s="161">
        <f t="shared" si="6"/>
        <v>708.75</v>
      </c>
      <c r="P28" s="157" t="s">
        <v>394</v>
      </c>
      <c r="Q28" s="157" t="s">
        <v>387</v>
      </c>
      <c r="R28" s="164" t="s">
        <v>359</v>
      </c>
      <c r="S28" s="162" t="s">
        <v>391</v>
      </c>
      <c r="T28" s="162" t="s">
        <v>394</v>
      </c>
      <c r="U28" s="265" t="s">
        <v>374</v>
      </c>
      <c r="V28" s="266"/>
    </row>
    <row r="29" spans="1:22" ht="17.399999999999999" x14ac:dyDescent="0.4">
      <c r="A29" s="156">
        <v>400</v>
      </c>
      <c r="B29" s="157">
        <v>440</v>
      </c>
      <c r="C29" s="158">
        <f t="shared" si="0"/>
        <v>648</v>
      </c>
      <c r="D29" s="158">
        <f t="shared" si="1"/>
        <v>579</v>
      </c>
      <c r="E29" s="158">
        <f t="shared" si="2"/>
        <v>691</v>
      </c>
      <c r="F29" s="159">
        <f t="shared" si="3"/>
        <v>199.584</v>
      </c>
      <c r="G29" s="160">
        <f t="shared" si="4"/>
        <v>2.16</v>
      </c>
      <c r="H29" s="157">
        <v>150</v>
      </c>
      <c r="I29" s="157">
        <v>2</v>
      </c>
      <c r="J29" s="157">
        <f t="shared" si="5"/>
        <v>41.6</v>
      </c>
      <c r="K29" s="157">
        <v>50</v>
      </c>
      <c r="L29" s="157">
        <v>800</v>
      </c>
      <c r="M29" s="157" t="s">
        <v>395</v>
      </c>
      <c r="N29" s="157" t="s">
        <v>396</v>
      </c>
      <c r="O29" s="161">
        <f t="shared" si="6"/>
        <v>810</v>
      </c>
      <c r="P29" s="157" t="s">
        <v>394</v>
      </c>
      <c r="Q29" s="157" t="s">
        <v>397</v>
      </c>
      <c r="R29" s="164" t="s">
        <v>359</v>
      </c>
      <c r="S29" s="162" t="s">
        <v>391</v>
      </c>
      <c r="T29" s="162" t="s">
        <v>398</v>
      </c>
      <c r="U29" s="265" t="s">
        <v>374</v>
      </c>
      <c r="V29" s="266"/>
    </row>
    <row r="30" spans="1:22" ht="17.399999999999999" x14ac:dyDescent="0.4">
      <c r="A30" s="156">
        <v>450</v>
      </c>
      <c r="B30" s="157">
        <v>440</v>
      </c>
      <c r="C30" s="158">
        <f t="shared" si="0"/>
        <v>729</v>
      </c>
      <c r="D30" s="158">
        <f t="shared" si="1"/>
        <v>579</v>
      </c>
      <c r="E30" s="158">
        <f t="shared" si="2"/>
        <v>778</v>
      </c>
      <c r="F30" s="159"/>
      <c r="G30" s="160">
        <f t="shared" si="4"/>
        <v>1.9702702702702704</v>
      </c>
      <c r="H30" s="157">
        <v>185</v>
      </c>
      <c r="I30" s="157">
        <v>2</v>
      </c>
      <c r="J30" s="157">
        <f t="shared" si="5"/>
        <v>41.6</v>
      </c>
      <c r="K30" s="157">
        <v>50</v>
      </c>
      <c r="L30" s="157">
        <v>800</v>
      </c>
      <c r="M30" s="157" t="s">
        <v>395</v>
      </c>
      <c r="N30" s="157" t="s">
        <v>399</v>
      </c>
      <c r="O30" s="161">
        <f t="shared" si="6"/>
        <v>911.25</v>
      </c>
      <c r="P30" s="157" t="s">
        <v>400</v>
      </c>
      <c r="Q30" s="157" t="s">
        <v>397</v>
      </c>
      <c r="R30" s="164" t="s">
        <v>359</v>
      </c>
      <c r="S30" s="162" t="s">
        <v>391</v>
      </c>
      <c r="T30" s="162" t="s">
        <v>398</v>
      </c>
      <c r="U30" s="265" t="s">
        <v>374</v>
      </c>
      <c r="V30" s="266"/>
    </row>
    <row r="31" spans="1:22" ht="17.399999999999999" x14ac:dyDescent="0.4">
      <c r="A31" s="156">
        <v>500</v>
      </c>
      <c r="B31" s="157">
        <v>440</v>
      </c>
      <c r="C31" s="158">
        <f t="shared" si="0"/>
        <v>810</v>
      </c>
      <c r="D31" s="158">
        <f t="shared" si="1"/>
        <v>579</v>
      </c>
      <c r="E31" s="158">
        <f t="shared" si="2"/>
        <v>864</v>
      </c>
      <c r="F31" s="159">
        <f t="shared" si="3"/>
        <v>249.48</v>
      </c>
      <c r="G31" s="160">
        <f t="shared" si="4"/>
        <v>2.189189189189189</v>
      </c>
      <c r="H31" s="157">
        <v>185</v>
      </c>
      <c r="I31" s="157">
        <v>2</v>
      </c>
      <c r="J31" s="157">
        <f t="shared" si="5"/>
        <v>52</v>
      </c>
      <c r="K31" s="157">
        <v>70</v>
      </c>
      <c r="L31" s="157">
        <v>1000</v>
      </c>
      <c r="M31" s="157" t="s">
        <v>401</v>
      </c>
      <c r="N31" s="157" t="s">
        <v>402</v>
      </c>
      <c r="O31" s="161">
        <f t="shared" si="6"/>
        <v>1012.5</v>
      </c>
      <c r="P31" s="157" t="s">
        <v>398</v>
      </c>
      <c r="Q31" s="157" t="s">
        <v>397</v>
      </c>
      <c r="R31" s="164" t="s">
        <v>359</v>
      </c>
      <c r="S31" s="162" t="s">
        <v>403</v>
      </c>
      <c r="T31" s="162" t="s">
        <v>404</v>
      </c>
      <c r="U31" s="265" t="s">
        <v>374</v>
      </c>
      <c r="V31" s="266"/>
    </row>
    <row r="32" spans="1:22" ht="17.399999999999999" x14ac:dyDescent="0.4">
      <c r="A32" s="156">
        <v>600</v>
      </c>
      <c r="B32" s="157">
        <v>460</v>
      </c>
      <c r="C32" s="158">
        <f t="shared" si="0"/>
        <v>930</v>
      </c>
      <c r="D32" s="158">
        <f t="shared" si="1"/>
        <v>606</v>
      </c>
      <c r="E32" s="158">
        <f t="shared" si="2"/>
        <v>991</v>
      </c>
      <c r="F32" s="159">
        <f t="shared" si="3"/>
        <v>286.44</v>
      </c>
      <c r="G32" s="160">
        <f t="shared" si="4"/>
        <v>1.6756756756756757</v>
      </c>
      <c r="H32" s="157">
        <v>185</v>
      </c>
      <c r="I32" s="157">
        <v>3</v>
      </c>
      <c r="J32" s="157">
        <f t="shared" si="5"/>
        <v>62.4</v>
      </c>
      <c r="K32" s="157">
        <v>70</v>
      </c>
      <c r="L32" s="157">
        <v>1200</v>
      </c>
      <c r="M32" s="157" t="s">
        <v>405</v>
      </c>
      <c r="N32" s="157" t="s">
        <v>402</v>
      </c>
      <c r="O32" s="161">
        <f t="shared" si="6"/>
        <v>1162.5</v>
      </c>
      <c r="P32" s="157" t="s">
        <v>406</v>
      </c>
      <c r="Q32" s="157" t="s">
        <v>397</v>
      </c>
      <c r="R32" s="164" t="s">
        <v>359</v>
      </c>
      <c r="S32" s="162" t="s">
        <v>407</v>
      </c>
      <c r="T32" s="162" t="s">
        <v>404</v>
      </c>
      <c r="U32" s="157" t="s">
        <v>408</v>
      </c>
      <c r="V32" s="165" t="s">
        <v>409</v>
      </c>
    </row>
    <row r="33" spans="1:22" ht="17.399999999999999" x14ac:dyDescent="0.4">
      <c r="A33" s="156">
        <v>700</v>
      </c>
      <c r="B33" s="157">
        <v>460</v>
      </c>
      <c r="C33" s="158">
        <f t="shared" si="0"/>
        <v>1085</v>
      </c>
      <c r="D33" s="158">
        <f t="shared" si="1"/>
        <v>606</v>
      </c>
      <c r="E33" s="158">
        <f t="shared" si="2"/>
        <v>1156</v>
      </c>
      <c r="F33" s="159">
        <f t="shared" si="3"/>
        <v>334.18</v>
      </c>
      <c r="G33" s="160">
        <f t="shared" si="4"/>
        <v>1.4662162162162162</v>
      </c>
      <c r="H33" s="157">
        <v>185</v>
      </c>
      <c r="I33" s="157">
        <v>4</v>
      </c>
      <c r="J33" s="157">
        <f t="shared" si="5"/>
        <v>65</v>
      </c>
      <c r="K33" s="157">
        <v>70</v>
      </c>
      <c r="L33" s="157">
        <v>1250</v>
      </c>
      <c r="M33" s="157" t="s">
        <v>410</v>
      </c>
      <c r="N33" s="157" t="s">
        <v>411</v>
      </c>
      <c r="O33" s="161">
        <f t="shared" si="6"/>
        <v>1356.25</v>
      </c>
      <c r="P33" s="164" t="s">
        <v>412</v>
      </c>
      <c r="Q33" s="157" t="s">
        <v>413</v>
      </c>
      <c r="R33" s="164" t="s">
        <v>412</v>
      </c>
      <c r="S33" s="162" t="s">
        <v>414</v>
      </c>
      <c r="T33" s="162" t="s">
        <v>415</v>
      </c>
      <c r="U33" s="157" t="s">
        <v>416</v>
      </c>
      <c r="V33" s="165" t="s">
        <v>417</v>
      </c>
    </row>
    <row r="34" spans="1:22" ht="17.399999999999999" x14ac:dyDescent="0.4">
      <c r="A34" s="156">
        <v>750</v>
      </c>
      <c r="B34" s="157">
        <v>460</v>
      </c>
      <c r="C34" s="158">
        <f t="shared" si="0"/>
        <v>1163</v>
      </c>
      <c r="D34" s="158">
        <f t="shared" si="1"/>
        <v>606</v>
      </c>
      <c r="E34" s="158">
        <f t="shared" si="2"/>
        <v>1238</v>
      </c>
      <c r="F34" s="159">
        <f t="shared" si="3"/>
        <v>358.20400000000001</v>
      </c>
      <c r="G34" s="160">
        <f t="shared" si="4"/>
        <v>1.5716216216216217</v>
      </c>
      <c r="H34" s="157">
        <v>185</v>
      </c>
      <c r="I34" s="157">
        <v>4</v>
      </c>
      <c r="J34" s="157">
        <f t="shared" si="5"/>
        <v>65</v>
      </c>
      <c r="K34" s="157">
        <v>70</v>
      </c>
      <c r="L34" s="157">
        <v>1250</v>
      </c>
      <c r="M34" s="157" t="s">
        <v>410</v>
      </c>
      <c r="N34" s="157" t="s">
        <v>411</v>
      </c>
      <c r="O34" s="161">
        <f t="shared" si="6"/>
        <v>1453.75</v>
      </c>
      <c r="P34" s="164" t="s">
        <v>412</v>
      </c>
      <c r="Q34" s="157" t="s">
        <v>413</v>
      </c>
      <c r="R34" s="164" t="s">
        <v>412</v>
      </c>
      <c r="S34" s="162" t="s">
        <v>414</v>
      </c>
      <c r="T34" s="162" t="s">
        <v>418</v>
      </c>
      <c r="U34" s="157" t="s">
        <v>416</v>
      </c>
      <c r="V34" s="165" t="s">
        <v>417</v>
      </c>
    </row>
    <row r="35" spans="1:22" ht="17.399999999999999" x14ac:dyDescent="0.4">
      <c r="A35" s="156">
        <v>800</v>
      </c>
      <c r="B35" s="157">
        <v>460</v>
      </c>
      <c r="C35" s="158">
        <f t="shared" si="0"/>
        <v>1240</v>
      </c>
      <c r="D35" s="158">
        <f t="shared" si="1"/>
        <v>606</v>
      </c>
      <c r="E35" s="158">
        <f t="shared" si="2"/>
        <v>1321</v>
      </c>
      <c r="F35" s="159">
        <f t="shared" si="3"/>
        <v>381.92</v>
      </c>
      <c r="G35" s="160">
        <f t="shared" si="4"/>
        <v>1.6756756756756757</v>
      </c>
      <c r="H35" s="157">
        <v>185</v>
      </c>
      <c r="I35" s="157">
        <v>4</v>
      </c>
      <c r="J35" s="157">
        <f t="shared" si="5"/>
        <v>83.2</v>
      </c>
      <c r="K35" s="157">
        <v>95</v>
      </c>
      <c r="L35" s="157">
        <v>1600</v>
      </c>
      <c r="M35" s="157" t="s">
        <v>419</v>
      </c>
      <c r="N35" s="157" t="s">
        <v>420</v>
      </c>
      <c r="O35" s="161">
        <f t="shared" si="6"/>
        <v>1550</v>
      </c>
      <c r="P35" s="164" t="s">
        <v>412</v>
      </c>
      <c r="Q35" s="157" t="s">
        <v>413</v>
      </c>
      <c r="R35" s="164" t="s">
        <v>412</v>
      </c>
      <c r="S35" s="162" t="s">
        <v>414</v>
      </c>
      <c r="T35" s="162" t="s">
        <v>418</v>
      </c>
      <c r="U35" s="157" t="s">
        <v>416</v>
      </c>
      <c r="V35" s="165" t="s">
        <v>417</v>
      </c>
    </row>
    <row r="36" spans="1:22" ht="17.399999999999999" x14ac:dyDescent="0.4">
      <c r="A36" s="156">
        <v>1000</v>
      </c>
      <c r="B36" s="157">
        <v>460</v>
      </c>
      <c r="C36" s="158">
        <f t="shared" si="0"/>
        <v>1550</v>
      </c>
      <c r="D36" s="158">
        <f t="shared" si="1"/>
        <v>606</v>
      </c>
      <c r="E36" s="158">
        <f t="shared" si="2"/>
        <v>1651</v>
      </c>
      <c r="F36" s="159">
        <f t="shared" si="3"/>
        <v>477.4</v>
      </c>
      <c r="G36" s="160">
        <f t="shared" si="4"/>
        <v>1.6145833333333333</v>
      </c>
      <c r="H36" s="157">
        <v>240</v>
      </c>
      <c r="I36" s="157">
        <v>4</v>
      </c>
      <c r="J36" s="157">
        <f t="shared" si="5"/>
        <v>104</v>
      </c>
      <c r="K36" s="157">
        <v>120</v>
      </c>
      <c r="L36" s="157">
        <v>2000</v>
      </c>
      <c r="M36" s="157" t="s">
        <v>421</v>
      </c>
      <c r="N36" s="157" t="s">
        <v>422</v>
      </c>
      <c r="O36" s="161">
        <f t="shared" si="6"/>
        <v>1937.5</v>
      </c>
      <c r="P36" s="164" t="s">
        <v>412</v>
      </c>
      <c r="Q36" s="157" t="s">
        <v>423</v>
      </c>
      <c r="R36" s="157" t="s">
        <v>424</v>
      </c>
      <c r="S36" s="162" t="s">
        <v>414</v>
      </c>
      <c r="T36" s="162" t="s">
        <v>425</v>
      </c>
      <c r="U36" s="157" t="s">
        <v>416</v>
      </c>
      <c r="V36" s="165" t="s">
        <v>417</v>
      </c>
    </row>
    <row r="37" spans="1:22" ht="17.399999999999999" x14ac:dyDescent="0.4">
      <c r="A37" s="156">
        <v>1200</v>
      </c>
      <c r="B37" s="157">
        <v>460</v>
      </c>
      <c r="C37" s="158">
        <f t="shared" si="0"/>
        <v>1860</v>
      </c>
      <c r="D37" s="158">
        <f t="shared" si="1"/>
        <v>606</v>
      </c>
      <c r="E37" s="158">
        <f t="shared" si="2"/>
        <v>1981</v>
      </c>
      <c r="F37" s="159">
        <f t="shared" si="3"/>
        <v>572.88</v>
      </c>
      <c r="G37" s="160">
        <f t="shared" si="4"/>
        <v>1.55</v>
      </c>
      <c r="H37" s="157">
        <v>300</v>
      </c>
      <c r="I37" s="157">
        <v>4</v>
      </c>
      <c r="J37" s="157">
        <f t="shared" si="5"/>
        <v>130</v>
      </c>
      <c r="K37" s="157">
        <v>150</v>
      </c>
      <c r="L37" s="157">
        <v>2500</v>
      </c>
      <c r="M37" s="157" t="s">
        <v>426</v>
      </c>
      <c r="N37" s="157" t="s">
        <v>427</v>
      </c>
      <c r="O37" s="161">
        <f t="shared" si="6"/>
        <v>2325</v>
      </c>
      <c r="P37" s="164" t="s">
        <v>412</v>
      </c>
      <c r="Q37" s="157"/>
      <c r="R37" s="157" t="s">
        <v>424</v>
      </c>
      <c r="S37" s="162" t="s">
        <v>414</v>
      </c>
      <c r="T37" s="162" t="s">
        <v>425</v>
      </c>
      <c r="U37" s="157" t="s">
        <v>416</v>
      </c>
      <c r="V37" s="165" t="s">
        <v>428</v>
      </c>
    </row>
    <row r="38" spans="1:22" ht="17.399999999999999" x14ac:dyDescent="0.4">
      <c r="A38" s="156">
        <v>1250</v>
      </c>
      <c r="B38" s="157">
        <v>460</v>
      </c>
      <c r="C38" s="158">
        <f t="shared" si="0"/>
        <v>1937</v>
      </c>
      <c r="D38" s="158">
        <f t="shared" si="1"/>
        <v>606</v>
      </c>
      <c r="E38" s="158">
        <f t="shared" si="2"/>
        <v>2063</v>
      </c>
      <c r="F38" s="159">
        <f t="shared" si="3"/>
        <v>596.596</v>
      </c>
      <c r="G38" s="160">
        <f t="shared" si="4"/>
        <v>1.6141666666666667</v>
      </c>
      <c r="H38" s="157">
        <v>300</v>
      </c>
      <c r="I38" s="157">
        <v>4</v>
      </c>
      <c r="J38" s="157">
        <f t="shared" si="5"/>
        <v>130</v>
      </c>
      <c r="K38" s="157">
        <v>150</v>
      </c>
      <c r="L38" s="157">
        <v>2500</v>
      </c>
      <c r="M38" s="157" t="s">
        <v>429</v>
      </c>
      <c r="N38" s="157" t="s">
        <v>430</v>
      </c>
      <c r="O38" s="161">
        <f t="shared" si="6"/>
        <v>2421.25</v>
      </c>
      <c r="P38" s="164" t="s">
        <v>431</v>
      </c>
      <c r="Q38" s="157"/>
      <c r="R38" s="157" t="s">
        <v>432</v>
      </c>
      <c r="S38" s="162" t="s">
        <v>433</v>
      </c>
      <c r="T38" s="162" t="s">
        <v>434</v>
      </c>
      <c r="U38" s="157" t="s">
        <v>435</v>
      </c>
      <c r="V38" s="165" t="s">
        <v>428</v>
      </c>
    </row>
    <row r="39" spans="1:22" ht="17.399999999999999" x14ac:dyDescent="0.4">
      <c r="A39" s="156">
        <v>1500</v>
      </c>
      <c r="B39" s="157">
        <v>460</v>
      </c>
      <c r="C39" s="158">
        <f t="shared" si="0"/>
        <v>2325</v>
      </c>
      <c r="D39" s="158">
        <f t="shared" si="1"/>
        <v>606</v>
      </c>
      <c r="E39" s="158">
        <f t="shared" si="2"/>
        <v>2476</v>
      </c>
      <c r="F39" s="159">
        <f t="shared" si="3"/>
        <v>716.1</v>
      </c>
      <c r="G39" s="160">
        <f t="shared" si="4"/>
        <v>1.55</v>
      </c>
      <c r="H39" s="157">
        <v>300</v>
      </c>
      <c r="I39" s="157">
        <v>5</v>
      </c>
      <c r="J39" s="157">
        <f t="shared" si="5"/>
        <v>130</v>
      </c>
      <c r="K39" s="157">
        <v>150</v>
      </c>
      <c r="L39" s="157">
        <v>2500</v>
      </c>
      <c r="M39" s="157" t="s">
        <v>429</v>
      </c>
      <c r="N39" s="157" t="s">
        <v>430</v>
      </c>
      <c r="O39" s="161">
        <f t="shared" si="6"/>
        <v>2906.25</v>
      </c>
      <c r="P39" s="164" t="s">
        <v>431</v>
      </c>
      <c r="Q39" s="157" t="s">
        <v>436</v>
      </c>
      <c r="R39" s="157" t="s">
        <v>432</v>
      </c>
      <c r="S39" s="162" t="s">
        <v>433</v>
      </c>
      <c r="T39" s="162" t="s">
        <v>437</v>
      </c>
      <c r="U39" s="157" t="s">
        <v>416</v>
      </c>
      <c r="V39" s="165" t="s">
        <v>438</v>
      </c>
    </row>
    <row r="40" spans="1:22" ht="17.399999999999999" x14ac:dyDescent="0.4">
      <c r="A40" s="156">
        <v>1500</v>
      </c>
      <c r="B40" s="157">
        <v>650</v>
      </c>
      <c r="C40" s="158">
        <f t="shared" si="0"/>
        <v>1645</v>
      </c>
      <c r="D40" s="158">
        <f t="shared" si="1"/>
        <v>855</v>
      </c>
      <c r="E40" s="158">
        <f t="shared" si="2"/>
        <v>1755</v>
      </c>
      <c r="F40" s="159">
        <f t="shared" si="3"/>
        <v>506.66</v>
      </c>
      <c r="G40" s="160">
        <f t="shared" si="4"/>
        <v>1.7135416666666667</v>
      </c>
      <c r="H40" s="157">
        <v>240</v>
      </c>
      <c r="I40" s="157">
        <v>4</v>
      </c>
      <c r="J40" s="157">
        <f t="shared" si="5"/>
        <v>104</v>
      </c>
      <c r="K40" s="157">
        <v>120</v>
      </c>
      <c r="L40" s="157">
        <v>2000</v>
      </c>
      <c r="M40" s="157" t="s">
        <v>421</v>
      </c>
      <c r="N40" s="157" t="s">
        <v>422</v>
      </c>
      <c r="O40" s="161">
        <f t="shared" si="6"/>
        <v>2056.25</v>
      </c>
      <c r="P40" s="164" t="s">
        <v>412</v>
      </c>
      <c r="Q40" s="157"/>
      <c r="R40" s="157" t="s">
        <v>424</v>
      </c>
      <c r="S40" s="162" t="s">
        <v>414</v>
      </c>
      <c r="T40" s="162" t="s">
        <v>425</v>
      </c>
      <c r="U40" s="157" t="s">
        <v>416</v>
      </c>
      <c r="V40" s="165" t="s">
        <v>438</v>
      </c>
    </row>
    <row r="41" spans="1:22" ht="17.399999999999999" x14ac:dyDescent="0.4">
      <c r="A41" s="156">
        <v>1600</v>
      </c>
      <c r="B41" s="157">
        <v>690</v>
      </c>
      <c r="C41" s="158">
        <f>ROUNDUP(A41/(B41*0.9)/3^0.5*1000/0.9,0)</f>
        <v>1653</v>
      </c>
      <c r="D41" s="158">
        <f>ROUNDUP(B41*2^0.5*0.93,0)</f>
        <v>908</v>
      </c>
      <c r="E41" s="158">
        <f>ROUNDUP(A41*1000/D41,0)</f>
        <v>1763</v>
      </c>
      <c r="F41" s="159">
        <f>30.8*100*C41/(1000*10)</f>
        <v>509.12400000000002</v>
      </c>
      <c r="G41" s="160">
        <f>C41/(H41*I41)</f>
        <v>1.721875</v>
      </c>
      <c r="H41" s="157">
        <v>240</v>
      </c>
      <c r="I41" s="157">
        <v>4</v>
      </c>
      <c r="J41" s="157">
        <f>L41*0.052</f>
        <v>104</v>
      </c>
      <c r="K41" s="157">
        <v>120</v>
      </c>
      <c r="L41" s="157">
        <v>2000</v>
      </c>
      <c r="M41" s="157" t="s">
        <v>421</v>
      </c>
      <c r="N41" s="157" t="s">
        <v>422</v>
      </c>
      <c r="O41" s="161">
        <f>SUM(C41*1.25)</f>
        <v>2066.25</v>
      </c>
      <c r="P41" s="164" t="s">
        <v>359</v>
      </c>
      <c r="Q41" s="157"/>
      <c r="R41" s="157" t="s">
        <v>424</v>
      </c>
      <c r="S41" s="162" t="s">
        <v>414</v>
      </c>
      <c r="T41" s="162" t="s">
        <v>425</v>
      </c>
      <c r="U41" s="157" t="s">
        <v>408</v>
      </c>
      <c r="V41" s="165" t="s">
        <v>517</v>
      </c>
    </row>
    <row r="42" spans="1:22" ht="17.399999999999999" x14ac:dyDescent="0.4">
      <c r="A42" s="156">
        <v>2000</v>
      </c>
      <c r="B42" s="157">
        <v>460</v>
      </c>
      <c r="C42" s="158">
        <f t="shared" si="0"/>
        <v>3100</v>
      </c>
      <c r="D42" s="158">
        <f t="shared" si="1"/>
        <v>606</v>
      </c>
      <c r="E42" s="158">
        <f t="shared" si="2"/>
        <v>3301</v>
      </c>
      <c r="F42" s="159">
        <f t="shared" si="3"/>
        <v>954.8</v>
      </c>
      <c r="G42" s="160">
        <f t="shared" si="4"/>
        <v>1.2916666666666667</v>
      </c>
      <c r="H42" s="157">
        <v>400</v>
      </c>
      <c r="I42" s="157">
        <v>6</v>
      </c>
      <c r="J42" s="157">
        <f t="shared" si="5"/>
        <v>166.4</v>
      </c>
      <c r="K42" s="157">
        <v>185</v>
      </c>
      <c r="L42" s="157">
        <v>3200</v>
      </c>
      <c r="M42" s="157" t="s">
        <v>439</v>
      </c>
      <c r="N42" s="157" t="s">
        <v>440</v>
      </c>
      <c r="O42" s="161">
        <f t="shared" si="6"/>
        <v>3875</v>
      </c>
      <c r="P42" s="164" t="s">
        <v>412</v>
      </c>
      <c r="Q42" s="157" t="s">
        <v>441</v>
      </c>
      <c r="R42" s="157" t="s">
        <v>442</v>
      </c>
      <c r="S42" s="162" t="s">
        <v>414</v>
      </c>
      <c r="T42" s="162" t="s">
        <v>443</v>
      </c>
      <c r="U42" s="157" t="s">
        <v>416</v>
      </c>
      <c r="V42" s="165" t="s">
        <v>444</v>
      </c>
    </row>
    <row r="43" spans="1:22" ht="17.399999999999999" x14ac:dyDescent="0.4">
      <c r="A43" s="156">
        <v>2000</v>
      </c>
      <c r="B43" s="157">
        <v>650</v>
      </c>
      <c r="C43" s="158">
        <f t="shared" si="0"/>
        <v>2194</v>
      </c>
      <c r="D43" s="158">
        <f t="shared" si="1"/>
        <v>855</v>
      </c>
      <c r="E43" s="158">
        <f t="shared" si="2"/>
        <v>2340</v>
      </c>
      <c r="F43" s="159">
        <f t="shared" si="3"/>
        <v>675.75199999999995</v>
      </c>
      <c r="G43" s="160">
        <f t="shared" si="4"/>
        <v>1.4626666666666666</v>
      </c>
      <c r="H43" s="157">
        <v>300</v>
      </c>
      <c r="I43" s="157">
        <v>5</v>
      </c>
      <c r="J43" s="157">
        <f t="shared" si="5"/>
        <v>130</v>
      </c>
      <c r="K43" s="157">
        <v>150</v>
      </c>
      <c r="L43" s="157">
        <v>2500</v>
      </c>
      <c r="M43" s="157" t="s">
        <v>426</v>
      </c>
      <c r="N43" s="157" t="s">
        <v>427</v>
      </c>
      <c r="O43" s="161">
        <f t="shared" si="6"/>
        <v>2742.5</v>
      </c>
      <c r="P43" s="164" t="s">
        <v>412</v>
      </c>
      <c r="Q43" s="157" t="s">
        <v>445</v>
      </c>
      <c r="R43" s="157" t="s">
        <v>424</v>
      </c>
      <c r="S43" s="162" t="s">
        <v>414</v>
      </c>
      <c r="T43" s="162" t="s">
        <v>437</v>
      </c>
      <c r="U43" s="157" t="s">
        <v>416</v>
      </c>
      <c r="V43" s="165" t="s">
        <v>438</v>
      </c>
    </row>
    <row r="44" spans="1:22" ht="17.399999999999999" x14ac:dyDescent="0.4">
      <c r="A44" s="156">
        <v>2500</v>
      </c>
      <c r="B44" s="157">
        <v>460</v>
      </c>
      <c r="C44" s="158">
        <f t="shared" si="0"/>
        <v>3874</v>
      </c>
      <c r="D44" s="158">
        <f t="shared" si="1"/>
        <v>606</v>
      </c>
      <c r="E44" s="158">
        <f t="shared" si="2"/>
        <v>4126</v>
      </c>
      <c r="F44" s="159">
        <f t="shared" si="3"/>
        <v>1193.192</v>
      </c>
      <c r="G44" s="160">
        <f t="shared" si="4"/>
        <v>1.6141666666666667</v>
      </c>
      <c r="H44" s="157">
        <v>400</v>
      </c>
      <c r="I44" s="157">
        <v>6</v>
      </c>
      <c r="J44" s="157">
        <f t="shared" si="5"/>
        <v>208</v>
      </c>
      <c r="K44" s="157">
        <v>240</v>
      </c>
      <c r="L44" s="157">
        <v>4000</v>
      </c>
      <c r="M44" s="157" t="s">
        <v>446</v>
      </c>
      <c r="N44" s="157" t="s">
        <v>440</v>
      </c>
      <c r="O44" s="161">
        <f t="shared" si="6"/>
        <v>4842.5</v>
      </c>
      <c r="P44" s="164" t="s">
        <v>412</v>
      </c>
      <c r="Q44" s="157" t="s">
        <v>441</v>
      </c>
      <c r="R44" s="157" t="s">
        <v>442</v>
      </c>
      <c r="S44" s="162" t="s">
        <v>414</v>
      </c>
      <c r="T44" s="162" t="s">
        <v>447</v>
      </c>
      <c r="U44" s="157" t="s">
        <v>416</v>
      </c>
      <c r="V44" s="165" t="s">
        <v>444</v>
      </c>
    </row>
    <row r="45" spans="1:22" ht="17.399999999999999" x14ac:dyDescent="0.4">
      <c r="A45" s="166">
        <v>2500</v>
      </c>
      <c r="B45" s="157">
        <v>650</v>
      </c>
      <c r="C45" s="158">
        <f t="shared" si="0"/>
        <v>2742</v>
      </c>
      <c r="D45" s="158">
        <f t="shared" si="1"/>
        <v>855</v>
      </c>
      <c r="E45" s="158">
        <f t="shared" si="2"/>
        <v>2924</v>
      </c>
      <c r="F45" s="167"/>
      <c r="G45" s="160">
        <f t="shared" si="4"/>
        <v>1.1425000000000001</v>
      </c>
      <c r="H45" s="157">
        <v>400</v>
      </c>
      <c r="I45" s="157">
        <v>6</v>
      </c>
      <c r="J45" s="157">
        <f t="shared" si="5"/>
        <v>166.4</v>
      </c>
      <c r="K45" s="157">
        <v>185</v>
      </c>
      <c r="L45" s="157">
        <v>3200</v>
      </c>
      <c r="M45" s="157" t="s">
        <v>439</v>
      </c>
      <c r="N45" s="157" t="s">
        <v>440</v>
      </c>
      <c r="O45" s="161">
        <f t="shared" si="6"/>
        <v>3427.5</v>
      </c>
      <c r="P45" s="164" t="s">
        <v>412</v>
      </c>
      <c r="Q45" s="157" t="s">
        <v>441</v>
      </c>
      <c r="R45" s="157" t="s">
        <v>442</v>
      </c>
      <c r="S45" s="162" t="s">
        <v>414</v>
      </c>
      <c r="T45" s="162" t="s">
        <v>443</v>
      </c>
      <c r="U45" s="157" t="s">
        <v>416</v>
      </c>
      <c r="V45" s="165" t="s">
        <v>444</v>
      </c>
    </row>
    <row r="46" spans="1:22" ht="17.399999999999999" x14ac:dyDescent="0.4">
      <c r="A46" s="166">
        <v>3000</v>
      </c>
      <c r="B46" s="168">
        <v>460</v>
      </c>
      <c r="C46" s="169">
        <f>ROUNDUP(A46/(B46*0.9)/3^0.5*1000/0.9,0)</f>
        <v>4649</v>
      </c>
      <c r="D46" s="169">
        <f t="shared" si="1"/>
        <v>606</v>
      </c>
      <c r="E46" s="169">
        <f t="shared" si="2"/>
        <v>4951</v>
      </c>
      <c r="F46" s="167">
        <f>30.8*100*C46/(1000*10)</f>
        <v>1431.8920000000001</v>
      </c>
      <c r="G46" s="170">
        <f t="shared" si="4"/>
        <v>1.5496666666666667</v>
      </c>
      <c r="H46" s="168">
        <v>500</v>
      </c>
      <c r="I46" s="168">
        <v>6</v>
      </c>
      <c r="J46" s="168">
        <f t="shared" si="5"/>
        <v>208</v>
      </c>
      <c r="K46" s="168">
        <v>240</v>
      </c>
      <c r="L46" s="168">
        <v>4000</v>
      </c>
      <c r="M46" s="168" t="s">
        <v>446</v>
      </c>
      <c r="N46" s="168" t="s">
        <v>440</v>
      </c>
      <c r="O46" s="171">
        <f t="shared" si="6"/>
        <v>5811.25</v>
      </c>
      <c r="P46" s="172" t="s">
        <v>412</v>
      </c>
      <c r="Q46" s="168" t="s">
        <v>441</v>
      </c>
      <c r="R46" s="168" t="s">
        <v>442</v>
      </c>
      <c r="S46" s="162" t="s">
        <v>414</v>
      </c>
      <c r="T46" s="173" t="s">
        <v>448</v>
      </c>
      <c r="U46" s="168" t="s">
        <v>435</v>
      </c>
      <c r="V46" s="174" t="s">
        <v>449</v>
      </c>
    </row>
    <row r="47" spans="1:22" ht="18" thickBot="1" x14ac:dyDescent="0.45">
      <c r="A47" s="175">
        <v>3000</v>
      </c>
      <c r="B47" s="176">
        <v>650</v>
      </c>
      <c r="C47" s="177">
        <f t="shared" si="0"/>
        <v>3290</v>
      </c>
      <c r="D47" s="177">
        <f t="shared" si="1"/>
        <v>855</v>
      </c>
      <c r="E47" s="177">
        <f t="shared" si="2"/>
        <v>3509</v>
      </c>
      <c r="F47" s="178">
        <f t="shared" si="3"/>
        <v>1013.32</v>
      </c>
      <c r="G47" s="179">
        <f t="shared" si="4"/>
        <v>1.3708333333333333</v>
      </c>
      <c r="H47" s="176">
        <v>400</v>
      </c>
      <c r="I47" s="176">
        <v>6</v>
      </c>
      <c r="J47" s="176">
        <f t="shared" si="5"/>
        <v>166.4</v>
      </c>
      <c r="K47" s="176">
        <v>185</v>
      </c>
      <c r="L47" s="176">
        <v>3200</v>
      </c>
      <c r="M47" s="176" t="s">
        <v>450</v>
      </c>
      <c r="N47" s="176" t="s">
        <v>451</v>
      </c>
      <c r="O47" s="180">
        <f t="shared" si="6"/>
        <v>4112.5</v>
      </c>
      <c r="P47" s="181" t="s">
        <v>452</v>
      </c>
      <c r="Q47" s="176" t="s">
        <v>441</v>
      </c>
      <c r="R47" s="176" t="s">
        <v>453</v>
      </c>
      <c r="S47" s="182" t="s">
        <v>454</v>
      </c>
      <c r="T47" s="176" t="s">
        <v>455</v>
      </c>
      <c r="U47" s="176" t="s">
        <v>408</v>
      </c>
      <c r="V47" s="183" t="s">
        <v>449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281" t="s">
        <v>189</v>
      </c>
      <c r="C2" s="283" t="s">
        <v>190</v>
      </c>
      <c r="D2" s="283"/>
      <c r="E2" s="283"/>
      <c r="F2" s="283"/>
      <c r="G2" s="283"/>
      <c r="H2" s="283"/>
      <c r="I2" s="283"/>
      <c r="J2" s="283"/>
      <c r="K2" s="283"/>
      <c r="L2" s="284" t="s">
        <v>191</v>
      </c>
      <c r="M2" s="284"/>
      <c r="N2" s="284"/>
      <c r="O2" s="285" t="s">
        <v>192</v>
      </c>
      <c r="P2" s="285"/>
      <c r="Q2" s="285"/>
      <c r="R2" s="286" t="s">
        <v>193</v>
      </c>
      <c r="S2" s="286"/>
      <c r="T2" s="287"/>
    </row>
    <row r="3" spans="2:20" ht="17.399999999999999" x14ac:dyDescent="0.25">
      <c r="B3" s="282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2021-12-02T06:33:25Z</dcterms:modified>
</cp:coreProperties>
</file>