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20052" windowHeight="10800" tabRatio="821" activeTab="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45621"/>
</workbook>
</file>

<file path=xl/calcChain.xml><?xml version="1.0" encoding="utf-8"?>
<calcChain xmlns="http://schemas.openxmlformats.org/spreadsheetml/2006/main">
  <c r="K67" i="37" l="1"/>
  <c r="I67" i="37"/>
  <c r="H67" i="37"/>
  <c r="K32" i="37"/>
  <c r="I32" i="37"/>
  <c r="H32" i="37"/>
  <c r="K18" i="37"/>
  <c r="I18" i="37"/>
  <c r="H18" i="37"/>
  <c r="K16" i="37"/>
  <c r="K21" i="37" s="1"/>
  <c r="I16" i="37"/>
  <c r="H16" i="37"/>
  <c r="K10" i="37"/>
  <c r="K11" i="37" s="1"/>
  <c r="I10" i="37"/>
  <c r="I37" i="37" s="1"/>
  <c r="I39" i="37" s="1"/>
  <c r="H10" i="37"/>
  <c r="H37" i="37" s="1"/>
  <c r="H39" i="37" s="1"/>
  <c r="K6" i="37"/>
  <c r="K8" i="37" s="1"/>
  <c r="I6" i="37"/>
  <c r="I8" i="37" s="1"/>
  <c r="H6" i="37"/>
  <c r="H8" i="37" s="1"/>
  <c r="H11" i="37" l="1"/>
  <c r="I21" i="37"/>
  <c r="I22" i="37"/>
  <c r="I25" i="37" s="1"/>
  <c r="K54" i="37"/>
  <c r="K23" i="37"/>
  <c r="K24" i="37"/>
  <c r="H21" i="37"/>
  <c r="H22" i="37"/>
  <c r="H25" i="37" s="1"/>
  <c r="K37" i="37"/>
  <c r="K39" i="37" s="1"/>
  <c r="I11" i="37"/>
  <c r="K22" i="37"/>
  <c r="K25" i="37" s="1"/>
  <c r="F67" i="37"/>
  <c r="F32" i="37"/>
  <c r="F18" i="37"/>
  <c r="F16" i="37"/>
  <c r="F10" i="37"/>
  <c r="F11" i="37" s="1"/>
  <c r="F6" i="37"/>
  <c r="F8" i="37" s="1"/>
  <c r="H28" i="37" l="1"/>
  <c r="K59" i="37"/>
  <c r="K62" i="37" s="1"/>
  <c r="K60" i="37"/>
  <c r="K53" i="37"/>
  <c r="K26" i="37"/>
  <c r="K28" i="37"/>
  <c r="H23" i="37"/>
  <c r="H24" i="37"/>
  <c r="H54" i="37"/>
  <c r="I28" i="37"/>
  <c r="I24" i="37"/>
  <c r="I54" i="37"/>
  <c r="I23" i="37"/>
  <c r="F21" i="37"/>
  <c r="F54" i="37" s="1"/>
  <c r="F22" i="37"/>
  <c r="F25" i="37" s="1"/>
  <c r="F37" i="37"/>
  <c r="F39" i="37" s="1"/>
  <c r="I26" i="37" l="1"/>
  <c r="I31" i="37" s="1"/>
  <c r="I41" i="37" s="1"/>
  <c r="I66" i="37" s="1"/>
  <c r="H26" i="37"/>
  <c r="H31" i="37" s="1"/>
  <c r="H41" i="37" s="1"/>
  <c r="H66" i="37" s="1"/>
  <c r="I29" i="37"/>
  <c r="I30" i="37"/>
  <c r="I43" i="37"/>
  <c r="K30" i="37"/>
  <c r="K31" i="37"/>
  <c r="K41" i="37" s="1"/>
  <c r="K66" i="37" s="1"/>
  <c r="K43" i="37"/>
  <c r="K29" i="37"/>
  <c r="I60" i="37"/>
  <c r="I53" i="37"/>
  <c r="I59" i="37"/>
  <c r="I62" i="37" s="1"/>
  <c r="H59" i="37"/>
  <c r="H62" i="37" s="1"/>
  <c r="H60" i="37"/>
  <c r="H53" i="37"/>
  <c r="H43" i="37"/>
  <c r="H29" i="37"/>
  <c r="H30" i="37"/>
  <c r="F24" i="37"/>
  <c r="F23" i="37"/>
  <c r="F28" i="37"/>
  <c r="F59" i="37"/>
  <c r="F62" i="37" s="1"/>
  <c r="F60" i="37"/>
  <c r="F53" i="37"/>
  <c r="K50" i="37" l="1"/>
  <c r="K44" i="37"/>
  <c r="K45" i="37" s="1"/>
  <c r="K46" i="37" s="1"/>
  <c r="I33" i="37"/>
  <c r="I34" i="37"/>
  <c r="K34" i="37"/>
  <c r="K33" i="37"/>
  <c r="H33" i="37"/>
  <c r="H34" i="37"/>
  <c r="H50" i="37"/>
  <c r="H44" i="37"/>
  <c r="H45" i="37" s="1"/>
  <c r="H46" i="37" s="1"/>
  <c r="I44" i="37"/>
  <c r="I45" i="37" s="1"/>
  <c r="I46" i="37" s="1"/>
  <c r="I50" i="37"/>
  <c r="F26" i="37"/>
  <c r="F31" i="37" s="1"/>
  <c r="F41" i="37" s="1"/>
  <c r="F66" i="37" s="1"/>
  <c r="F43" i="37"/>
  <c r="F30" i="37"/>
  <c r="F29" i="37"/>
  <c r="I63" i="37" l="1"/>
  <c r="I55" i="37"/>
  <c r="H63" i="37"/>
  <c r="H55" i="37"/>
  <c r="K63" i="37"/>
  <c r="K55" i="37"/>
  <c r="F34" i="37"/>
  <c r="F33" i="37"/>
  <c r="F50" i="37"/>
  <c r="F44" i="37"/>
  <c r="F45" i="37" s="1"/>
  <c r="F46" i="37" s="1"/>
  <c r="D67" i="37"/>
  <c r="D32" i="37"/>
  <c r="D18" i="37"/>
  <c r="D16" i="37"/>
  <c r="D10" i="37"/>
  <c r="D11" i="37" s="1"/>
  <c r="D6" i="37"/>
  <c r="D8" i="37" s="1"/>
  <c r="K68" i="37" l="1"/>
  <c r="K71" i="37" s="1"/>
  <c r="K69" i="37"/>
  <c r="K72" i="37" s="1"/>
  <c r="K70" i="37"/>
  <c r="K73" i="37" s="1"/>
  <c r="K75" i="37" s="1"/>
  <c r="H70" i="37"/>
  <c r="H73" i="37" s="1"/>
  <c r="H75" i="37" s="1"/>
  <c r="H68" i="37"/>
  <c r="H71" i="37" s="1"/>
  <c r="H69" i="37"/>
  <c r="H72" i="37" s="1"/>
  <c r="I68" i="37"/>
  <c r="I71" i="37" s="1"/>
  <c r="I69" i="37"/>
  <c r="I72" i="37" s="1"/>
  <c r="I70" i="37"/>
  <c r="I73" i="37" s="1"/>
  <c r="I75" i="37" s="1"/>
  <c r="D21" i="37"/>
  <c r="D24" i="37" s="1"/>
  <c r="F63" i="37"/>
  <c r="F55" i="37"/>
  <c r="D22" i="37"/>
  <c r="D25" i="37" s="1"/>
  <c r="D28" i="37" s="1"/>
  <c r="D37" i="37"/>
  <c r="D39" i="37" s="1"/>
  <c r="C67" i="37"/>
  <c r="I89" i="37" l="1"/>
  <c r="I83" i="37"/>
  <c r="I81" i="37"/>
  <c r="I87" i="37" s="1"/>
  <c r="H77" i="37"/>
  <c r="H92" i="37"/>
  <c r="I80" i="37"/>
  <c r="I86" i="37" s="1"/>
  <c r="I88" i="37"/>
  <c r="I82" i="37"/>
  <c r="K92" i="37"/>
  <c r="K77" i="37"/>
  <c r="H89" i="37"/>
  <c r="H83" i="37"/>
  <c r="H81" i="37"/>
  <c r="H87" i="37" s="1"/>
  <c r="K81" i="37"/>
  <c r="K87" i="37" s="1"/>
  <c r="K89" i="37"/>
  <c r="K83" i="37"/>
  <c r="I77" i="37"/>
  <c r="I92" i="37"/>
  <c r="H88" i="37"/>
  <c r="H82" i="37"/>
  <c r="H80" i="37"/>
  <c r="H86" i="37" s="1"/>
  <c r="K80" i="37"/>
  <c r="K86" i="37" s="1"/>
  <c r="K88" i="37"/>
  <c r="K82" i="37"/>
  <c r="D23" i="37"/>
  <c r="D26" i="37" s="1"/>
  <c r="D31" i="37" s="1"/>
  <c r="D41" i="37" s="1"/>
  <c r="D66" i="37" s="1"/>
  <c r="D54" i="37"/>
  <c r="D59" i="37" s="1"/>
  <c r="D62" i="37" s="1"/>
  <c r="F70" i="37"/>
  <c r="F73" i="37" s="1"/>
  <c r="F75" i="37" s="1"/>
  <c r="F68" i="37"/>
  <c r="F71" i="37" s="1"/>
  <c r="F69" i="37"/>
  <c r="F72" i="37" s="1"/>
  <c r="D30" i="37"/>
  <c r="D29" i="37"/>
  <c r="D43" i="37"/>
  <c r="Q35" i="37"/>
  <c r="AC35" i="37"/>
  <c r="D53" i="37" l="1"/>
  <c r="D60" i="37"/>
  <c r="F89" i="37"/>
  <c r="F83" i="37"/>
  <c r="F81" i="37"/>
  <c r="F87" i="37" s="1"/>
  <c r="F92" i="37"/>
  <c r="F77" i="37"/>
  <c r="F88" i="37"/>
  <c r="F82" i="37"/>
  <c r="F80" i="37"/>
  <c r="F86" i="37" s="1"/>
  <c r="D34" i="37"/>
  <c r="D33" i="37"/>
  <c r="D44" i="37"/>
  <c r="D45" i="37" s="1"/>
  <c r="D46" i="37" s="1"/>
  <c r="D50" i="37"/>
  <c r="C32" i="37"/>
  <c r="C18" i="37"/>
  <c r="C16" i="37"/>
  <c r="C10" i="37"/>
  <c r="C37" i="37" s="1"/>
  <c r="C39" i="37" s="1"/>
  <c r="C6" i="37"/>
  <c r="C8" i="37" s="1"/>
  <c r="D55" i="37" l="1"/>
  <c r="D63" i="37"/>
  <c r="C22" i="37"/>
  <c r="C25" i="37" s="1"/>
  <c r="C28" i="37" s="1"/>
  <c r="C11" i="37"/>
  <c r="C21" i="37"/>
  <c r="C54" i="37" s="1"/>
  <c r="D68" i="37" l="1"/>
  <c r="D71" i="37" s="1"/>
  <c r="D69" i="37"/>
  <c r="D72" i="37" s="1"/>
  <c r="D70" i="37"/>
  <c r="D73" i="37" s="1"/>
  <c r="D75" i="37" s="1"/>
  <c r="C60" i="37"/>
  <c r="C53" i="37"/>
  <c r="C59" i="37"/>
  <c r="C62" i="37" s="1"/>
  <c r="C24" i="37"/>
  <c r="C23" i="37"/>
  <c r="C29" i="37"/>
  <c r="C43" i="37"/>
  <c r="C30" i="37"/>
  <c r="D80" i="37" l="1"/>
  <c r="D86" i="37" s="1"/>
  <c r="D88" i="37"/>
  <c r="D82" i="37"/>
  <c r="D92" i="37"/>
  <c r="D77" i="37"/>
  <c r="D81" i="37"/>
  <c r="D87" i="37" s="1"/>
  <c r="D89" i="37"/>
  <c r="D83" i="37"/>
  <c r="C44" i="37"/>
  <c r="C45" i="37" s="1"/>
  <c r="C46" i="37" s="1"/>
  <c r="C50" i="37"/>
  <c r="C33" i="37"/>
  <c r="C34" i="37"/>
  <c r="C26" i="37"/>
  <c r="C31" i="37" s="1"/>
  <c r="C41" i="37" s="1"/>
  <c r="C66" i="37" s="1"/>
  <c r="C63" i="37" l="1"/>
  <c r="C55" i="37"/>
  <c r="C70" i="37" l="1"/>
  <c r="C73" i="37" s="1"/>
  <c r="C75" i="37" s="1"/>
  <c r="C69" i="37"/>
  <c r="C72" i="37" s="1"/>
  <c r="C68" i="37"/>
  <c r="C71" i="37" s="1"/>
  <c r="F25" i="46"/>
  <c r="F26" i="46" s="1"/>
  <c r="G11" i="46"/>
  <c r="G12" i="46"/>
  <c r="F11" i="46"/>
  <c r="F12" i="46"/>
  <c r="F9" i="46"/>
  <c r="AC41" i="37"/>
  <c r="AC36" i="37"/>
  <c r="J41" i="45"/>
  <c r="D41" i="45"/>
  <c r="E41" i="45"/>
  <c r="C41" i="45"/>
  <c r="F41" i="45"/>
  <c r="AC30" i="37"/>
  <c r="AC26" i="37"/>
  <c r="AC22" i="37"/>
  <c r="Y72" i="37"/>
  <c r="Y74" i="37" s="1"/>
  <c r="Y66" i="37"/>
  <c r="Y67" i="37" s="1"/>
  <c r="Y46" i="37"/>
  <c r="Y50" i="37" s="1"/>
  <c r="Y53" i="37" s="1"/>
  <c r="Y56" i="37" s="1"/>
  <c r="Y27" i="37"/>
  <c r="Y28" i="37" s="1"/>
  <c r="Y8" i="37"/>
  <c r="Y12" i="37" s="1"/>
  <c r="Y15" i="37" s="1"/>
  <c r="Y17" i="37" s="1"/>
  <c r="G41" i="45"/>
  <c r="O41" i="45"/>
  <c r="AC15" i="37"/>
  <c r="AC16" i="37" s="1"/>
  <c r="AC17" i="37" s="1"/>
  <c r="AC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D35" i="45"/>
  <c r="E35" i="45" s="1"/>
  <c r="C35" i="45"/>
  <c r="G35" i="45" s="1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U53" i="37"/>
  <c r="U56" i="37" s="1"/>
  <c r="U58" i="37" s="1"/>
  <c r="Q59" i="37"/>
  <c r="Q53" i="37"/>
  <c r="U48" i="37"/>
  <c r="Q46" i="37"/>
  <c r="Q47" i="37" s="1"/>
  <c r="Q45" i="37"/>
  <c r="Q36" i="37"/>
  <c r="U34" i="37"/>
  <c r="U30" i="37"/>
  <c r="U26" i="37"/>
  <c r="Q26" i="37"/>
  <c r="Q25" i="37"/>
  <c r="Q24" i="37"/>
  <c r="U19" i="37"/>
  <c r="U13" i="37"/>
  <c r="U8" i="37"/>
  <c r="Q7" i="37"/>
  <c r="Q9" i="37" s="1"/>
  <c r="Q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O35" i="45" l="1"/>
  <c r="F35" i="45"/>
  <c r="Y31" i="37"/>
  <c r="Y34" i="37" s="1"/>
  <c r="Y36" i="37" s="1"/>
  <c r="Y39" i="37" s="1"/>
  <c r="C82" i="37"/>
  <c r="C80" i="37"/>
  <c r="C86" i="37" s="1"/>
  <c r="C88" i="37"/>
  <c r="C83" i="37"/>
  <c r="C81" i="37"/>
  <c r="C87" i="37" s="1"/>
  <c r="C89" i="37"/>
  <c r="C77" i="37"/>
  <c r="C92" i="37"/>
  <c r="U38" i="37"/>
  <c r="U39" i="37" s="1"/>
  <c r="U40" i="37" s="1"/>
  <c r="U41" i="37" s="1"/>
  <c r="U42" i="37" s="1"/>
  <c r="U35" i="37"/>
  <c r="Y47" i="37"/>
  <c r="Q27" i="37"/>
  <c r="Q37" i="37"/>
  <c r="Q38" i="37" s="1"/>
  <c r="Y9" i="37"/>
  <c r="Y75" i="37"/>
  <c r="Y20" i="37"/>
  <c r="Y19" i="37"/>
  <c r="Y59" i="37"/>
  <c r="Y58" i="37"/>
  <c r="Y38" i="37" l="1"/>
</calcChain>
</file>

<file path=xl/sharedStrings.xml><?xml version="1.0" encoding="utf-8"?>
<sst xmlns="http://schemas.openxmlformats.org/spreadsheetml/2006/main" count="1232" uniqueCount="664">
  <si>
    <t>V</t>
    <phoneticPr fontId="3" type="noConversion"/>
  </si>
  <si>
    <t>kW</t>
    <phoneticPr fontId="3" type="noConversion"/>
  </si>
  <si>
    <t>A</t>
    <phoneticPr fontId="3" type="noConversion"/>
  </si>
  <si>
    <t>㎟</t>
  </si>
  <si>
    <t>kHz</t>
    <phoneticPr fontId="3" type="noConversion"/>
  </si>
  <si>
    <t>mJ</t>
    <phoneticPr fontId="3" type="noConversion"/>
  </si>
  <si>
    <t>W</t>
    <phoneticPr fontId="3" type="noConversion"/>
  </si>
  <si>
    <t>%</t>
    <phoneticPr fontId="3" type="noConversion"/>
  </si>
  <si>
    <t>Total Gate Charge</t>
    <phoneticPr fontId="3" type="noConversion"/>
  </si>
  <si>
    <t>게이트 구동손실</t>
    <phoneticPr fontId="3" type="noConversion"/>
  </si>
  <si>
    <t>코일턴수</t>
    <phoneticPr fontId="3" type="noConversion"/>
  </si>
  <si>
    <t>Turns</t>
    <phoneticPr fontId="3" type="noConversion"/>
  </si>
  <si>
    <t>내부직경</t>
    <phoneticPr fontId="3" type="noConversion"/>
  </si>
  <si>
    <t>mm</t>
    <phoneticPr fontId="3" type="noConversion"/>
  </si>
  <si>
    <t>높이</t>
    <phoneticPr fontId="3" type="noConversion"/>
  </si>
  <si>
    <t>uH</t>
    <phoneticPr fontId="3" type="noConversion"/>
  </si>
  <si>
    <t>Vdc</t>
    <phoneticPr fontId="3" type="noConversion"/>
  </si>
  <si>
    <t>Idc</t>
    <phoneticPr fontId="3" type="noConversion"/>
  </si>
  <si>
    <t>Po</t>
    <phoneticPr fontId="3" type="noConversion"/>
  </si>
  <si>
    <t>Tesla</t>
    <phoneticPr fontId="3" type="noConversion"/>
  </si>
  <si>
    <t>일차 최대전압</t>
    <phoneticPr fontId="3" type="noConversion"/>
  </si>
  <si>
    <t>최대자속밀도</t>
    <phoneticPr fontId="3" type="noConversion"/>
  </si>
  <si>
    <t>중족단면적</t>
    <phoneticPr fontId="3" type="noConversion"/>
  </si>
  <si>
    <t>cmSq</t>
    <phoneticPr fontId="3" type="noConversion"/>
  </si>
  <si>
    <t>스위칭주파수</t>
    <phoneticPr fontId="3" type="noConversion"/>
  </si>
  <si>
    <t>Hz</t>
    <phoneticPr fontId="3" type="noConversion"/>
  </si>
  <si>
    <t>최소 일차턴수</t>
    <phoneticPr fontId="3" type="noConversion"/>
  </si>
  <si>
    <t>공진콘덴서</t>
    <phoneticPr fontId="3" type="noConversion"/>
  </si>
  <si>
    <t>uF</t>
    <phoneticPr fontId="3" type="noConversion"/>
  </si>
  <si>
    <t>공진인덕터</t>
    <phoneticPr fontId="3" type="noConversion"/>
  </si>
  <si>
    <t>공진주파수</t>
    <phoneticPr fontId="3" type="noConversion"/>
  </si>
  <si>
    <t>Hz (결과)</t>
    <phoneticPr fontId="3" type="noConversion"/>
  </si>
  <si>
    <t>콘덴서</t>
    <phoneticPr fontId="3" type="noConversion"/>
  </si>
  <si>
    <t>uF</t>
  </si>
  <si>
    <t>인가주파수</t>
    <phoneticPr fontId="3" type="noConversion"/>
  </si>
  <si>
    <t>통전전류</t>
    <phoneticPr fontId="3" type="noConversion"/>
  </si>
  <si>
    <t>콘덴서전압</t>
    <phoneticPr fontId="3" type="noConversion"/>
  </si>
  <si>
    <t>주파수</t>
    <phoneticPr fontId="3" type="noConversion"/>
  </si>
  <si>
    <t>판사이거리</t>
    <phoneticPr fontId="3" type="noConversion"/>
  </si>
  <si>
    <t>판길이</t>
    <phoneticPr fontId="3" type="noConversion"/>
  </si>
  <si>
    <t>nH</t>
    <phoneticPr fontId="3" type="noConversion"/>
  </si>
  <si>
    <t>Q</t>
    <phoneticPr fontId="3" type="noConversion"/>
  </si>
  <si>
    <t>:1</t>
    <phoneticPr fontId="3" type="noConversion"/>
  </si>
  <si>
    <t>Ptot / IGBT CASE</t>
    <phoneticPr fontId="3" type="noConversion"/>
  </si>
  <si>
    <t>VDC</t>
    <phoneticPr fontId="3" type="noConversion"/>
  </si>
  <si>
    <t>uC</t>
    <phoneticPr fontId="3" type="noConversion"/>
  </si>
  <si>
    <t>W MAX</t>
    <phoneticPr fontId="3" type="noConversion"/>
  </si>
  <si>
    <t>KVA</t>
    <phoneticPr fontId="3" type="noConversion"/>
  </si>
  <si>
    <t>℃</t>
  </si>
  <si>
    <t>EA</t>
    <phoneticPr fontId="3" type="noConversion"/>
  </si>
  <si>
    <t>mm^2</t>
    <phoneticPr fontId="3" type="noConversion"/>
  </si>
  <si>
    <t>Current Density</t>
    <phoneticPr fontId="3" type="noConversion"/>
  </si>
  <si>
    <t>콘덴서값</t>
    <phoneticPr fontId="3" type="noConversion"/>
  </si>
  <si>
    <t>1차 공진전류</t>
    <phoneticPr fontId="3" type="noConversion"/>
  </si>
  <si>
    <t>입력전력</t>
    <phoneticPr fontId="3" type="noConversion"/>
  </si>
  <si>
    <t>공진전압</t>
    <phoneticPr fontId="3" type="noConversion"/>
  </si>
  <si>
    <t>VAC</t>
    <phoneticPr fontId="3" type="noConversion"/>
  </si>
  <si>
    <t>2차공진전류</t>
    <phoneticPr fontId="3" type="noConversion"/>
  </si>
  <si>
    <t>K/W</t>
    <phoneticPr fontId="3" type="noConversion"/>
  </si>
  <si>
    <t>℃</t>
    <phoneticPr fontId="3" type="noConversion"/>
  </si>
  <si>
    <t>냉각수 출수 온도</t>
    <phoneticPr fontId="3" type="noConversion"/>
  </si>
  <si>
    <t>냉각수 유량</t>
    <phoneticPr fontId="3" type="noConversion"/>
  </si>
  <si>
    <t>lpm</t>
    <phoneticPr fontId="3" type="noConversion"/>
  </si>
  <si>
    <t>냉각수 입수 온도 최대</t>
    <phoneticPr fontId="3" type="noConversion"/>
  </si>
  <si>
    <t>입력선전류</t>
    <phoneticPr fontId="3" type="noConversion"/>
  </si>
  <si>
    <t>입력선 단면적</t>
    <phoneticPr fontId="3" type="noConversion"/>
  </si>
  <si>
    <t>병렬</t>
    <phoneticPr fontId="3" type="noConversion"/>
  </si>
  <si>
    <t>직렬</t>
    <phoneticPr fontId="3" type="noConversion"/>
  </si>
  <si>
    <t>R</t>
    <phoneticPr fontId="3" type="noConversion"/>
  </si>
  <si>
    <t>Conduction Loss/Device</t>
    <phoneticPr fontId="3" type="noConversion"/>
  </si>
  <si>
    <t>Total Solid Device Loss</t>
    <phoneticPr fontId="3" type="noConversion"/>
  </si>
  <si>
    <t>공진콘덴서 전압</t>
    <phoneticPr fontId="3" type="noConversion"/>
  </si>
  <si>
    <t>Duty</t>
    <phoneticPr fontId="3" type="noConversion"/>
  </si>
  <si>
    <t>역율</t>
    <phoneticPr fontId="3" type="noConversion"/>
  </si>
  <si>
    <t>A/㎟</t>
    <phoneticPr fontId="3" type="noConversion"/>
  </si>
  <si>
    <t>L</t>
    <phoneticPr fontId="3" type="noConversion"/>
  </si>
  <si>
    <t>C</t>
    <phoneticPr fontId="3" type="noConversion"/>
  </si>
  <si>
    <t>Fr</t>
    <phoneticPr fontId="3" type="noConversion"/>
  </si>
  <si>
    <t>Phase MIN</t>
    <phoneticPr fontId="3" type="noConversion"/>
  </si>
  <si>
    <t>°</t>
    <phoneticPr fontId="3" type="noConversion"/>
  </si>
  <si>
    <t>TAN(Phase MIN)</t>
    <phoneticPr fontId="3" type="noConversion"/>
  </si>
  <si>
    <t>Fs</t>
    <phoneticPr fontId="3" type="noConversion"/>
  </si>
  <si>
    <t>Zl</t>
    <phoneticPr fontId="3" type="noConversion"/>
  </si>
  <si>
    <t>mΩ</t>
    <phoneticPr fontId="3" type="noConversion"/>
  </si>
  <si>
    <t>Zc</t>
    <phoneticPr fontId="3" type="noConversion"/>
  </si>
  <si>
    <t>Z</t>
    <phoneticPr fontId="3" type="noConversion"/>
  </si>
  <si>
    <t>HB/FB</t>
    <phoneticPr fontId="3" type="noConversion"/>
  </si>
  <si>
    <t>Half Bridge = 2, Full Bridge = 1</t>
    <phoneticPr fontId="3" type="noConversion"/>
  </si>
  <si>
    <t>Turn Ratio</t>
    <phoneticPr fontId="3" type="noConversion"/>
  </si>
  <si>
    <t>Vac secondary</t>
    <phoneticPr fontId="3" type="noConversion"/>
  </si>
  <si>
    <t>Ir primary</t>
    <phoneticPr fontId="3" type="noConversion"/>
  </si>
  <si>
    <t>Ir avg</t>
    <phoneticPr fontId="3" type="noConversion"/>
  </si>
  <si>
    <t>Ir avg DC</t>
    <phoneticPr fontId="3" type="noConversion"/>
  </si>
  <si>
    <t>Ir avg DC/Idc</t>
    <phoneticPr fontId="3" type="noConversion"/>
  </si>
  <si>
    <t>출력케이블L값</t>
    <phoneticPr fontId="3" type="noConversion"/>
  </si>
  <si>
    <t>부하 인덕턴스</t>
    <phoneticPr fontId="3" type="noConversion"/>
  </si>
  <si>
    <t>코일 병렬 수</t>
    <phoneticPr fontId="3" type="noConversion"/>
  </si>
  <si>
    <t>무부하 인덕턴스</t>
    <phoneticPr fontId="3" type="noConversion"/>
  </si>
  <si>
    <t>L값 감소율</t>
    <phoneticPr fontId="3" type="noConversion"/>
  </si>
  <si>
    <t>코일 직렬 수</t>
    <phoneticPr fontId="3" type="noConversion"/>
  </si>
  <si>
    <t>IR</t>
    <phoneticPr fontId="3" type="noConversion"/>
  </si>
  <si>
    <t>Qsw-cap</t>
    <phoneticPr fontId="3" type="noConversion"/>
  </si>
  <si>
    <t>COS(Phase MIN)</t>
    <phoneticPr fontId="3" type="noConversion"/>
  </si>
  <si>
    <t>Vac for Irmax at inphase</t>
    <phoneticPr fontId="3" type="noConversion"/>
  </si>
  <si>
    <t>Vac for Irmax with phase</t>
    <phoneticPr fontId="3" type="noConversion"/>
  </si>
  <si>
    <t>Irmax at R</t>
    <phoneticPr fontId="3" type="noConversion"/>
  </si>
  <si>
    <t>코일 L값</t>
    <phoneticPr fontId="3" type="noConversion"/>
  </si>
  <si>
    <t>인버터 출력전류</t>
    <phoneticPr fontId="3" type="noConversion"/>
  </si>
  <si>
    <t>DC LINK C값</t>
    <phoneticPr fontId="3" type="noConversion"/>
  </si>
  <si>
    <t>DC LINK CAP RIPPLE Voltage</t>
    <phoneticPr fontId="3" type="noConversion"/>
  </si>
  <si>
    <t>VDC 평균값</t>
    <phoneticPr fontId="3" type="noConversion"/>
  </si>
  <si>
    <t>DC LINK CAP RIPPLE Current</t>
    <phoneticPr fontId="3" type="noConversion"/>
  </si>
  <si>
    <t>동작주파수</t>
    <phoneticPr fontId="3" type="noConversion"/>
  </si>
  <si>
    <t>DC LINK CAP 리플 함유율(peak to peak)</t>
    <phoneticPr fontId="3" type="noConversion"/>
  </si>
  <si>
    <t>IGBT IC RMS전류</t>
    <phoneticPr fontId="3" type="noConversion"/>
  </si>
  <si>
    <t>파형 및 LCD 확인</t>
    <phoneticPr fontId="3" type="noConversion"/>
  </si>
  <si>
    <t>Switching Frequency</t>
    <phoneticPr fontId="3" type="noConversion"/>
  </si>
  <si>
    <t>DATA SHEET 확인</t>
    <phoneticPr fontId="3" type="noConversion"/>
  </si>
  <si>
    <t>게이트 전압</t>
    <phoneticPr fontId="3" type="noConversion"/>
  </si>
  <si>
    <t>게이트드라이버 전위차(예를 들어 +15V,-10V 일때는 25V)</t>
    <phoneticPr fontId="3" type="noConversion"/>
  </si>
  <si>
    <t>Off Switching Energy</t>
    <phoneticPr fontId="3" type="noConversion"/>
  </si>
  <si>
    <t>DATA SHEET 확인(Switching Current 에 해당하는 Off Switching Energy)</t>
    <phoneticPr fontId="3" type="noConversion"/>
  </si>
  <si>
    <t>On Switching Energy(ZVS)</t>
    <phoneticPr fontId="3" type="noConversion"/>
  </si>
  <si>
    <t>Diode 역방향 회복 Energy(ZVS)</t>
    <phoneticPr fontId="3" type="noConversion"/>
  </si>
  <si>
    <t>IGBT Switching Loss/Device</t>
    <phoneticPr fontId="3" type="noConversion"/>
  </si>
  <si>
    <t>Diode 역방향 회복 손실(ZVS)</t>
    <phoneticPr fontId="3" type="noConversion"/>
  </si>
  <si>
    <t>스너버 손실 비율</t>
  </si>
  <si>
    <t>스너버 없으면 100%, 스너버 최소 손실비율(55% 감소)</t>
    <phoneticPr fontId="3" type="noConversion"/>
  </si>
  <si>
    <t>IGBT Switching Loss/Device_스너버손실비율 포함</t>
    <phoneticPr fontId="3" type="noConversion"/>
  </si>
  <si>
    <t>IC 평균전류</t>
    <phoneticPr fontId="3" type="noConversion"/>
  </si>
  <si>
    <t>IGBT VCE Saturation</t>
    <phoneticPr fontId="3" type="noConversion"/>
  </si>
  <si>
    <t>DATA SHEET 확인(IC 평균전류에 해당하는 Vce saturation 확인)</t>
    <phoneticPr fontId="3" type="noConversion"/>
  </si>
  <si>
    <t>Diode Vf</t>
    <phoneticPr fontId="3" type="noConversion"/>
  </si>
  <si>
    <t>DATA SHEET 확인(IC 평균전류에 해당하는 Diode Vf 확인)</t>
    <phoneticPr fontId="3" type="noConversion"/>
  </si>
  <si>
    <t>위상지연각</t>
    <phoneticPr fontId="3" type="noConversion"/>
  </si>
  <si>
    <t>IGBT Conduction Loss</t>
    <phoneticPr fontId="3" type="noConversion"/>
  </si>
  <si>
    <t>Diode Conduction Loss</t>
    <phoneticPr fontId="3" type="noConversion"/>
  </si>
  <si>
    <t>모듈 Package 당 IGBT(switching device)수량</t>
    <phoneticPr fontId="3" type="noConversion"/>
  </si>
  <si>
    <t>열저항(Junction-Case)-IGBT</t>
    <phoneticPr fontId="3" type="noConversion"/>
  </si>
  <si>
    <t>Case온도(IGBT,Tj=125℃기준)</t>
    <phoneticPr fontId="3" type="noConversion"/>
  </si>
  <si>
    <t>표기된 온도 이상은 사용 불가</t>
    <phoneticPr fontId="3" type="noConversion"/>
  </si>
  <si>
    <t>Case온도(Diode,Tj=125℃기준)</t>
    <phoneticPr fontId="3" type="noConversion"/>
  </si>
  <si>
    <t>Case온도- IGBT  온도차</t>
    <phoneticPr fontId="3" type="noConversion"/>
  </si>
  <si>
    <t>Case온도- Diode 온도차</t>
    <phoneticPr fontId="3" type="noConversion"/>
  </si>
  <si>
    <t>열저항(Case-Heatsink)-IGBT(lPaste = 1 W/(m·K)기준)</t>
    <phoneticPr fontId="3" type="noConversion"/>
  </si>
  <si>
    <t>열저항(Case-Heatsink)-Diode(lPaste = 1 W/(m·K)기준)</t>
    <phoneticPr fontId="3" type="noConversion"/>
  </si>
  <si>
    <t>Heatsink온도-IGBT바닥면 중심</t>
    <phoneticPr fontId="3" type="noConversion"/>
  </si>
  <si>
    <t>Heatsink온도-Diode바닥면 중심</t>
    <phoneticPr fontId="3" type="noConversion"/>
  </si>
  <si>
    <t>Heatsink온도-케이스간 온도차-IGBT</t>
    <phoneticPr fontId="3" type="noConversion"/>
  </si>
  <si>
    <t>Heatsink온도-케이스간 온도차-Diode</t>
    <phoneticPr fontId="3" type="noConversion"/>
  </si>
  <si>
    <t>수냉방열판과의 열저항의 기준이 없어 60℃를 기준으로함</t>
    <phoneticPr fontId="3" type="noConversion"/>
  </si>
  <si>
    <t>유량</t>
    <phoneticPr fontId="3" type="noConversion"/>
  </si>
  <si>
    <t>Vdc 전압</t>
    <phoneticPr fontId="5" type="noConversion"/>
  </si>
  <si>
    <t>Vdc</t>
    <phoneticPr fontId="5" type="noConversion"/>
  </si>
  <si>
    <t>C스너버 개당 C값</t>
    <phoneticPr fontId="5" type="noConversion"/>
  </si>
  <si>
    <t>nF</t>
    <phoneticPr fontId="5" type="noConversion"/>
  </si>
  <si>
    <t>스너버 C값(POLE 기준)</t>
    <phoneticPr fontId="4" type="noConversion"/>
  </si>
  <si>
    <t>nF</t>
    <phoneticPr fontId="4" type="noConversion"/>
  </si>
  <si>
    <t>C스너버 보드당 C갯수</t>
    <phoneticPr fontId="5" type="noConversion"/>
  </si>
  <si>
    <t>개</t>
    <phoneticPr fontId="5" type="noConversion"/>
  </si>
  <si>
    <t>VDC 전압</t>
    <phoneticPr fontId="4" type="noConversion"/>
  </si>
  <si>
    <t>V</t>
    <phoneticPr fontId="4" type="noConversion"/>
  </si>
  <si>
    <t>보드를 겹침 수량</t>
    <phoneticPr fontId="5" type="noConversion"/>
  </si>
  <si>
    <t>스위칭전류</t>
    <phoneticPr fontId="4" type="noConversion"/>
  </si>
  <si>
    <t>A</t>
    <phoneticPr fontId="4" type="noConversion"/>
  </si>
  <si>
    <t>상하 고려</t>
    <phoneticPr fontId="5" type="noConversion"/>
  </si>
  <si>
    <t>스위칭시 전압 상승시간</t>
    <phoneticPr fontId="4" type="noConversion"/>
  </si>
  <si>
    <t>ns</t>
    <phoneticPr fontId="4" type="noConversion"/>
  </si>
  <si>
    <t>상하 데드타임</t>
    <phoneticPr fontId="5" type="noConversion"/>
  </si>
  <si>
    <t>us</t>
    <phoneticPr fontId="5" type="noConversion"/>
  </si>
  <si>
    <t>모듈 출력전류</t>
    <phoneticPr fontId="5" type="noConversion"/>
  </si>
  <si>
    <t>Arms</t>
    <phoneticPr fontId="5" type="noConversion"/>
  </si>
  <si>
    <t>운전 모듈 수량</t>
    <phoneticPr fontId="5" type="noConversion"/>
  </si>
  <si>
    <t>대</t>
    <phoneticPr fontId="5" type="noConversion"/>
  </si>
  <si>
    <t>인버터 출력전류</t>
    <phoneticPr fontId="5" type="noConversion"/>
  </si>
  <si>
    <t>정격전류시 상승시간</t>
    <phoneticPr fontId="5" type="noConversion"/>
  </si>
  <si>
    <t>ON-POLE</t>
    <phoneticPr fontId="5" type="noConversion"/>
  </si>
  <si>
    <t>스위칭각</t>
    <phoneticPr fontId="5" type="noConversion"/>
  </si>
  <si>
    <t>deg</t>
    <phoneticPr fontId="5" type="noConversion"/>
  </si>
  <si>
    <t>스위칭 전류</t>
    <phoneticPr fontId="5" type="noConversion"/>
  </si>
  <si>
    <t>A</t>
    <phoneticPr fontId="5" type="noConversion"/>
  </si>
  <si>
    <t>전압 상승 소요시간</t>
    <phoneticPr fontId="5" type="noConversion"/>
  </si>
  <si>
    <t>nsec</t>
    <phoneticPr fontId="5" type="noConversion"/>
  </si>
  <si>
    <t>데드타임 에 맞추기 위한</t>
    <phoneticPr fontId="5" type="noConversion"/>
  </si>
  <si>
    <t>ZVS 모듈 스위칭 전류</t>
    <phoneticPr fontId="5" type="noConversion"/>
  </si>
  <si>
    <t>ZVS 모듈 전류</t>
    <phoneticPr fontId="5" type="noConversion"/>
  </si>
  <si>
    <t>정격전류 대비 율</t>
    <phoneticPr fontId="5" type="noConversion"/>
  </si>
  <si>
    <t>%</t>
    <phoneticPr fontId="5" type="noConversion"/>
  </si>
  <si>
    <t>정격전력 대비 율</t>
    <phoneticPr fontId="5" type="noConversion"/>
  </si>
  <si>
    <t>날짜</t>
    <phoneticPr fontId="5" type="noConversion"/>
  </si>
  <si>
    <t>운전데이터</t>
    <phoneticPr fontId="5" type="noConversion"/>
  </si>
  <si>
    <t>운전데이터기준_예상데이터</t>
    <phoneticPr fontId="5" type="noConversion"/>
  </si>
  <si>
    <t>운전데이터 기준_탭비변경 예상데이터</t>
    <phoneticPr fontId="5" type="noConversion"/>
  </si>
  <si>
    <t>탭비변경 기준_예상데이터</t>
    <phoneticPr fontId="5" type="noConversion"/>
  </si>
  <si>
    <t>Po[kW]</t>
    <phoneticPr fontId="5" type="noConversion"/>
  </si>
  <si>
    <t>Vo[V]</t>
    <phoneticPr fontId="5" type="noConversion"/>
  </si>
  <si>
    <t>Io[A]</t>
    <phoneticPr fontId="5" type="noConversion"/>
  </si>
  <si>
    <t>Fr[kHz]</t>
    <phoneticPr fontId="5" type="noConversion"/>
  </si>
  <si>
    <t>M/T 탭비</t>
    <phoneticPr fontId="5" type="noConversion"/>
  </si>
  <si>
    <t>Ir[A]</t>
    <phoneticPr fontId="5" type="noConversion"/>
  </si>
  <si>
    <t>위상각</t>
    <phoneticPr fontId="5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</si>
  <si>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5" type="noConversion"/>
  </si>
  <si>
    <t>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</si>
  <si>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</si>
  <si>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</si>
  <si>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</si>
  <si>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변경 탭비</t>
    <phoneticPr fontId="5" type="noConversion"/>
  </si>
  <si>
    <t>변경 Ir[A]</t>
    <phoneticPr fontId="5" type="noConversion"/>
  </si>
  <si>
    <t>변경 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</si>
  <si>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</si>
  <si>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</si>
  <si>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</si>
  <si>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사용 재료</t>
    <phoneticPr fontId="5" type="noConversion"/>
  </si>
  <si>
    <t>타프피치 동</t>
    <phoneticPr fontId="5" type="noConversion"/>
  </si>
  <si>
    <t>도체 고유전기저항</t>
    <phoneticPr fontId="3" type="noConversion"/>
  </si>
  <si>
    <t>[Ωm×10E-8]</t>
    <phoneticPr fontId="3" type="noConversion"/>
  </si>
  <si>
    <t>도체의 온도저항계수</t>
    <phoneticPr fontId="3" type="noConversion"/>
  </si>
  <si>
    <t>at 20℃</t>
    <phoneticPr fontId="3" type="noConversion"/>
  </si>
  <si>
    <t>도체의 온도</t>
    <phoneticPr fontId="3" type="noConversion"/>
  </si>
  <si>
    <t xml:space="preserve">도체의 산출저항 </t>
    <phoneticPr fontId="3" type="noConversion"/>
  </si>
  <si>
    <t>도체의 산출 전도도</t>
    <phoneticPr fontId="5" type="noConversion"/>
  </si>
  <si>
    <t>[SIMENS/m]</t>
    <phoneticPr fontId="5" type="noConversion"/>
  </si>
  <si>
    <t>비투자율</t>
    <phoneticPr fontId="3" type="noConversion"/>
  </si>
  <si>
    <t>ui</t>
    <phoneticPr fontId="4" type="noConversion"/>
  </si>
  <si>
    <t>[Hz]</t>
    <phoneticPr fontId="3" type="noConversion"/>
  </si>
  <si>
    <t>[mm]</t>
    <phoneticPr fontId="4" type="noConversion"/>
  </si>
  <si>
    <t>&lt;공진 C 계산 공식&gt;</t>
    <phoneticPr fontId="3" type="noConversion"/>
  </si>
  <si>
    <t>전체 탭</t>
    <phoneticPr fontId="3" type="noConversion"/>
  </si>
  <si>
    <t>사용 탭</t>
    <phoneticPr fontId="3" type="noConversion"/>
  </si>
  <si>
    <t>정격 전압</t>
    <phoneticPr fontId="3" type="noConversion"/>
  </si>
  <si>
    <t>정격 전류</t>
    <phoneticPr fontId="3" type="noConversion"/>
  </si>
  <si>
    <t>단위 C 용량</t>
    <phoneticPr fontId="3" type="noConversion"/>
  </si>
  <si>
    <t>사용가능 전압</t>
    <phoneticPr fontId="3" type="noConversion"/>
  </si>
  <si>
    <t>사용가능 전류</t>
    <phoneticPr fontId="3" type="noConversion"/>
  </si>
  <si>
    <t>탭</t>
    <phoneticPr fontId="3" type="noConversion"/>
  </si>
  <si>
    <t>직렬 연결 수량</t>
    <phoneticPr fontId="3" type="noConversion"/>
  </si>
  <si>
    <t>병렬 연결 수량</t>
    <phoneticPr fontId="3" type="noConversion"/>
  </si>
  <si>
    <t>&lt;Q값 계산 공식 :공진 C 기준&gt;</t>
    <phoneticPr fontId="3" type="noConversion"/>
  </si>
  <si>
    <t>&lt;위상각 계산 공식&gt;</t>
    <phoneticPr fontId="3" type="noConversion"/>
  </si>
  <si>
    <t>인버터 관련</t>
    <phoneticPr fontId="3" type="noConversion"/>
  </si>
  <si>
    <t>정류부 관련</t>
    <phoneticPr fontId="3" type="noConversion"/>
  </si>
  <si>
    <t>&lt;트랜스포머 최소 턴수 계산 공식&gt;</t>
    <phoneticPr fontId="3" type="noConversion"/>
  </si>
  <si>
    <t>turn</t>
    <phoneticPr fontId="3" type="noConversion"/>
  </si>
  <si>
    <t>전력</t>
    <phoneticPr fontId="3" type="noConversion"/>
  </si>
  <si>
    <t>입력 선전압</t>
    <phoneticPr fontId="3" type="noConversion"/>
  </si>
  <si>
    <t xml:space="preserve">비고 </t>
    <phoneticPr fontId="3" type="noConversion"/>
  </si>
  <si>
    <t>M/T 1차 구형파 전압으로 얻을 수 있는 AC 전압의 최대값</t>
    <phoneticPr fontId="3" type="noConversion"/>
  </si>
  <si>
    <t>공진 주파수</t>
    <phoneticPr fontId="3" type="noConversion"/>
  </si>
  <si>
    <t>&lt;콘덴서 내전압 계산 공식&gt;</t>
    <phoneticPr fontId="3" type="noConversion"/>
  </si>
  <si>
    <t>&lt;스너버C 용량 적정성 검토 계산 공식&gt;</t>
    <phoneticPr fontId="3" type="noConversion"/>
  </si>
  <si>
    <t>&lt;Dead Time 계산 공식&gt;</t>
    <phoneticPr fontId="3" type="noConversion"/>
  </si>
  <si>
    <t>[mmSQ]</t>
    <phoneticPr fontId="4" type="noConversion"/>
  </si>
  <si>
    <t>[A]</t>
    <phoneticPr fontId="3" type="noConversion"/>
  </si>
  <si>
    <t>[W]</t>
    <phoneticPr fontId="3" type="noConversion"/>
  </si>
  <si>
    <t>Skin Depth</t>
    <phoneticPr fontId="3" type="noConversion"/>
  </si>
  <si>
    <t>배선길이</t>
    <phoneticPr fontId="3" type="noConversion"/>
  </si>
  <si>
    <t>인가전류</t>
    <phoneticPr fontId="3" type="noConversion"/>
  </si>
  <si>
    <t>발열량</t>
    <phoneticPr fontId="3" type="noConversion"/>
  </si>
  <si>
    <t>파이프 외경</t>
    <phoneticPr fontId="3" type="noConversion"/>
  </si>
  <si>
    <t>가로(외곽)</t>
    <phoneticPr fontId="3" type="noConversion"/>
  </si>
  <si>
    <t>세로(외곽)</t>
    <phoneticPr fontId="3" type="noConversion"/>
  </si>
  <si>
    <t>&lt;Fault 발생시 L에 의한 VDC 상승전압 계산공식&gt;</t>
    <phoneticPr fontId="3" type="noConversion"/>
  </si>
  <si>
    <t>전체 C 용량</t>
    <phoneticPr fontId="3" type="noConversion"/>
  </si>
  <si>
    <t>kw</t>
    <phoneticPr fontId="3" type="noConversion"/>
  </si>
  <si>
    <t>COSθ</t>
    <phoneticPr fontId="3" type="noConversion"/>
  </si>
  <si>
    <t>θ (위상각, Phase)</t>
    <phoneticPr fontId="3" type="noConversion"/>
  </si>
  <si>
    <t>코일 전압(출력케이블 포함)</t>
    <phoneticPr fontId="3" type="noConversion"/>
  </si>
  <si>
    <t>공진콘덴서 기준의 Q값(예상데이터, 측정 및 계산 데이터)</t>
    <phoneticPr fontId="3" type="noConversion"/>
  </si>
  <si>
    <t>M/T 1차 전류(인버터 출력 전류)</t>
    <phoneticPr fontId="3" type="noConversion"/>
  </si>
  <si>
    <t>공진 전류(코일전류, C/T 1차전류)</t>
    <phoneticPr fontId="3" type="noConversion"/>
  </si>
  <si>
    <t>동작 주파수 (Q값 ,위상각 등에 따라 달라짐)</t>
    <phoneticPr fontId="3" type="noConversion"/>
  </si>
  <si>
    <t>&lt;DC LINK CAPACITOR 리플 전압,전류 계산 공식&gt;</t>
    <phoneticPr fontId="3" type="noConversion"/>
  </si>
  <si>
    <t>인버터의 위상각(기준 30° ,상황에 따라 20° 까지 적용)</t>
    <phoneticPr fontId="3" type="noConversion"/>
  </si>
  <si>
    <t>100%이하(98%정도이하),Turn Ratio값을 조정하여 변경</t>
    <phoneticPr fontId="3" type="noConversion"/>
  </si>
  <si>
    <t>Matching Transformer 의 권선비(Duty가 100%넘지 않도록 조정)</t>
    <phoneticPr fontId="3" type="noConversion"/>
  </si>
  <si>
    <t>단면적</t>
    <phoneticPr fontId="3" type="noConversion"/>
  </si>
  <si>
    <t xml:space="preserve">부스바 폭(너비) </t>
    <phoneticPr fontId="3" type="noConversion"/>
  </si>
  <si>
    <t xml:space="preserve">단면적 </t>
    <phoneticPr fontId="3" type="noConversion"/>
  </si>
  <si>
    <t>Min(스킨뎁스,두께)</t>
    <phoneticPr fontId="3" type="noConversion"/>
  </si>
  <si>
    <t>두께 : 파이프</t>
    <phoneticPr fontId="3" type="noConversion"/>
  </si>
  <si>
    <t xml:space="preserve">두께 : 부스바 </t>
    <phoneticPr fontId="3" type="noConversion"/>
  </si>
  <si>
    <t>&lt;코일 인덕턴스 계산 공식, C/T 및 출력케이블포함&gt;</t>
    <phoneticPr fontId="3" type="noConversion"/>
  </si>
  <si>
    <t>C/T권선비</t>
    <phoneticPr fontId="3" type="noConversion"/>
  </si>
  <si>
    <t>C/T1차 인덕턴스</t>
    <phoneticPr fontId="3" type="noConversion"/>
  </si>
  <si>
    <t>VDC (Fault 발생시 상승전압)</t>
    <phoneticPr fontId="3" type="noConversion"/>
  </si>
  <si>
    <t>VDC (동작: RUN 중)</t>
    <phoneticPr fontId="3" type="noConversion"/>
  </si>
  <si>
    <t>트랜스포머 권선비</t>
    <phoneticPr fontId="3" type="noConversion"/>
  </si>
  <si>
    <t>열저항(Junction-Case)-Diode</t>
    <phoneticPr fontId="3" type="noConversion"/>
  </si>
  <si>
    <t>&lt;평판 인덕턴스 계산 공식&gt;</t>
    <phoneticPr fontId="3" type="noConversion"/>
  </si>
  <si>
    <t>코일 혹은 C/T 1차측 L값 (측정값 혹은 설계 값)</t>
    <phoneticPr fontId="3" type="noConversion"/>
  </si>
  <si>
    <t>코일의 Q값 (예상값 범위를 입력)</t>
    <phoneticPr fontId="3" type="noConversion"/>
  </si>
  <si>
    <t>공진 콘덴서 총 C값 (Fs 및 Fr을 원하는 주파수에 맞게 C값을 조정)</t>
    <phoneticPr fontId="3" type="noConversion"/>
  </si>
  <si>
    <t>Vdc 전압</t>
    <phoneticPr fontId="3" type="noConversion"/>
  </si>
  <si>
    <t>상당 입력 선전류 (차단기 및 FUSE 선정 기준)</t>
    <phoneticPr fontId="3" type="noConversion"/>
  </si>
  <si>
    <t>Idc 전류 (정류다이오드 선정 기준)</t>
    <phoneticPr fontId="3" type="noConversion"/>
  </si>
  <si>
    <t>기입순서</t>
    <phoneticPr fontId="3" type="noConversion"/>
  </si>
  <si>
    <t>Switching Current(peak)</t>
    <phoneticPr fontId="3" type="noConversion"/>
  </si>
  <si>
    <t>IGBT 병렬 수량</t>
    <phoneticPr fontId="3" type="noConversion"/>
  </si>
  <si>
    <t>IGBT Loss (Total)</t>
    <phoneticPr fontId="3" type="noConversion"/>
  </si>
  <si>
    <t>Diode Loss (Total)</t>
    <phoneticPr fontId="3" type="noConversion"/>
  </si>
  <si>
    <t>IGBT 1EA 당 흐르는 IC RMS 전류</t>
    <phoneticPr fontId="3" type="noConversion"/>
  </si>
  <si>
    <t>IGBT 병렬 연결 수량</t>
    <phoneticPr fontId="3" type="noConversion"/>
  </si>
  <si>
    <t>정현파 기준 PEAK치로 계산 (IC RMS *1.414)</t>
    <phoneticPr fontId="3" type="noConversion"/>
  </si>
  <si>
    <t>Loss %</t>
    <phoneticPr fontId="3" type="noConversion"/>
  </si>
  <si>
    <t>약 30% 이하가 되어야 함</t>
    <phoneticPr fontId="3" type="noConversion"/>
  </si>
  <si>
    <t>SINGLE 모듈: 1, DUAL 모듈: 2(62mm package)</t>
    <phoneticPr fontId="3" type="noConversion"/>
  </si>
  <si>
    <t>Total Loss/Module</t>
    <phoneticPr fontId="3" type="noConversion"/>
  </si>
  <si>
    <t>Vc Voltage</t>
    <phoneticPr fontId="3" type="noConversion"/>
  </si>
  <si>
    <t>Vl Voltage</t>
    <phoneticPr fontId="3" type="noConversion"/>
  </si>
  <si>
    <t xml:space="preserve">Vac max </t>
    <phoneticPr fontId="3" type="noConversion"/>
  </si>
  <si>
    <t>M/T 2차 구형파 전압으로 얻을 수 있는 AC 전압의 최대값</t>
    <phoneticPr fontId="3" type="noConversion"/>
  </si>
  <si>
    <t>Zl at Fr</t>
    <phoneticPr fontId="3" type="noConversion"/>
  </si>
  <si>
    <t xml:space="preserve">직렬공진회로 설계 시트_PAM,PWM </t>
    <phoneticPr fontId="3" type="noConversion"/>
  </si>
  <si>
    <t>IGBT 발열량 계산(기초)</t>
    <phoneticPr fontId="3" type="noConversion"/>
  </si>
  <si>
    <t>&lt;평판 커패시턴스 계산 공식&gt;</t>
    <phoneticPr fontId="3" type="noConversion"/>
  </si>
  <si>
    <t>판 면적</t>
    <phoneticPr fontId="3" type="noConversion"/>
  </si>
  <si>
    <t>비유전율</t>
    <phoneticPr fontId="3" type="noConversion"/>
  </si>
  <si>
    <t>판폭</t>
    <phoneticPr fontId="3" type="noConversion"/>
  </si>
  <si>
    <t>nF</t>
    <phoneticPr fontId="3" type="noConversion"/>
  </si>
  <si>
    <t>테프론(2.1)</t>
    <phoneticPr fontId="3" type="noConversion"/>
  </si>
  <si>
    <t>내부도체외경</t>
    <phoneticPr fontId="3" type="noConversion"/>
  </si>
  <si>
    <t>절연체두께</t>
    <phoneticPr fontId="3" type="noConversion"/>
  </si>
  <si>
    <t>외부도체내경</t>
    <phoneticPr fontId="3" type="noConversion"/>
  </si>
  <si>
    <t>공기유전율 (ε0)</t>
    <phoneticPr fontId="7" type="noConversion"/>
  </si>
  <si>
    <t>비유전율 (εr)</t>
    <phoneticPr fontId="3" type="noConversion"/>
  </si>
  <si>
    <t>C(단위길이당 1m 당)</t>
    <phoneticPr fontId="3" type="noConversion"/>
  </si>
  <si>
    <t>케이블 길이</t>
    <phoneticPr fontId="3" type="noConversion"/>
  </si>
  <si>
    <t xml:space="preserve">C값 </t>
    <phoneticPr fontId="3" type="noConversion"/>
  </si>
  <si>
    <t>m</t>
    <phoneticPr fontId="3" type="noConversion"/>
  </si>
  <si>
    <t>&lt;동축케이블 커패시턴스 계산 공식&gt;</t>
    <phoneticPr fontId="3" type="noConversion"/>
  </si>
  <si>
    <t>정격전력</t>
    <phoneticPr fontId="8" type="noConversion"/>
  </si>
  <si>
    <t>입력전압</t>
    <phoneticPr fontId="8" type="noConversion"/>
  </si>
  <si>
    <t>입력선전류</t>
    <phoneticPr fontId="8" type="noConversion"/>
  </si>
  <si>
    <t>DC전압</t>
    <phoneticPr fontId="8" type="noConversion"/>
  </si>
  <si>
    <t>DC전류</t>
    <phoneticPr fontId="8" type="noConversion"/>
  </si>
  <si>
    <t>필요SQ</t>
    <phoneticPr fontId="8" type="noConversion"/>
  </si>
  <si>
    <t>SQ당 전류</t>
    <phoneticPr fontId="8" type="noConversion"/>
  </si>
  <si>
    <t>인입선SQ</t>
    <phoneticPr fontId="8" type="noConversion"/>
  </si>
  <si>
    <t>가닥수</t>
    <phoneticPr fontId="8" type="noConversion"/>
  </si>
  <si>
    <t>접지선필요SQ</t>
    <phoneticPr fontId="8" type="noConversion"/>
  </si>
  <si>
    <t>접지선SQ</t>
    <phoneticPr fontId="8" type="noConversion"/>
  </si>
  <si>
    <t>차단기 용량</t>
    <phoneticPr fontId="8" type="noConversion"/>
  </si>
  <si>
    <t xml:space="preserve">Main차단기 </t>
    <phoneticPr fontId="8" type="noConversion"/>
  </si>
  <si>
    <t>3상입력선SQ</t>
    <phoneticPr fontId="8" type="noConversion"/>
  </si>
  <si>
    <t>퓨즈용량</t>
    <phoneticPr fontId="8" type="noConversion"/>
  </si>
  <si>
    <t>퓨즈</t>
    <phoneticPr fontId="8" type="noConversion"/>
  </si>
  <si>
    <t>정류소자</t>
    <phoneticPr fontId="8" type="noConversion"/>
  </si>
  <si>
    <t>DC REACTOR</t>
    <phoneticPr fontId="8" type="noConversion"/>
  </si>
  <si>
    <t>션트저항</t>
    <phoneticPr fontId="8" type="noConversion"/>
  </si>
  <si>
    <t>초기충전</t>
    <phoneticPr fontId="8" type="noConversion"/>
  </si>
  <si>
    <t>DC과전압보호</t>
    <phoneticPr fontId="8" type="noConversion"/>
  </si>
  <si>
    <t>다이오드</t>
    <phoneticPr fontId="8" type="noConversion"/>
  </si>
  <si>
    <t>SCR</t>
    <phoneticPr fontId="8" type="noConversion"/>
  </si>
  <si>
    <t>GMC-75</t>
    <phoneticPr fontId="8" type="noConversion"/>
  </si>
  <si>
    <t>25 (연선)</t>
    <phoneticPr fontId="8" type="noConversion"/>
  </si>
  <si>
    <t>100A</t>
    <phoneticPr fontId="8" type="noConversion"/>
  </si>
  <si>
    <t>DDB6U215N16L</t>
    <phoneticPr fontId="8" type="noConversion"/>
  </si>
  <si>
    <t>50XF</t>
  </si>
  <si>
    <t>100A</t>
    <phoneticPr fontId="8" type="noConversion"/>
  </si>
  <si>
    <t>INRUSH_V6</t>
    <phoneticPr fontId="8" type="noConversion"/>
  </si>
  <si>
    <t>-</t>
    <phoneticPr fontId="8" type="noConversion"/>
  </si>
  <si>
    <t>GMC-50</t>
    <phoneticPr fontId="8" type="noConversion"/>
  </si>
  <si>
    <t>16 (연선)</t>
    <phoneticPr fontId="8" type="noConversion"/>
  </si>
  <si>
    <t>50A</t>
    <phoneticPr fontId="8" type="noConversion"/>
  </si>
  <si>
    <t>INRUSH_V6</t>
    <phoneticPr fontId="8" type="noConversion"/>
  </si>
  <si>
    <t>GMC-125</t>
    <phoneticPr fontId="8" type="noConversion"/>
  </si>
  <si>
    <t>35 (연선)</t>
    <phoneticPr fontId="8" type="noConversion"/>
  </si>
  <si>
    <t>120A</t>
    <phoneticPr fontId="8" type="noConversion"/>
  </si>
  <si>
    <t>150A</t>
    <phoneticPr fontId="8" type="noConversion"/>
  </si>
  <si>
    <t>ABS203c 200A</t>
    <phoneticPr fontId="8" type="noConversion"/>
  </si>
  <si>
    <t>50 (연선)</t>
    <phoneticPr fontId="8" type="noConversion"/>
  </si>
  <si>
    <t>200A</t>
    <phoneticPr fontId="8" type="noConversion"/>
  </si>
  <si>
    <t>DD171N16K/MDD17216N1</t>
    <phoneticPr fontId="8" type="noConversion"/>
  </si>
  <si>
    <t>100XF</t>
    <phoneticPr fontId="8" type="noConversion"/>
  </si>
  <si>
    <t>300A</t>
    <phoneticPr fontId="8" type="noConversion"/>
  </si>
  <si>
    <t>INRUSH_MC_DC SUNBBER</t>
    <phoneticPr fontId="8" type="noConversion"/>
  </si>
  <si>
    <t>ABS103c 125A</t>
    <phoneticPr fontId="8" type="noConversion"/>
  </si>
  <si>
    <t>ABS403c 300A</t>
    <phoneticPr fontId="8" type="noConversion"/>
  </si>
  <si>
    <t>95 (연선)*2</t>
    <phoneticPr fontId="8" type="noConversion"/>
  </si>
  <si>
    <t>300A</t>
    <phoneticPr fontId="8" type="noConversion"/>
  </si>
  <si>
    <t>100XF</t>
    <phoneticPr fontId="8" type="noConversion"/>
  </si>
  <si>
    <t>95 (연선)</t>
    <phoneticPr fontId="8" type="noConversion"/>
  </si>
  <si>
    <t>250A</t>
    <phoneticPr fontId="8" type="noConversion"/>
  </si>
  <si>
    <t>200XF</t>
    <phoneticPr fontId="8" type="noConversion"/>
  </si>
  <si>
    <t>ABS203c 225A</t>
    <phoneticPr fontId="8" type="noConversion"/>
  </si>
  <si>
    <t>400A</t>
    <phoneticPr fontId="8" type="noConversion"/>
  </si>
  <si>
    <t>ABS403c 400A</t>
    <phoneticPr fontId="8" type="noConversion"/>
  </si>
  <si>
    <t>500A</t>
    <phoneticPr fontId="8" type="noConversion"/>
  </si>
  <si>
    <t>DD350N16K1/MDD31216N1</t>
    <phoneticPr fontId="8" type="noConversion"/>
  </si>
  <si>
    <t>ABS603c 500A</t>
    <phoneticPr fontId="8" type="noConversion"/>
  </si>
  <si>
    <t>40*8T (부스바)</t>
    <phoneticPr fontId="8" type="noConversion"/>
  </si>
  <si>
    <t>600A</t>
    <phoneticPr fontId="8" type="noConversion"/>
  </si>
  <si>
    <t>400XF</t>
    <phoneticPr fontId="8" type="noConversion"/>
  </si>
  <si>
    <t>40*6T (부스바)</t>
    <phoneticPr fontId="8" type="noConversion"/>
  </si>
  <si>
    <t>ABS603c 630A</t>
    <phoneticPr fontId="8" type="noConversion"/>
  </si>
  <si>
    <t>800A</t>
    <phoneticPr fontId="8" type="noConversion"/>
  </si>
  <si>
    <t>ABS803c 800A</t>
    <phoneticPr fontId="8" type="noConversion"/>
  </si>
  <si>
    <t>50*10T (부스바)</t>
    <phoneticPr fontId="8" type="noConversion"/>
  </si>
  <si>
    <t>DD600N16K</t>
    <phoneticPr fontId="8" type="noConversion"/>
  </si>
  <si>
    <t>1000A</t>
    <phoneticPr fontId="8" type="noConversion"/>
  </si>
  <si>
    <t>50*11T (부스바)</t>
  </si>
  <si>
    <t>900A</t>
    <phoneticPr fontId="8" type="noConversion"/>
  </si>
  <si>
    <t>ABS1003c 1000A</t>
    <phoneticPr fontId="8" type="noConversion"/>
  </si>
  <si>
    <t>50*12T (부스바)</t>
    <phoneticPr fontId="8" type="noConversion"/>
  </si>
  <si>
    <t>500XF_규소강판_명신산업적용</t>
    <phoneticPr fontId="8" type="noConversion"/>
  </si>
  <si>
    <t>1500A</t>
    <phoneticPr fontId="8" type="noConversion"/>
  </si>
  <si>
    <t>ABS1003c 1200A</t>
    <phoneticPr fontId="8" type="noConversion"/>
  </si>
  <si>
    <t>1200A</t>
    <phoneticPr fontId="8" type="noConversion"/>
  </si>
  <si>
    <t>600XF_규소강판_명신산업적용</t>
    <phoneticPr fontId="8" type="noConversion"/>
  </si>
  <si>
    <t>저항 사용</t>
    <phoneticPr fontId="8" type="noConversion"/>
  </si>
  <si>
    <t>CROWBAR 회로_MCO500</t>
    <phoneticPr fontId="8" type="noConversion"/>
  </si>
  <si>
    <t>ACB_1250A</t>
    <phoneticPr fontId="8" type="noConversion"/>
  </si>
  <si>
    <t>DH-804_480 (편조선)</t>
    <phoneticPr fontId="8" type="noConversion"/>
  </si>
  <si>
    <t>-</t>
    <phoneticPr fontId="8" type="noConversion"/>
  </si>
  <si>
    <t>DD600N16K</t>
    <phoneticPr fontId="8" type="noConversion"/>
  </si>
  <si>
    <t>규소강판_신규설계</t>
    <phoneticPr fontId="8" type="noConversion"/>
  </si>
  <si>
    <t>1500A</t>
    <phoneticPr fontId="8" type="noConversion"/>
  </si>
  <si>
    <t>저항 사용</t>
    <phoneticPr fontId="8" type="noConversion"/>
  </si>
  <si>
    <t>CROWBAR 회로_MCO500</t>
    <phoneticPr fontId="8" type="noConversion"/>
  </si>
  <si>
    <t>2000A</t>
    <phoneticPr fontId="8" type="noConversion"/>
  </si>
  <si>
    <t>ACB_1600A</t>
    <phoneticPr fontId="8" type="noConversion"/>
  </si>
  <si>
    <t>DH-805_640 (편조선)</t>
    <phoneticPr fontId="8" type="noConversion"/>
  </si>
  <si>
    <t>ACB_2000A</t>
    <phoneticPr fontId="8" type="noConversion"/>
  </si>
  <si>
    <t>DH-1006_800 (편조선)</t>
    <phoneticPr fontId="8" type="noConversion"/>
  </si>
  <si>
    <t>MDD810-16N2</t>
  </si>
  <si>
    <t>N1806QK160</t>
    <phoneticPr fontId="8" type="noConversion"/>
  </si>
  <si>
    <t>2500A</t>
    <phoneticPr fontId="8" type="noConversion"/>
  </si>
  <si>
    <t>ACB_2500A</t>
    <phoneticPr fontId="8" type="noConversion"/>
  </si>
  <si>
    <t>DH-1007_1000 (편조선)</t>
    <phoneticPr fontId="8" type="noConversion"/>
  </si>
  <si>
    <t>CROWBAR 회로_N1806QK160</t>
    <phoneticPr fontId="8" type="noConversion"/>
  </si>
  <si>
    <t>ACB_2500A</t>
    <phoneticPr fontId="8" type="noConversion"/>
  </si>
  <si>
    <t>DH-1007_1000 (편조선)</t>
    <phoneticPr fontId="8" type="noConversion"/>
  </si>
  <si>
    <t>-</t>
    <phoneticPr fontId="8" type="noConversion"/>
  </si>
  <si>
    <t>N1806QK160</t>
    <phoneticPr fontId="8" type="noConversion"/>
  </si>
  <si>
    <t>규소강판_신규설계</t>
    <phoneticPr fontId="8" type="noConversion"/>
  </si>
  <si>
    <t>2500A</t>
    <phoneticPr fontId="8" type="noConversion"/>
  </si>
  <si>
    <t>저항 사용</t>
    <phoneticPr fontId="8" type="noConversion"/>
  </si>
  <si>
    <t>W3270N#160</t>
    <phoneticPr fontId="8" type="noConversion"/>
  </si>
  <si>
    <t>3000A</t>
    <phoneticPr fontId="8" type="noConversion"/>
  </si>
  <si>
    <t>CROWBAR 회로_N1806QK160</t>
    <phoneticPr fontId="8" type="noConversion"/>
  </si>
  <si>
    <t>ACB_3200A</t>
    <phoneticPr fontId="8" type="noConversion"/>
  </si>
  <si>
    <t>DH-1006_800*2 (편조선)</t>
    <phoneticPr fontId="8" type="noConversion"/>
  </si>
  <si>
    <t>W3270N#160</t>
  </si>
  <si>
    <t>N2593MK160</t>
    <phoneticPr fontId="8" type="noConversion"/>
  </si>
  <si>
    <t>4000A</t>
    <phoneticPr fontId="8" type="noConversion"/>
  </si>
  <si>
    <t>CROWBAR 회로_N2593MK160</t>
    <phoneticPr fontId="8" type="noConversion"/>
  </si>
  <si>
    <t>W3270N#160</t>
    <phoneticPr fontId="8" type="noConversion"/>
  </si>
  <si>
    <t>ACB_4000A</t>
    <phoneticPr fontId="8" type="noConversion"/>
  </si>
  <si>
    <t>5000A</t>
    <phoneticPr fontId="8" type="noConversion"/>
  </si>
  <si>
    <t>6000A</t>
    <phoneticPr fontId="8" type="noConversion"/>
  </si>
  <si>
    <t>CROWBAR 회로_N2593MK160</t>
    <phoneticPr fontId="8" type="noConversion"/>
  </si>
  <si>
    <t>ACB_3200A</t>
    <phoneticPr fontId="8" type="noConversion"/>
  </si>
  <si>
    <t>DH-1006_800*2 (편조선)</t>
    <phoneticPr fontId="8" type="noConversion"/>
  </si>
  <si>
    <t>-</t>
    <phoneticPr fontId="8" type="noConversion"/>
  </si>
  <si>
    <t>N2593MK160</t>
    <phoneticPr fontId="8" type="noConversion"/>
  </si>
  <si>
    <t>규소강판_신규설계</t>
    <phoneticPr fontId="8" type="noConversion"/>
  </si>
  <si>
    <t>4000A</t>
    <phoneticPr fontId="8" type="noConversion"/>
  </si>
  <si>
    <t>요청 일시</t>
  </si>
  <si>
    <t>납품 일시</t>
  </si>
  <si>
    <t>주파수[kHz]</t>
    <phoneticPr fontId="3" type="noConversion"/>
  </si>
  <si>
    <t>규소강판[Tesla]</t>
    <phoneticPr fontId="3" type="noConversion"/>
  </si>
  <si>
    <t>아몰퍼스[Tesla]</t>
    <phoneticPr fontId="3" type="noConversion"/>
  </si>
  <si>
    <t>페라이트[Tesla]</t>
    <phoneticPr fontId="3" type="noConversion"/>
  </si>
  <si>
    <t>dT 75~80℃기준</t>
    <phoneticPr fontId="3" type="noConversion"/>
  </si>
  <si>
    <t>dT 60℃기준</t>
    <phoneticPr fontId="3" type="noConversion"/>
  </si>
  <si>
    <t>dT 80℃기준</t>
    <phoneticPr fontId="3" type="noConversion"/>
  </si>
  <si>
    <t>HALF(2)/FULL(1)</t>
    <phoneticPr fontId="3" type="noConversion"/>
  </si>
  <si>
    <t>&lt;코아/주파수별 자속밀도 실험 데이터&gt;</t>
    <phoneticPr fontId="3" type="noConversion"/>
  </si>
  <si>
    <t>규소강판(0.2t, Si 3%)</t>
    <phoneticPr fontId="3" type="noConversion"/>
  </si>
  <si>
    <t>아몰퍼스(50x175xSF)</t>
    <phoneticPr fontId="3" type="noConversion"/>
  </si>
  <si>
    <t>코아 종류</t>
    <phoneticPr fontId="3" type="noConversion"/>
  </si>
  <si>
    <t>cm^2</t>
    <phoneticPr fontId="3" type="noConversion"/>
  </si>
  <si>
    <t>UU100</t>
    <phoneticPr fontId="3" type="noConversion"/>
  </si>
  <si>
    <t>UU120</t>
    <phoneticPr fontId="3" type="noConversion"/>
  </si>
  <si>
    <t>UU120C</t>
    <phoneticPr fontId="3" type="noConversion"/>
  </si>
  <si>
    <t>I118+I140 조합</t>
    <phoneticPr fontId="3" type="noConversion"/>
  </si>
  <si>
    <t>중족단면적(Ae)</t>
    <phoneticPr fontId="3" type="noConversion"/>
  </si>
  <si>
    <t>3상 : 0.93, 6상: 0.96 (설계시에는 마진 고려 0.9로 함)</t>
    <phoneticPr fontId="3" type="noConversion"/>
  </si>
  <si>
    <t>&lt;코아 중족 단면적 ( 1조 기준, 주사용품)&gt;</t>
    <phoneticPr fontId="3" type="noConversion"/>
  </si>
  <si>
    <t>uH</t>
  </si>
  <si>
    <t xml:space="preserve">단위길이당 L값 (2EA) </t>
    <phoneticPr fontId="3" type="noConversion"/>
  </si>
  <si>
    <t>수냉케이블 길이 (2EA)</t>
    <phoneticPr fontId="3" type="noConversion"/>
  </si>
  <si>
    <t>수냉케이블 L값 (2EA)</t>
    <phoneticPr fontId="3" type="noConversion"/>
  </si>
  <si>
    <t xml:space="preserve">단위길이당 L값 (4EA) </t>
    <phoneticPr fontId="3" type="noConversion"/>
  </si>
  <si>
    <t>수냉케이블 길이 (4EA)</t>
    <phoneticPr fontId="3" type="noConversion"/>
  </si>
  <si>
    <t>수냉케이블 L값 (4EA)</t>
    <phoneticPr fontId="3" type="noConversion"/>
  </si>
  <si>
    <t>&lt;수냉케이블 L값 계산 공식: 10kHz 기준, 트위스트 하지 않음&gt;</t>
    <phoneticPr fontId="3" type="noConversion"/>
  </si>
  <si>
    <t>&lt;동 부스바(DC) 발열량 계산 공식&gt;</t>
    <phoneticPr fontId="3" type="noConversion"/>
  </si>
  <si>
    <t>&lt;동 부스바(AC) 발열량 계산 공식&gt;</t>
    <phoneticPr fontId="3" type="noConversion"/>
  </si>
  <si>
    <t>&lt;동 파이프(AC) 발열량 계산 공식&gt;</t>
    <phoneticPr fontId="3" type="noConversion"/>
  </si>
  <si>
    <t>&lt;사각 파이프(AC) 발열량 계산 공식&gt;</t>
    <phoneticPr fontId="3" type="noConversion"/>
  </si>
  <si>
    <t>mmSQ당 전류</t>
    <phoneticPr fontId="3" type="noConversion"/>
  </si>
  <si>
    <t>CROWBAR 회로_N1806QK160,N1114</t>
    <phoneticPr fontId="8" type="noConversion"/>
  </si>
  <si>
    <t>&lt;FUSE 용량 계산 공식&gt;</t>
    <phoneticPr fontId="3" type="noConversion"/>
  </si>
  <si>
    <t>입력선전압</t>
    <phoneticPr fontId="3" type="noConversion"/>
  </si>
  <si>
    <t>V 이상</t>
    <phoneticPr fontId="3" type="noConversion"/>
  </si>
  <si>
    <t>A 이상</t>
    <phoneticPr fontId="3" type="noConversion"/>
  </si>
  <si>
    <t>FUSE 정격전압</t>
    <phoneticPr fontId="3" type="noConversion"/>
  </si>
  <si>
    <t>FUSE 정격전류</t>
    <phoneticPr fontId="3" type="noConversion"/>
  </si>
  <si>
    <t>Vin(입력선전압)</t>
    <phoneticPr fontId="3" type="noConversion"/>
  </si>
  <si>
    <t>&lt;컷오프주파수 계산 공식&gt;</t>
    <phoneticPr fontId="3" type="noConversion"/>
  </si>
  <si>
    <t>&lt;직렬공진주파수 계산 공식&gt;</t>
    <phoneticPr fontId="3" type="noConversion"/>
  </si>
  <si>
    <t>kVar</t>
    <phoneticPr fontId="3" type="noConversion"/>
  </si>
  <si>
    <t>IH PROGRAM SETTING VALUE_Digital</t>
    <phoneticPr fontId="4" type="noConversion"/>
  </si>
  <si>
    <t xml:space="preserve">PROJECT </t>
    <phoneticPr fontId="4" type="noConversion"/>
  </si>
  <si>
    <t>작성일시</t>
    <phoneticPr fontId="4" type="noConversion"/>
  </si>
  <si>
    <t>시운전일시</t>
    <phoneticPr fontId="4" type="noConversion"/>
  </si>
  <si>
    <t>PROGRAM SPECIFICATION</t>
    <phoneticPr fontId="4" type="noConversion"/>
  </si>
  <si>
    <t>CLOCK</t>
    <phoneticPr fontId="4" type="noConversion"/>
  </si>
  <si>
    <t>M</t>
    <phoneticPr fontId="4" type="noConversion"/>
  </si>
  <si>
    <t>SCALE</t>
    <phoneticPr fontId="4" type="noConversion"/>
  </si>
  <si>
    <t>분주</t>
    <phoneticPr fontId="4" type="noConversion"/>
  </si>
  <si>
    <t>ECAP_CLOCK_10HZ</t>
    <phoneticPr fontId="4" type="noConversion"/>
  </si>
  <si>
    <t>FREQUENCY</t>
    <phoneticPr fontId="4" type="noConversion"/>
  </si>
  <si>
    <t>PERIOD</t>
    <phoneticPr fontId="4" type="noConversion"/>
  </si>
  <si>
    <t>HALF PERIOD</t>
    <phoneticPr fontId="4" type="noConversion"/>
  </si>
  <si>
    <t>POWER</t>
    <phoneticPr fontId="4" type="noConversion"/>
  </si>
  <si>
    <t>MAXIMUM</t>
    <phoneticPr fontId="4" type="noConversion"/>
  </si>
  <si>
    <t>kW</t>
    <phoneticPr fontId="4" type="noConversion"/>
  </si>
  <si>
    <t>MINIMUM</t>
    <phoneticPr fontId="4" type="noConversion"/>
  </si>
  <si>
    <t>INPUT VOLTAGE</t>
    <phoneticPr fontId="4" type="noConversion"/>
  </si>
  <si>
    <t>VAC</t>
    <phoneticPr fontId="4" type="noConversion"/>
  </si>
  <si>
    <t>Vo MAX</t>
    <phoneticPr fontId="4" type="noConversion"/>
  </si>
  <si>
    <t>INRUSH Voltage</t>
    <phoneticPr fontId="4" type="noConversion"/>
  </si>
  <si>
    <t>UVP</t>
    <phoneticPr fontId="4" type="noConversion"/>
  </si>
  <si>
    <t>전류 센싱</t>
    <phoneticPr fontId="4" type="noConversion"/>
  </si>
  <si>
    <t>SHUNT</t>
    <phoneticPr fontId="4" type="noConversion"/>
  </si>
  <si>
    <t>A/50mV</t>
    <phoneticPr fontId="4" type="noConversion"/>
  </si>
  <si>
    <t>Io OCP</t>
    <phoneticPr fontId="4" type="noConversion"/>
  </si>
  <si>
    <t>공진 전류 센싱</t>
    <phoneticPr fontId="4" type="noConversion"/>
  </si>
  <si>
    <t>RESISTOR</t>
    <phoneticPr fontId="4" type="noConversion"/>
  </si>
  <si>
    <t>Ω</t>
    <phoneticPr fontId="4" type="noConversion"/>
  </si>
  <si>
    <t>PARALLEL</t>
    <phoneticPr fontId="4" type="noConversion"/>
  </si>
  <si>
    <t>개수</t>
    <phoneticPr fontId="4" type="noConversion"/>
  </si>
  <si>
    <t>CT</t>
    <phoneticPr fontId="4" type="noConversion"/>
  </si>
  <si>
    <t>:1</t>
    <phoneticPr fontId="4" type="noConversion"/>
  </si>
  <si>
    <t>실제 CURRENT</t>
    <phoneticPr fontId="4" type="noConversion"/>
  </si>
  <si>
    <t>IR RMS</t>
    <phoneticPr fontId="4" type="noConversion"/>
  </si>
  <si>
    <t>IR AVG(LCD)</t>
    <phoneticPr fontId="4" type="noConversion"/>
  </si>
  <si>
    <t>IR OCP</t>
    <phoneticPr fontId="4" type="noConversion"/>
  </si>
  <si>
    <t>AD REF
(4 ~ 20mA)</t>
    <phoneticPr fontId="4" type="noConversion"/>
  </si>
  <si>
    <t xml:space="preserve">kW </t>
    <phoneticPr fontId="4" type="noConversion"/>
  </si>
  <si>
    <t>DA POWER</t>
    <phoneticPr fontId="4" type="noConversion"/>
  </si>
  <si>
    <t>DA FREQUENCY</t>
    <phoneticPr fontId="4" type="noConversion"/>
  </si>
  <si>
    <t>Hz</t>
    <phoneticPr fontId="4" type="noConversion"/>
  </si>
  <si>
    <t>공진 CAP</t>
    <phoneticPr fontId="4" type="noConversion"/>
  </si>
  <si>
    <t>RESONANT_CAP</t>
    <phoneticPr fontId="4" type="noConversion"/>
  </si>
  <si>
    <t xml:space="preserve">uF </t>
    <phoneticPr fontId="4" type="noConversion"/>
  </si>
  <si>
    <t>VOLTAGE</t>
    <phoneticPr fontId="4" type="noConversion"/>
  </si>
  <si>
    <t>SET_Vr</t>
    <phoneticPr fontId="4" type="noConversion"/>
  </si>
  <si>
    <t>M/T</t>
    <phoneticPr fontId="4" type="noConversion"/>
  </si>
  <si>
    <t>SET_TURN_RATIO</t>
  </si>
  <si>
    <t>동작 주파수</t>
    <phoneticPr fontId="4" type="noConversion"/>
  </si>
  <si>
    <t>START FREQUENCY</t>
    <phoneticPr fontId="4" type="noConversion"/>
  </si>
  <si>
    <t>PWM FREQUENCY</t>
    <phoneticPr fontId="4" type="noConversion"/>
  </si>
  <si>
    <t>DEAD TIME</t>
    <phoneticPr fontId="4" type="noConversion"/>
  </si>
  <si>
    <t xml:space="preserve">uS </t>
    <phoneticPr fontId="4" type="noConversion"/>
  </si>
  <si>
    <t>EXT FAULT</t>
    <phoneticPr fontId="4" type="noConversion"/>
  </si>
  <si>
    <t>FLT1</t>
    <phoneticPr fontId="4" type="noConversion"/>
  </si>
  <si>
    <t>DOOR OPEN</t>
    <phoneticPr fontId="4" type="noConversion"/>
  </si>
  <si>
    <t>○</t>
    <phoneticPr fontId="4" type="noConversion"/>
  </si>
  <si>
    <t>FLT2</t>
  </si>
  <si>
    <t>OPP CAP</t>
    <phoneticPr fontId="4" type="noConversion"/>
  </si>
  <si>
    <t>FLT3</t>
  </si>
  <si>
    <t>OTP WATER</t>
    <phoneticPr fontId="4" type="noConversion"/>
  </si>
  <si>
    <t>FLT4</t>
  </si>
  <si>
    <t>FLOW WATER</t>
    <phoneticPr fontId="4" type="noConversion"/>
  </si>
  <si>
    <t>FLT5</t>
  </si>
  <si>
    <t>MA/CB AUX</t>
    <phoneticPr fontId="4" type="noConversion"/>
  </si>
  <si>
    <t>FLT6</t>
  </si>
  <si>
    <t>SPARE</t>
    <phoneticPr fontId="4" type="noConversion"/>
  </si>
  <si>
    <t>X</t>
    <phoneticPr fontId="4" type="noConversion"/>
  </si>
  <si>
    <t>FLT7</t>
  </si>
  <si>
    <t>LEAK WATER</t>
    <phoneticPr fontId="4" type="noConversion"/>
  </si>
  <si>
    <t>FLT8</t>
    <phoneticPr fontId="3" type="noConversion"/>
  </si>
  <si>
    <t>COIL TOUCH(열처리)
GOUND LEAK(용해로)</t>
    <phoneticPr fontId="3" type="noConversion"/>
  </si>
  <si>
    <t>FLT9</t>
    <phoneticPr fontId="4" type="noConversion"/>
  </si>
  <si>
    <t>FUSE OPEN</t>
    <phoneticPr fontId="4" type="noConversion"/>
  </si>
  <si>
    <t>FLT10</t>
    <phoneticPr fontId="4" type="noConversion"/>
  </si>
  <si>
    <t>OVGR</t>
    <phoneticPr fontId="4" type="noConversion"/>
  </si>
  <si>
    <t>IIN OCP</t>
    <phoneticPr fontId="4" type="noConversion"/>
  </si>
  <si>
    <t>MD FAULT</t>
    <phoneticPr fontId="4" type="noConversion"/>
  </si>
  <si>
    <t>CONTROL MODE</t>
    <phoneticPr fontId="4" type="noConversion"/>
  </si>
  <si>
    <t>공진회로</t>
    <phoneticPr fontId="4" type="noConversion"/>
  </si>
  <si>
    <t>직렬공진회로(FULL BRIDGE)</t>
    <phoneticPr fontId="4" type="noConversion"/>
  </si>
  <si>
    <t>특이 사항</t>
    <phoneticPr fontId="4" type="noConversion"/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</si>
  <si>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</si>
  <si>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</si>
  <si>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</si>
  <si>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</si>
  <si>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</si>
  <si>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</si>
  <si>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</si>
  <si>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</si>
  <si>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</si>
  <si>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</si>
  <si>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</si>
  <si>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</si>
  <si>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DC LINK CAPACITOR</t>
  </si>
  <si>
    <t>전류센싱 C/T</t>
  </si>
  <si>
    <t>LTT00043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</si>
  <si>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</si>
  <si>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</si>
  <si>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</si>
  <si>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</si>
  <si>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</si>
  <si>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</si>
  <si>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</si>
  <si>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</si>
  <si>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</si>
  <si>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</si>
  <si>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</si>
  <si>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</si>
  <si>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</si>
  <si>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</si>
  <si>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</si>
  <si>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</si>
  <si>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</si>
  <si>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</si>
  <si>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</si>
  <si>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 xml:space="preserve">UFF00013 </t>
    <phoneticPr fontId="3" type="noConversion"/>
  </si>
  <si>
    <t>고객사 제공</t>
    <phoneticPr fontId="3" type="noConversion"/>
  </si>
  <si>
    <t>IH DIGITAL CONTROL BOARD V3.8</t>
    <phoneticPr fontId="3" type="noConversion"/>
  </si>
  <si>
    <t>305uF 1250V,2400A ,1kHz</t>
    <phoneticPr fontId="3" type="noConversion"/>
  </si>
  <si>
    <t>21.10.12 
운전데이터
SR300</t>
    <phoneticPr fontId="3" type="noConversion"/>
  </si>
  <si>
    <t>21.10.19
운전데이터
RG1600</t>
    <phoneticPr fontId="3" type="noConversion"/>
  </si>
  <si>
    <t>예상 출력케이블 L값 입력 6가닥 4.8m(2가닥 L값 / 3)</t>
    <phoneticPr fontId="3" type="noConversion"/>
  </si>
  <si>
    <t>800KW</t>
    <phoneticPr fontId="3" type="noConversion"/>
  </si>
  <si>
    <t>3kHz</t>
    <phoneticPr fontId="3" type="noConversion"/>
  </si>
  <si>
    <t>SCA00022</t>
    <phoneticPr fontId="3" type="noConversion"/>
  </si>
  <si>
    <t>1600A급 (AS-16 D 3-16 H M2 D2 D2 AX PC1 U2 AL)</t>
    <phoneticPr fontId="3" type="noConversion"/>
  </si>
  <si>
    <t>사용안함</t>
    <phoneticPr fontId="3" type="noConversion"/>
  </si>
  <si>
    <t>[DD600N16K]1600V 1150A</t>
  </si>
  <si>
    <t>EBB00021</t>
  </si>
  <si>
    <t xml:space="preserve">저항 및 크로우바 회로 적용 </t>
  </si>
  <si>
    <t xml:space="preserve">800XF </t>
    <phoneticPr fontId="3" type="noConversion"/>
  </si>
  <si>
    <t>PSA02Y21-0025_포엠테크 적용  예상 L :490uH</t>
    <phoneticPr fontId="3" type="noConversion"/>
  </si>
  <si>
    <t>OK</t>
    <phoneticPr fontId="3" type="noConversion"/>
  </si>
  <si>
    <t>사용안함</t>
    <phoneticPr fontId="3" type="noConversion"/>
  </si>
  <si>
    <t>3병렬 2직렬 (10탭중10탭) :총 457.5uF, 1250V, 7200A, 1kHz(6EA)</t>
    <phoneticPr fontId="3" type="noConversion"/>
  </si>
  <si>
    <t>[CT-T23A-T2000] 2000:1 아몰퍼스코어, 0.25*14 litz wire, (core:AH0005000025)</t>
  </si>
  <si>
    <t>1~2</t>
    <phoneticPr fontId="3" type="noConversion"/>
  </si>
  <si>
    <t>1300A</t>
    <phoneticPr fontId="3" type="noConversion"/>
  </si>
  <si>
    <t>1380A</t>
    <phoneticPr fontId="3" type="noConversion"/>
  </si>
  <si>
    <t xml:space="preserve">최대 3400A </t>
    <phoneticPr fontId="3" type="noConversion"/>
  </si>
  <si>
    <t>PSPWM</t>
    <phoneticPr fontId="3" type="noConversion"/>
  </si>
  <si>
    <t xml:space="preserve">7000uF(50uF *140EA) </t>
    <phoneticPr fontId="3" type="noConversion"/>
  </si>
  <si>
    <t>24:3/.../3</t>
    <phoneticPr fontId="3" type="noConversion"/>
  </si>
  <si>
    <t>출력케이블</t>
    <phoneticPr fontId="3" type="noConversion"/>
  </si>
  <si>
    <t>1"  수냉케이블, 총6EA (한쪽 출력당 3EA씩, 길이 4.8m)</t>
    <phoneticPr fontId="3" type="noConversion"/>
  </si>
  <si>
    <t>기존장비와 동일</t>
    <phoneticPr fontId="3" type="noConversion"/>
  </si>
  <si>
    <t>선진파워테크</t>
    <phoneticPr fontId="3" type="noConversion"/>
  </si>
  <si>
    <t>선진파워테크</t>
    <phoneticPr fontId="4" type="noConversion"/>
  </si>
  <si>
    <t>2022.01.27</t>
    <phoneticPr fontId="4" type="noConversion"/>
  </si>
  <si>
    <t>2021.12.03</t>
    <phoneticPr fontId="3" type="noConversion"/>
  </si>
  <si>
    <t>PSPWM</t>
    <phoneticPr fontId="4" type="noConversion"/>
  </si>
  <si>
    <t>데이터 로깅, ComError, DA,AD Offset, Gain 등등
통신 프로토콜 (Fault 순서등) 확인 필요</t>
    <phoneticPr fontId="3" type="noConversion"/>
  </si>
  <si>
    <t>GATE_DRIVER_50W_V3_2</t>
    <phoneticPr fontId="3" type="noConversion"/>
  </si>
  <si>
    <t>[SK-S-03] 2000A, 50mV, ±2%</t>
    <phoneticPr fontId="3" type="noConversion"/>
  </si>
  <si>
    <t>IMF3HD12</t>
    <phoneticPr fontId="3" type="noConversion"/>
  </si>
  <si>
    <t>Full Bridge_FZ2400R12HE4_2P_1M</t>
    <phoneticPr fontId="3" type="noConversion"/>
  </si>
  <si>
    <r>
      <t>F</t>
    </r>
    <r>
      <rPr>
        <sz val="11"/>
        <rFont val="돋움"/>
        <family val="3"/>
        <charset val="129"/>
      </rPr>
      <t>Z2400R12HE4_B9</t>
    </r>
    <phoneticPr fontId="3" type="noConversion"/>
  </si>
  <si>
    <t>OK</t>
  </si>
  <si>
    <t>2021.11.02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</si>
</sst>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-* #,##0_-;\-* #,##0_-;_-* &quot;-&quot;_-;_-@_-"/>
    <numFmt numFmtId="43" formatCode="_-* #,##0.00_-;\-* #,##0.00_-;_-* &quot;-&quot;??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2">
    <xf numFmtId="0" fontId="0" fillId="0" borderId="0" xfId="0"/>
    <xf numFmtId="0" fontId="2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0" fontId="13" fillId="0" borderId="28" xfId="2" applyFont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179" fontId="11" fillId="9" borderId="28" xfId="0" applyNumberFormat="1" applyFont="1" applyFill="1" applyBorder="1" applyAlignment="1">
      <alignment horizontal="right"/>
    </xf>
    <xf numFmtId="0" fontId="15" fillId="0" borderId="29" xfId="0" applyFont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41" fontId="11" fillId="0" borderId="28" xfId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9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vertical="center" wrapText="1"/>
    </xf>
    <xf numFmtId="180" fontId="11" fillId="6" borderId="28" xfId="1" applyNumberFormat="1" applyFont="1" applyFill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0" fontId="0" fillId="0" borderId="0" xfId="0" applyFill="1"/>
    <xf numFmtId="0" fontId="0" fillId="0" borderId="0" xfId="0" quotePrefix="1" applyFill="1"/>
    <xf numFmtId="0" fontId="0" fillId="0" borderId="0" xfId="0" applyFont="1" applyFill="1"/>
    <xf numFmtId="0" fontId="0" fillId="0" borderId="0" xfId="0" applyFont="1"/>
    <xf numFmtId="190" fontId="11" fillId="6" borderId="28" xfId="1" applyNumberFormat="1" applyFont="1" applyFill="1" applyBorder="1" applyAlignment="1">
      <alignment vertical="center"/>
    </xf>
    <xf numFmtId="191" fontId="11" fillId="0" borderId="28" xfId="0" applyNumberFormat="1" applyFont="1" applyBorder="1" applyAlignment="1">
      <alignment horizontal="left"/>
    </xf>
    <xf numFmtId="187" fontId="11" fillId="0" borderId="29" xfId="2" applyNumberFormat="1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2" fontId="11" fillId="9" borderId="28" xfId="2" applyNumberFormat="1" applyFont="1" applyFill="1" applyBorder="1">
      <alignment vertical="center"/>
    </xf>
    <xf numFmtId="2" fontId="11" fillId="10" borderId="28" xfId="2" applyNumberFormat="1" applyFont="1" applyFill="1" applyBorder="1">
      <alignment vertical="center"/>
    </xf>
    <xf numFmtId="187" fontId="11" fillId="10" borderId="28" xfId="2" applyNumberFormat="1" applyFont="1" applyFill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1" fillId="0" borderId="50" xfId="2" applyFont="1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8" borderId="32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6" fillId="8" borderId="33" xfId="0" applyFont="1" applyFill="1" applyBorder="1" applyAlignment="1">
      <alignment vertical="center"/>
    </xf>
    <xf numFmtId="0" fontId="16" fillId="8" borderId="34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2" fontId="11" fillId="14" borderId="28" xfId="2" applyNumberFormat="1" applyFont="1" applyFill="1" applyBorder="1">
      <alignment vertical="center"/>
    </xf>
    <xf numFmtId="191" fontId="11" fillId="14" borderId="28" xfId="2" applyNumberFormat="1" applyFont="1" applyFill="1" applyBorder="1">
      <alignment vertical="center"/>
    </xf>
    <xf numFmtId="0" fontId="11" fillId="0" borderId="50" xfId="2" applyFont="1" applyBorder="1" applyAlignment="1">
      <alignment horizontal="center" vertical="center" wrapText="1"/>
    </xf>
    <xf numFmtId="0" fontId="16" fillId="8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43" fontId="0" fillId="0" borderId="0" xfId="0" applyNumberFormat="1"/>
    <xf numFmtId="0" fontId="11" fillId="0" borderId="0" xfId="2" applyFont="1" applyBorder="1" applyAlignment="1">
      <alignment horizontal="center" vertical="center" wrapText="1"/>
    </xf>
    <xf numFmtId="0" fontId="16" fillId="8" borderId="31" xfId="0" applyFont="1" applyFill="1" applyBorder="1" applyAlignment="1">
      <alignment vertical="center" wrapText="1"/>
    </xf>
    <xf numFmtId="0" fontId="16" fillId="8" borderId="31" xfId="0" applyFont="1" applyFill="1" applyBorder="1" applyAlignment="1">
      <alignment vertical="center" wrapText="1"/>
    </xf>
    <xf numFmtId="0" fontId="16" fillId="8" borderId="31" xfId="0" applyFont="1" applyFill="1" applyBorder="1" applyAlignment="1">
      <alignment vertical="center"/>
    </xf>
    <xf numFmtId="0" fontId="2" fillId="0" borderId="0" xfId="2">
      <alignment vertical="center"/>
    </xf>
    <xf numFmtId="0" fontId="11" fillId="9" borderId="28" xfId="0" applyFont="1" applyFill="1" applyBorder="1" applyAlignment="1">
      <alignment horizontal="right"/>
    </xf>
    <xf numFmtId="178" fontId="12" fillId="10" borderId="28" xfId="0" applyNumberFormat="1" applyFont="1" applyFill="1" applyBorder="1"/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176" fontId="11" fillId="9" borderId="28" xfId="0" applyNumberFormat="1" applyFont="1" applyFill="1" applyBorder="1"/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2" fontId="11" fillId="8" borderId="28" xfId="2" applyNumberFormat="1" applyFont="1" applyFill="1" applyBorder="1">
      <alignment vertical="center"/>
    </xf>
    <xf numFmtId="2" fontId="11" fillId="9" borderId="28" xfId="2" applyNumberFormat="1" applyFont="1" applyFill="1" applyBorder="1">
      <alignment vertical="center"/>
    </xf>
    <xf numFmtId="180" fontId="16" fillId="8" borderId="31" xfId="0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 wrapText="1"/>
    </xf>
    <xf numFmtId="0" fontId="11" fillId="0" borderId="37" xfId="0" applyFont="1" applyFill="1" applyBorder="1" applyAlignment="1">
      <alignment horizontal="left" vertical="center"/>
    </xf>
    <xf numFmtId="0" fontId="11" fillId="0" borderId="37" xfId="0" applyFont="1" applyFill="1" applyBorder="1" applyAlignment="1">
      <alignment horizontal="left"/>
    </xf>
    <xf numFmtId="180" fontId="11" fillId="0" borderId="37" xfId="0" applyNumberFormat="1" applyFont="1" applyFill="1" applyBorder="1" applyAlignment="1">
      <alignment horizontal="left" vertical="center"/>
    </xf>
    <xf numFmtId="181" fontId="11" fillId="0" borderId="37" xfId="0" applyNumberFormat="1" applyFont="1" applyFill="1" applyBorder="1" applyAlignment="1">
      <alignment horizontal="left" vertical="center"/>
    </xf>
    <xf numFmtId="179" fontId="11" fillId="0" borderId="37" xfId="0" applyNumberFormat="1" applyFont="1" applyFill="1" applyBorder="1" applyAlignment="1">
      <alignment horizontal="left" vertical="center"/>
    </xf>
    <xf numFmtId="0" fontId="11" fillId="0" borderId="37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left" vertical="center"/>
    </xf>
    <xf numFmtId="0" fontId="18" fillId="0" borderId="31" xfId="0" applyFont="1" applyFill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50" xfId="0" applyFont="1" applyBorder="1" applyAlignment="1">
      <alignment horizontal="left"/>
    </xf>
    <xf numFmtId="0" fontId="13" fillId="0" borderId="50" xfId="2" applyFont="1" applyBorder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3" xfId="1" applyFont="1" applyFill="1" applyBorder="1" applyAlignment="1">
      <alignment horizontal="center" vertical="center"/>
    </xf>
    <xf numFmtId="41" fontId="11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 wrapText="1"/>
    </xf>
    <xf numFmtId="0" fontId="19" fillId="6" borderId="29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21" fillId="6" borderId="48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</cellXfs>
  <cellStyles count="5">
    <cellStyle name="쉼표 [0]" xfId="1" builtinId="6"/>
    <cellStyle name="표준" xfId="0" builtinId="0"/>
    <cellStyle name="표준 2" xfId="3"/>
    <cellStyle name="표준 2 3" xfId="4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19</xdr:row>
      <xdr:rowOff>61441</xdr:rowOff>
    </xdr:from>
    <xdr:to>
      <xdr:col>27</xdr:col>
      <xdr:colOff>1787119</xdr:colOff>
      <xdr:row>19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58555</xdr:rowOff>
    </xdr:from>
    <xdr:to>
      <xdr:col>27</xdr:col>
      <xdr:colOff>1657845</xdr:colOff>
      <xdr:row>23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23</xdr:row>
      <xdr:rowOff>61441</xdr:rowOff>
    </xdr:from>
    <xdr:to>
      <xdr:col>27</xdr:col>
      <xdr:colOff>1787119</xdr:colOff>
      <xdr:row>23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54807</xdr:rowOff>
    </xdr:from>
    <xdr:to>
      <xdr:col>27</xdr:col>
      <xdr:colOff>1919896</xdr:colOff>
      <xdr:row>23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1962774</xdr:colOff>
      <xdr:row>23</xdr:row>
      <xdr:rowOff>57693</xdr:rowOff>
    </xdr:from>
    <xdr:to>
      <xdr:col>27</xdr:col>
      <xdr:colOff>2046918</xdr:colOff>
      <xdr:row>23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1553707</xdr:colOff>
      <xdr:row>27</xdr:row>
      <xdr:rowOff>23231</xdr:rowOff>
    </xdr:from>
    <xdr:to>
      <xdr:col>27</xdr:col>
      <xdr:colOff>1633924</xdr:colOff>
      <xdr:row>27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23231</xdr:rowOff>
    </xdr:from>
    <xdr:to>
      <xdr:col>27</xdr:col>
      <xdr:colOff>1744825</xdr:colOff>
      <xdr:row>27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1673532</xdr:colOff>
      <xdr:row>27</xdr:row>
      <xdr:rowOff>127780</xdr:rowOff>
    </xdr:from>
    <xdr:to>
      <xdr:col>27</xdr:col>
      <xdr:colOff>1748853</xdr:colOff>
      <xdr:row>27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128635</xdr:rowOff>
    </xdr:from>
    <xdr:to>
      <xdr:col>27</xdr:col>
      <xdr:colOff>1633687</xdr:colOff>
      <xdr:row>27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1702976</xdr:colOff>
      <xdr:row>19</xdr:row>
      <xdr:rowOff>55621</xdr:rowOff>
    </xdr:from>
    <xdr:to>
      <xdr:col>27</xdr:col>
      <xdr:colOff>1788955</xdr:colOff>
      <xdr:row>19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56203</xdr:rowOff>
    </xdr:from>
    <xdr:to>
      <xdr:col>27</xdr:col>
      <xdr:colOff>1657845</xdr:colOff>
      <xdr:row>23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1697918</xdr:colOff>
      <xdr:row>23</xdr:row>
      <xdr:rowOff>54429</xdr:rowOff>
    </xdr:from>
    <xdr:to>
      <xdr:col>27</xdr:col>
      <xdr:colOff>1789132</xdr:colOff>
      <xdr:row>23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53245</xdr:rowOff>
    </xdr:from>
    <xdr:to>
      <xdr:col>27</xdr:col>
      <xdr:colOff>1919896</xdr:colOff>
      <xdr:row>23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1955822</xdr:colOff>
      <xdr:row>23</xdr:row>
      <xdr:rowOff>54428</xdr:rowOff>
    </xdr:from>
    <xdr:to>
      <xdr:col>27</xdr:col>
      <xdr:colOff>2054405</xdr:colOff>
      <xdr:row>23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1556969</xdr:colOff>
      <xdr:row>27</xdr:row>
      <xdr:rowOff>23664</xdr:rowOff>
    </xdr:from>
    <xdr:to>
      <xdr:col>27</xdr:col>
      <xdr:colOff>1638944</xdr:colOff>
      <xdr:row>27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23230</xdr:rowOff>
    </xdr:from>
    <xdr:to>
      <xdr:col>27</xdr:col>
      <xdr:colOff>1747883</xdr:colOff>
      <xdr:row>27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1679795</xdr:colOff>
      <xdr:row>27</xdr:row>
      <xdr:rowOff>127780</xdr:rowOff>
    </xdr:from>
    <xdr:to>
      <xdr:col>27</xdr:col>
      <xdr:colOff>1754186</xdr:colOff>
      <xdr:row>27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131859</xdr:rowOff>
    </xdr:from>
    <xdr:to>
      <xdr:col>27</xdr:col>
      <xdr:colOff>1633687</xdr:colOff>
      <xdr:row>27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L92"/>
  <sheetViews>
    <sheetView zoomScale="70" zoomScaleNormal="70" workbookViewId="0">
      <selection activeCell="D30" sqref="D30"/>
    </sheetView>
  </sheetViews>
  <sheetFormatPr defaultColWidth="8.8984375" defaultRowHeight="14.4"/>
  <cols>
    <col min="1" max="1" width="8.8984375" style="1"/>
    <col min="2" max="2" width="35.3984375" style="1" customWidth="1"/>
    <col min="3" max="3" width="13.8984375" style="1" customWidth="1"/>
    <col min="4" max="4" width="8.8984375" style="1" bestFit="1" customWidth="1"/>
    <col min="5" max="5" width="8.8984375" style="1" customWidth="1"/>
    <col min="6" max="6" width="12.296875" style="1" customWidth="1"/>
    <col min="7" max="7" width="12.296875" style="233" customWidth="1"/>
    <col min="8" max="8" width="13.8984375" style="233" customWidth="1"/>
    <col min="9" max="9" width="8.8984375" style="233" bestFit="1" customWidth="1"/>
    <col min="10" max="10" width="8.8984375" style="233" customWidth="1"/>
    <col min="11" max="11" width="12.296875" style="233" customWidth="1"/>
    <col min="12" max="12" width="6.296875" style="1" customWidth="1"/>
    <col min="13" max="13" width="8.19921875" style="1" bestFit="1" customWidth="1"/>
    <col min="14" max="14" width="56.59765625" style="1" customWidth="1"/>
    <col min="15" max="15" width="5.3984375" style="1" customWidth="1"/>
    <col min="16" max="16" width="15.796875" style="1" bestFit="1" customWidth="1"/>
    <col min="17" max="17" width="12.8984375" style="1" bestFit="1" customWidth="1"/>
    <col min="18" max="18" width="12.796875" style="1" bestFit="1" customWidth="1"/>
    <col min="19" max="19" width="20.59765625" style="1" customWidth="1"/>
    <col min="20" max="20" width="20.69921875" style="1" bestFit="1" customWidth="1"/>
    <col min="21" max="22" width="8.8984375" style="1"/>
    <col min="23" max="23" width="4.69921875" style="1" customWidth="1"/>
    <col min="24" max="24" width="17.59765625" style="1" bestFit="1" customWidth="1"/>
    <col min="25" max="25" width="8.8984375" style="1"/>
    <col min="26" max="26" width="10.796875" style="1" bestFit="1" customWidth="1"/>
    <col min="27" max="27" width="4.19921875" style="1" customWidth="1"/>
    <col min="28" max="28" width="30" style="1" customWidth="1"/>
    <col min="29" max="16384" width="8.8984375" style="1"/>
  </cols>
  <sheetData>
    <row r="1" spans="2:38" ht="19.2">
      <c r="B1" s="124" t="s">
        <v>312</v>
      </c>
    </row>
    <row r="2" spans="2:38" ht="52.2">
      <c r="B2" s="112" t="s">
        <v>240</v>
      </c>
      <c r="C2" s="225" t="s">
        <v>624</v>
      </c>
      <c r="D2" s="207"/>
      <c r="E2" s="207"/>
      <c r="F2" s="225" t="s">
        <v>625</v>
      </c>
      <c r="G2" s="229"/>
      <c r="H2" s="225"/>
      <c r="I2" s="207"/>
      <c r="J2" s="207"/>
      <c r="K2" s="225"/>
      <c r="L2" s="113"/>
      <c r="M2" s="113" t="s">
        <v>295</v>
      </c>
      <c r="N2" s="113" t="s">
        <v>245</v>
      </c>
    </row>
    <row r="3" spans="2:38" ht="17.399999999999999">
      <c r="B3" s="114" t="s">
        <v>18</v>
      </c>
      <c r="C3" s="198">
        <v>756</v>
      </c>
      <c r="D3" s="198">
        <v>758</v>
      </c>
      <c r="E3" s="198"/>
      <c r="F3" s="198">
        <v>789</v>
      </c>
      <c r="G3" s="198"/>
      <c r="H3" s="198">
        <v>800</v>
      </c>
      <c r="I3" s="198">
        <v>800</v>
      </c>
      <c r="J3" s="198"/>
      <c r="K3" s="198">
        <v>800</v>
      </c>
      <c r="L3" s="114" t="s">
        <v>1</v>
      </c>
      <c r="M3" s="115">
        <v>1</v>
      </c>
      <c r="N3" s="116" t="s">
        <v>243</v>
      </c>
      <c r="P3" s="265" t="s">
        <v>281</v>
      </c>
      <c r="Q3" s="265"/>
      <c r="R3" s="265"/>
      <c r="S3" s="77"/>
      <c r="T3" s="263" t="s">
        <v>241</v>
      </c>
      <c r="U3" s="263"/>
      <c r="V3" s="263"/>
      <c r="W3" s="77"/>
      <c r="X3" s="263" t="s">
        <v>488</v>
      </c>
      <c r="Y3" s="263"/>
      <c r="Z3" s="263"/>
      <c r="AA3" s="77"/>
      <c r="AB3" s="265" t="s">
        <v>261</v>
      </c>
      <c r="AC3" s="265"/>
      <c r="AD3" s="265"/>
      <c r="AE3" s="233" t="s">
        <v>662</v>
      </c>
    </row>
    <row r="4" spans="2:38" ht="17.399999999999999">
      <c r="B4" s="114" t="s">
        <v>499</v>
      </c>
      <c r="C4" s="198">
        <v>440</v>
      </c>
      <c r="D4" s="198">
        <v>440</v>
      </c>
      <c r="E4" s="198"/>
      <c r="F4" s="198">
        <v>440</v>
      </c>
      <c r="G4" s="198"/>
      <c r="H4" s="198">
        <v>440</v>
      </c>
      <c r="I4" s="198">
        <v>440</v>
      </c>
      <c r="J4" s="198"/>
      <c r="K4" s="198">
        <v>440</v>
      </c>
      <c r="L4" s="114" t="s">
        <v>0</v>
      </c>
      <c r="M4" s="115">
        <v>2</v>
      </c>
      <c r="N4" s="116" t="s">
        <v>244</v>
      </c>
      <c r="P4" s="69" t="s">
        <v>10</v>
      </c>
      <c r="Q4" s="71">
        <v>5</v>
      </c>
      <c r="R4" s="69" t="s">
        <v>11</v>
      </c>
      <c r="S4" s="77"/>
      <c r="T4" s="69" t="s">
        <v>20</v>
      </c>
      <c r="U4" s="71">
        <v>580</v>
      </c>
      <c r="V4" s="69" t="s">
        <v>0</v>
      </c>
      <c r="W4" s="77"/>
      <c r="X4" s="69" t="s">
        <v>212</v>
      </c>
      <c r="Y4" s="67" t="s">
        <v>213</v>
      </c>
      <c r="Z4" s="67"/>
      <c r="AA4" s="77"/>
      <c r="AB4" s="70" t="s">
        <v>106</v>
      </c>
      <c r="AC4" s="71">
        <v>4.5999999999999996</v>
      </c>
      <c r="AD4" s="70" t="s">
        <v>15</v>
      </c>
    </row>
    <row r="5" spans="2:38" ht="17.399999999999999">
      <c r="B5" s="114" t="s">
        <v>73</v>
      </c>
      <c r="C5" s="199">
        <v>0.9</v>
      </c>
      <c r="D5" s="199">
        <v>0.9</v>
      </c>
      <c r="E5" s="199"/>
      <c r="F5" s="199">
        <v>0.9</v>
      </c>
      <c r="G5" s="250"/>
      <c r="H5" s="250">
        <v>0.9</v>
      </c>
      <c r="I5" s="250">
        <v>0.9</v>
      </c>
      <c r="J5" s="250"/>
      <c r="K5" s="250">
        <v>0.9</v>
      </c>
      <c r="L5" s="114"/>
      <c r="M5" s="115"/>
      <c r="N5" s="114" t="s">
        <v>477</v>
      </c>
      <c r="P5" s="69" t="s">
        <v>12</v>
      </c>
      <c r="Q5" s="71">
        <v>35</v>
      </c>
      <c r="R5" s="69" t="s">
        <v>13</v>
      </c>
      <c r="S5" s="77"/>
      <c r="T5" s="69" t="s">
        <v>21</v>
      </c>
      <c r="U5" s="71">
        <v>0.75</v>
      </c>
      <c r="V5" s="69" t="s">
        <v>19</v>
      </c>
      <c r="W5" s="77"/>
      <c r="X5" s="76" t="s">
        <v>214</v>
      </c>
      <c r="Y5" s="78">
        <v>1.75</v>
      </c>
      <c r="Z5" s="76" t="s">
        <v>215</v>
      </c>
      <c r="AA5" s="77"/>
      <c r="AB5" s="70" t="s">
        <v>107</v>
      </c>
      <c r="AC5" s="71">
        <v>3400</v>
      </c>
      <c r="AD5" s="70" t="s">
        <v>2</v>
      </c>
    </row>
    <row r="6" spans="2:38" ht="17.399999999999999">
      <c r="B6" s="114" t="s">
        <v>64</v>
      </c>
      <c r="C6" s="200">
        <f t="shared" ref="C6:D6" si="0">ROUND(C3*1000/(C4*0.9)/(3^0.5)/C5,1)</f>
        <v>1224.7</v>
      </c>
      <c r="D6" s="200">
        <f t="shared" si="0"/>
        <v>1227.9000000000001</v>
      </c>
      <c r="E6" s="200"/>
      <c r="F6" s="200">
        <f t="shared" ref="F6" si="1">ROUND(F3*1000/(F4*0.9)/(3^0.5)/F5,1)</f>
        <v>1278.0999999999999</v>
      </c>
      <c r="G6" s="200"/>
      <c r="H6" s="200">
        <f t="shared" ref="H6:I6" si="2">ROUND(H3*1000/(H4*0.9)/(3^0.5)/H5,1)</f>
        <v>1296</v>
      </c>
      <c r="I6" s="200">
        <f t="shared" si="2"/>
        <v>1296</v>
      </c>
      <c r="J6" s="200"/>
      <c r="K6" s="200">
        <f t="shared" ref="K6" si="3">ROUND(K3*1000/(K4*0.9)/(3^0.5)/K5,1)</f>
        <v>1296</v>
      </c>
      <c r="L6" s="114" t="s">
        <v>2</v>
      </c>
      <c r="M6" s="115"/>
      <c r="N6" s="114" t="s">
        <v>293</v>
      </c>
      <c r="P6" s="69" t="s">
        <v>14</v>
      </c>
      <c r="Q6" s="71">
        <v>70</v>
      </c>
      <c r="R6" s="69" t="s">
        <v>13</v>
      </c>
      <c r="S6" s="77"/>
      <c r="T6" s="69" t="s">
        <v>22</v>
      </c>
      <c r="U6" s="71">
        <v>75</v>
      </c>
      <c r="V6" s="69" t="s">
        <v>23</v>
      </c>
      <c r="W6" s="77"/>
      <c r="X6" s="76" t="s">
        <v>216</v>
      </c>
      <c r="Y6" s="79">
        <v>3.8999999999999998E-3</v>
      </c>
      <c r="Z6" s="76" t="s">
        <v>217</v>
      </c>
      <c r="AA6" s="77"/>
      <c r="AB6" s="70" t="s">
        <v>108</v>
      </c>
      <c r="AC6" s="71">
        <v>7000</v>
      </c>
      <c r="AD6" s="70" t="s">
        <v>28</v>
      </c>
    </row>
    <row r="7" spans="2:38" ht="17.399999999999999">
      <c r="B7" s="114" t="s">
        <v>51</v>
      </c>
      <c r="C7" s="201">
        <v>2</v>
      </c>
      <c r="D7" s="201">
        <v>2</v>
      </c>
      <c r="E7" s="201"/>
      <c r="F7" s="201">
        <v>2</v>
      </c>
      <c r="G7" s="201"/>
      <c r="H7" s="201">
        <v>2</v>
      </c>
      <c r="I7" s="201">
        <v>2</v>
      </c>
      <c r="J7" s="201"/>
      <c r="K7" s="201">
        <v>2</v>
      </c>
      <c r="L7" s="114" t="s">
        <v>74</v>
      </c>
      <c r="M7" s="115"/>
      <c r="N7" s="114"/>
      <c r="P7" s="69" t="s">
        <v>97</v>
      </c>
      <c r="Q7" s="72">
        <f>(Q5*Q4)*(Q5*Q4)/(101.6*(4.5*Q5+10*Q6))</f>
        <v>0.35151856017997751</v>
      </c>
      <c r="R7" s="69" t="s">
        <v>15</v>
      </c>
      <c r="S7" s="77"/>
      <c r="T7" s="69" t="s">
        <v>24</v>
      </c>
      <c r="U7" s="71">
        <v>2000</v>
      </c>
      <c r="V7" s="69" t="s">
        <v>25</v>
      </c>
      <c r="W7" s="77"/>
      <c r="X7" s="76" t="s">
        <v>218</v>
      </c>
      <c r="Y7" s="80">
        <v>45</v>
      </c>
      <c r="Z7" s="76" t="s">
        <v>48</v>
      </c>
      <c r="AA7" s="77"/>
      <c r="AB7" s="70" t="s">
        <v>285</v>
      </c>
      <c r="AC7" s="71">
        <v>645</v>
      </c>
      <c r="AD7" s="70" t="s">
        <v>0</v>
      </c>
    </row>
    <row r="8" spans="2:38" ht="17.399999999999999">
      <c r="B8" s="114" t="s">
        <v>65</v>
      </c>
      <c r="C8" s="201">
        <f t="shared" ref="C8:D8" si="4">ROUND(C6/C7,0)</f>
        <v>612</v>
      </c>
      <c r="D8" s="201">
        <f t="shared" si="4"/>
        <v>614</v>
      </c>
      <c r="E8" s="201"/>
      <c r="F8" s="201">
        <f t="shared" ref="F8" si="5">ROUND(F6/F7,0)</f>
        <v>639</v>
      </c>
      <c r="G8" s="201"/>
      <c r="H8" s="201">
        <f t="shared" ref="H8:I8" si="6">ROUND(H6/H7,0)</f>
        <v>648</v>
      </c>
      <c r="I8" s="201">
        <f t="shared" si="6"/>
        <v>648</v>
      </c>
      <c r="J8" s="201"/>
      <c r="K8" s="201">
        <f t="shared" ref="K8" si="7">ROUND(K6/K7,0)</f>
        <v>648</v>
      </c>
      <c r="L8" s="114" t="s">
        <v>3</v>
      </c>
      <c r="M8" s="115"/>
      <c r="N8" s="114"/>
      <c r="P8" s="69" t="s">
        <v>98</v>
      </c>
      <c r="Q8" s="71">
        <v>80</v>
      </c>
      <c r="R8" s="69" t="s">
        <v>7</v>
      </c>
      <c r="S8" s="77"/>
      <c r="T8" s="69" t="s">
        <v>26</v>
      </c>
      <c r="U8" s="88">
        <f>(5000*U4)/(U5*U6*U7)</f>
        <v>25.777777777777779</v>
      </c>
      <c r="V8" s="69" t="s">
        <v>242</v>
      </c>
      <c r="W8" s="77"/>
      <c r="X8" s="76" t="s">
        <v>219</v>
      </c>
      <c r="Y8" s="79">
        <f>Y5*(1+Y6*(Y7-20))</f>
        <v>1.9206249999999998</v>
      </c>
      <c r="Z8" s="76" t="s">
        <v>215</v>
      </c>
      <c r="AA8" s="77"/>
      <c r="AB8" s="70" t="s">
        <v>284</v>
      </c>
      <c r="AC8" s="88">
        <f>SQRT(AC7^2+AC4*AC5^2/AC6)</f>
        <v>650.86217544774513</v>
      </c>
      <c r="AD8" s="70" t="s">
        <v>0</v>
      </c>
    </row>
    <row r="9" spans="2:38" ht="17.399999999999999">
      <c r="B9" s="114"/>
      <c r="C9" s="202"/>
      <c r="D9" s="202"/>
      <c r="E9" s="202"/>
      <c r="F9" s="202"/>
      <c r="G9" s="202"/>
      <c r="H9" s="202"/>
      <c r="I9" s="202"/>
      <c r="J9" s="202"/>
      <c r="K9" s="202"/>
      <c r="L9" s="114"/>
      <c r="M9" s="115"/>
      <c r="N9" s="114"/>
      <c r="P9" s="69" t="s">
        <v>95</v>
      </c>
      <c r="Q9" s="72">
        <f>Q7*Q8/100</f>
        <v>0.28121484814398201</v>
      </c>
      <c r="R9" s="69" t="s">
        <v>15</v>
      </c>
      <c r="S9" s="77"/>
      <c r="T9" s="77"/>
      <c r="U9" s="77"/>
      <c r="V9" s="77"/>
      <c r="W9" s="77"/>
      <c r="X9" s="76" t="s">
        <v>220</v>
      </c>
      <c r="Y9" s="81">
        <f>1/(Y8/100000000)</f>
        <v>52066384.64041654</v>
      </c>
      <c r="Z9" s="76" t="s">
        <v>221</v>
      </c>
      <c r="AA9" s="77"/>
      <c r="AB9" s="77"/>
      <c r="AC9" s="77"/>
      <c r="AD9" s="77"/>
      <c r="AG9" s="233"/>
      <c r="AH9" s="233"/>
      <c r="AI9" s="233"/>
      <c r="AJ9" s="233"/>
      <c r="AK9" s="233"/>
      <c r="AL9" s="233"/>
    </row>
    <row r="10" spans="2:38" ht="17.399999999999999">
      <c r="B10" s="114" t="s">
        <v>16</v>
      </c>
      <c r="C10" s="200">
        <f>ROUND(C4*2^0.5*0.93,1)</f>
        <v>578.70000000000005</v>
      </c>
      <c r="D10" s="200">
        <f>ROUND(D4*2^0.5*0.93,1)</f>
        <v>578.70000000000005</v>
      </c>
      <c r="E10" s="200"/>
      <c r="F10" s="200">
        <f>ROUND(F4*2^0.5*0.93,1)</f>
        <v>578.70000000000005</v>
      </c>
      <c r="G10" s="200"/>
      <c r="H10" s="200">
        <f>ROUND(H4*2^0.5*0.93,1)</f>
        <v>578.70000000000005</v>
      </c>
      <c r="I10" s="200">
        <f>ROUND(I4*2^0.5*0.93,1)</f>
        <v>578.70000000000005</v>
      </c>
      <c r="J10" s="200"/>
      <c r="K10" s="200">
        <f>ROUND(K4*2^0.5*0.93,1)</f>
        <v>578.70000000000005</v>
      </c>
      <c r="L10" s="114" t="s">
        <v>0</v>
      </c>
      <c r="M10" s="115"/>
      <c r="N10" s="114" t="s">
        <v>292</v>
      </c>
      <c r="P10" s="70" t="s">
        <v>94</v>
      </c>
      <c r="Q10" s="71">
        <v>0.2</v>
      </c>
      <c r="R10" s="69" t="s">
        <v>15</v>
      </c>
      <c r="S10" s="77"/>
      <c r="T10" s="263" t="s">
        <v>501</v>
      </c>
      <c r="U10" s="263"/>
      <c r="V10" s="263"/>
      <c r="W10" s="77"/>
      <c r="X10" s="76" t="s">
        <v>222</v>
      </c>
      <c r="Y10" s="67">
        <v>1</v>
      </c>
      <c r="Z10" s="76" t="s">
        <v>223</v>
      </c>
      <c r="AA10" s="77"/>
      <c r="AB10" s="265" t="s">
        <v>271</v>
      </c>
      <c r="AC10" s="265"/>
      <c r="AD10" s="265"/>
      <c r="AE10" s="233" t="s">
        <v>662</v>
      </c>
    </row>
    <row r="11" spans="2:38" ht="17.399999999999999">
      <c r="B11" s="114" t="s">
        <v>17</v>
      </c>
      <c r="C11" s="200">
        <f t="shared" ref="C11:D11" si="8">ROUND(C3*1000/C10,1)</f>
        <v>1306.4000000000001</v>
      </c>
      <c r="D11" s="200">
        <f t="shared" si="8"/>
        <v>1309.8</v>
      </c>
      <c r="E11" s="200"/>
      <c r="F11" s="200">
        <f t="shared" ref="F11" si="9">ROUND(F3*1000/F10,1)</f>
        <v>1363.4</v>
      </c>
      <c r="G11" s="200"/>
      <c r="H11" s="200">
        <f t="shared" ref="H11:I11" si="10">ROUND(H3*1000/H10,1)</f>
        <v>1382.4</v>
      </c>
      <c r="I11" s="200">
        <f t="shared" si="10"/>
        <v>1382.4</v>
      </c>
      <c r="J11" s="200"/>
      <c r="K11" s="200">
        <f t="shared" ref="K11" si="11">ROUND(K3*1000/K10,1)</f>
        <v>1382.4</v>
      </c>
      <c r="L11" s="114" t="s">
        <v>2</v>
      </c>
      <c r="M11" s="115"/>
      <c r="N11" s="114" t="s">
        <v>294</v>
      </c>
      <c r="P11" s="70" t="s">
        <v>282</v>
      </c>
      <c r="Q11" s="71">
        <v>1</v>
      </c>
      <c r="R11" s="69" t="s">
        <v>42</v>
      </c>
      <c r="S11" s="77"/>
      <c r="T11" s="69" t="s">
        <v>27</v>
      </c>
      <c r="U11" s="71">
        <v>2000</v>
      </c>
      <c r="V11" s="69" t="s">
        <v>28</v>
      </c>
      <c r="W11" s="77"/>
      <c r="X11" s="76" t="s">
        <v>37</v>
      </c>
      <c r="Y11" s="82">
        <v>35000</v>
      </c>
      <c r="Z11" s="76" t="s">
        <v>224</v>
      </c>
      <c r="AA11" s="77"/>
      <c r="AB11" s="69" t="s">
        <v>108</v>
      </c>
      <c r="AC11" s="71">
        <v>7000</v>
      </c>
      <c r="AD11" s="69" t="s">
        <v>28</v>
      </c>
    </row>
    <row r="12" spans="2:38" ht="17.399999999999999">
      <c r="B12" s="114"/>
      <c r="C12" s="202"/>
      <c r="D12" s="202"/>
      <c r="E12" s="202"/>
      <c r="F12" s="202"/>
      <c r="G12" s="202"/>
      <c r="H12" s="202"/>
      <c r="I12" s="202"/>
      <c r="J12" s="202"/>
      <c r="K12" s="202"/>
      <c r="L12" s="114"/>
      <c r="M12" s="115"/>
      <c r="N12" s="114"/>
      <c r="P12" s="70" t="s">
        <v>96</v>
      </c>
      <c r="Q12" s="71">
        <v>1</v>
      </c>
      <c r="R12" s="69" t="s">
        <v>66</v>
      </c>
      <c r="S12" s="77"/>
      <c r="T12" s="69" t="s">
        <v>29</v>
      </c>
      <c r="U12" s="71">
        <v>630</v>
      </c>
      <c r="V12" s="69" t="s">
        <v>15</v>
      </c>
      <c r="W12" s="77"/>
      <c r="X12" s="76" t="s">
        <v>254</v>
      </c>
      <c r="Y12" s="95">
        <f>503.3*SQRT((Y8/100000000)/(Y10*Y11))*1000</f>
        <v>0.37283287259508113</v>
      </c>
      <c r="Z12" s="76" t="s">
        <v>225</v>
      </c>
      <c r="AA12" s="77"/>
      <c r="AB12" s="69" t="s">
        <v>110</v>
      </c>
      <c r="AC12" s="71">
        <v>675</v>
      </c>
      <c r="AD12" s="69" t="s">
        <v>0</v>
      </c>
    </row>
    <row r="13" spans="2:38" ht="17.399999999999999">
      <c r="B13" s="112" t="s">
        <v>239</v>
      </c>
      <c r="C13" s="202" t="s">
        <v>626</v>
      </c>
      <c r="D13" s="202"/>
      <c r="E13" s="202"/>
      <c r="F13" s="202"/>
      <c r="G13" s="202"/>
      <c r="H13" s="202" t="s">
        <v>626</v>
      </c>
      <c r="I13" s="202"/>
      <c r="J13" s="202"/>
      <c r="K13" s="202"/>
      <c r="L13" s="114"/>
      <c r="M13" s="115"/>
      <c r="N13" s="114"/>
      <c r="P13" s="70" t="s">
        <v>99</v>
      </c>
      <c r="Q13" s="83">
        <v>1</v>
      </c>
      <c r="R13" s="69" t="s">
        <v>67</v>
      </c>
      <c r="S13" s="77"/>
      <c r="T13" s="69" t="s">
        <v>30</v>
      </c>
      <c r="U13" s="88">
        <f>1/(2*3.14*SQRT((U11/1000000)*(U12/1000000)))</f>
        <v>141.85840865839933</v>
      </c>
      <c r="V13" s="69" t="s">
        <v>31</v>
      </c>
      <c r="W13" s="77"/>
      <c r="X13" s="76" t="s">
        <v>255</v>
      </c>
      <c r="Y13" s="89">
        <v>6126</v>
      </c>
      <c r="Z13" s="76" t="s">
        <v>225</v>
      </c>
      <c r="AA13" s="77"/>
      <c r="AB13" s="69" t="s">
        <v>107</v>
      </c>
      <c r="AC13" s="71">
        <v>3600</v>
      </c>
      <c r="AD13" s="69" t="s">
        <v>2</v>
      </c>
    </row>
    <row r="14" spans="2:38" ht="17.399999999999999">
      <c r="B14" s="114" t="s">
        <v>75</v>
      </c>
      <c r="C14" s="203">
        <v>8.8000000000000007</v>
      </c>
      <c r="D14" s="203">
        <v>6.7</v>
      </c>
      <c r="E14" s="203"/>
      <c r="F14" s="203">
        <v>4.67</v>
      </c>
      <c r="G14" s="251"/>
      <c r="H14" s="251">
        <v>8.8000000000000007</v>
      </c>
      <c r="I14" s="251">
        <v>6.7</v>
      </c>
      <c r="J14" s="251"/>
      <c r="K14" s="251">
        <v>4.67</v>
      </c>
      <c r="L14" s="114" t="s">
        <v>15</v>
      </c>
      <c r="M14" s="115">
        <v>3</v>
      </c>
      <c r="N14" s="116" t="s">
        <v>289</v>
      </c>
      <c r="P14" s="70" t="s">
        <v>283</v>
      </c>
      <c r="Q14" s="94">
        <f>Q9/Q12*Q13*Q11^2+Q10</f>
        <v>0.48121484814398202</v>
      </c>
      <c r="R14" s="69" t="s">
        <v>15</v>
      </c>
      <c r="S14" s="77"/>
      <c r="T14" s="77"/>
      <c r="U14" s="77"/>
      <c r="V14" s="77"/>
      <c r="W14" s="77"/>
      <c r="X14" s="76" t="s">
        <v>280</v>
      </c>
      <c r="Y14" s="89">
        <v>5</v>
      </c>
      <c r="Z14" s="76" t="s">
        <v>225</v>
      </c>
      <c r="AA14" s="77"/>
      <c r="AB14" s="69" t="s">
        <v>112</v>
      </c>
      <c r="AC14" s="71">
        <v>3000</v>
      </c>
      <c r="AD14" s="69" t="s">
        <v>25</v>
      </c>
    </row>
    <row r="15" spans="2:38" ht="17.399999999999999">
      <c r="B15" s="114" t="s">
        <v>76</v>
      </c>
      <c r="C15" s="198">
        <v>457.5</v>
      </c>
      <c r="D15" s="198">
        <v>457.5</v>
      </c>
      <c r="E15" s="198"/>
      <c r="F15" s="198">
        <v>457.5</v>
      </c>
      <c r="G15" s="198"/>
      <c r="H15" s="198">
        <v>457.5</v>
      </c>
      <c r="I15" s="198">
        <v>457.5</v>
      </c>
      <c r="J15" s="198"/>
      <c r="K15" s="198">
        <v>457.5</v>
      </c>
      <c r="L15" s="114" t="s">
        <v>28</v>
      </c>
      <c r="M15" s="115">
        <v>4</v>
      </c>
      <c r="N15" s="116" t="s">
        <v>291</v>
      </c>
      <c r="O15" s="2"/>
      <c r="P15" s="77"/>
      <c r="Q15" s="77"/>
      <c r="R15" s="77"/>
      <c r="S15" s="77"/>
      <c r="T15" s="263" t="s">
        <v>248</v>
      </c>
      <c r="U15" s="263"/>
      <c r="V15" s="263"/>
      <c r="W15" s="77"/>
      <c r="X15" s="76" t="s">
        <v>278</v>
      </c>
      <c r="Y15" s="90">
        <f>MIN(Y12,Y14)</f>
        <v>0.37283287259508113</v>
      </c>
      <c r="Z15" s="76" t="s">
        <v>225</v>
      </c>
      <c r="AA15" s="77"/>
      <c r="AB15" s="69" t="s">
        <v>113</v>
      </c>
      <c r="AC15" s="72">
        <f>(1.414*AC13*0.421)/(2*3.14159*AC14*AC12*2*AC11*0.000001)*2*100</f>
        <v>2.4061984182814715</v>
      </c>
      <c r="AD15" s="69" t="s">
        <v>7</v>
      </c>
    </row>
    <row r="16" spans="2:38" ht="17.399999999999999">
      <c r="B16" s="114" t="s">
        <v>77</v>
      </c>
      <c r="C16" s="200">
        <f>1000/(2*PI()*(C14*C15)^0.5)</f>
        <v>2.5083217636878001</v>
      </c>
      <c r="D16" s="200">
        <f>1000/(2*PI()*(D14*D15)^0.5)</f>
        <v>2.8746646012711863</v>
      </c>
      <c r="E16" s="200"/>
      <c r="F16" s="200">
        <f>1000/(2*PI()*(F14*F15)^0.5)</f>
        <v>3.4432308609522395</v>
      </c>
      <c r="G16" s="200"/>
      <c r="H16" s="200">
        <f>1000/(2*PI()*(H14*H15)^0.5)</f>
        <v>2.5083217636878001</v>
      </c>
      <c r="I16" s="200">
        <f>1000/(2*PI()*(I14*I15)^0.5)</f>
        <v>2.8746646012711863</v>
      </c>
      <c r="J16" s="200"/>
      <c r="K16" s="200">
        <f>1000/(2*PI()*(K14*K15)^0.5)</f>
        <v>3.4432308609522395</v>
      </c>
      <c r="L16" s="114" t="s">
        <v>4</v>
      </c>
      <c r="M16" s="115"/>
      <c r="N16" s="114" t="s">
        <v>247</v>
      </c>
      <c r="P16" s="265" t="s">
        <v>226</v>
      </c>
      <c r="Q16" s="265"/>
      <c r="R16" s="265"/>
      <c r="S16" s="77" t="s">
        <v>637</v>
      </c>
      <c r="T16" s="69" t="s">
        <v>32</v>
      </c>
      <c r="U16" s="71">
        <v>42</v>
      </c>
      <c r="V16" s="69" t="s">
        <v>33</v>
      </c>
      <c r="W16" s="77"/>
      <c r="X16" s="76" t="s">
        <v>276</v>
      </c>
      <c r="Y16" s="89">
        <v>200</v>
      </c>
      <c r="Z16" s="76" t="s">
        <v>225</v>
      </c>
      <c r="AA16" s="77"/>
      <c r="AB16" s="69" t="s">
        <v>109</v>
      </c>
      <c r="AC16" s="88">
        <f>AC12*AC15/100</f>
        <v>16.241839323399933</v>
      </c>
      <c r="AD16" s="69" t="s">
        <v>0</v>
      </c>
    </row>
    <row r="17" spans="2:31" ht="17.399999999999999">
      <c r="B17" s="114" t="s">
        <v>78</v>
      </c>
      <c r="C17" s="198">
        <v>30</v>
      </c>
      <c r="D17" s="198">
        <v>30</v>
      </c>
      <c r="E17" s="198"/>
      <c r="F17" s="198">
        <v>30</v>
      </c>
      <c r="G17" s="198"/>
      <c r="H17" s="198">
        <v>30</v>
      </c>
      <c r="I17" s="198">
        <v>30</v>
      </c>
      <c r="J17" s="198"/>
      <c r="K17" s="198">
        <v>30</v>
      </c>
      <c r="L17" s="114" t="s">
        <v>79</v>
      </c>
      <c r="M17" s="115">
        <v>5</v>
      </c>
      <c r="N17" s="116" t="s">
        <v>272</v>
      </c>
      <c r="P17" s="84" t="s">
        <v>231</v>
      </c>
      <c r="Q17" s="85">
        <v>305</v>
      </c>
      <c r="R17" s="84" t="s">
        <v>28</v>
      </c>
      <c r="S17" s="77"/>
      <c r="T17" s="69" t="s">
        <v>34</v>
      </c>
      <c r="U17" s="71">
        <v>17.34</v>
      </c>
      <c r="V17" s="69" t="s">
        <v>4</v>
      </c>
      <c r="W17" s="77"/>
      <c r="X17" s="76" t="s">
        <v>275</v>
      </c>
      <c r="Y17" s="95">
        <f>Y15*Y16</f>
        <v>74.566574519016228</v>
      </c>
      <c r="Z17" s="76" t="s">
        <v>251</v>
      </c>
      <c r="AA17" s="77"/>
      <c r="AB17" s="69" t="s">
        <v>111</v>
      </c>
      <c r="AC17" s="88">
        <f>2*3.14159*AC14*AC11*0.000001*AC16</f>
        <v>2143.0583999999999</v>
      </c>
      <c r="AD17" s="69" t="s">
        <v>2</v>
      </c>
    </row>
    <row r="18" spans="2:31" ht="17.399999999999999">
      <c r="B18" s="114" t="s">
        <v>80</v>
      </c>
      <c r="C18" s="201">
        <f t="shared" ref="C18:D18" si="12">ROUNDUP(TAN(PI()*C17/180),3)</f>
        <v>0.57799999999999996</v>
      </c>
      <c r="D18" s="201">
        <f t="shared" si="12"/>
        <v>0.57799999999999996</v>
      </c>
      <c r="E18" s="201"/>
      <c r="F18" s="201">
        <f t="shared" ref="F18" si="13">ROUNDUP(TAN(PI()*F17/180),3)</f>
        <v>0.57799999999999996</v>
      </c>
      <c r="G18" s="201"/>
      <c r="H18" s="201">
        <f t="shared" ref="H18:I18" si="14">ROUNDUP(TAN(PI()*H17/180),3)</f>
        <v>0.57799999999999996</v>
      </c>
      <c r="I18" s="201">
        <f t="shared" si="14"/>
        <v>0.57799999999999996</v>
      </c>
      <c r="J18" s="201"/>
      <c r="K18" s="201">
        <f t="shared" ref="K18" si="15">ROUNDUP(TAN(PI()*K17/180),3)</f>
        <v>0.57799999999999996</v>
      </c>
      <c r="L18" s="114"/>
      <c r="M18" s="115"/>
      <c r="N18" s="114"/>
      <c r="P18" s="84" t="s">
        <v>227</v>
      </c>
      <c r="Q18" s="85">
        <v>10</v>
      </c>
      <c r="R18" s="84" t="s">
        <v>234</v>
      </c>
      <c r="S18" s="77"/>
      <c r="T18" s="69" t="s">
        <v>35</v>
      </c>
      <c r="U18" s="71">
        <v>1396</v>
      </c>
      <c r="V18" s="69" t="s">
        <v>2</v>
      </c>
      <c r="W18" s="77"/>
      <c r="X18" s="76" t="s">
        <v>256</v>
      </c>
      <c r="Y18" s="89">
        <v>1000</v>
      </c>
      <c r="Z18" s="68" t="s">
        <v>252</v>
      </c>
      <c r="AA18" s="77"/>
      <c r="AB18" s="77"/>
    </row>
    <row r="19" spans="2:31" ht="17.399999999999999">
      <c r="B19" s="114"/>
      <c r="C19" s="197"/>
      <c r="D19" s="197"/>
      <c r="E19" s="197"/>
      <c r="F19" s="197"/>
      <c r="G19" s="197"/>
      <c r="H19" s="197"/>
      <c r="I19" s="197"/>
      <c r="J19" s="197"/>
      <c r="K19" s="197"/>
      <c r="L19" s="114"/>
      <c r="M19" s="115"/>
      <c r="N19" s="114"/>
      <c r="P19" s="84" t="s">
        <v>229</v>
      </c>
      <c r="Q19" s="85">
        <v>1250</v>
      </c>
      <c r="R19" s="84" t="s">
        <v>0</v>
      </c>
      <c r="S19" s="77"/>
      <c r="T19" s="69" t="s">
        <v>36</v>
      </c>
      <c r="U19" s="88">
        <f>(U18)/(2*3.14*U17*1000*(U16/1000000))</f>
        <v>305.2301225223448</v>
      </c>
      <c r="V19" s="69" t="s">
        <v>0</v>
      </c>
      <c r="W19" s="77"/>
      <c r="X19" s="76" t="s">
        <v>491</v>
      </c>
      <c r="Y19" s="91">
        <f>Y18/Y17</f>
        <v>13.410834632680848</v>
      </c>
      <c r="Z19" s="68" t="s">
        <v>252</v>
      </c>
      <c r="AA19" s="77"/>
      <c r="AB19" s="265" t="s">
        <v>486</v>
      </c>
      <c r="AC19" s="265"/>
      <c r="AD19" s="265"/>
    </row>
    <row r="20" spans="2:31" ht="17.399999999999999">
      <c r="B20" s="114" t="s">
        <v>41</v>
      </c>
      <c r="C20" s="203">
        <v>1.61</v>
      </c>
      <c r="D20" s="203">
        <v>1.2749999999999999</v>
      </c>
      <c r="E20" s="203"/>
      <c r="F20" s="203">
        <v>1.41</v>
      </c>
      <c r="G20" s="251"/>
      <c r="H20" s="251">
        <v>1.61</v>
      </c>
      <c r="I20" s="251">
        <v>1.2749999999999999</v>
      </c>
      <c r="J20" s="251"/>
      <c r="K20" s="251">
        <v>1.41</v>
      </c>
      <c r="L20" s="114"/>
      <c r="M20" s="115">
        <v>6</v>
      </c>
      <c r="N20" s="116" t="s">
        <v>290</v>
      </c>
      <c r="P20" s="84" t="s">
        <v>230</v>
      </c>
      <c r="Q20" s="85">
        <v>2400</v>
      </c>
      <c r="R20" s="84" t="s">
        <v>2</v>
      </c>
      <c r="S20" s="77"/>
      <c r="T20" s="77"/>
      <c r="U20" s="77"/>
      <c r="V20" s="77"/>
      <c r="W20" s="77"/>
      <c r="X20" s="76" t="s">
        <v>257</v>
      </c>
      <c r="Y20" s="91">
        <f>Y8/100000000*(Y18^2)/(Y17/1000000)*Y13/1000</f>
        <v>1577.8851081592136</v>
      </c>
      <c r="Z20" s="68" t="s">
        <v>253</v>
      </c>
      <c r="AA20" s="77"/>
      <c r="AB20" s="137" t="s">
        <v>480</v>
      </c>
      <c r="AC20" s="114">
        <v>0.9133</v>
      </c>
      <c r="AD20" s="114" t="s">
        <v>479</v>
      </c>
    </row>
    <row r="21" spans="2:31" ht="17.399999999999999">
      <c r="B21" s="114" t="s">
        <v>81</v>
      </c>
      <c r="C21" s="204">
        <f t="shared" ref="C21:F21" si="16">C16*((C18/C20)+(((C18/C20)^2+4)^0.5))/2</f>
        <v>2.9986637040448492</v>
      </c>
      <c r="D21" s="204">
        <f t="shared" si="16"/>
        <v>3.5991772720104906</v>
      </c>
      <c r="E21" s="204"/>
      <c r="F21" s="204">
        <f t="shared" si="16"/>
        <v>4.2205528852092407</v>
      </c>
      <c r="G21" s="204"/>
      <c r="H21" s="204">
        <f t="shared" ref="H21:I21" si="17">H16*((H18/H20)+(((H18/H20)^2+4)^0.5))/2</f>
        <v>2.9986637040448492</v>
      </c>
      <c r="I21" s="204">
        <f t="shared" si="17"/>
        <v>3.5991772720104906</v>
      </c>
      <c r="J21" s="204"/>
      <c r="K21" s="204">
        <f t="shared" ref="K21" si="18">K16*((K18/K20)+(((K18/K20)^2+4)^0.5))/2</f>
        <v>4.2205528852092407</v>
      </c>
      <c r="L21" s="114" t="s">
        <v>4</v>
      </c>
      <c r="M21" s="115"/>
      <c r="N21" s="117" t="s">
        <v>270</v>
      </c>
      <c r="P21" s="84" t="s">
        <v>228</v>
      </c>
      <c r="Q21" s="85">
        <v>10</v>
      </c>
      <c r="R21" s="84" t="s">
        <v>234</v>
      </c>
      <c r="S21" s="77"/>
      <c r="T21" s="263" t="s">
        <v>249</v>
      </c>
      <c r="U21" s="263"/>
      <c r="V21" s="263"/>
      <c r="W21" s="77"/>
      <c r="X21" s="77"/>
      <c r="Y21" s="77"/>
      <c r="Z21" s="77"/>
      <c r="AA21" s="77"/>
      <c r="AB21" s="84" t="s">
        <v>481</v>
      </c>
      <c r="AC21" s="123">
        <v>4</v>
      </c>
      <c r="AD21" s="114" t="s">
        <v>328</v>
      </c>
    </row>
    <row r="22" spans="2:31" ht="17.399999999999999">
      <c r="B22" s="114" t="s">
        <v>311</v>
      </c>
      <c r="C22" s="201">
        <f>2*PI()*C16*C14</f>
        <v>138.69020397128136</v>
      </c>
      <c r="D22" s="201">
        <f>2*PI()*D16*D14</f>
        <v>121.01573758470175</v>
      </c>
      <c r="E22" s="201"/>
      <c r="F22" s="201">
        <f>2*PI()*F16*F14</f>
        <v>101.03291678074054</v>
      </c>
      <c r="G22" s="201"/>
      <c r="H22" s="201">
        <f>2*PI()*H16*H14</f>
        <v>138.69020397128136</v>
      </c>
      <c r="I22" s="201">
        <f>2*PI()*I16*I14</f>
        <v>121.01573758470175</v>
      </c>
      <c r="J22" s="201"/>
      <c r="K22" s="201">
        <f>2*PI()*K16*K14</f>
        <v>101.03291678074054</v>
      </c>
      <c r="L22" s="114" t="s">
        <v>83</v>
      </c>
      <c r="M22" s="115"/>
      <c r="N22" s="114"/>
      <c r="P22" s="84" t="s">
        <v>235</v>
      </c>
      <c r="Q22" s="85">
        <v>2</v>
      </c>
      <c r="R22" s="84" t="s">
        <v>67</v>
      </c>
      <c r="S22" s="77"/>
      <c r="T22" s="70" t="s">
        <v>152</v>
      </c>
      <c r="U22" s="71">
        <v>680</v>
      </c>
      <c r="V22" s="69" t="s">
        <v>153</v>
      </c>
      <c r="W22" s="77"/>
      <c r="X22" s="263" t="s">
        <v>489</v>
      </c>
      <c r="Y22" s="263"/>
      <c r="Z22" s="263"/>
      <c r="AA22" s="77"/>
      <c r="AB22" s="84" t="s">
        <v>482</v>
      </c>
      <c r="AC22" s="136">
        <f>AC20*AC21</f>
        <v>3.6532</v>
      </c>
      <c r="AD22" s="114" t="s">
        <v>479</v>
      </c>
    </row>
    <row r="23" spans="2:31" ht="17.399999999999999">
      <c r="B23" s="114" t="s">
        <v>82</v>
      </c>
      <c r="C23" s="201">
        <f>2*PI()*C21*C14</f>
        <v>165.80220559256034</v>
      </c>
      <c r="D23" s="201">
        <f>2*PI()*D21*D14</f>
        <v>151.51579494798784</v>
      </c>
      <c r="E23" s="201"/>
      <c r="F23" s="201">
        <f>2*PI()*F21*F14</f>
        <v>123.84146914335358</v>
      </c>
      <c r="G23" s="201"/>
      <c r="H23" s="201">
        <f>2*PI()*H21*H14</f>
        <v>165.80220559256034</v>
      </c>
      <c r="I23" s="201">
        <f>2*PI()*I21*I14</f>
        <v>151.51579494798784</v>
      </c>
      <c r="J23" s="201"/>
      <c r="K23" s="201">
        <f>2*PI()*K21*K14</f>
        <v>123.84146914335358</v>
      </c>
      <c r="L23" s="114" t="s">
        <v>83</v>
      </c>
      <c r="M23" s="115"/>
      <c r="N23" s="114"/>
      <c r="P23" s="84" t="s">
        <v>236</v>
      </c>
      <c r="Q23" s="85">
        <v>3</v>
      </c>
      <c r="R23" s="84" t="s">
        <v>66</v>
      </c>
      <c r="S23" s="77"/>
      <c r="T23" s="70" t="s">
        <v>154</v>
      </c>
      <c r="U23" s="71">
        <v>22</v>
      </c>
      <c r="V23" s="69" t="s">
        <v>155</v>
      </c>
      <c r="W23" s="77"/>
      <c r="X23" s="69" t="s">
        <v>212</v>
      </c>
      <c r="Y23" s="67" t="s">
        <v>213</v>
      </c>
      <c r="Z23" s="67"/>
      <c r="AA23" s="77"/>
      <c r="AB23" s="84"/>
      <c r="AC23" s="114"/>
      <c r="AD23" s="114"/>
    </row>
    <row r="24" spans="2:31" ht="17.399999999999999">
      <c r="B24" s="114" t="s">
        <v>84</v>
      </c>
      <c r="C24" s="201">
        <f t="shared" ref="C24:D24" si="19">1000000/(2*PI()*C21*C15)</f>
        <v>116.01156093703204</v>
      </c>
      <c r="D24" s="201">
        <f t="shared" si="19"/>
        <v>96.655327242923107</v>
      </c>
      <c r="E24" s="201"/>
      <c r="F24" s="201">
        <f t="shared" ref="F24" si="20">1000000/(2*PI()*F21*F15)</f>
        <v>82.425138718340818</v>
      </c>
      <c r="G24" s="201"/>
      <c r="H24" s="201">
        <f t="shared" ref="H24:I24" si="21">1000000/(2*PI()*H21*H15)</f>
        <v>116.01156093703204</v>
      </c>
      <c r="I24" s="201">
        <f t="shared" si="21"/>
        <v>96.655327242923107</v>
      </c>
      <c r="J24" s="201"/>
      <c r="K24" s="201">
        <f t="shared" ref="K24" si="22">1000000/(2*PI()*K21*K15)</f>
        <v>82.425138718340818</v>
      </c>
      <c r="L24" s="114" t="s">
        <v>83</v>
      </c>
      <c r="M24" s="115"/>
      <c r="N24" s="114"/>
      <c r="P24" s="84" t="s">
        <v>262</v>
      </c>
      <c r="Q24" s="93">
        <f>Q17*(Q21/Q18)*Q23/Q22</f>
        <v>457.5</v>
      </c>
      <c r="R24" s="84" t="s">
        <v>28</v>
      </c>
      <c r="S24" s="77"/>
      <c r="T24" s="70" t="s">
        <v>158</v>
      </c>
      <c r="U24" s="71">
        <v>66</v>
      </c>
      <c r="V24" s="69" t="s">
        <v>159</v>
      </c>
      <c r="W24" s="77"/>
      <c r="X24" s="76" t="s">
        <v>214</v>
      </c>
      <c r="Y24" s="78">
        <v>1.75</v>
      </c>
      <c r="Z24" s="76" t="s">
        <v>215</v>
      </c>
      <c r="AA24" s="77"/>
      <c r="AB24" s="137" t="s">
        <v>483</v>
      </c>
      <c r="AC24" s="114">
        <v>0.48</v>
      </c>
      <c r="AD24" s="114" t="s">
        <v>479</v>
      </c>
    </row>
    <row r="25" spans="2:31" ht="17.399999999999999">
      <c r="B25" s="114" t="s">
        <v>68</v>
      </c>
      <c r="C25" s="201">
        <f t="shared" ref="C25:D25" si="23">C22/C20</f>
        <v>86.142983833094007</v>
      </c>
      <c r="D25" s="201">
        <f t="shared" si="23"/>
        <v>94.914303988001379</v>
      </c>
      <c r="E25" s="201"/>
      <c r="F25" s="201">
        <f t="shared" ref="F25" si="24">F22/F20</f>
        <v>71.654550908326627</v>
      </c>
      <c r="G25" s="201"/>
      <c r="H25" s="201">
        <f t="shared" ref="H25:I25" si="25">H22/H20</f>
        <v>86.142983833094007</v>
      </c>
      <c r="I25" s="201">
        <f t="shared" si="25"/>
        <v>94.914303988001379</v>
      </c>
      <c r="J25" s="201"/>
      <c r="K25" s="201">
        <f t="shared" ref="K25" si="26">K22/K20</f>
        <v>71.654550908326627</v>
      </c>
      <c r="L25" s="114" t="s">
        <v>83</v>
      </c>
      <c r="M25" s="115"/>
      <c r="N25" s="114"/>
      <c r="P25" s="84" t="s">
        <v>232</v>
      </c>
      <c r="Q25" s="86">
        <f>Q19*Q22</f>
        <v>2500</v>
      </c>
      <c r="R25" s="84" t="s">
        <v>0</v>
      </c>
      <c r="S25" s="77"/>
      <c r="T25" s="70" t="s">
        <v>162</v>
      </c>
      <c r="U25" s="71">
        <v>2</v>
      </c>
      <c r="V25" s="69"/>
      <c r="W25" s="77"/>
      <c r="X25" s="76" t="s">
        <v>216</v>
      </c>
      <c r="Y25" s="79">
        <v>3.8999999999999998E-3</v>
      </c>
      <c r="Z25" s="76" t="s">
        <v>217</v>
      </c>
      <c r="AA25" s="77"/>
      <c r="AB25" s="84" t="s">
        <v>484</v>
      </c>
      <c r="AC25" s="123">
        <v>4</v>
      </c>
      <c r="AD25" s="114" t="s">
        <v>328</v>
      </c>
    </row>
    <row r="26" spans="2:31" ht="17.399999999999999">
      <c r="B26" s="114" t="s">
        <v>85</v>
      </c>
      <c r="C26" s="201">
        <f>(C25^2+(C23-C24)^2)^0.5</f>
        <v>99.497346491661702</v>
      </c>
      <c r="D26" s="201">
        <f>(D25^2+(D23-D24)^2)^0.5</f>
        <v>109.62844529749195</v>
      </c>
      <c r="E26" s="201"/>
      <c r="F26" s="201">
        <f>(F25^2+(F23-F24)^2)^0.5</f>
        <v>82.762836416762624</v>
      </c>
      <c r="G26" s="201"/>
      <c r="H26" s="201">
        <f>(H25^2+(H23-H24)^2)^0.5</f>
        <v>99.497346491661702</v>
      </c>
      <c r="I26" s="201">
        <f>(I25^2+(I23-I24)^2)^0.5</f>
        <v>109.62844529749195</v>
      </c>
      <c r="J26" s="201"/>
      <c r="K26" s="201">
        <f>(K25^2+(K23-K24)^2)^0.5</f>
        <v>82.762836416762624</v>
      </c>
      <c r="L26" s="114" t="s">
        <v>83</v>
      </c>
      <c r="M26" s="115"/>
      <c r="N26" s="114"/>
      <c r="P26" s="84" t="s">
        <v>233</v>
      </c>
      <c r="Q26" s="86">
        <f>Q20*(Q21/Q18)*Q23</f>
        <v>7200</v>
      </c>
      <c r="R26" s="84" t="s">
        <v>2</v>
      </c>
      <c r="S26" s="77"/>
      <c r="T26" s="70" t="s">
        <v>165</v>
      </c>
      <c r="U26" s="72">
        <f>U23*U24*U25*2</f>
        <v>5808</v>
      </c>
      <c r="V26" s="69" t="s">
        <v>155</v>
      </c>
      <c r="W26" s="77"/>
      <c r="X26" s="76" t="s">
        <v>218</v>
      </c>
      <c r="Y26" s="80">
        <v>45</v>
      </c>
      <c r="Z26" s="76" t="s">
        <v>48</v>
      </c>
      <c r="AA26" s="77"/>
      <c r="AB26" s="84" t="s">
        <v>485</v>
      </c>
      <c r="AC26" s="136">
        <f>AC24*AC25</f>
        <v>1.92</v>
      </c>
      <c r="AD26" s="114" t="s">
        <v>479</v>
      </c>
    </row>
    <row r="27" spans="2:31" ht="17.399999999999999">
      <c r="B27" s="114"/>
      <c r="C27" s="202"/>
      <c r="D27" s="202"/>
      <c r="E27" s="202"/>
      <c r="F27" s="202"/>
      <c r="G27" s="202"/>
      <c r="H27" s="202"/>
      <c r="I27" s="202"/>
      <c r="J27" s="202"/>
      <c r="K27" s="202"/>
      <c r="L27" s="114"/>
      <c r="M27" s="115"/>
      <c r="N27" s="114"/>
      <c r="P27" s="84" t="s">
        <v>47</v>
      </c>
      <c r="Q27" s="86">
        <f>Q25*Q26/1000</f>
        <v>18000</v>
      </c>
      <c r="R27" s="84" t="s">
        <v>47</v>
      </c>
      <c r="S27" s="77"/>
      <c r="T27" s="70" t="s">
        <v>168</v>
      </c>
      <c r="U27" s="71">
        <v>20</v>
      </c>
      <c r="V27" s="69" t="s">
        <v>169</v>
      </c>
      <c r="W27" s="77"/>
      <c r="X27" s="76" t="s">
        <v>219</v>
      </c>
      <c r="Y27" s="79">
        <f>Y24*(1+Y25*(Y26-20))</f>
        <v>1.9206249999999998</v>
      </c>
      <c r="Z27" s="76" t="s">
        <v>215</v>
      </c>
      <c r="AA27" s="77"/>
      <c r="AB27" s="84"/>
      <c r="AC27" s="114"/>
      <c r="AD27" s="114"/>
    </row>
    <row r="28" spans="2:31" ht="17.399999999999999">
      <c r="B28" s="114" t="s">
        <v>105</v>
      </c>
      <c r="C28" s="205">
        <f>(C3*1000000/C25)^0.5</f>
        <v>2962.4494081708272</v>
      </c>
      <c r="D28" s="205">
        <f>(D3*1000000/D25)^0.5</f>
        <v>2825.9779515001733</v>
      </c>
      <c r="E28" s="205"/>
      <c r="F28" s="205">
        <f>(F3*1000000/F25)^0.5</f>
        <v>3318.3073758969613</v>
      </c>
      <c r="G28" s="205"/>
      <c r="H28" s="205">
        <f>(H3*1000000/H25)^0.5</f>
        <v>3047.4391184931678</v>
      </c>
      <c r="I28" s="205">
        <f>(I3*1000000/I25)^0.5</f>
        <v>2903.2147375835893</v>
      </c>
      <c r="J28" s="205"/>
      <c r="K28" s="205">
        <f>(K3*1000000/K25)^0.5</f>
        <v>3341.3587304733833</v>
      </c>
      <c r="L28" s="114" t="s">
        <v>2</v>
      </c>
      <c r="M28" s="115"/>
      <c r="N28" s="117" t="s">
        <v>269</v>
      </c>
      <c r="P28" s="77"/>
      <c r="Q28" s="77"/>
      <c r="R28" s="77"/>
      <c r="S28" s="77"/>
      <c r="T28" s="70" t="s">
        <v>170</v>
      </c>
      <c r="U28" s="71">
        <v>300</v>
      </c>
      <c r="V28" s="69" t="s">
        <v>171</v>
      </c>
      <c r="W28" s="77"/>
      <c r="X28" s="76" t="s">
        <v>220</v>
      </c>
      <c r="Y28" s="81">
        <f>1/(Y27/100000000)</f>
        <v>52066384.64041654</v>
      </c>
      <c r="Z28" s="76" t="s">
        <v>221</v>
      </c>
      <c r="AA28" s="77"/>
      <c r="AB28" s="137" t="s">
        <v>483</v>
      </c>
      <c r="AC28" s="114">
        <v>0.4133</v>
      </c>
      <c r="AD28" s="114" t="s">
        <v>479</v>
      </c>
    </row>
    <row r="29" spans="2:31" ht="17.399999999999999">
      <c r="B29" s="114" t="s">
        <v>103</v>
      </c>
      <c r="C29" s="201">
        <f>C28*C25/1000</f>
        <v>255.19423147441847</v>
      </c>
      <c r="D29" s="201">
        <f>D28*D25/1000</f>
        <v>268.22573035207688</v>
      </c>
      <c r="E29" s="201"/>
      <c r="F29" s="201">
        <f>F28*F25/1000</f>
        <v>237.77182479568455</v>
      </c>
      <c r="G29" s="201"/>
      <c r="H29" s="201">
        <f>H28*H25/1000</f>
        <v>262.51549871669522</v>
      </c>
      <c r="I29" s="201">
        <f>I28*I25/1000</f>
        <v>275.55660614545445</v>
      </c>
      <c r="J29" s="201"/>
      <c r="K29" s="201">
        <f>K28*K25/1000</f>
        <v>239.42355925568668</v>
      </c>
      <c r="L29" s="114" t="s">
        <v>0</v>
      </c>
      <c r="M29" s="115"/>
      <c r="N29" s="114"/>
      <c r="P29" s="265" t="s">
        <v>237</v>
      </c>
      <c r="Q29" s="265"/>
      <c r="R29" s="265"/>
      <c r="S29" s="77"/>
      <c r="T29" s="70" t="s">
        <v>172</v>
      </c>
      <c r="U29" s="71">
        <v>1</v>
      </c>
      <c r="V29" s="69" t="s">
        <v>173</v>
      </c>
      <c r="W29" s="77"/>
      <c r="X29" s="76" t="s">
        <v>222</v>
      </c>
      <c r="Y29" s="67">
        <v>1</v>
      </c>
      <c r="Z29" s="76" t="s">
        <v>223</v>
      </c>
      <c r="AA29" s="77"/>
      <c r="AB29" s="84" t="s">
        <v>484</v>
      </c>
      <c r="AC29" s="123">
        <v>4</v>
      </c>
      <c r="AD29" s="114" t="s">
        <v>328</v>
      </c>
    </row>
    <row r="30" spans="2:31" ht="17.399999999999999">
      <c r="B30" s="114" t="s">
        <v>307</v>
      </c>
      <c r="C30" s="205">
        <f>C28/(2*3.14159*C21*1000*C15/1000000)</f>
        <v>343.67867033183836</v>
      </c>
      <c r="D30" s="205">
        <f>D28/(2*3.14159*D21*1000*D15/1000000)</f>
        <v>273.14605440013673</v>
      </c>
      <c r="E30" s="205"/>
      <c r="F30" s="205">
        <f>F28/(2*3.14159*F21*1000*F15/1000000)</f>
        <v>273.51217679425298</v>
      </c>
      <c r="G30" s="205"/>
      <c r="H30" s="205">
        <f>H28/(2*3.14159*H21*1000*H15/1000000)</f>
        <v>353.53846761813378</v>
      </c>
      <c r="I30" s="205">
        <f>I28/(2*3.14159*I21*1000*I15/1000000)</f>
        <v>280.61140753993504</v>
      </c>
      <c r="J30" s="205"/>
      <c r="K30" s="205">
        <f>K28/(2*3.14159*K21*1000*K15/1000000)</f>
        <v>275.4121894977323</v>
      </c>
      <c r="L30" s="114" t="s">
        <v>0</v>
      </c>
      <c r="M30" s="115"/>
      <c r="N30" s="117" t="s">
        <v>71</v>
      </c>
      <c r="P30" s="70" t="s">
        <v>37</v>
      </c>
      <c r="Q30" s="71">
        <v>4200</v>
      </c>
      <c r="R30" s="70" t="s">
        <v>25</v>
      </c>
      <c r="S30" s="77"/>
      <c r="T30" s="70" t="s">
        <v>174</v>
      </c>
      <c r="U30" s="72">
        <f>U28*U29</f>
        <v>300</v>
      </c>
      <c r="V30" s="69" t="s">
        <v>171</v>
      </c>
      <c r="W30" s="77"/>
      <c r="X30" s="76" t="s">
        <v>37</v>
      </c>
      <c r="Y30" s="82">
        <v>30000</v>
      </c>
      <c r="Z30" s="76" t="s">
        <v>224</v>
      </c>
      <c r="AA30" s="77"/>
      <c r="AB30" s="84" t="s">
        <v>485</v>
      </c>
      <c r="AC30" s="136">
        <f>AC28*AC29</f>
        <v>1.6532</v>
      </c>
      <c r="AD30" s="114" t="s">
        <v>479</v>
      </c>
    </row>
    <row r="31" spans="2:31" ht="17.399999999999999">
      <c r="B31" s="114" t="s">
        <v>104</v>
      </c>
      <c r="C31" s="201">
        <f t="shared" ref="C31:D31" si="27">C28*C26/1000</f>
        <v>294.75585522879095</v>
      </c>
      <c r="D31" s="201">
        <f t="shared" si="27"/>
        <v>309.8075692679551</v>
      </c>
      <c r="E31" s="201"/>
      <c r="F31" s="201">
        <f t="shared" ref="F31" si="28">F28*F26/1000</f>
        <v>274.63253053189703</v>
      </c>
      <c r="G31" s="201"/>
      <c r="H31" s="201">
        <f t="shared" ref="H31:I31" si="29">H28*H26/1000</f>
        <v>303.21210588495882</v>
      </c>
      <c r="I31" s="201">
        <f t="shared" si="29"/>
        <v>318.27491804605495</v>
      </c>
      <c r="J31" s="201"/>
      <c r="K31" s="201">
        <f t="shared" ref="K31" si="30">K28*K26/1000</f>
        <v>276.54032601989024</v>
      </c>
      <c r="L31" s="114" t="s">
        <v>0</v>
      </c>
      <c r="M31" s="115"/>
      <c r="N31" s="114"/>
      <c r="P31" s="70" t="s">
        <v>52</v>
      </c>
      <c r="Q31" s="71">
        <v>457.5</v>
      </c>
      <c r="R31" s="70" t="s">
        <v>28</v>
      </c>
      <c r="S31" s="77"/>
      <c r="T31" s="69"/>
      <c r="U31" s="69"/>
      <c r="V31" s="69"/>
      <c r="W31" s="77"/>
      <c r="X31" s="76" t="s">
        <v>254</v>
      </c>
      <c r="Y31" s="95">
        <f>503.3*SQRT((Y27/100000000)/(Y29*Y30))*1000</f>
        <v>0.4027055285218758</v>
      </c>
      <c r="Z31" s="76" t="s">
        <v>225</v>
      </c>
      <c r="AA31" s="77"/>
      <c r="AB31" s="77"/>
    </row>
    <row r="32" spans="2:31" ht="17.399999999999999">
      <c r="B32" s="114" t="s">
        <v>102</v>
      </c>
      <c r="C32" s="201">
        <f>ROUNDUP(COS(PI()*C17/180),3)</f>
        <v>0.86699999999999999</v>
      </c>
      <c r="D32" s="201">
        <f>ROUNDUP(COS(PI()*D17/180),3)</f>
        <v>0.86699999999999999</v>
      </c>
      <c r="E32" s="201"/>
      <c r="F32" s="201">
        <f>ROUNDUP(COS(PI()*F17/180),3)</f>
        <v>0.86699999999999999</v>
      </c>
      <c r="G32" s="201"/>
      <c r="H32" s="201">
        <f>ROUNDUP(COS(PI()*H17/180),3)</f>
        <v>0.86699999999999999</v>
      </c>
      <c r="I32" s="201">
        <f>ROUNDUP(COS(PI()*I17/180),3)</f>
        <v>0.86699999999999999</v>
      </c>
      <c r="J32" s="201"/>
      <c r="K32" s="201">
        <f>ROUNDUP(COS(PI()*K17/180),3)</f>
        <v>0.86699999999999999</v>
      </c>
      <c r="L32" s="114"/>
      <c r="M32" s="115"/>
      <c r="N32" s="114"/>
      <c r="P32" s="70" t="s">
        <v>53</v>
      </c>
      <c r="Q32" s="71">
        <v>3310</v>
      </c>
      <c r="R32" s="70" t="s">
        <v>2</v>
      </c>
      <c r="S32" s="77"/>
      <c r="T32" s="73" t="s">
        <v>175</v>
      </c>
      <c r="U32" s="266" t="s">
        <v>176</v>
      </c>
      <c r="V32" s="266"/>
      <c r="W32" s="77"/>
      <c r="X32" s="76" t="s">
        <v>255</v>
      </c>
      <c r="Y32" s="89">
        <v>6126</v>
      </c>
      <c r="Z32" s="76" t="s">
        <v>225</v>
      </c>
      <c r="AA32" s="77"/>
      <c r="AB32" s="263" t="s">
        <v>493</v>
      </c>
      <c r="AC32" s="263"/>
      <c r="AD32" s="263"/>
      <c r="AE32" s="77"/>
    </row>
    <row r="33" spans="2:31" ht="17.399999999999999">
      <c r="B33" s="114" t="s">
        <v>101</v>
      </c>
      <c r="C33" s="223">
        <f>C30/(C25*C28/1000)</f>
        <v>1.3467336951395388</v>
      </c>
      <c r="D33" s="224">
        <f>D30/(D25*D28/1000)</f>
        <v>1.0183439673800174</v>
      </c>
      <c r="E33" s="224"/>
      <c r="F33" s="224">
        <f>F30/(F25*F28/1000)</f>
        <v>1.1503136548212969</v>
      </c>
      <c r="G33" s="224"/>
      <c r="H33" s="223">
        <f>H30/(H25*H28/1000)</f>
        <v>1.3467336951395388</v>
      </c>
      <c r="I33" s="224">
        <f>I30/(I25*I28/1000)</f>
        <v>1.0183439673800176</v>
      </c>
      <c r="J33" s="224"/>
      <c r="K33" s="224">
        <f>K30/(K25*K28/1000)</f>
        <v>1.1503136548212969</v>
      </c>
      <c r="L33" s="114"/>
      <c r="M33" s="115"/>
      <c r="N33" s="117" t="s">
        <v>267</v>
      </c>
      <c r="P33" s="70" t="s">
        <v>54</v>
      </c>
      <c r="Q33" s="71">
        <v>789</v>
      </c>
      <c r="R33" s="70" t="s">
        <v>1</v>
      </c>
      <c r="S33" s="77"/>
      <c r="T33" s="70" t="s">
        <v>177</v>
      </c>
      <c r="U33" s="71">
        <v>30</v>
      </c>
      <c r="V33" s="69" t="s">
        <v>178</v>
      </c>
      <c r="W33" s="77"/>
      <c r="X33" s="76" t="s">
        <v>279</v>
      </c>
      <c r="Y33" s="89">
        <v>2</v>
      </c>
      <c r="Z33" s="76" t="s">
        <v>225</v>
      </c>
      <c r="AA33" s="77"/>
      <c r="AB33" s="69" t="s">
        <v>494</v>
      </c>
      <c r="AC33" s="71">
        <v>380</v>
      </c>
      <c r="AD33" s="69" t="s">
        <v>0</v>
      </c>
    </row>
    <row r="34" spans="2:31" ht="17.399999999999999">
      <c r="B34" s="114" t="s">
        <v>308</v>
      </c>
      <c r="C34" s="205">
        <f>C30+C28*C18*C25/1000</f>
        <v>491.18093612405221</v>
      </c>
      <c r="D34" s="205">
        <f>D30+D28*D18*D25/1000</f>
        <v>428.18052654363714</v>
      </c>
      <c r="E34" s="205"/>
      <c r="F34" s="205">
        <f>F30+F28*F18*F25/1000</f>
        <v>410.94429152615862</v>
      </c>
      <c r="G34" s="205"/>
      <c r="H34" s="205">
        <f>H30+H28*H18*H25/1000</f>
        <v>505.27242587638364</v>
      </c>
      <c r="I34" s="205">
        <f>I30+I28*I18*I25/1000</f>
        <v>439.88312589200768</v>
      </c>
      <c r="J34" s="205"/>
      <c r="K34" s="205">
        <f>K30+K28*K18*K25/1000</f>
        <v>413.79900674751923</v>
      </c>
      <c r="L34" s="114" t="s">
        <v>0</v>
      </c>
      <c r="M34" s="115"/>
      <c r="N34" s="117" t="s">
        <v>266</v>
      </c>
      <c r="P34" s="70" t="s">
        <v>286</v>
      </c>
      <c r="Q34" s="71">
        <v>1</v>
      </c>
      <c r="R34" s="70" t="s">
        <v>42</v>
      </c>
      <c r="S34" s="77"/>
      <c r="T34" s="70" t="s">
        <v>179</v>
      </c>
      <c r="U34" s="74">
        <f>U28*SQRT(2)*SIN(U33*PI()/180)</f>
        <v>212.13203435596424</v>
      </c>
      <c r="V34" s="69" t="s">
        <v>180</v>
      </c>
      <c r="W34" s="77"/>
      <c r="X34" s="76" t="s">
        <v>278</v>
      </c>
      <c r="Y34" s="90">
        <f>MIN(Y31,Y33)</f>
        <v>0.4027055285218758</v>
      </c>
      <c r="Z34" s="76" t="s">
        <v>225</v>
      </c>
      <c r="AA34" s="77"/>
      <c r="AB34" s="69" t="s">
        <v>64</v>
      </c>
      <c r="AC34" s="71">
        <v>75</v>
      </c>
      <c r="AD34" s="69" t="s">
        <v>2</v>
      </c>
    </row>
    <row r="35" spans="2:31" ht="17.399999999999999">
      <c r="B35" s="114"/>
      <c r="C35" s="202"/>
      <c r="D35" s="202"/>
      <c r="E35" s="202"/>
      <c r="F35" s="202"/>
      <c r="G35" s="202"/>
      <c r="H35" s="202"/>
      <c r="I35" s="202"/>
      <c r="J35" s="202"/>
      <c r="K35" s="202"/>
      <c r="L35" s="114"/>
      <c r="M35" s="115"/>
      <c r="N35" s="114"/>
      <c r="P35" s="70" t="s">
        <v>55</v>
      </c>
      <c r="Q35" s="72">
        <f>(Q32*Q34)/(2*3.1415*Q30*(Q31/1000000))</f>
        <v>274.17038712154596</v>
      </c>
      <c r="R35" s="70" t="s">
        <v>56</v>
      </c>
      <c r="S35" s="77"/>
      <c r="T35" s="70" t="s">
        <v>181</v>
      </c>
      <c r="U35" s="87">
        <f>U22*U26/U34</f>
        <v>18617.838705929324</v>
      </c>
      <c r="V35" s="69" t="s">
        <v>182</v>
      </c>
      <c r="W35" s="77"/>
      <c r="X35" s="76" t="s">
        <v>258</v>
      </c>
      <c r="Y35" s="89">
        <v>7.9</v>
      </c>
      <c r="Z35" s="76" t="s">
        <v>225</v>
      </c>
      <c r="AA35" s="77"/>
      <c r="AB35" s="69" t="s">
        <v>497</v>
      </c>
      <c r="AC35" s="88">
        <f>AC33</f>
        <v>380</v>
      </c>
      <c r="AD35" s="69" t="s">
        <v>495</v>
      </c>
    </row>
    <row r="36" spans="2:31" ht="17.399999999999999">
      <c r="B36" s="114" t="s">
        <v>86</v>
      </c>
      <c r="C36" s="201">
        <v>1</v>
      </c>
      <c r="D36" s="201">
        <v>1</v>
      </c>
      <c r="E36" s="201"/>
      <c r="F36" s="201">
        <v>1</v>
      </c>
      <c r="G36" s="201"/>
      <c r="H36" s="201">
        <v>1</v>
      </c>
      <c r="I36" s="201">
        <v>1</v>
      </c>
      <c r="J36" s="201"/>
      <c r="K36" s="201">
        <v>1</v>
      </c>
      <c r="L36" s="114"/>
      <c r="M36" s="115"/>
      <c r="N36" s="114" t="s">
        <v>87</v>
      </c>
      <c r="P36" s="70" t="s">
        <v>57</v>
      </c>
      <c r="Q36" s="72">
        <f>Q32*Q34</f>
        <v>3310</v>
      </c>
      <c r="R36" s="70"/>
      <c r="S36" s="77"/>
      <c r="T36" s="69"/>
      <c r="U36" s="69"/>
      <c r="V36" s="69"/>
      <c r="W36" s="77"/>
      <c r="X36" s="76" t="s">
        <v>277</v>
      </c>
      <c r="Y36" s="95">
        <f>(PI()*(Y35/2)^2)-(PI()*(Y35/2-Y34)^2)</f>
        <v>9.4851026112254075</v>
      </c>
      <c r="Z36" s="76" t="s">
        <v>251</v>
      </c>
      <c r="AA36" s="77"/>
      <c r="AB36" s="69" t="s">
        <v>498</v>
      </c>
      <c r="AC36" s="88">
        <f>AC34*1.25</f>
        <v>93.75</v>
      </c>
      <c r="AD36" s="69" t="s">
        <v>496</v>
      </c>
    </row>
    <row r="37" spans="2:31" ht="17.399999999999999">
      <c r="B37" s="114" t="s">
        <v>309</v>
      </c>
      <c r="C37" s="201">
        <f>C10/C36*4/PI()/2^0.5</f>
        <v>521.01305216011724</v>
      </c>
      <c r="D37" s="201">
        <f>D10/D36*4/PI()/2^0.5</f>
        <v>521.01305216011724</v>
      </c>
      <c r="E37" s="201"/>
      <c r="F37" s="201">
        <f>F10/F36*4/PI()/2^0.5</f>
        <v>521.01305216011724</v>
      </c>
      <c r="G37" s="201"/>
      <c r="H37" s="201">
        <f>H10/H36*4/PI()/2^0.5</f>
        <v>521.01305216011724</v>
      </c>
      <c r="I37" s="201">
        <f>I10/I36*4/PI()/2^0.5</f>
        <v>521.01305216011724</v>
      </c>
      <c r="J37" s="201"/>
      <c r="K37" s="201">
        <f>K10/K36*4/PI()/2^0.5</f>
        <v>521.01305216011724</v>
      </c>
      <c r="L37" s="114" t="s">
        <v>0</v>
      </c>
      <c r="M37" s="115"/>
      <c r="N37" s="114" t="s">
        <v>246</v>
      </c>
      <c r="P37" s="70" t="s">
        <v>502</v>
      </c>
      <c r="Q37" s="72">
        <f>Q35*Q36/1000</f>
        <v>907.50398137231707</v>
      </c>
      <c r="R37" s="70" t="s">
        <v>502</v>
      </c>
      <c r="S37" s="77"/>
      <c r="T37" s="73" t="s">
        <v>183</v>
      </c>
      <c r="U37" s="70"/>
      <c r="V37" s="70"/>
      <c r="W37" s="77"/>
      <c r="X37" s="76" t="s">
        <v>256</v>
      </c>
      <c r="Y37" s="89">
        <v>200</v>
      </c>
      <c r="Z37" s="68" t="s">
        <v>252</v>
      </c>
      <c r="AA37" s="77"/>
      <c r="AB37" s="77"/>
    </row>
    <row r="38" spans="2:31" ht="17.399999999999999">
      <c r="B38" s="114" t="s">
        <v>88</v>
      </c>
      <c r="C38" s="198">
        <v>1</v>
      </c>
      <c r="D38" s="198">
        <v>1</v>
      </c>
      <c r="E38" s="198"/>
      <c r="F38" s="198">
        <v>1</v>
      </c>
      <c r="G38" s="198"/>
      <c r="H38" s="198">
        <v>1</v>
      </c>
      <c r="I38" s="198">
        <v>1</v>
      </c>
      <c r="J38" s="198"/>
      <c r="K38" s="198">
        <v>1</v>
      </c>
      <c r="L38" s="114" t="s">
        <v>42</v>
      </c>
      <c r="M38" s="115">
        <v>7</v>
      </c>
      <c r="N38" s="116" t="s">
        <v>274</v>
      </c>
      <c r="P38" s="70" t="s">
        <v>41</v>
      </c>
      <c r="Q38" s="88">
        <f>Q37/Q33</f>
        <v>1.1501951601677023</v>
      </c>
      <c r="R38" s="70"/>
      <c r="S38" s="77"/>
      <c r="T38" s="70" t="s">
        <v>184</v>
      </c>
      <c r="U38" s="74">
        <f>U22*U26/U27/1000</f>
        <v>197.47200000000001</v>
      </c>
      <c r="V38" s="69" t="s">
        <v>180</v>
      </c>
      <c r="W38" s="77"/>
      <c r="X38" s="76" t="s">
        <v>491</v>
      </c>
      <c r="Y38" s="91">
        <f>Y37/Y36</f>
        <v>21.085697034347785</v>
      </c>
      <c r="Z38" s="68" t="s">
        <v>252</v>
      </c>
      <c r="AA38" s="77"/>
      <c r="AB38" s="263" t="s">
        <v>500</v>
      </c>
      <c r="AC38" s="263"/>
      <c r="AD38" s="263"/>
      <c r="AE38" s="233" t="s">
        <v>662</v>
      </c>
    </row>
    <row r="39" spans="2:31" ht="17.399999999999999">
      <c r="B39" s="114" t="s">
        <v>89</v>
      </c>
      <c r="C39" s="201">
        <f t="shared" ref="C39:D39" si="31">ROUND(C37/C38,1)</f>
        <v>521</v>
      </c>
      <c r="D39" s="201">
        <f t="shared" si="31"/>
        <v>521</v>
      </c>
      <c r="E39" s="201"/>
      <c r="F39" s="201">
        <f t="shared" ref="F39" si="32">ROUND(F37/F38,1)</f>
        <v>521</v>
      </c>
      <c r="G39" s="201"/>
      <c r="H39" s="201">
        <f t="shared" ref="H39:I39" si="33">ROUND(H37/H38,1)</f>
        <v>521</v>
      </c>
      <c r="I39" s="201">
        <f t="shared" si="33"/>
        <v>521</v>
      </c>
      <c r="J39" s="201"/>
      <c r="K39" s="201">
        <f t="shared" ref="K39" si="34">ROUND(K37/K38,1)</f>
        <v>521</v>
      </c>
      <c r="L39" s="114" t="s">
        <v>0</v>
      </c>
      <c r="M39" s="115"/>
      <c r="N39" s="114" t="s">
        <v>310</v>
      </c>
      <c r="P39" s="77"/>
      <c r="Q39" s="77"/>
      <c r="R39" s="77"/>
      <c r="S39" s="77"/>
      <c r="T39" s="70" t="s">
        <v>185</v>
      </c>
      <c r="U39" s="74">
        <f>U38/SIN(U33*PI()/180)/SQRT(2)</f>
        <v>279.26758058893984</v>
      </c>
      <c r="V39" s="69" t="s">
        <v>171</v>
      </c>
      <c r="W39" s="77"/>
      <c r="X39" s="76" t="s">
        <v>257</v>
      </c>
      <c r="Y39" s="91">
        <f>Y27/100000000*(Y37^2)/(Y36/1000000)*Y32/1000</f>
        <v>496.1780270495122</v>
      </c>
      <c r="Z39" s="68" t="s">
        <v>253</v>
      </c>
      <c r="AA39" s="77"/>
      <c r="AB39" s="69" t="s">
        <v>27</v>
      </c>
      <c r="AC39" s="71">
        <v>7000</v>
      </c>
      <c r="AD39" s="69" t="s">
        <v>28</v>
      </c>
    </row>
    <row r="40" spans="2:31" ht="17.399999999999999">
      <c r="B40" s="114"/>
      <c r="C40" s="202"/>
      <c r="D40" s="202"/>
      <c r="E40" s="202"/>
      <c r="F40" s="202"/>
      <c r="G40" s="202"/>
      <c r="H40" s="202"/>
      <c r="I40" s="202"/>
      <c r="J40" s="202"/>
      <c r="K40" s="202"/>
      <c r="L40" s="114"/>
      <c r="M40" s="115"/>
      <c r="N40" s="114"/>
      <c r="P40" s="265" t="s">
        <v>238</v>
      </c>
      <c r="Q40" s="265"/>
      <c r="R40" s="265"/>
      <c r="S40" s="77"/>
      <c r="T40" s="70" t="s">
        <v>174</v>
      </c>
      <c r="U40" s="87">
        <f>U39*U29</f>
        <v>279.26758058893984</v>
      </c>
      <c r="V40" s="69" t="s">
        <v>171</v>
      </c>
      <c r="W40" s="77"/>
      <c r="X40" s="77"/>
      <c r="Y40" s="77"/>
      <c r="Z40" s="77"/>
      <c r="AA40" s="77"/>
      <c r="AB40" s="69" t="s">
        <v>29</v>
      </c>
      <c r="AC40" s="71">
        <v>490</v>
      </c>
      <c r="AD40" s="69" t="s">
        <v>15</v>
      </c>
    </row>
    <row r="41" spans="2:31" ht="17.399999999999999">
      <c r="B41" s="114" t="s">
        <v>72</v>
      </c>
      <c r="C41" s="206">
        <f>C31/C39*100</f>
        <v>56.575020197464674</v>
      </c>
      <c r="D41" s="206">
        <f>D31/D39*100</f>
        <v>59.464024811507699</v>
      </c>
      <c r="E41" s="206"/>
      <c r="F41" s="206">
        <f>F31/F39*100</f>
        <v>52.712577837216323</v>
      </c>
      <c r="G41" s="206"/>
      <c r="H41" s="206">
        <f>H31/H39*100</f>
        <v>58.198100937612054</v>
      </c>
      <c r="I41" s="206">
        <f>I31/I39*100</f>
        <v>61.089235709415533</v>
      </c>
      <c r="J41" s="206"/>
      <c r="K41" s="206">
        <f>K31/K39*100</f>
        <v>53.078757393453024</v>
      </c>
      <c r="L41" s="114" t="s">
        <v>7</v>
      </c>
      <c r="M41" s="115"/>
      <c r="N41" s="118" t="s">
        <v>273</v>
      </c>
      <c r="P41" s="84" t="s">
        <v>18</v>
      </c>
      <c r="Q41" s="85">
        <v>40</v>
      </c>
      <c r="R41" s="84" t="s">
        <v>263</v>
      </c>
      <c r="S41" s="77"/>
      <c r="T41" s="70" t="s">
        <v>186</v>
      </c>
      <c r="U41" s="74">
        <f>U40/U30*100</f>
        <v>93.089193529646607</v>
      </c>
      <c r="V41" s="75" t="s">
        <v>187</v>
      </c>
      <c r="W41" s="77"/>
      <c r="X41" s="263" t="s">
        <v>490</v>
      </c>
      <c r="Y41" s="263"/>
      <c r="Z41" s="263"/>
      <c r="AA41" s="77"/>
      <c r="AB41" s="69" t="s">
        <v>30</v>
      </c>
      <c r="AC41" s="88">
        <f>1/(2*3.14*SQRT((AC39/1000000)*(AC40/1000000)))</f>
        <v>85.979179483445677</v>
      </c>
      <c r="AD41" s="69" t="s">
        <v>31</v>
      </c>
    </row>
    <row r="42" spans="2:31" ht="17.399999999999999">
      <c r="B42" s="114"/>
      <c r="C42" s="202"/>
      <c r="D42" s="202"/>
      <c r="E42" s="202"/>
      <c r="F42" s="202"/>
      <c r="G42" s="202"/>
      <c r="H42" s="202"/>
      <c r="I42" s="202"/>
      <c r="J42" s="202"/>
      <c r="K42" s="202"/>
      <c r="L42" s="114"/>
      <c r="M42" s="115"/>
      <c r="N42" s="114"/>
      <c r="P42" s="84" t="s">
        <v>100</v>
      </c>
      <c r="Q42" s="85">
        <v>127</v>
      </c>
      <c r="R42" s="84" t="s">
        <v>2</v>
      </c>
      <c r="S42" s="77"/>
      <c r="T42" s="70" t="s">
        <v>188</v>
      </c>
      <c r="U42" s="74">
        <f>U41*U41/100</f>
        <v>86.655979520000002</v>
      </c>
      <c r="V42" s="75" t="s">
        <v>187</v>
      </c>
      <c r="W42" s="77"/>
      <c r="X42" s="69" t="s">
        <v>212</v>
      </c>
      <c r="Y42" s="67" t="s">
        <v>213</v>
      </c>
      <c r="Z42" s="67"/>
      <c r="AA42" s="77"/>
      <c r="AB42" s="77"/>
    </row>
    <row r="43" spans="2:31" ht="17.399999999999999">
      <c r="B43" s="114" t="s">
        <v>90</v>
      </c>
      <c r="C43" s="205">
        <f>C28/C38</f>
        <v>2962.4494081708272</v>
      </c>
      <c r="D43" s="205">
        <f>D28/D38</f>
        <v>2825.9779515001733</v>
      </c>
      <c r="E43" s="205"/>
      <c r="F43" s="205">
        <f>F28/F38</f>
        <v>3318.3073758969613</v>
      </c>
      <c r="G43" s="205"/>
      <c r="H43" s="205">
        <f>H28/H38</f>
        <v>3047.4391184931678</v>
      </c>
      <c r="I43" s="205">
        <f>I28/I38</f>
        <v>2903.2147375835893</v>
      </c>
      <c r="J43" s="205"/>
      <c r="K43" s="205">
        <f>K28/K38</f>
        <v>3341.3587304733833</v>
      </c>
      <c r="L43" s="114" t="s">
        <v>2</v>
      </c>
      <c r="M43" s="115"/>
      <c r="N43" s="117" t="s">
        <v>268</v>
      </c>
      <c r="P43" s="84" t="s">
        <v>44</v>
      </c>
      <c r="Q43" s="85">
        <v>401</v>
      </c>
      <c r="R43" s="84" t="s">
        <v>0</v>
      </c>
      <c r="S43" s="77"/>
      <c r="T43" s="77"/>
      <c r="U43" s="77"/>
      <c r="V43" s="77"/>
      <c r="W43" s="77"/>
      <c r="X43" s="76" t="s">
        <v>214</v>
      </c>
      <c r="Y43" s="78">
        <v>1.75</v>
      </c>
      <c r="Z43" s="76" t="s">
        <v>215</v>
      </c>
      <c r="AA43" s="77"/>
      <c r="AB43" s="77"/>
    </row>
    <row r="44" spans="2:31" ht="17.399999999999999">
      <c r="B44" s="114" t="s">
        <v>91</v>
      </c>
      <c r="C44" s="201">
        <f t="shared" ref="C44:D44" si="35">ROUND(C43*2^0.5*2/PI(),0)</f>
        <v>2667</v>
      </c>
      <c r="D44" s="201">
        <f t="shared" si="35"/>
        <v>2544</v>
      </c>
      <c r="E44" s="201"/>
      <c r="F44" s="201">
        <f t="shared" ref="F44" si="36">ROUND(F43*2^0.5*2/PI(),0)</f>
        <v>2988</v>
      </c>
      <c r="G44" s="201"/>
      <c r="H44" s="201">
        <f t="shared" ref="H44:I44" si="37">ROUND(H43*2^0.5*2/PI(),0)</f>
        <v>2744</v>
      </c>
      <c r="I44" s="201">
        <f t="shared" si="37"/>
        <v>2614</v>
      </c>
      <c r="J44" s="201"/>
      <c r="K44" s="201">
        <f t="shared" ref="K44" si="38">ROUND(K43*2^0.5*2/PI(),0)</f>
        <v>3008</v>
      </c>
      <c r="L44" s="114" t="s">
        <v>2</v>
      </c>
      <c r="M44" s="115"/>
      <c r="N44" s="114"/>
      <c r="P44" s="84" t="s">
        <v>466</v>
      </c>
      <c r="Q44" s="85">
        <v>1</v>
      </c>
      <c r="R44" s="84"/>
      <c r="S44" s="77"/>
      <c r="T44" s="263" t="s">
        <v>250</v>
      </c>
      <c r="U44" s="263"/>
      <c r="V44" s="263"/>
      <c r="W44" s="77"/>
      <c r="X44" s="76" t="s">
        <v>216</v>
      </c>
      <c r="Y44" s="79">
        <v>3.8999999999999998E-3</v>
      </c>
      <c r="Z44" s="76" t="s">
        <v>217</v>
      </c>
      <c r="AA44" s="77"/>
      <c r="AB44" s="77"/>
    </row>
    <row r="45" spans="2:31" ht="17.399999999999999">
      <c r="B45" s="114" t="s">
        <v>92</v>
      </c>
      <c r="C45" s="201">
        <f t="shared" ref="C45:D45" si="39">C44/C36</f>
        <v>2667</v>
      </c>
      <c r="D45" s="201">
        <f t="shared" si="39"/>
        <v>2544</v>
      </c>
      <c r="E45" s="201"/>
      <c r="F45" s="201">
        <f t="shared" ref="F45" si="40">F44/F36</f>
        <v>2988</v>
      </c>
      <c r="G45" s="201"/>
      <c r="H45" s="201">
        <f t="shared" ref="H45:I45" si="41">H44/H36</f>
        <v>2744</v>
      </c>
      <c r="I45" s="201">
        <f t="shared" si="41"/>
        <v>2614</v>
      </c>
      <c r="J45" s="201"/>
      <c r="K45" s="201">
        <f t="shared" ref="K45" si="42">K44/K36</f>
        <v>3008</v>
      </c>
      <c r="L45" s="114" t="s">
        <v>2</v>
      </c>
      <c r="M45" s="115"/>
      <c r="N45" s="114"/>
      <c r="P45" s="84" t="s">
        <v>56</v>
      </c>
      <c r="Q45" s="86">
        <f>Q43*0.9/Q44</f>
        <v>360.90000000000003</v>
      </c>
      <c r="R45" s="84" t="s">
        <v>0</v>
      </c>
      <c r="S45" s="77"/>
      <c r="T45" s="70" t="s">
        <v>156</v>
      </c>
      <c r="U45" s="71">
        <v>5808</v>
      </c>
      <c r="V45" s="70" t="s">
        <v>157</v>
      </c>
      <c r="W45" s="77"/>
      <c r="X45" s="76" t="s">
        <v>218</v>
      </c>
      <c r="Y45" s="80">
        <v>45</v>
      </c>
      <c r="Z45" s="76" t="s">
        <v>48</v>
      </c>
      <c r="AA45" s="77"/>
      <c r="AB45" s="77"/>
    </row>
    <row r="46" spans="2:31" ht="17.399999999999999">
      <c r="B46" s="114" t="s">
        <v>93</v>
      </c>
      <c r="C46" s="201">
        <f>ROUND(C45/C11,3)</f>
        <v>2.0409999999999999</v>
      </c>
      <c r="D46" s="201">
        <f>ROUND(D45/D11,3)</f>
        <v>1.9419999999999999</v>
      </c>
      <c r="E46" s="201"/>
      <c r="F46" s="201">
        <f>ROUND(F45/F11,3)</f>
        <v>2.1920000000000002</v>
      </c>
      <c r="G46" s="201"/>
      <c r="H46" s="201">
        <f>ROUND(H45/H11,3)</f>
        <v>1.9850000000000001</v>
      </c>
      <c r="I46" s="201">
        <f>ROUND(I45/I11,3)</f>
        <v>1.891</v>
      </c>
      <c r="J46" s="201"/>
      <c r="K46" s="201">
        <f>ROUND(K45/K11,3)</f>
        <v>2.1760000000000002</v>
      </c>
      <c r="L46" s="114"/>
      <c r="M46" s="115"/>
      <c r="N46" s="114"/>
      <c r="P46" s="84" t="s">
        <v>264</v>
      </c>
      <c r="Q46" s="86">
        <f>(Q41*1000)/(Q42*Q43*0.9/Q44)</f>
        <v>0.87270886650390644</v>
      </c>
      <c r="R46" s="84"/>
      <c r="S46" s="77"/>
      <c r="T46" s="70" t="s">
        <v>160</v>
      </c>
      <c r="U46" s="71">
        <v>680</v>
      </c>
      <c r="V46" s="70" t="s">
        <v>161</v>
      </c>
      <c r="W46" s="77"/>
      <c r="X46" s="76" t="s">
        <v>219</v>
      </c>
      <c r="Y46" s="79">
        <f>Y43*(1+Y44*(Y45-20))</f>
        <v>1.9206249999999998</v>
      </c>
      <c r="Z46" s="76" t="s">
        <v>215</v>
      </c>
      <c r="AA46" s="77"/>
      <c r="AB46" s="77"/>
    </row>
    <row r="47" spans="2:31" ht="17.399999999999999">
      <c r="P47" s="84" t="s">
        <v>265</v>
      </c>
      <c r="Q47" s="92">
        <f>DEGREES(ACOS(Q46))</f>
        <v>29.225030363895115</v>
      </c>
      <c r="R47" s="84"/>
      <c r="S47" s="77"/>
      <c r="T47" s="70" t="s">
        <v>163</v>
      </c>
      <c r="U47" s="71">
        <v>300</v>
      </c>
      <c r="V47" s="70" t="s">
        <v>164</v>
      </c>
      <c r="W47" s="77"/>
      <c r="X47" s="76" t="s">
        <v>220</v>
      </c>
      <c r="Y47" s="81">
        <f>1/(Y46/100000000)</f>
        <v>52066384.64041654</v>
      </c>
      <c r="Z47" s="76" t="s">
        <v>221</v>
      </c>
      <c r="AA47" s="77"/>
      <c r="AB47" s="77"/>
    </row>
    <row r="48" spans="2:31" ht="17.399999999999999">
      <c r="B48" s="112" t="s">
        <v>313</v>
      </c>
      <c r="K48" s="2" t="s">
        <v>661</v>
      </c>
      <c r="P48" s="77"/>
      <c r="Q48" s="77"/>
      <c r="R48" s="77"/>
      <c r="S48" s="77"/>
      <c r="T48" s="70" t="s">
        <v>166</v>
      </c>
      <c r="U48" s="88">
        <f>U45*U46/U47</f>
        <v>13164.8</v>
      </c>
      <c r="V48" s="70" t="s">
        <v>167</v>
      </c>
      <c r="W48" s="77"/>
      <c r="X48" s="76" t="s">
        <v>222</v>
      </c>
      <c r="Y48" s="67">
        <v>1</v>
      </c>
      <c r="Z48" s="76" t="s">
        <v>223</v>
      </c>
      <c r="AA48" s="77"/>
      <c r="AB48" s="77"/>
    </row>
    <row r="49" spans="2:28" ht="17.399999999999999">
      <c r="B49" s="96" t="s">
        <v>297</v>
      </c>
      <c r="C49" s="98"/>
      <c r="D49" s="98"/>
      <c r="E49" s="98"/>
      <c r="F49" s="98"/>
      <c r="G49" s="234"/>
      <c r="H49" s="234"/>
      <c r="I49" s="234"/>
      <c r="J49" s="234"/>
      <c r="K49" s="234">
        <v>2</v>
      </c>
      <c r="L49" s="96" t="s">
        <v>49</v>
      </c>
      <c r="M49" s="115">
        <v>8</v>
      </c>
      <c r="N49" s="99" t="s">
        <v>301</v>
      </c>
      <c r="P49" s="265" t="s">
        <v>288</v>
      </c>
      <c r="Q49" s="265"/>
      <c r="R49" s="265"/>
      <c r="S49" s="77"/>
      <c r="T49" s="77"/>
      <c r="U49" s="77"/>
      <c r="V49" s="77"/>
      <c r="W49" s="77"/>
      <c r="X49" s="76" t="s">
        <v>37</v>
      </c>
      <c r="Y49" s="82">
        <v>18000</v>
      </c>
      <c r="Z49" s="76" t="s">
        <v>224</v>
      </c>
      <c r="AA49" s="77"/>
      <c r="AB49" s="77"/>
    </row>
    <row r="50" spans="2:28" ht="17.399999999999999">
      <c r="B50" s="96" t="s">
        <v>114</v>
      </c>
      <c r="C50" s="121" t="e">
        <f t="shared" ref="C50" si="43">C43/C49</f>
        <v>#DIV/0!</v>
      </c>
      <c r="D50" s="121" t="e">
        <f t="shared" ref="D50" si="44">D43/D49</f>
        <v>#DIV/0!</v>
      </c>
      <c r="E50" s="121"/>
      <c r="F50" s="121" t="e">
        <f t="shared" ref="F50" si="45">F43/F49</f>
        <v>#DIV/0!</v>
      </c>
      <c r="G50" s="245"/>
      <c r="H50" s="245" t="e">
        <f t="shared" ref="H50:I50" si="46">H43/H49</f>
        <v>#DIV/0!</v>
      </c>
      <c r="I50" s="245" t="e">
        <f t="shared" si="46"/>
        <v>#DIV/0!</v>
      </c>
      <c r="J50" s="245"/>
      <c r="K50" s="245">
        <f t="shared" ref="K50" si="47">K43/K49</f>
        <v>1670.6793652366916</v>
      </c>
      <c r="L50" s="96" t="s">
        <v>2</v>
      </c>
      <c r="M50" s="115"/>
      <c r="N50" s="96" t="s">
        <v>300</v>
      </c>
      <c r="P50" s="96" t="s">
        <v>317</v>
      </c>
      <c r="Q50" s="97">
        <v>300</v>
      </c>
      <c r="R50" s="96" t="s">
        <v>13</v>
      </c>
      <c r="S50" s="77"/>
      <c r="T50" s="263" t="s">
        <v>329</v>
      </c>
      <c r="U50" s="263"/>
      <c r="V50" s="263"/>
      <c r="W50" s="77"/>
      <c r="X50" s="76" t="s">
        <v>254</v>
      </c>
      <c r="Y50" s="95">
        <f>503.3*SQRT((Y46/100000000)/(Y48*Y49))*1000</f>
        <v>0.51989060179696034</v>
      </c>
      <c r="Z50" s="76" t="s">
        <v>225</v>
      </c>
      <c r="AA50" s="77"/>
      <c r="AB50" s="77"/>
    </row>
    <row r="51" spans="2:28" ht="17.399999999999999">
      <c r="B51" s="96" t="s">
        <v>8</v>
      </c>
      <c r="C51" s="104">
        <v>0</v>
      </c>
      <c r="D51" s="104">
        <v>0</v>
      </c>
      <c r="E51" s="104"/>
      <c r="F51" s="104">
        <v>27</v>
      </c>
      <c r="G51" s="236"/>
      <c r="H51" s="236">
        <v>0</v>
      </c>
      <c r="I51" s="236">
        <v>0</v>
      </c>
      <c r="J51" s="236"/>
      <c r="K51" s="236">
        <v>18.5</v>
      </c>
      <c r="L51" s="96" t="s">
        <v>45</v>
      </c>
      <c r="M51" s="115">
        <v>9</v>
      </c>
      <c r="N51" s="99" t="s">
        <v>117</v>
      </c>
      <c r="P51" s="96" t="s">
        <v>38</v>
      </c>
      <c r="Q51" s="97">
        <v>1</v>
      </c>
      <c r="R51" s="96" t="s">
        <v>13</v>
      </c>
      <c r="S51" s="77"/>
      <c r="T51" s="84" t="s">
        <v>320</v>
      </c>
      <c r="U51" s="85">
        <v>15.4</v>
      </c>
      <c r="V51" s="84" t="s">
        <v>13</v>
      </c>
      <c r="W51" s="77"/>
      <c r="X51" s="76" t="s">
        <v>255</v>
      </c>
      <c r="Y51" s="89">
        <v>16000</v>
      </c>
      <c r="Z51" s="76" t="s">
        <v>225</v>
      </c>
      <c r="AA51" s="77"/>
      <c r="AB51" s="77"/>
    </row>
    <row r="52" spans="2:28" ht="17.399999999999999">
      <c r="B52" s="96" t="s">
        <v>118</v>
      </c>
      <c r="C52" s="104">
        <v>0</v>
      </c>
      <c r="D52" s="104">
        <v>0</v>
      </c>
      <c r="E52" s="104"/>
      <c r="F52" s="104">
        <v>25</v>
      </c>
      <c r="G52" s="236"/>
      <c r="H52" s="236">
        <v>0</v>
      </c>
      <c r="I52" s="236">
        <v>0</v>
      </c>
      <c r="J52" s="236"/>
      <c r="K52" s="236">
        <v>25</v>
      </c>
      <c r="L52" s="96" t="s">
        <v>0</v>
      </c>
      <c r="M52" s="115">
        <v>10</v>
      </c>
      <c r="N52" s="99" t="s">
        <v>119</v>
      </c>
      <c r="P52" s="96" t="s">
        <v>39</v>
      </c>
      <c r="Q52" s="97">
        <v>100</v>
      </c>
      <c r="R52" s="96" t="s">
        <v>13</v>
      </c>
      <c r="S52" s="77"/>
      <c r="T52" s="84" t="s">
        <v>321</v>
      </c>
      <c r="U52" s="85">
        <v>2</v>
      </c>
      <c r="V52" s="84" t="s">
        <v>13</v>
      </c>
      <c r="W52" s="77"/>
      <c r="X52" s="76" t="s">
        <v>279</v>
      </c>
      <c r="Y52" s="89">
        <v>2</v>
      </c>
      <c r="Z52" s="76" t="s">
        <v>225</v>
      </c>
      <c r="AA52" s="77"/>
      <c r="AB52" s="77"/>
    </row>
    <row r="53" spans="2:28" ht="17.399999999999999">
      <c r="B53" s="96" t="s">
        <v>9</v>
      </c>
      <c r="C53" s="108">
        <f t="shared" ref="C53" si="48">C52*C51/1000000*C54*1000</f>
        <v>0</v>
      </c>
      <c r="D53" s="108">
        <f t="shared" ref="D53" si="49">D52*D51/1000000*D54*1000</f>
        <v>0</v>
      </c>
      <c r="E53" s="108"/>
      <c r="F53" s="108">
        <f t="shared" ref="F53" si="50">F52*F51/1000000*F54*1000</f>
        <v>2.8488731975162378</v>
      </c>
      <c r="G53" s="240"/>
      <c r="H53" s="240">
        <f t="shared" ref="H53:I53" si="51">H52*H51/1000000*H54*1000</f>
        <v>0</v>
      </c>
      <c r="I53" s="240">
        <f t="shared" si="51"/>
        <v>0</v>
      </c>
      <c r="J53" s="240"/>
      <c r="K53" s="240">
        <f t="shared" ref="K53" si="52">K52*K51/1000000*K54*1000</f>
        <v>1.952005709409274</v>
      </c>
      <c r="L53" s="96" t="s">
        <v>6</v>
      </c>
      <c r="M53" s="115"/>
      <c r="N53" s="96"/>
      <c r="P53" s="96" t="s">
        <v>75</v>
      </c>
      <c r="Q53" s="102">
        <f>12.5*(Q51/10)*(Q52/10)/(Q50/10)</f>
        <v>0.41666666666666669</v>
      </c>
      <c r="R53" s="96" t="s">
        <v>40</v>
      </c>
      <c r="S53" s="77"/>
      <c r="T53" s="84" t="s">
        <v>322</v>
      </c>
      <c r="U53" s="86">
        <f>U51+U52*2</f>
        <v>19.399999999999999</v>
      </c>
      <c r="V53" s="84" t="s">
        <v>13</v>
      </c>
      <c r="W53" s="77"/>
      <c r="X53" s="76" t="s">
        <v>278</v>
      </c>
      <c r="Y53" s="90">
        <f>MIN(Y50,Y52)</f>
        <v>0.51989060179696034</v>
      </c>
      <c r="Z53" s="76" t="s">
        <v>225</v>
      </c>
      <c r="AA53" s="77"/>
      <c r="AB53" s="77"/>
    </row>
    <row r="54" spans="2:28" ht="17.399999999999999">
      <c r="B54" s="96" t="s">
        <v>116</v>
      </c>
      <c r="C54" s="121">
        <f>C21</f>
        <v>2.9986637040448492</v>
      </c>
      <c r="D54" s="121">
        <f>D21</f>
        <v>3.5991772720104906</v>
      </c>
      <c r="E54" s="121"/>
      <c r="F54" s="121">
        <f>F21</f>
        <v>4.2205528852092407</v>
      </c>
      <c r="G54" s="245"/>
      <c r="H54" s="245">
        <f>H21</f>
        <v>2.9986637040448492</v>
      </c>
      <c r="I54" s="245">
        <f>I21</f>
        <v>3.5991772720104906</v>
      </c>
      <c r="J54" s="245"/>
      <c r="K54" s="245">
        <f>K21</f>
        <v>4.2205528852092407</v>
      </c>
      <c r="L54" s="96" t="s">
        <v>4</v>
      </c>
      <c r="M54" s="115"/>
      <c r="N54" s="96" t="s">
        <v>115</v>
      </c>
      <c r="T54" s="125" t="s">
        <v>323</v>
      </c>
      <c r="U54" s="126">
        <v>8.8539999999999992E-12</v>
      </c>
      <c r="V54" s="114"/>
      <c r="X54" s="76" t="s">
        <v>259</v>
      </c>
      <c r="Y54" s="89">
        <v>15</v>
      </c>
      <c r="Z54" s="76" t="s">
        <v>225</v>
      </c>
    </row>
    <row r="55" spans="2:28" ht="17.399999999999999">
      <c r="B55" s="96" t="s">
        <v>296</v>
      </c>
      <c r="C55" s="107" t="e">
        <f t="shared" ref="C55" si="53">C50*1.414</f>
        <v>#DIV/0!</v>
      </c>
      <c r="D55" s="107" t="e">
        <f t="shared" ref="D55" si="54">D50*1.414</f>
        <v>#DIV/0!</v>
      </c>
      <c r="E55" s="107"/>
      <c r="F55" s="107" t="e">
        <f t="shared" ref="F55" si="55">F50*1.414</f>
        <v>#DIV/0!</v>
      </c>
      <c r="G55" s="239"/>
      <c r="H55" s="239" t="e">
        <f t="shared" ref="H55:I55" si="56">H50*1.414</f>
        <v>#DIV/0!</v>
      </c>
      <c r="I55" s="239" t="e">
        <f t="shared" si="56"/>
        <v>#DIV/0!</v>
      </c>
      <c r="J55" s="239"/>
      <c r="K55" s="239">
        <f t="shared" ref="K55" si="57">K50*1.414</f>
        <v>2362.3406224446817</v>
      </c>
      <c r="L55" s="96" t="s">
        <v>2</v>
      </c>
      <c r="M55" s="115"/>
      <c r="N55" s="96" t="s">
        <v>302</v>
      </c>
      <c r="P55" s="265" t="s">
        <v>314</v>
      </c>
      <c r="Q55" s="265"/>
      <c r="R55" s="265"/>
      <c r="T55" s="125" t="s">
        <v>324</v>
      </c>
      <c r="U55" s="123">
        <v>2.1</v>
      </c>
      <c r="V55" s="114" t="s">
        <v>319</v>
      </c>
      <c r="X55" s="76" t="s">
        <v>260</v>
      </c>
      <c r="Y55" s="89">
        <v>15</v>
      </c>
      <c r="Z55" s="76" t="s">
        <v>225</v>
      </c>
    </row>
    <row r="56" spans="2:28" ht="17.399999999999999">
      <c r="B56" s="96" t="s">
        <v>120</v>
      </c>
      <c r="C56" s="104">
        <v>0</v>
      </c>
      <c r="D56" s="104">
        <v>0</v>
      </c>
      <c r="E56" s="104"/>
      <c r="F56" s="104">
        <v>1400</v>
      </c>
      <c r="G56" s="236"/>
      <c r="H56" s="236">
        <v>0</v>
      </c>
      <c r="I56" s="236">
        <v>0</v>
      </c>
      <c r="J56" s="236"/>
      <c r="K56" s="236">
        <v>500</v>
      </c>
      <c r="L56" s="96" t="s">
        <v>5</v>
      </c>
      <c r="M56" s="115">
        <v>11</v>
      </c>
      <c r="N56" s="99" t="s">
        <v>121</v>
      </c>
      <c r="P56" s="96" t="s">
        <v>315</v>
      </c>
      <c r="Q56" s="97">
        <v>3000</v>
      </c>
      <c r="R56" s="96" t="s">
        <v>50</v>
      </c>
      <c r="T56" s="114" t="s">
        <v>325</v>
      </c>
      <c r="U56" s="126">
        <f>2*PI()*U54*U55/(LN(U53/U51))*1000000000</f>
        <v>0.50594615125588516</v>
      </c>
      <c r="V56" s="114" t="s">
        <v>318</v>
      </c>
      <c r="X56" s="76" t="s">
        <v>275</v>
      </c>
      <c r="Y56" s="95">
        <f>(Y54*Y55)-((Y54-2*Y53)*(Y55-2*Y53))</f>
        <v>30.112291156470377</v>
      </c>
      <c r="Z56" s="76" t="s">
        <v>251</v>
      </c>
    </row>
    <row r="57" spans="2:28" ht="17.399999999999999">
      <c r="B57" s="96" t="s">
        <v>122</v>
      </c>
      <c r="C57" s="108">
        <v>0</v>
      </c>
      <c r="D57" s="108">
        <v>0</v>
      </c>
      <c r="E57" s="108"/>
      <c r="F57" s="108">
        <v>0</v>
      </c>
      <c r="G57" s="240"/>
      <c r="H57" s="240">
        <v>0</v>
      </c>
      <c r="I57" s="240">
        <v>0</v>
      </c>
      <c r="J57" s="240"/>
      <c r="K57" s="240">
        <v>0</v>
      </c>
      <c r="L57" s="96" t="s">
        <v>5</v>
      </c>
      <c r="M57" s="115"/>
      <c r="N57" s="96"/>
      <c r="P57" s="96" t="s">
        <v>38</v>
      </c>
      <c r="Q57" s="97">
        <v>1</v>
      </c>
      <c r="R57" s="96" t="s">
        <v>13</v>
      </c>
      <c r="T57" s="114" t="s">
        <v>326</v>
      </c>
      <c r="U57" s="123">
        <v>10</v>
      </c>
      <c r="V57" s="114" t="s">
        <v>328</v>
      </c>
      <c r="X57" s="76" t="s">
        <v>256</v>
      </c>
      <c r="Y57" s="89">
        <v>935</v>
      </c>
      <c r="Z57" s="68" t="s">
        <v>252</v>
      </c>
    </row>
    <row r="58" spans="2:28" ht="17.399999999999999">
      <c r="B58" s="96" t="s">
        <v>123</v>
      </c>
      <c r="C58" s="108">
        <v>0</v>
      </c>
      <c r="D58" s="108">
        <v>0</v>
      </c>
      <c r="E58" s="108"/>
      <c r="F58" s="108">
        <v>0</v>
      </c>
      <c r="G58" s="240"/>
      <c r="H58" s="240">
        <v>0</v>
      </c>
      <c r="I58" s="240">
        <v>0</v>
      </c>
      <c r="J58" s="240"/>
      <c r="K58" s="240">
        <v>0</v>
      </c>
      <c r="L58" s="96" t="s">
        <v>5</v>
      </c>
      <c r="M58" s="115"/>
      <c r="N58" s="96"/>
      <c r="P58" s="96" t="s">
        <v>316</v>
      </c>
      <c r="Q58" s="97">
        <v>2.1</v>
      </c>
      <c r="R58" s="96" t="s">
        <v>319</v>
      </c>
      <c r="S58" s="2"/>
      <c r="T58" s="114" t="s">
        <v>327</v>
      </c>
      <c r="U58" s="127">
        <f>U56*U57</f>
        <v>5.0594615125588511</v>
      </c>
      <c r="V58" s="114" t="s">
        <v>318</v>
      </c>
      <c r="X58" s="76" t="s">
        <v>491</v>
      </c>
      <c r="Y58" s="91">
        <f>Y57/Y56</f>
        <v>31.050443659086763</v>
      </c>
      <c r="Z58" s="68" t="s">
        <v>252</v>
      </c>
    </row>
    <row r="59" spans="2:28" ht="17.399999999999999">
      <c r="B59" s="96" t="s">
        <v>124</v>
      </c>
      <c r="C59" s="105">
        <f t="shared" ref="C59" si="58">C56*C54+C57*C54</f>
        <v>0</v>
      </c>
      <c r="D59" s="105">
        <f t="shared" ref="D59" si="59">D56*D54+D57*D54</f>
        <v>0</v>
      </c>
      <c r="E59" s="105"/>
      <c r="F59" s="105">
        <f t="shared" ref="F59" si="60">F56*F54+F57*F54</f>
        <v>5908.7740392929372</v>
      </c>
      <c r="G59" s="237"/>
      <c r="H59" s="237">
        <f t="shared" ref="H59:I59" si="61">H56*H54+H57*H54</f>
        <v>0</v>
      </c>
      <c r="I59" s="237">
        <f t="shared" si="61"/>
        <v>0</v>
      </c>
      <c r="J59" s="237"/>
      <c r="K59" s="237">
        <f t="shared" ref="K59" si="62">K56*K54+K57*K54</f>
        <v>2110.2764426046201</v>
      </c>
      <c r="L59" s="96" t="s">
        <v>6</v>
      </c>
      <c r="M59" s="115"/>
      <c r="N59" s="96"/>
      <c r="P59" s="96" t="s">
        <v>76</v>
      </c>
      <c r="Q59" s="102">
        <f>8.854/1000000000000*Q58*(Q56/1000000)/(Q57/1000)*1000000000</f>
        <v>5.5780200000000002E-2</v>
      </c>
      <c r="R59" s="96" t="s">
        <v>318</v>
      </c>
      <c r="X59" s="76" t="s">
        <v>257</v>
      </c>
      <c r="Y59" s="91">
        <f>Y46/100000000*(Y57^2)/(Y56/1000000)*Y51/1000</f>
        <v>8921.5842495689321</v>
      </c>
      <c r="Z59" s="68" t="s">
        <v>253</v>
      </c>
    </row>
    <row r="60" spans="2:28" ht="17.399999999999999">
      <c r="B60" s="96" t="s">
        <v>125</v>
      </c>
      <c r="C60" s="108">
        <f t="shared" ref="C60" si="63">C54*C58</f>
        <v>0</v>
      </c>
      <c r="D60" s="108">
        <f t="shared" ref="D60" si="64">D54*D58</f>
        <v>0</v>
      </c>
      <c r="E60" s="108"/>
      <c r="F60" s="108">
        <f t="shared" ref="F60" si="65">F54*F58</f>
        <v>0</v>
      </c>
      <c r="G60" s="240"/>
      <c r="H60" s="240">
        <f t="shared" ref="H60:I60" si="66">H54*H58</f>
        <v>0</v>
      </c>
      <c r="I60" s="240">
        <f t="shared" si="66"/>
        <v>0</v>
      </c>
      <c r="J60" s="240"/>
      <c r="K60" s="240">
        <f t="shared" ref="K60" si="67">K54*K58</f>
        <v>0</v>
      </c>
      <c r="L60" s="96" t="s">
        <v>6</v>
      </c>
      <c r="M60" s="115"/>
      <c r="N60" s="96"/>
    </row>
    <row r="61" spans="2:28" ht="17.399999999999999">
      <c r="B61" s="96" t="s">
        <v>126</v>
      </c>
      <c r="C61" s="104">
        <v>100</v>
      </c>
      <c r="D61" s="104">
        <v>100</v>
      </c>
      <c r="E61" s="104"/>
      <c r="F61" s="104">
        <v>100</v>
      </c>
      <c r="G61" s="236"/>
      <c r="H61" s="236">
        <v>100</v>
      </c>
      <c r="I61" s="236">
        <v>100</v>
      </c>
      <c r="J61" s="236"/>
      <c r="K61" s="236">
        <v>100</v>
      </c>
      <c r="L61" s="96" t="s">
        <v>7</v>
      </c>
      <c r="M61" s="115">
        <v>12</v>
      </c>
      <c r="N61" s="99" t="s">
        <v>127</v>
      </c>
      <c r="P61" s="264" t="s">
        <v>467</v>
      </c>
      <c r="Q61" s="264"/>
      <c r="R61" s="264"/>
      <c r="S61"/>
      <c r="X61" s="263" t="s">
        <v>487</v>
      </c>
      <c r="Y61" s="263"/>
      <c r="Z61" s="263"/>
    </row>
    <row r="62" spans="2:28" ht="17.399999999999999">
      <c r="B62" s="96" t="s">
        <v>128</v>
      </c>
      <c r="C62" s="109">
        <f t="shared" ref="C62" si="68">C59*C61/100</f>
        <v>0</v>
      </c>
      <c r="D62" s="109">
        <f t="shared" ref="D62" si="69">D59*D61/100</f>
        <v>0</v>
      </c>
      <c r="E62" s="109"/>
      <c r="F62" s="109">
        <f t="shared" ref="F62" si="70">F59*F61/100</f>
        <v>5908.7740392929372</v>
      </c>
      <c r="G62" s="241"/>
      <c r="H62" s="241">
        <f t="shared" ref="H62:I62" si="71">H59*H61/100</f>
        <v>0</v>
      </c>
      <c r="I62" s="241">
        <f t="shared" si="71"/>
        <v>0</v>
      </c>
      <c r="J62" s="241"/>
      <c r="K62" s="241">
        <f t="shared" ref="K62" si="72">K59*K61/100</f>
        <v>2110.2764426046201</v>
      </c>
      <c r="L62" s="96" t="s">
        <v>6</v>
      </c>
      <c r="M62" s="115"/>
      <c r="N62" s="96"/>
      <c r="P62" s="133"/>
      <c r="Q62" s="134" t="s">
        <v>460</v>
      </c>
      <c r="R62" s="134" t="s">
        <v>461</v>
      </c>
      <c r="S62" s="134" t="s">
        <v>462</v>
      </c>
      <c r="X62" s="69" t="s">
        <v>212</v>
      </c>
      <c r="Y62" s="67" t="s">
        <v>213</v>
      </c>
      <c r="Z62" s="67"/>
    </row>
    <row r="63" spans="2:28" ht="17.399999999999999">
      <c r="B63" s="96" t="s">
        <v>129</v>
      </c>
      <c r="C63" s="107" t="e">
        <f t="shared" ref="C63" si="73">C50*0.9</f>
        <v>#DIV/0!</v>
      </c>
      <c r="D63" s="107" t="e">
        <f t="shared" ref="D63" si="74">D50*0.9</f>
        <v>#DIV/0!</v>
      </c>
      <c r="E63" s="107"/>
      <c r="F63" s="107" t="e">
        <f t="shared" ref="F63" si="75">F50*0.9</f>
        <v>#DIV/0!</v>
      </c>
      <c r="G63" s="239"/>
      <c r="H63" s="239" t="e">
        <f t="shared" ref="H63:I63" si="76">H50*0.9</f>
        <v>#DIV/0!</v>
      </c>
      <c r="I63" s="239" t="e">
        <f t="shared" si="76"/>
        <v>#DIV/0!</v>
      </c>
      <c r="J63" s="239"/>
      <c r="K63" s="239">
        <f t="shared" ref="K63" si="77">K50*0.9</f>
        <v>1503.6114287130224</v>
      </c>
      <c r="L63" s="96" t="s">
        <v>2</v>
      </c>
      <c r="M63" s="115"/>
      <c r="N63" s="96"/>
      <c r="P63" s="134" t="s">
        <v>459</v>
      </c>
      <c r="Q63" s="134" t="s">
        <v>465</v>
      </c>
      <c r="R63" s="134" t="s">
        <v>463</v>
      </c>
      <c r="S63" s="134" t="s">
        <v>464</v>
      </c>
      <c r="X63" s="76" t="s">
        <v>214</v>
      </c>
      <c r="Y63" s="78">
        <v>1.75</v>
      </c>
      <c r="Z63" s="76" t="s">
        <v>215</v>
      </c>
    </row>
    <row r="64" spans="2:28" ht="17.399999999999999">
      <c r="B64" s="96" t="s">
        <v>130</v>
      </c>
      <c r="C64" s="104">
        <v>0</v>
      </c>
      <c r="D64" s="104">
        <v>0</v>
      </c>
      <c r="E64" s="104"/>
      <c r="F64" s="104">
        <v>1.8</v>
      </c>
      <c r="G64" s="236"/>
      <c r="H64" s="236">
        <v>0</v>
      </c>
      <c r="I64" s="236">
        <v>0</v>
      </c>
      <c r="J64" s="236"/>
      <c r="K64" s="236">
        <v>1.7</v>
      </c>
      <c r="L64" s="96" t="s">
        <v>44</v>
      </c>
      <c r="M64" s="115">
        <v>13</v>
      </c>
      <c r="N64" s="99" t="s">
        <v>131</v>
      </c>
      <c r="P64" s="132">
        <v>0.5</v>
      </c>
      <c r="Q64" s="132"/>
      <c r="R64" s="132">
        <v>2.5</v>
      </c>
      <c r="S64" s="132"/>
      <c r="X64" s="76" t="s">
        <v>216</v>
      </c>
      <c r="Y64" s="79">
        <v>3.8999999999999998E-3</v>
      </c>
      <c r="Z64" s="76" t="s">
        <v>217</v>
      </c>
    </row>
    <row r="65" spans="2:26" ht="17.399999999999999">
      <c r="B65" s="96" t="s">
        <v>132</v>
      </c>
      <c r="C65" s="104">
        <v>0</v>
      </c>
      <c r="D65" s="104">
        <v>0</v>
      </c>
      <c r="E65" s="104"/>
      <c r="F65" s="104">
        <v>1.6</v>
      </c>
      <c r="G65" s="236"/>
      <c r="H65" s="236">
        <v>0</v>
      </c>
      <c r="I65" s="236">
        <v>0</v>
      </c>
      <c r="J65" s="236"/>
      <c r="K65" s="236">
        <v>1.4</v>
      </c>
      <c r="L65" s="96" t="s">
        <v>44</v>
      </c>
      <c r="M65" s="115">
        <v>14</v>
      </c>
      <c r="N65" s="99" t="s">
        <v>133</v>
      </c>
      <c r="P65" s="132">
        <v>0.8</v>
      </c>
      <c r="Q65" s="132">
        <v>2</v>
      </c>
      <c r="R65" s="132">
        <v>1.42</v>
      </c>
      <c r="S65" s="132"/>
      <c r="X65" s="76" t="s">
        <v>218</v>
      </c>
      <c r="Y65" s="80">
        <v>45</v>
      </c>
      <c r="Z65" s="76" t="s">
        <v>48</v>
      </c>
    </row>
    <row r="66" spans="2:26" ht="17.399999999999999">
      <c r="B66" s="96" t="s">
        <v>72</v>
      </c>
      <c r="C66" s="108">
        <f t="shared" ref="C66" si="78">C41</f>
        <v>56.575020197464674</v>
      </c>
      <c r="D66" s="108">
        <f t="shared" ref="D66" si="79">D41</f>
        <v>59.464024811507699</v>
      </c>
      <c r="E66" s="108"/>
      <c r="F66" s="108">
        <f t="shared" ref="F66" si="80">F41</f>
        <v>52.712577837216323</v>
      </c>
      <c r="G66" s="240"/>
      <c r="H66" s="240">
        <f t="shared" ref="H66:I66" si="81">H41</f>
        <v>58.198100937612054</v>
      </c>
      <c r="I66" s="240">
        <f t="shared" si="81"/>
        <v>61.089235709415533</v>
      </c>
      <c r="J66" s="240"/>
      <c r="K66" s="240">
        <f t="shared" ref="K66" si="82">K41</f>
        <v>53.078757393453024</v>
      </c>
      <c r="L66" s="96" t="s">
        <v>7</v>
      </c>
      <c r="M66" s="115"/>
      <c r="N66" s="99"/>
      <c r="P66" s="132">
        <v>1</v>
      </c>
      <c r="Q66" s="132">
        <v>2</v>
      </c>
      <c r="R66" s="132">
        <v>1.4</v>
      </c>
      <c r="S66" s="132"/>
      <c r="X66" s="76" t="s">
        <v>219</v>
      </c>
      <c r="Y66" s="79">
        <f>Y63*(1+Y64*(Y65-20))</f>
        <v>1.9206249999999998</v>
      </c>
      <c r="Z66" s="76" t="s">
        <v>215</v>
      </c>
    </row>
    <row r="67" spans="2:26" ht="17.399999999999999">
      <c r="B67" s="96" t="s">
        <v>134</v>
      </c>
      <c r="C67" s="108">
        <f>C17</f>
        <v>30</v>
      </c>
      <c r="D67" s="108">
        <f>D17</f>
        <v>30</v>
      </c>
      <c r="E67" s="108"/>
      <c r="F67" s="108">
        <f>F17</f>
        <v>30</v>
      </c>
      <c r="G67" s="240"/>
      <c r="H67" s="240">
        <f>H17</f>
        <v>30</v>
      </c>
      <c r="I67" s="240">
        <f>I17</f>
        <v>30</v>
      </c>
      <c r="J67" s="240"/>
      <c r="K67" s="240">
        <f>K17</f>
        <v>30</v>
      </c>
      <c r="L67" s="96" t="s">
        <v>79</v>
      </c>
      <c r="M67" s="115"/>
      <c r="N67" s="96"/>
      <c r="P67" s="132">
        <v>1.2</v>
      </c>
      <c r="Q67" s="132"/>
      <c r="R67" s="132">
        <v>1.04</v>
      </c>
      <c r="S67" s="132"/>
      <c r="X67" s="76" t="s">
        <v>220</v>
      </c>
      <c r="Y67" s="81">
        <f>1/(Y66/100000000)</f>
        <v>52066384.64041654</v>
      </c>
      <c r="Z67" s="76" t="s">
        <v>221</v>
      </c>
    </row>
    <row r="68" spans="2:26" ht="17.399999999999999">
      <c r="B68" s="96" t="s">
        <v>135</v>
      </c>
      <c r="C68" s="108" t="e">
        <f t="shared" ref="C68" si="83">ROUNDUP((C63*C64*((C66*180/100-C67)/180))/2,0)</f>
        <v>#DIV/0!</v>
      </c>
      <c r="D68" s="108" t="e">
        <f t="shared" ref="D68" si="84">ROUNDUP((D63*D64*((D66*180/100-D67)/180))/2,0)</f>
        <v>#DIV/0!</v>
      </c>
      <c r="E68" s="108"/>
      <c r="F68" s="108" t="e">
        <f t="shared" ref="F68" si="85">ROUNDUP((F63*F64*((F66*180/100-F67)/180))/2,0)</f>
        <v>#DIV/0!</v>
      </c>
      <c r="G68" s="240"/>
      <c r="H68" s="240" t="e">
        <f t="shared" ref="H68:I68" si="86">ROUNDUP((H63*H64*((H66*180/100-H67)/180))/2,0)</f>
        <v>#DIV/0!</v>
      </c>
      <c r="I68" s="240" t="e">
        <f t="shared" si="86"/>
        <v>#DIV/0!</v>
      </c>
      <c r="J68" s="240"/>
      <c r="K68" s="240">
        <f t="shared" ref="K68" si="87">ROUNDUP((K63*K64*((K66*180/100-K67)/180))/2,0)</f>
        <v>466</v>
      </c>
      <c r="L68" s="96" t="s">
        <v>6</v>
      </c>
      <c r="M68" s="115"/>
      <c r="N68" s="96"/>
      <c r="P68" s="132">
        <v>2</v>
      </c>
      <c r="Q68" s="132">
        <v>1.1200000000000001</v>
      </c>
      <c r="R68" s="132">
        <v>0.75</v>
      </c>
      <c r="S68" s="132"/>
      <c r="X68" s="76" t="s">
        <v>222</v>
      </c>
      <c r="Y68" s="67">
        <v>1</v>
      </c>
      <c r="Z68" s="76" t="s">
        <v>223</v>
      </c>
    </row>
    <row r="69" spans="2:26" ht="17.399999999999999">
      <c r="B69" s="96" t="s">
        <v>136</v>
      </c>
      <c r="C69" s="108" t="e">
        <f t="shared" ref="C69" si="88">ROUNDUP((C63*C65*(1-(C66*180/100-C67)/180))/2,0)</f>
        <v>#DIV/0!</v>
      </c>
      <c r="D69" s="108" t="e">
        <f t="shared" ref="D69" si="89">ROUNDUP((D63*D65*(1-(D66*180/100-D67)/180))/2,0)</f>
        <v>#DIV/0!</v>
      </c>
      <c r="E69" s="108"/>
      <c r="F69" s="108" t="e">
        <f t="shared" ref="F69" si="90">ROUNDUP((F63*F65*(1-(F66*180/100-F67)/180))/2,0)</f>
        <v>#DIV/0!</v>
      </c>
      <c r="G69" s="240"/>
      <c r="H69" s="240" t="e">
        <f t="shared" ref="H69:I69" si="91">ROUNDUP((H63*H65*(1-(H66*180/100-H67)/180))/2,0)</f>
        <v>#DIV/0!</v>
      </c>
      <c r="I69" s="240" t="e">
        <f t="shared" si="91"/>
        <v>#DIV/0!</v>
      </c>
      <c r="J69" s="240"/>
      <c r="K69" s="240">
        <f t="shared" ref="K69" si="92">ROUNDUP((K63*K65*(1-(K66*180/100-K67)/180))/2,0)</f>
        <v>670</v>
      </c>
      <c r="L69" s="96" t="s">
        <v>6</v>
      </c>
      <c r="M69" s="115"/>
      <c r="N69" s="96"/>
      <c r="P69" s="132">
        <v>3</v>
      </c>
      <c r="Q69" s="132">
        <v>0.71</v>
      </c>
      <c r="R69" s="132">
        <v>0.57999999999999996</v>
      </c>
      <c r="S69" s="132"/>
      <c r="X69" s="76" t="s">
        <v>255</v>
      </c>
      <c r="Y69" s="89">
        <v>6126</v>
      </c>
      <c r="Z69" s="76" t="s">
        <v>225</v>
      </c>
    </row>
    <row r="70" spans="2:26" ht="17.399999999999999">
      <c r="B70" s="96" t="s">
        <v>69</v>
      </c>
      <c r="C70" s="109" t="e">
        <f t="shared" ref="C70" si="93">ROUNDUP(((C63*C64*(((C66*180/100-C67)/180))+(C63*C65*(1-(C66*180/100-C67)/180))))/2,0)</f>
        <v>#DIV/0!</v>
      </c>
      <c r="D70" s="109" t="e">
        <f t="shared" ref="D70" si="94">ROUNDUP(((D63*D64*(((D66*180/100-D67)/180))+(D63*D65*(1-(D66*180/100-D67)/180))))/2,0)</f>
        <v>#DIV/0!</v>
      </c>
      <c r="E70" s="109"/>
      <c r="F70" s="109" t="e">
        <f t="shared" ref="F70" si="95">ROUNDUP(((F63*F64*(((F66*180/100-F67)/180))+(F63*F65*(1-(F66*180/100-F67)/180))))/2,0)</f>
        <v>#DIV/0!</v>
      </c>
      <c r="G70" s="241"/>
      <c r="H70" s="241" t="e">
        <f t="shared" ref="H70:I70" si="96">ROUNDUP(((H63*H64*(((H66*180/100-H67)/180))+(H63*H65*(1-(H66*180/100-H67)/180))))/2,0)</f>
        <v>#DIV/0!</v>
      </c>
      <c r="I70" s="241" t="e">
        <f t="shared" si="96"/>
        <v>#DIV/0!</v>
      </c>
      <c r="J70" s="241"/>
      <c r="K70" s="241">
        <f t="shared" ref="K70" si="97">ROUNDUP(((K63*K64*(((K66*180/100-K67)/180))+(K63*K65*(1-(K66*180/100-K67)/180))))/2,0)</f>
        <v>1135</v>
      </c>
      <c r="L70" s="96" t="s">
        <v>6</v>
      </c>
      <c r="M70" s="115"/>
      <c r="N70" s="96"/>
      <c r="P70" s="132">
        <v>5</v>
      </c>
      <c r="Q70" s="132">
        <v>0.43</v>
      </c>
      <c r="R70" s="132">
        <v>0.36</v>
      </c>
      <c r="S70" s="132"/>
      <c r="X70" s="76" t="s">
        <v>280</v>
      </c>
      <c r="Y70" s="89">
        <v>2</v>
      </c>
      <c r="Z70" s="76" t="s">
        <v>225</v>
      </c>
    </row>
    <row r="71" spans="2:26" ht="17.399999999999999">
      <c r="B71" s="96" t="s">
        <v>298</v>
      </c>
      <c r="C71" s="108" t="e">
        <f t="shared" ref="C71" si="98">C62+C68</f>
        <v>#DIV/0!</v>
      </c>
      <c r="D71" s="108" t="e">
        <f t="shared" ref="D71" si="99">D62+D68</f>
        <v>#DIV/0!</v>
      </c>
      <c r="E71" s="108"/>
      <c r="F71" s="108" t="e">
        <f t="shared" ref="F71" si="100">F62+F68</f>
        <v>#DIV/0!</v>
      </c>
      <c r="G71" s="240"/>
      <c r="H71" s="240" t="e">
        <f t="shared" ref="H71:I71" si="101">H62+H68</f>
        <v>#DIV/0!</v>
      </c>
      <c r="I71" s="240" t="e">
        <f t="shared" si="101"/>
        <v>#DIV/0!</v>
      </c>
      <c r="J71" s="240"/>
      <c r="K71" s="240">
        <f t="shared" ref="K71" si="102">K62+K68</f>
        <v>2576.2764426046201</v>
      </c>
      <c r="L71" s="96" t="s">
        <v>6</v>
      </c>
      <c r="M71" s="115"/>
      <c r="N71" s="96"/>
      <c r="P71" s="132">
        <v>6</v>
      </c>
      <c r="Q71" s="132"/>
      <c r="R71" s="132">
        <v>0.34</v>
      </c>
      <c r="S71" s="132">
        <v>0.62</v>
      </c>
      <c r="X71" s="76" t="s">
        <v>276</v>
      </c>
      <c r="Y71" s="89">
        <v>60</v>
      </c>
      <c r="Z71" s="76" t="s">
        <v>225</v>
      </c>
    </row>
    <row r="72" spans="2:26" ht="17.399999999999999">
      <c r="B72" s="96" t="s">
        <v>299</v>
      </c>
      <c r="C72" s="108" t="e">
        <f t="shared" ref="C72" si="103">C69+C60</f>
        <v>#DIV/0!</v>
      </c>
      <c r="D72" s="108" t="e">
        <f t="shared" ref="D72" si="104">D69+D60</f>
        <v>#DIV/0!</v>
      </c>
      <c r="E72" s="108"/>
      <c r="F72" s="108" t="e">
        <f t="shared" ref="F72" si="105">F69+F60</f>
        <v>#DIV/0!</v>
      </c>
      <c r="G72" s="240"/>
      <c r="H72" s="240" t="e">
        <f t="shared" ref="H72:I72" si="106">H69+H60</f>
        <v>#DIV/0!</v>
      </c>
      <c r="I72" s="240" t="e">
        <f t="shared" si="106"/>
        <v>#DIV/0!</v>
      </c>
      <c r="J72" s="240"/>
      <c r="K72" s="240">
        <f t="shared" ref="K72" si="107">K69+K60</f>
        <v>670</v>
      </c>
      <c r="L72" s="96" t="s">
        <v>6</v>
      </c>
      <c r="M72" s="115"/>
      <c r="N72" s="96"/>
      <c r="P72" s="132">
        <v>8</v>
      </c>
      <c r="Q72" s="132">
        <v>0.3</v>
      </c>
      <c r="R72" s="132">
        <v>0.25</v>
      </c>
      <c r="S72" s="132"/>
      <c r="X72" s="76" t="s">
        <v>275</v>
      </c>
      <c r="Y72" s="95">
        <f>Y70*Y71</f>
        <v>120</v>
      </c>
      <c r="Z72" s="76" t="s">
        <v>251</v>
      </c>
    </row>
    <row r="73" spans="2:26" ht="17.399999999999999">
      <c r="B73" s="96" t="s">
        <v>306</v>
      </c>
      <c r="C73" s="109" t="e">
        <f t="shared" ref="C73" si="108">ROUNDUP((C53+C62+C70),0)</f>
        <v>#DIV/0!</v>
      </c>
      <c r="D73" s="109" t="e">
        <f t="shared" ref="D73" si="109">ROUNDUP((D53+D62+D70),0)</f>
        <v>#DIV/0!</v>
      </c>
      <c r="E73" s="109"/>
      <c r="F73" s="109" t="e">
        <f t="shared" ref="F73" si="110">ROUNDUP((F53+F62+F70),0)</f>
        <v>#DIV/0!</v>
      </c>
      <c r="G73" s="241"/>
      <c r="H73" s="241" t="e">
        <f t="shared" ref="H73:I73" si="111">ROUNDUP((H53+H62+H70),0)</f>
        <v>#DIV/0!</v>
      </c>
      <c r="I73" s="241" t="e">
        <f t="shared" si="111"/>
        <v>#DIV/0!</v>
      </c>
      <c r="J73" s="241"/>
      <c r="K73" s="241">
        <f t="shared" ref="K73" si="112">ROUNDUP((K53+K62+K70),0)</f>
        <v>3248</v>
      </c>
      <c r="L73" s="96" t="s">
        <v>6</v>
      </c>
      <c r="M73" s="115"/>
      <c r="N73" s="96"/>
      <c r="P73" s="132">
        <v>10</v>
      </c>
      <c r="Q73" s="132"/>
      <c r="R73" s="132"/>
      <c r="S73" s="132">
        <v>0.45</v>
      </c>
      <c r="X73" s="76" t="s">
        <v>256</v>
      </c>
      <c r="Y73" s="89">
        <v>850</v>
      </c>
      <c r="Z73" s="68" t="s">
        <v>252</v>
      </c>
    </row>
    <row r="74" spans="2:26" ht="17.399999999999999">
      <c r="B74" s="96" t="s">
        <v>137</v>
      </c>
      <c r="C74" s="167">
        <v>2</v>
      </c>
      <c r="D74" s="167">
        <v>2</v>
      </c>
      <c r="E74" s="167"/>
      <c r="F74" s="167">
        <v>1</v>
      </c>
      <c r="G74" s="167"/>
      <c r="H74" s="167">
        <v>2</v>
      </c>
      <c r="I74" s="167">
        <v>2</v>
      </c>
      <c r="J74" s="167"/>
      <c r="K74" s="167">
        <v>1</v>
      </c>
      <c r="L74" s="96"/>
      <c r="M74" s="115">
        <v>15</v>
      </c>
      <c r="N74" s="99" t="s">
        <v>305</v>
      </c>
      <c r="P74" s="132">
        <v>15</v>
      </c>
      <c r="Q74" s="132"/>
      <c r="R74" s="132"/>
      <c r="S74" s="132">
        <v>0.4</v>
      </c>
      <c r="X74" s="76" t="s">
        <v>491</v>
      </c>
      <c r="Y74" s="91">
        <f>Y73/Y72</f>
        <v>7.083333333333333</v>
      </c>
      <c r="Z74" s="68" t="s">
        <v>252</v>
      </c>
    </row>
    <row r="75" spans="2:26" ht="17.399999999999999">
      <c r="B75" s="96" t="s">
        <v>70</v>
      </c>
      <c r="C75" s="110" t="e">
        <f t="shared" ref="C75" si="113">C73*C74</f>
        <v>#DIV/0!</v>
      </c>
      <c r="D75" s="110" t="e">
        <f t="shared" ref="D75" si="114">D73*D74</f>
        <v>#DIV/0!</v>
      </c>
      <c r="E75" s="110"/>
      <c r="F75" s="110" t="e">
        <f t="shared" ref="F75" si="115">F73*F74</f>
        <v>#DIV/0!</v>
      </c>
      <c r="G75" s="242"/>
      <c r="H75" s="242" t="e">
        <f t="shared" ref="H75:I75" si="116">H73*H74</f>
        <v>#DIV/0!</v>
      </c>
      <c r="I75" s="242" t="e">
        <f t="shared" si="116"/>
        <v>#DIV/0!</v>
      </c>
      <c r="J75" s="242"/>
      <c r="K75" s="242">
        <f t="shared" ref="K75" si="117">K73*K74</f>
        <v>3248</v>
      </c>
      <c r="L75" s="96" t="s">
        <v>46</v>
      </c>
      <c r="M75" s="115"/>
      <c r="N75" s="96"/>
      <c r="P75" s="132">
        <v>20</v>
      </c>
      <c r="Q75" s="132"/>
      <c r="R75" s="132"/>
      <c r="S75" s="132">
        <v>0.35</v>
      </c>
      <c r="X75" s="76" t="s">
        <v>257</v>
      </c>
      <c r="Y75" s="91">
        <f>Y66/100000000*(Y73^2)/(Y72/1000000)*Y69/1000</f>
        <v>708.39612265624987</v>
      </c>
      <c r="Z75" s="68" t="s">
        <v>253</v>
      </c>
    </row>
    <row r="76" spans="2:26" ht="17.399999999999999">
      <c r="B76" s="96" t="s">
        <v>43</v>
      </c>
      <c r="C76" s="111">
        <v>1950</v>
      </c>
      <c r="D76" s="111">
        <v>1950</v>
      </c>
      <c r="E76" s="111"/>
      <c r="F76" s="111">
        <v>19000</v>
      </c>
      <c r="G76" s="243"/>
      <c r="H76" s="243">
        <v>1950</v>
      </c>
      <c r="I76" s="243">
        <v>1950</v>
      </c>
      <c r="J76" s="243"/>
      <c r="K76" s="243">
        <v>13500</v>
      </c>
      <c r="L76" s="96" t="s">
        <v>6</v>
      </c>
      <c r="M76" s="115">
        <v>16</v>
      </c>
      <c r="N76" s="99" t="s">
        <v>117</v>
      </c>
      <c r="P76" s="132">
        <v>30</v>
      </c>
      <c r="Q76" s="132"/>
      <c r="R76" s="132"/>
      <c r="S76" s="196">
        <v>0.28939999999999999</v>
      </c>
    </row>
    <row r="77" spans="2:26" ht="17.399999999999999">
      <c r="B77" s="96" t="s">
        <v>303</v>
      </c>
      <c r="C77" s="110" t="e">
        <f t="shared" ref="C77" si="118">ROUNDUP(C75/C76*100,0)</f>
        <v>#DIV/0!</v>
      </c>
      <c r="D77" s="110" t="e">
        <f t="shared" ref="D77" si="119">ROUNDUP(D75/D76*100,0)</f>
        <v>#DIV/0!</v>
      </c>
      <c r="E77" s="110"/>
      <c r="F77" s="110" t="e">
        <f t="shared" ref="F77" si="120">ROUNDUP(F75/F76*100,0)</f>
        <v>#DIV/0!</v>
      </c>
      <c r="G77" s="242"/>
      <c r="H77" s="242" t="e">
        <f t="shared" ref="H77:I77" si="121">ROUNDUP(H75/H76*100,0)</f>
        <v>#DIV/0!</v>
      </c>
      <c r="I77" s="242" t="e">
        <f t="shared" si="121"/>
        <v>#DIV/0!</v>
      </c>
      <c r="J77" s="242"/>
      <c r="K77" s="242">
        <f t="shared" ref="K77" si="122">ROUNDUP(K75/K76*100,0)</f>
        <v>25</v>
      </c>
      <c r="L77" s="96" t="s">
        <v>7</v>
      </c>
      <c r="M77" s="115"/>
      <c r="N77" s="99" t="s">
        <v>304</v>
      </c>
      <c r="P77" s="132">
        <v>50</v>
      </c>
      <c r="Q77" s="132"/>
      <c r="R77" s="132"/>
      <c r="S77" s="132">
        <v>0.224</v>
      </c>
    </row>
    <row r="78" spans="2:26" ht="17.399999999999999">
      <c r="B78" s="96" t="s">
        <v>138</v>
      </c>
      <c r="C78" s="128">
        <v>9.2999999999999999E-2</v>
      </c>
      <c r="D78" s="128">
        <v>9.2999999999999999E-2</v>
      </c>
      <c r="E78" s="128"/>
      <c r="F78" s="128">
        <v>9.2999999999999999E-2</v>
      </c>
      <c r="G78" s="247"/>
      <c r="H78" s="247">
        <v>9.2999999999999999E-2</v>
      </c>
      <c r="I78" s="247">
        <v>9.2999999999999999E-2</v>
      </c>
      <c r="J78" s="247"/>
      <c r="K78" s="247">
        <v>1.0999999999999999E-2</v>
      </c>
      <c r="L78" s="96" t="s">
        <v>58</v>
      </c>
      <c r="M78" s="115">
        <v>17</v>
      </c>
      <c r="N78" s="119" t="s">
        <v>117</v>
      </c>
      <c r="P78" s="132">
        <v>100</v>
      </c>
      <c r="Q78" s="132"/>
      <c r="R78" s="132"/>
      <c r="S78" s="132">
        <v>0.161</v>
      </c>
    </row>
    <row r="79" spans="2:26" ht="17.399999999999999">
      <c r="B79" s="96" t="s">
        <v>287</v>
      </c>
      <c r="C79" s="128">
        <v>0.15</v>
      </c>
      <c r="D79" s="128">
        <v>0.15</v>
      </c>
      <c r="E79" s="128"/>
      <c r="F79" s="128">
        <v>0.15</v>
      </c>
      <c r="G79" s="247"/>
      <c r="H79" s="247">
        <v>0.15</v>
      </c>
      <c r="I79" s="247">
        <v>0.15</v>
      </c>
      <c r="J79" s="247"/>
      <c r="K79" s="247">
        <v>1.7500000000000002E-2</v>
      </c>
      <c r="L79" s="96" t="s">
        <v>58</v>
      </c>
      <c r="M79" s="115">
        <v>18</v>
      </c>
      <c r="N79" s="119" t="s">
        <v>117</v>
      </c>
      <c r="P79" s="132">
        <v>200</v>
      </c>
      <c r="Q79" s="132"/>
      <c r="R79" s="132"/>
      <c r="S79" s="132">
        <v>7.7600000000000002E-2</v>
      </c>
    </row>
    <row r="80" spans="2:26" ht="17.399999999999999">
      <c r="B80" s="96" t="s">
        <v>139</v>
      </c>
      <c r="C80" s="100" t="e">
        <f t="shared" ref="C80" si="123">125-C78*C71</f>
        <v>#DIV/0!</v>
      </c>
      <c r="D80" s="100" t="e">
        <f t="shared" ref="D80" si="124">125-D78*D71</f>
        <v>#DIV/0!</v>
      </c>
      <c r="E80" s="100"/>
      <c r="F80" s="100" t="e">
        <f t="shared" ref="F80:F81" si="125">125-F78*F71</f>
        <v>#DIV/0!</v>
      </c>
      <c r="G80" s="235"/>
      <c r="H80" s="235" t="e">
        <f t="shared" ref="H80:I81" si="126">125-H78*H71</f>
        <v>#DIV/0!</v>
      </c>
      <c r="I80" s="235" t="e">
        <f t="shared" si="126"/>
        <v>#DIV/0!</v>
      </c>
      <c r="J80" s="235"/>
      <c r="K80" s="235">
        <f t="shared" ref="K80:K81" si="127">125-K78*K71</f>
        <v>96.660959131349188</v>
      </c>
      <c r="L80" s="101" t="s">
        <v>59</v>
      </c>
      <c r="M80" s="115"/>
      <c r="N80" s="99" t="s">
        <v>140</v>
      </c>
      <c r="P80" s="132">
        <v>300</v>
      </c>
      <c r="Q80" s="132"/>
      <c r="R80" s="132"/>
      <c r="S80" s="132">
        <v>5.2400000000000002E-2</v>
      </c>
    </row>
    <row r="81" spans="2:18" ht="17.399999999999999">
      <c r="B81" s="96" t="s">
        <v>141</v>
      </c>
      <c r="C81" s="121" t="e">
        <f t="shared" ref="C81" si="128">125-C79*C72</f>
        <v>#DIV/0!</v>
      </c>
      <c r="D81" s="121" t="e">
        <f t="shared" ref="D81" si="129">125-D79*D72</f>
        <v>#DIV/0!</v>
      </c>
      <c r="E81" s="121"/>
      <c r="F81" s="121" t="e">
        <f t="shared" si="125"/>
        <v>#DIV/0!</v>
      </c>
      <c r="G81" s="245"/>
      <c r="H81" s="245" t="e">
        <f t="shared" si="126"/>
        <v>#DIV/0!</v>
      </c>
      <c r="I81" s="245" t="e">
        <f t="shared" si="126"/>
        <v>#DIV/0!</v>
      </c>
      <c r="J81" s="245"/>
      <c r="K81" s="245">
        <f t="shared" si="127"/>
        <v>113.27500000000001</v>
      </c>
      <c r="L81" s="101" t="s">
        <v>59</v>
      </c>
      <c r="M81" s="115"/>
      <c r="N81" s="96"/>
    </row>
    <row r="82" spans="2:18" ht="17.399999999999999">
      <c r="B82" s="96" t="s">
        <v>142</v>
      </c>
      <c r="C82" s="121" t="e">
        <f t="shared" ref="C82" si="130">C78*C71</f>
        <v>#DIV/0!</v>
      </c>
      <c r="D82" s="121" t="e">
        <f t="shared" ref="D82" si="131">D78*D71</f>
        <v>#DIV/0!</v>
      </c>
      <c r="E82" s="121"/>
      <c r="F82" s="121" t="e">
        <f t="shared" ref="F82:F83" si="132">F78*F71</f>
        <v>#DIV/0!</v>
      </c>
      <c r="G82" s="245"/>
      <c r="H82" s="245" t="e">
        <f t="shared" ref="H82:I83" si="133">H78*H71</f>
        <v>#DIV/0!</v>
      </c>
      <c r="I82" s="245" t="e">
        <f t="shared" si="133"/>
        <v>#DIV/0!</v>
      </c>
      <c r="J82" s="245"/>
      <c r="K82" s="245">
        <f t="shared" ref="K82:K83" si="134">K78*K71</f>
        <v>28.33904086865082</v>
      </c>
      <c r="L82" s="101" t="s">
        <v>59</v>
      </c>
      <c r="M82" s="115"/>
      <c r="N82" s="96"/>
      <c r="P82" s="264" t="s">
        <v>478</v>
      </c>
      <c r="Q82" s="264"/>
      <c r="R82" s="264"/>
    </row>
    <row r="83" spans="2:18" ht="17.399999999999999">
      <c r="B83" s="96" t="s">
        <v>143</v>
      </c>
      <c r="C83" s="121" t="e">
        <f t="shared" ref="C83" si="135">C79*C72</f>
        <v>#DIV/0!</v>
      </c>
      <c r="D83" s="121" t="e">
        <f t="shared" ref="D83" si="136">D79*D72</f>
        <v>#DIV/0!</v>
      </c>
      <c r="E83" s="121"/>
      <c r="F83" s="121" t="e">
        <f t="shared" si="132"/>
        <v>#DIV/0!</v>
      </c>
      <c r="G83" s="245"/>
      <c r="H83" s="245" t="e">
        <f t="shared" si="133"/>
        <v>#DIV/0!</v>
      </c>
      <c r="I83" s="245" t="e">
        <f t="shared" si="133"/>
        <v>#DIV/0!</v>
      </c>
      <c r="J83" s="245"/>
      <c r="K83" s="245">
        <f t="shared" si="134"/>
        <v>11.725000000000001</v>
      </c>
      <c r="L83" s="101" t="s">
        <v>59</v>
      </c>
      <c r="M83" s="115"/>
      <c r="N83" s="96"/>
      <c r="P83" s="135" t="s">
        <v>470</v>
      </c>
      <c r="Q83" s="135" t="s">
        <v>476</v>
      </c>
      <c r="R83" s="135"/>
    </row>
    <row r="84" spans="2:18" ht="17.399999999999999">
      <c r="B84" s="96" t="s">
        <v>144</v>
      </c>
      <c r="C84" s="128">
        <v>3.2000000000000001E-2</v>
      </c>
      <c r="D84" s="128">
        <v>3.2000000000000001E-2</v>
      </c>
      <c r="E84" s="128"/>
      <c r="F84" s="128">
        <v>6.4999999999999997E-3</v>
      </c>
      <c r="G84" s="247"/>
      <c r="H84" s="247">
        <v>3.2000000000000001E-2</v>
      </c>
      <c r="I84" s="247">
        <v>3.2000000000000001E-2</v>
      </c>
      <c r="J84" s="247"/>
      <c r="K84" s="247">
        <v>3.2000000000000001E-2</v>
      </c>
      <c r="L84" s="96" t="s">
        <v>58</v>
      </c>
      <c r="M84" s="115">
        <v>19</v>
      </c>
      <c r="N84" s="96" t="s">
        <v>117</v>
      </c>
      <c r="P84" s="114" t="s">
        <v>468</v>
      </c>
      <c r="Q84" s="114">
        <v>183</v>
      </c>
      <c r="R84" s="114" t="s">
        <v>471</v>
      </c>
    </row>
    <row r="85" spans="2:18" ht="17.399999999999999">
      <c r="B85" s="96" t="s">
        <v>145</v>
      </c>
      <c r="C85" s="128">
        <v>5.1999999999999998E-2</v>
      </c>
      <c r="D85" s="128">
        <v>5.1999999999999998E-2</v>
      </c>
      <c r="E85" s="128"/>
      <c r="F85" s="128">
        <v>7.1999999999999998E-3</v>
      </c>
      <c r="G85" s="247"/>
      <c r="H85" s="247">
        <v>5.1999999999999998E-2</v>
      </c>
      <c r="I85" s="247">
        <v>5.1999999999999998E-2</v>
      </c>
      <c r="J85" s="247"/>
      <c r="K85" s="247">
        <v>5.1999999999999998E-2</v>
      </c>
      <c r="L85" s="96" t="s">
        <v>58</v>
      </c>
      <c r="M85" s="115">
        <v>20</v>
      </c>
      <c r="N85" s="96" t="s">
        <v>117</v>
      </c>
      <c r="P85" s="114" t="s">
        <v>469</v>
      </c>
      <c r="Q85" s="114">
        <v>75</v>
      </c>
      <c r="R85" s="114" t="s">
        <v>471</v>
      </c>
    </row>
    <row r="86" spans="2:18" ht="17.399999999999999">
      <c r="B86" s="96" t="s">
        <v>146</v>
      </c>
      <c r="C86" s="122" t="e">
        <f t="shared" ref="C86" si="137">C80-C84*C71</f>
        <v>#DIV/0!</v>
      </c>
      <c r="D86" s="122" t="e">
        <f t="shared" ref="D86" si="138">D80-D84*D71</f>
        <v>#DIV/0!</v>
      </c>
      <c r="E86" s="122"/>
      <c r="F86" s="122" t="e">
        <f t="shared" ref="F86:F87" si="139">F80-F84*F71</f>
        <v>#DIV/0!</v>
      </c>
      <c r="G86" s="246"/>
      <c r="H86" s="246" t="e">
        <f t="shared" ref="H86:I87" si="140">H80-H84*H71</f>
        <v>#DIV/0!</v>
      </c>
      <c r="I86" s="246" t="e">
        <f t="shared" si="140"/>
        <v>#DIV/0!</v>
      </c>
      <c r="J86" s="246"/>
      <c r="K86" s="246">
        <f t="shared" ref="K86:K87" si="141">K80-K84*K71</f>
        <v>14.220112968001345</v>
      </c>
      <c r="L86" s="101" t="s">
        <v>59</v>
      </c>
      <c r="M86" s="115"/>
      <c r="N86" s="96" t="s">
        <v>140</v>
      </c>
      <c r="P86" s="114" t="s">
        <v>472</v>
      </c>
      <c r="Q86" s="114">
        <v>9</v>
      </c>
      <c r="R86" s="114" t="s">
        <v>471</v>
      </c>
    </row>
    <row r="87" spans="2:18" ht="17.399999999999999">
      <c r="B87" s="96" t="s">
        <v>147</v>
      </c>
      <c r="C87" s="121" t="e">
        <f t="shared" ref="C87" si="142">C81-C85*C72</f>
        <v>#DIV/0!</v>
      </c>
      <c r="D87" s="121" t="e">
        <f t="shared" ref="D87" si="143">D81-D85*D72</f>
        <v>#DIV/0!</v>
      </c>
      <c r="E87" s="121"/>
      <c r="F87" s="121" t="e">
        <f t="shared" si="139"/>
        <v>#DIV/0!</v>
      </c>
      <c r="G87" s="245"/>
      <c r="H87" s="245" t="e">
        <f t="shared" si="140"/>
        <v>#DIV/0!</v>
      </c>
      <c r="I87" s="245" t="e">
        <f t="shared" si="140"/>
        <v>#DIV/0!</v>
      </c>
      <c r="J87" s="245"/>
      <c r="K87" s="245">
        <f t="shared" si="141"/>
        <v>78.435000000000002</v>
      </c>
      <c r="L87" s="101" t="s">
        <v>59</v>
      </c>
      <c r="M87" s="115"/>
      <c r="N87" s="96"/>
      <c r="P87" s="114" t="s">
        <v>473</v>
      </c>
      <c r="Q87" s="114">
        <v>6</v>
      </c>
      <c r="R87" s="114" t="s">
        <v>471</v>
      </c>
    </row>
    <row r="88" spans="2:18" ht="17.399999999999999">
      <c r="B88" s="96" t="s">
        <v>148</v>
      </c>
      <c r="C88" s="121" t="e">
        <f t="shared" ref="C88" si="144">C84*C71</f>
        <v>#DIV/0!</v>
      </c>
      <c r="D88" s="121" t="e">
        <f t="shared" ref="D88" si="145">D84*D71</f>
        <v>#DIV/0!</v>
      </c>
      <c r="E88" s="121"/>
      <c r="F88" s="121" t="e">
        <f t="shared" ref="F88:F89" si="146">F84*F71</f>
        <v>#DIV/0!</v>
      </c>
      <c r="G88" s="245"/>
      <c r="H88" s="245" t="e">
        <f t="shared" ref="H88:I89" si="147">H84*H71</f>
        <v>#DIV/0!</v>
      </c>
      <c r="I88" s="245" t="e">
        <f t="shared" si="147"/>
        <v>#DIV/0!</v>
      </c>
      <c r="J88" s="245"/>
      <c r="K88" s="245">
        <f t="shared" ref="K88:K89" si="148">K84*K71</f>
        <v>82.440846163347842</v>
      </c>
      <c r="L88" s="101" t="s">
        <v>59</v>
      </c>
      <c r="M88" s="115"/>
      <c r="N88" s="96"/>
      <c r="P88" s="114" t="s">
        <v>474</v>
      </c>
      <c r="Q88" s="114">
        <v>12</v>
      </c>
      <c r="R88" s="114" t="s">
        <v>471</v>
      </c>
    </row>
    <row r="89" spans="2:18" ht="17.399999999999999">
      <c r="B89" s="96" t="s">
        <v>149</v>
      </c>
      <c r="C89" s="121" t="e">
        <f t="shared" ref="C89" si="149">C85*C72</f>
        <v>#DIV/0!</v>
      </c>
      <c r="D89" s="121" t="e">
        <f t="shared" ref="D89" si="150">D85*D72</f>
        <v>#DIV/0!</v>
      </c>
      <c r="E89" s="121"/>
      <c r="F89" s="121" t="e">
        <f t="shared" si="146"/>
        <v>#DIV/0!</v>
      </c>
      <c r="G89" s="245"/>
      <c r="H89" s="245" t="e">
        <f t="shared" si="147"/>
        <v>#DIV/0!</v>
      </c>
      <c r="I89" s="245" t="e">
        <f t="shared" si="147"/>
        <v>#DIV/0!</v>
      </c>
      <c r="J89" s="245"/>
      <c r="K89" s="245">
        <f t="shared" si="148"/>
        <v>34.839999999999996</v>
      </c>
      <c r="L89" s="101" t="s">
        <v>59</v>
      </c>
      <c r="M89" s="115"/>
      <c r="N89" s="96"/>
      <c r="P89" s="114" t="s">
        <v>475</v>
      </c>
      <c r="Q89" s="114">
        <v>78.540000000000006</v>
      </c>
      <c r="R89" s="114" t="s">
        <v>471</v>
      </c>
    </row>
    <row r="90" spans="2:18" ht="17.399999999999999">
      <c r="B90" s="96" t="s">
        <v>60</v>
      </c>
      <c r="C90" s="121">
        <v>60</v>
      </c>
      <c r="D90" s="121">
        <v>60</v>
      </c>
      <c r="E90" s="121"/>
      <c r="F90" s="121">
        <v>60</v>
      </c>
      <c r="G90" s="245"/>
      <c r="H90" s="245">
        <v>60</v>
      </c>
      <c r="I90" s="245">
        <v>60</v>
      </c>
      <c r="J90" s="245"/>
      <c r="K90" s="245">
        <v>60</v>
      </c>
      <c r="L90" s="101" t="s">
        <v>59</v>
      </c>
      <c r="M90" s="115"/>
      <c r="N90" s="96" t="s">
        <v>150</v>
      </c>
    </row>
    <row r="91" spans="2:18" ht="17.399999999999999">
      <c r="B91" s="96" t="s">
        <v>61</v>
      </c>
      <c r="C91" s="120">
        <v>8</v>
      </c>
      <c r="D91" s="120">
        <v>8</v>
      </c>
      <c r="E91" s="120"/>
      <c r="F91" s="120">
        <v>8</v>
      </c>
      <c r="G91" s="244"/>
      <c r="H91" s="244">
        <v>8</v>
      </c>
      <c r="I91" s="244">
        <v>8</v>
      </c>
      <c r="J91" s="244"/>
      <c r="K91" s="244">
        <v>8</v>
      </c>
      <c r="L91" s="101" t="s">
        <v>62</v>
      </c>
      <c r="M91" s="115"/>
      <c r="N91" s="96" t="s">
        <v>151</v>
      </c>
    </row>
    <row r="92" spans="2:18" ht="17.399999999999999">
      <c r="B92" s="96" t="s">
        <v>63</v>
      </c>
      <c r="C92" s="106" t="e">
        <f t="shared" ref="C92" si="151">C90-(C75/1000*860/C91/60)</f>
        <v>#DIV/0!</v>
      </c>
      <c r="D92" s="106" t="e">
        <f t="shared" ref="D92" si="152">D90-(D75/1000*860/D91/60)</f>
        <v>#DIV/0!</v>
      </c>
      <c r="E92" s="106"/>
      <c r="F92" s="106" t="e">
        <f t="shared" ref="F92" si="153">F90-(F75/1000*860/F91/60)</f>
        <v>#DIV/0!</v>
      </c>
      <c r="G92" s="238"/>
      <c r="H92" s="238" t="e">
        <f t="shared" ref="H92:I92" si="154">H90-(H75/1000*860/H91/60)</f>
        <v>#DIV/0!</v>
      </c>
      <c r="I92" s="238" t="e">
        <f t="shared" si="154"/>
        <v>#DIV/0!</v>
      </c>
      <c r="J92" s="238"/>
      <c r="K92" s="238">
        <f t="shared" ref="K92" si="155">K90-(K75/1000*860/K91/60)</f>
        <v>54.180666666666667</v>
      </c>
      <c r="L92" s="101" t="s">
        <v>59</v>
      </c>
      <c r="M92" s="115"/>
      <c r="N92" s="96"/>
    </row>
  </sheetData>
  <mergeCells count="24">
    <mergeCell ref="AB3:AD3"/>
    <mergeCell ref="AB10:AD10"/>
    <mergeCell ref="AB32:AD32"/>
    <mergeCell ref="AB38:AD38"/>
    <mergeCell ref="T50:V50"/>
    <mergeCell ref="AB19:AD19"/>
    <mergeCell ref="X22:Z22"/>
    <mergeCell ref="X41:Z41"/>
    <mergeCell ref="T44:V44"/>
    <mergeCell ref="X61:Z61"/>
    <mergeCell ref="P61:R61"/>
    <mergeCell ref="P82:R82"/>
    <mergeCell ref="X3:Z3"/>
    <mergeCell ref="P3:R3"/>
    <mergeCell ref="P16:R16"/>
    <mergeCell ref="P29:R29"/>
    <mergeCell ref="P40:R40"/>
    <mergeCell ref="T3:V3"/>
    <mergeCell ref="T10:V10"/>
    <mergeCell ref="T15:V15"/>
    <mergeCell ref="P55:R55"/>
    <mergeCell ref="P49:R49"/>
    <mergeCell ref="U32:V32"/>
    <mergeCell ref="T21:V21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workbookViewId="0">
      <selection activeCell="F14" sqref="F14"/>
    </sheetView>
  </sheetViews>
  <sheetFormatPr defaultRowHeight="14.4"/>
  <cols>
    <col min="2" max="2" width="22.19921875" bestFit="1" customWidth="1"/>
    <col min="3" max="3" width="55" customWidth="1"/>
    <col min="4" max="4" width="52.796875" customWidth="1"/>
  </cols>
  <sheetData>
    <row r="2" spans="2:4" ht="15" thickBot="1"/>
    <row r="3" spans="2:4" ht="16.2" thickBot="1">
      <c r="B3" s="208" t="s">
        <v>586</v>
      </c>
      <c r="C3" s="209" t="s">
        <v>651</v>
      </c>
      <c r="D3" s="209" t="s">
        <v>587</v>
      </c>
    </row>
    <row r="4" spans="2:4" ht="16.2" thickBot="1">
      <c r="B4" s="210" t="s">
        <v>588</v>
      </c>
      <c r="C4" s="208"/>
      <c r="D4" s="208"/>
    </row>
    <row r="5" spans="2:4" ht="15.6">
      <c r="B5" s="211" t="s">
        <v>589</v>
      </c>
      <c r="C5" s="212" t="s">
        <v>627</v>
      </c>
      <c r="D5" s="212"/>
    </row>
    <row r="6" spans="2:4" ht="15.6">
      <c r="B6" s="211" t="s">
        <v>590</v>
      </c>
      <c r="C6" s="212" t="s">
        <v>628</v>
      </c>
      <c r="D6" s="212"/>
    </row>
    <row r="7" spans="2:4" ht="15.6">
      <c r="B7" s="211" t="s">
        <v>591</v>
      </c>
      <c r="C7" s="213" t="s">
        <v>630</v>
      </c>
      <c r="D7" s="213" t="s">
        <v>629</v>
      </c>
    </row>
    <row r="8" spans="2:4" ht="15.6">
      <c r="B8" s="211" t="s">
        <v>592</v>
      </c>
      <c r="C8" s="220" t="s">
        <v>631</v>
      </c>
      <c r="D8" s="221" t="s">
        <v>620</v>
      </c>
    </row>
    <row r="9" spans="2:4" ht="15.6">
      <c r="B9" s="211" t="s">
        <v>593</v>
      </c>
      <c r="C9" s="226" t="s">
        <v>632</v>
      </c>
      <c r="D9" s="226" t="s">
        <v>633</v>
      </c>
    </row>
    <row r="10" spans="2:4" ht="15.6">
      <c r="B10" s="211" t="s">
        <v>594</v>
      </c>
      <c r="C10" s="230" t="s">
        <v>634</v>
      </c>
      <c r="D10" s="214"/>
    </row>
    <row r="11" spans="2:4" ht="15.6">
      <c r="B11" s="211" t="s">
        <v>595</v>
      </c>
      <c r="C11" s="231" t="s">
        <v>635</v>
      </c>
      <c r="D11" s="222" t="s">
        <v>636</v>
      </c>
    </row>
    <row r="12" spans="2:4" ht="15.6">
      <c r="B12" s="211" t="s">
        <v>596</v>
      </c>
      <c r="C12" s="232" t="s">
        <v>658</v>
      </c>
      <c r="D12" s="213"/>
    </row>
    <row r="13" spans="2:4" ht="15.6">
      <c r="B13" s="211" t="s">
        <v>597</v>
      </c>
      <c r="C13" s="262" t="s">
        <v>660</v>
      </c>
      <c r="D13" s="262" t="s">
        <v>659</v>
      </c>
    </row>
    <row r="14" spans="2:4" ht="15.6">
      <c r="B14" s="211" t="s">
        <v>598</v>
      </c>
      <c r="C14" s="214" t="s">
        <v>646</v>
      </c>
      <c r="D14" s="214"/>
    </row>
    <row r="15" spans="2:4" ht="15.6">
      <c r="B15" s="211" t="s">
        <v>599</v>
      </c>
      <c r="C15" s="252" t="s">
        <v>640</v>
      </c>
      <c r="D15" s="214" t="s">
        <v>600</v>
      </c>
    </row>
    <row r="16" spans="2:4" ht="15.6">
      <c r="B16" s="211" t="s">
        <v>601</v>
      </c>
      <c r="C16" s="213" t="s">
        <v>602</v>
      </c>
      <c r="D16" s="214"/>
    </row>
    <row r="17" spans="2:11" ht="15.6">
      <c r="B17" s="211" t="s">
        <v>603</v>
      </c>
      <c r="C17" s="214" t="s">
        <v>638</v>
      </c>
      <c r="D17" s="222"/>
    </row>
    <row r="18" spans="2:11" ht="15.6">
      <c r="B18" s="211" t="s">
        <v>604</v>
      </c>
      <c r="C18" s="214" t="s">
        <v>623</v>
      </c>
      <c r="D18" s="214"/>
      <c r="E18" s="191"/>
      <c r="F18" s="191"/>
      <c r="G18" s="191"/>
      <c r="H18" s="191"/>
      <c r="I18" s="191"/>
      <c r="J18" s="191"/>
      <c r="K18" s="191"/>
    </row>
    <row r="19" spans="2:11" s="194" customFormat="1" ht="15.6">
      <c r="B19" s="211" t="s">
        <v>605</v>
      </c>
      <c r="C19" s="214" t="s">
        <v>639</v>
      </c>
      <c r="D19" s="214"/>
      <c r="E19" s="193"/>
      <c r="F19" s="193"/>
      <c r="G19" s="193"/>
      <c r="H19" s="193"/>
      <c r="I19" s="193"/>
      <c r="J19" s="193"/>
      <c r="K19" s="193"/>
    </row>
    <row r="20" spans="2:11" s="194" customFormat="1" ht="15.6">
      <c r="B20" s="227" t="s">
        <v>648</v>
      </c>
      <c r="C20" s="249" t="s">
        <v>650</v>
      </c>
      <c r="D20" s="253" t="s">
        <v>649</v>
      </c>
      <c r="E20" s="193"/>
      <c r="F20" s="193"/>
      <c r="G20" s="193"/>
      <c r="H20" s="193"/>
      <c r="I20" s="193"/>
      <c r="J20" s="193"/>
      <c r="K20" s="193"/>
    </row>
    <row r="21" spans="2:11" ht="15.6">
      <c r="B21" s="211" t="s">
        <v>606</v>
      </c>
      <c r="C21" s="249" t="s">
        <v>650</v>
      </c>
      <c r="D21" s="214" t="s">
        <v>647</v>
      </c>
      <c r="E21" s="191"/>
      <c r="F21" s="191"/>
      <c r="G21" s="191"/>
      <c r="H21" s="192"/>
      <c r="I21" s="191"/>
      <c r="J21" s="191"/>
      <c r="K21" s="191"/>
    </row>
    <row r="22" spans="2:11" ht="15.6">
      <c r="B22" s="215" t="s">
        <v>607</v>
      </c>
      <c r="C22" s="214" t="s">
        <v>621</v>
      </c>
      <c r="D22" s="214"/>
      <c r="E22" s="191"/>
      <c r="F22" s="191"/>
      <c r="G22" s="191"/>
      <c r="H22" s="191"/>
      <c r="I22" s="191"/>
      <c r="J22" s="191"/>
      <c r="K22" s="191"/>
    </row>
    <row r="23" spans="2:11" ht="15.6">
      <c r="B23" s="211" t="s">
        <v>608</v>
      </c>
      <c r="C23" s="213"/>
      <c r="D23" s="213"/>
      <c r="E23" s="191"/>
      <c r="F23" s="191"/>
      <c r="G23" s="191"/>
      <c r="H23" s="191"/>
      <c r="I23" s="191"/>
      <c r="J23" s="191"/>
      <c r="K23" s="191"/>
    </row>
    <row r="24" spans="2:11" ht="15.6">
      <c r="B24" s="211" t="s">
        <v>609</v>
      </c>
      <c r="C24" s="213" t="s">
        <v>641</v>
      </c>
      <c r="D24" s="211"/>
      <c r="E24" s="191"/>
      <c r="F24" s="191"/>
      <c r="G24" s="191"/>
      <c r="H24" s="191"/>
      <c r="I24" s="191"/>
      <c r="J24" s="191"/>
      <c r="K24" s="191"/>
    </row>
    <row r="25" spans="2:11" ht="15.6">
      <c r="B25" s="211" t="s">
        <v>610</v>
      </c>
      <c r="C25" s="213" t="s">
        <v>642</v>
      </c>
      <c r="D25" s="211"/>
    </row>
    <row r="26" spans="2:11" ht="15.6">
      <c r="B26" s="211" t="s">
        <v>611</v>
      </c>
      <c r="C26" s="213" t="s">
        <v>643</v>
      </c>
      <c r="D26" s="211"/>
    </row>
    <row r="27" spans="2:11" ht="15.6">
      <c r="B27" s="211" t="s">
        <v>612</v>
      </c>
      <c r="C27" s="213" t="s">
        <v>644</v>
      </c>
      <c r="D27" s="211"/>
    </row>
    <row r="28" spans="2:11" ht="15.6">
      <c r="B28" s="216" t="s">
        <v>613</v>
      </c>
      <c r="C28" s="213" t="s">
        <v>644</v>
      </c>
      <c r="D28" s="211"/>
    </row>
    <row r="29" spans="2:11" ht="15.6">
      <c r="B29" s="216" t="s">
        <v>614</v>
      </c>
      <c r="C29" s="248" t="s">
        <v>644</v>
      </c>
      <c r="D29" s="216"/>
    </row>
    <row r="30" spans="2:11" ht="15.6">
      <c r="B30" s="211" t="s">
        <v>615</v>
      </c>
      <c r="C30" s="213" t="s">
        <v>645</v>
      </c>
      <c r="D30" s="213"/>
    </row>
    <row r="31" spans="2:11" ht="15.6">
      <c r="B31" s="216" t="s">
        <v>616</v>
      </c>
      <c r="C31" s="218" t="s">
        <v>622</v>
      </c>
      <c r="D31" s="216"/>
    </row>
    <row r="32" spans="2:11" ht="15.6">
      <c r="B32" s="216" t="s">
        <v>617</v>
      </c>
      <c r="C32" s="218" t="s">
        <v>602</v>
      </c>
      <c r="D32" s="216"/>
    </row>
    <row r="33" spans="2:4" ht="15.6">
      <c r="B33" s="216" t="s">
        <v>618</v>
      </c>
      <c r="C33" s="218" t="s">
        <v>602</v>
      </c>
      <c r="D33" s="216"/>
    </row>
    <row r="34" spans="2:4" ht="16.2" thickBot="1">
      <c r="B34" s="217" t="s">
        <v>619</v>
      </c>
      <c r="C34" s="219" t="s">
        <v>657</v>
      </c>
      <c r="D34" s="217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A20" workbookViewId="0">
      <selection activeCell="N30" sqref="N30"/>
    </sheetView>
  </sheetViews>
  <sheetFormatPr defaultRowHeight="14.4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  <col min="8" max="8" width="10.69921875" bestFit="1" customWidth="1"/>
  </cols>
  <sheetData>
    <row r="2" spans="3:7" ht="27.6">
      <c r="C2" s="283" t="s">
        <v>503</v>
      </c>
      <c r="D2" s="284"/>
      <c r="E2" s="284"/>
      <c r="F2" s="284"/>
      <c r="G2" s="285"/>
    </row>
    <row r="3" spans="3:7" ht="21">
      <c r="C3" s="286" t="s">
        <v>504</v>
      </c>
      <c r="D3" s="286"/>
      <c r="E3" s="280" t="s">
        <v>652</v>
      </c>
      <c r="F3" s="281"/>
      <c r="G3" s="282"/>
    </row>
    <row r="4" spans="3:7" ht="21">
      <c r="C4" s="168" t="s">
        <v>505</v>
      </c>
      <c r="D4" s="169" t="s">
        <v>663</v>
      </c>
      <c r="E4" s="130" t="s">
        <v>457</v>
      </c>
      <c r="F4" s="287" t="s">
        <v>654</v>
      </c>
      <c r="G4" s="288"/>
    </row>
    <row r="5" spans="3:7" ht="21">
      <c r="C5" s="170" t="s">
        <v>506</v>
      </c>
      <c r="D5" s="171"/>
      <c r="E5" s="130" t="s">
        <v>458</v>
      </c>
      <c r="F5" s="280" t="s">
        <v>653</v>
      </c>
      <c r="G5" s="282"/>
    </row>
    <row r="6" spans="3:7" ht="21">
      <c r="C6" s="280" t="s">
        <v>507</v>
      </c>
      <c r="D6" s="281"/>
      <c r="E6" s="281"/>
      <c r="F6" s="281"/>
      <c r="G6" s="282"/>
    </row>
    <row r="7" spans="3:7" ht="17.399999999999999" hidden="1">
      <c r="C7" s="172">
        <v>1</v>
      </c>
      <c r="D7" s="69" t="s">
        <v>508</v>
      </c>
      <c r="E7" s="173" t="s">
        <v>508</v>
      </c>
      <c r="F7" s="174">
        <v>100</v>
      </c>
      <c r="G7" s="175" t="s">
        <v>509</v>
      </c>
    </row>
    <row r="8" spans="3:7" ht="16.5" hidden="1" customHeight="1">
      <c r="C8" s="176"/>
      <c r="D8" s="176"/>
      <c r="E8" s="173" t="s">
        <v>510</v>
      </c>
      <c r="F8" s="174">
        <v>1</v>
      </c>
      <c r="G8" s="175" t="s">
        <v>511</v>
      </c>
    </row>
    <row r="9" spans="3:7" ht="20.25" hidden="1" customHeight="1">
      <c r="C9" s="176"/>
      <c r="D9" s="176"/>
      <c r="E9" s="177" t="s">
        <v>512</v>
      </c>
      <c r="F9" s="178">
        <f>(10*10^6)/F8</f>
        <v>10000000</v>
      </c>
      <c r="G9" s="179"/>
    </row>
    <row r="10" spans="3:7" ht="16.5" hidden="1" customHeight="1">
      <c r="C10" s="176"/>
      <c r="D10" s="176"/>
      <c r="E10" s="177" t="s">
        <v>513</v>
      </c>
      <c r="F10" s="178">
        <v>100000</v>
      </c>
      <c r="G10" s="179">
        <v>50000</v>
      </c>
    </row>
    <row r="11" spans="3:7" ht="16.5" hidden="1" customHeight="1">
      <c r="C11" s="176"/>
      <c r="D11" s="176"/>
      <c r="E11" s="177" t="s">
        <v>514</v>
      </c>
      <c r="F11" s="178" t="e">
        <f>$E9/(F10/10)</f>
        <v>#VALUE!</v>
      </c>
      <c r="G11" s="179" t="e">
        <f>$E9/(G10/10)</f>
        <v>#VALUE!</v>
      </c>
    </row>
    <row r="12" spans="3:7" ht="16.5" hidden="1" customHeight="1">
      <c r="C12" s="176"/>
      <c r="D12" s="176"/>
      <c r="E12" s="177" t="s">
        <v>515</v>
      </c>
      <c r="F12" s="178" t="e">
        <f>F11/2</f>
        <v>#VALUE!</v>
      </c>
      <c r="G12" s="179" t="e">
        <f>G11/2</f>
        <v>#VALUE!</v>
      </c>
    </row>
    <row r="13" spans="3:7" ht="16.5" customHeight="1">
      <c r="C13" s="267">
        <v>2</v>
      </c>
      <c r="D13" s="270" t="s">
        <v>516</v>
      </c>
      <c r="E13" s="173" t="s">
        <v>517</v>
      </c>
      <c r="F13" s="174">
        <v>800</v>
      </c>
      <c r="G13" s="69" t="s">
        <v>518</v>
      </c>
    </row>
    <row r="14" spans="3:7" ht="17.399999999999999">
      <c r="C14" s="269"/>
      <c r="D14" s="278"/>
      <c r="E14" s="173" t="s">
        <v>519</v>
      </c>
      <c r="F14" s="183">
        <v>80</v>
      </c>
      <c r="G14" s="69" t="s">
        <v>518</v>
      </c>
    </row>
    <row r="15" spans="3:7" ht="17.399999999999999">
      <c r="C15" s="267">
        <v>3</v>
      </c>
      <c r="D15" s="270" t="s">
        <v>520</v>
      </c>
      <c r="E15" s="173" t="s">
        <v>520</v>
      </c>
      <c r="F15" s="174">
        <v>440</v>
      </c>
      <c r="G15" s="69" t="s">
        <v>521</v>
      </c>
    </row>
    <row r="16" spans="3:7" ht="17.399999999999999">
      <c r="C16" s="268"/>
      <c r="D16" s="271"/>
      <c r="E16" s="181" t="s">
        <v>522</v>
      </c>
      <c r="F16" s="174">
        <v>763</v>
      </c>
      <c r="G16" s="69" t="s">
        <v>161</v>
      </c>
    </row>
    <row r="17" spans="3:8" ht="17.399999999999999">
      <c r="C17" s="268"/>
      <c r="D17" s="271"/>
      <c r="E17" s="181" t="s">
        <v>523</v>
      </c>
      <c r="F17" s="174">
        <v>500</v>
      </c>
      <c r="G17" s="69" t="s">
        <v>161</v>
      </c>
    </row>
    <row r="18" spans="3:8" ht="17.399999999999999">
      <c r="C18" s="269"/>
      <c r="D18" s="278"/>
      <c r="E18" s="181" t="s">
        <v>524</v>
      </c>
      <c r="F18" s="174">
        <v>350</v>
      </c>
      <c r="G18" s="69" t="s">
        <v>161</v>
      </c>
    </row>
    <row r="19" spans="3:8" ht="17.399999999999999">
      <c r="C19" s="267">
        <v>4</v>
      </c>
      <c r="D19" s="270" t="s">
        <v>525</v>
      </c>
      <c r="E19" s="173" t="s">
        <v>526</v>
      </c>
      <c r="F19" s="174">
        <v>2000</v>
      </c>
      <c r="G19" s="69" t="s">
        <v>527</v>
      </c>
    </row>
    <row r="20" spans="3:8" ht="17.399999999999999">
      <c r="C20" s="269"/>
      <c r="D20" s="278"/>
      <c r="E20" s="181" t="s">
        <v>528</v>
      </c>
      <c r="F20" s="174">
        <v>2000</v>
      </c>
      <c r="G20" s="69" t="s">
        <v>164</v>
      </c>
    </row>
    <row r="21" spans="3:8" ht="17.399999999999999">
      <c r="C21" s="267">
        <v>5</v>
      </c>
      <c r="D21" s="270" t="s">
        <v>529</v>
      </c>
      <c r="E21" s="182" t="s">
        <v>530</v>
      </c>
      <c r="F21" s="183">
        <v>6.8</v>
      </c>
      <c r="G21" s="67" t="s">
        <v>531</v>
      </c>
    </row>
    <row r="22" spans="3:8" ht="17.399999999999999">
      <c r="C22" s="268"/>
      <c r="D22" s="271"/>
      <c r="E22" s="182" t="s">
        <v>532</v>
      </c>
      <c r="F22" s="174">
        <v>5</v>
      </c>
      <c r="G22" s="67" t="s">
        <v>533</v>
      </c>
    </row>
    <row r="23" spans="3:8" ht="16.5" customHeight="1">
      <c r="C23" s="268"/>
      <c r="D23" s="271"/>
      <c r="E23" s="182" t="s">
        <v>534</v>
      </c>
      <c r="F23" s="174">
        <v>2000</v>
      </c>
      <c r="G23" s="67" t="s">
        <v>535</v>
      </c>
    </row>
    <row r="24" spans="3:8" ht="17.399999999999999">
      <c r="C24" s="268"/>
      <c r="D24" s="271"/>
      <c r="E24" s="182" t="s">
        <v>536</v>
      </c>
      <c r="F24" s="174">
        <v>3400</v>
      </c>
      <c r="G24" s="67" t="s">
        <v>164</v>
      </c>
      <c r="H24" s="228"/>
    </row>
    <row r="25" spans="3:8" ht="17.399999999999999">
      <c r="C25" s="268"/>
      <c r="D25" s="271"/>
      <c r="E25" s="184" t="s">
        <v>537</v>
      </c>
      <c r="F25" s="174">
        <f>(3/(F21/F22))*F23</f>
        <v>4411.7647058823532</v>
      </c>
      <c r="G25" s="67" t="s">
        <v>164</v>
      </c>
    </row>
    <row r="26" spans="3:8" ht="17.399999999999999">
      <c r="C26" s="268"/>
      <c r="D26" s="271"/>
      <c r="E26" s="184" t="s">
        <v>538</v>
      </c>
      <c r="F26" s="174">
        <f>F25*1.11</f>
        <v>4897.0588235294126</v>
      </c>
      <c r="G26" s="67" t="s">
        <v>164</v>
      </c>
    </row>
    <row r="27" spans="3:8" ht="17.399999999999999">
      <c r="C27" s="269"/>
      <c r="D27" s="278"/>
      <c r="E27" s="184" t="s">
        <v>539</v>
      </c>
      <c r="F27" s="174">
        <v>4000</v>
      </c>
      <c r="G27" s="67" t="s">
        <v>164</v>
      </c>
    </row>
    <row r="28" spans="3:8" ht="16.5" customHeight="1">
      <c r="C28" s="267">
        <v>6</v>
      </c>
      <c r="D28" s="279" t="s">
        <v>540</v>
      </c>
      <c r="E28" s="184" t="s">
        <v>517</v>
      </c>
      <c r="F28" s="174">
        <v>800</v>
      </c>
      <c r="G28" s="103" t="s">
        <v>541</v>
      </c>
    </row>
    <row r="29" spans="3:8" ht="16.5" customHeight="1">
      <c r="C29" s="269"/>
      <c r="D29" s="278"/>
      <c r="E29" s="184" t="s">
        <v>519</v>
      </c>
      <c r="F29" s="183">
        <v>80</v>
      </c>
      <c r="G29" s="103" t="s">
        <v>541</v>
      </c>
    </row>
    <row r="30" spans="3:8" ht="17.399999999999999">
      <c r="C30" s="267">
        <v>7</v>
      </c>
      <c r="D30" s="270" t="s">
        <v>542</v>
      </c>
      <c r="E30" s="184" t="s">
        <v>517</v>
      </c>
      <c r="F30" s="174">
        <v>800</v>
      </c>
      <c r="G30" s="103" t="s">
        <v>541</v>
      </c>
    </row>
    <row r="31" spans="3:8" ht="17.399999999999999">
      <c r="C31" s="269"/>
      <c r="D31" s="278"/>
      <c r="E31" s="184" t="s">
        <v>519</v>
      </c>
      <c r="F31" s="183">
        <v>80</v>
      </c>
      <c r="G31" s="103" t="s">
        <v>541</v>
      </c>
    </row>
    <row r="32" spans="3:8" ht="17.399999999999999">
      <c r="C32" s="267">
        <v>8</v>
      </c>
      <c r="D32" s="270" t="s">
        <v>543</v>
      </c>
      <c r="E32" s="184" t="s">
        <v>517</v>
      </c>
      <c r="F32" s="174"/>
      <c r="G32" s="103" t="s">
        <v>544</v>
      </c>
    </row>
    <row r="33" spans="3:7" ht="17.399999999999999">
      <c r="C33" s="269"/>
      <c r="D33" s="278"/>
      <c r="E33" s="184" t="s">
        <v>519</v>
      </c>
      <c r="F33" s="174"/>
      <c r="G33" s="103" t="s">
        <v>544</v>
      </c>
    </row>
    <row r="34" spans="3:7" ht="17.399999999999999">
      <c r="C34" s="267">
        <v>9</v>
      </c>
      <c r="D34" s="270" t="s">
        <v>545</v>
      </c>
      <c r="E34" s="184" t="s">
        <v>546</v>
      </c>
      <c r="F34" s="174">
        <v>457.5</v>
      </c>
      <c r="G34" s="103" t="s">
        <v>547</v>
      </c>
    </row>
    <row r="35" spans="3:7" ht="17.399999999999999">
      <c r="C35" s="268"/>
      <c r="D35" s="271"/>
      <c r="E35" s="184" t="s">
        <v>548</v>
      </c>
      <c r="F35" s="174">
        <v>600</v>
      </c>
      <c r="G35" s="103" t="s">
        <v>161</v>
      </c>
    </row>
    <row r="36" spans="3:7" ht="17.399999999999999">
      <c r="C36" s="269"/>
      <c r="D36" s="278"/>
      <c r="E36" s="184" t="s">
        <v>549</v>
      </c>
      <c r="F36" s="174">
        <v>450</v>
      </c>
      <c r="G36" s="103" t="s">
        <v>161</v>
      </c>
    </row>
    <row r="37" spans="3:7" ht="17.399999999999999">
      <c r="C37" s="172">
        <v>10</v>
      </c>
      <c r="D37" s="69" t="s">
        <v>550</v>
      </c>
      <c r="E37" s="184" t="s">
        <v>551</v>
      </c>
      <c r="F37" s="195">
        <v>1</v>
      </c>
      <c r="G37" s="67" t="s">
        <v>535</v>
      </c>
    </row>
    <row r="38" spans="3:7" ht="17.399999999999999">
      <c r="C38" s="267">
        <v>11</v>
      </c>
      <c r="D38" s="270" t="s">
        <v>552</v>
      </c>
      <c r="E38" s="184" t="s">
        <v>519</v>
      </c>
      <c r="F38" s="174">
        <v>1000</v>
      </c>
      <c r="G38" s="67" t="s">
        <v>544</v>
      </c>
    </row>
    <row r="39" spans="3:7" ht="16.5" customHeight="1">
      <c r="C39" s="268"/>
      <c r="D39" s="271"/>
      <c r="E39" s="184" t="s">
        <v>517</v>
      </c>
      <c r="F39" s="174">
        <v>10000</v>
      </c>
      <c r="G39" s="67" t="s">
        <v>544</v>
      </c>
    </row>
    <row r="40" spans="3:7" ht="17.399999999999999">
      <c r="C40" s="268"/>
      <c r="D40" s="271"/>
      <c r="E40" s="184" t="s">
        <v>553</v>
      </c>
      <c r="F40" s="174">
        <v>8000</v>
      </c>
      <c r="G40" s="67" t="s">
        <v>544</v>
      </c>
    </row>
    <row r="41" spans="3:7" ht="17.399999999999999">
      <c r="C41" s="269"/>
      <c r="D41" s="278"/>
      <c r="E41" s="184" t="s">
        <v>554</v>
      </c>
      <c r="F41" s="180"/>
      <c r="G41" s="67" t="s">
        <v>544</v>
      </c>
    </row>
    <row r="42" spans="3:7" ht="17.399999999999999">
      <c r="C42" s="185">
        <v>12</v>
      </c>
      <c r="D42" s="186" t="s">
        <v>555</v>
      </c>
      <c r="E42" s="184" t="s">
        <v>555</v>
      </c>
      <c r="F42" s="183">
        <v>7</v>
      </c>
      <c r="G42" s="103" t="s">
        <v>556</v>
      </c>
    </row>
    <row r="43" spans="3:7" ht="16.5" hidden="1" customHeight="1">
      <c r="C43" s="267">
        <v>13</v>
      </c>
      <c r="D43" s="270" t="s">
        <v>557</v>
      </c>
      <c r="E43" s="184" t="s">
        <v>558</v>
      </c>
      <c r="F43" s="184" t="s">
        <v>559</v>
      </c>
      <c r="G43" s="187" t="s">
        <v>560</v>
      </c>
    </row>
    <row r="44" spans="3:7" ht="17.399999999999999">
      <c r="C44" s="268"/>
      <c r="D44" s="271"/>
      <c r="E44" s="184" t="s">
        <v>561</v>
      </c>
      <c r="F44" s="184" t="s">
        <v>562</v>
      </c>
      <c r="G44" s="187" t="s">
        <v>560</v>
      </c>
    </row>
    <row r="45" spans="3:7" ht="17.399999999999999">
      <c r="C45" s="268"/>
      <c r="D45" s="271"/>
      <c r="E45" s="184" t="s">
        <v>563</v>
      </c>
      <c r="F45" s="184" t="s">
        <v>564</v>
      </c>
      <c r="G45" s="187" t="s">
        <v>560</v>
      </c>
    </row>
    <row r="46" spans="3:7" ht="17.399999999999999">
      <c r="C46" s="268"/>
      <c r="D46" s="271"/>
      <c r="E46" s="184" t="s">
        <v>565</v>
      </c>
      <c r="F46" s="184" t="s">
        <v>566</v>
      </c>
      <c r="G46" s="187" t="s">
        <v>560</v>
      </c>
    </row>
    <row r="47" spans="3:7" ht="17.399999999999999">
      <c r="C47" s="268"/>
      <c r="D47" s="271"/>
      <c r="E47" s="184" t="s">
        <v>567</v>
      </c>
      <c r="F47" s="184" t="s">
        <v>568</v>
      </c>
      <c r="G47" s="187" t="s">
        <v>560</v>
      </c>
    </row>
    <row r="48" spans="3:7" ht="17.399999999999999">
      <c r="C48" s="268"/>
      <c r="D48" s="271"/>
      <c r="E48" s="184" t="s">
        <v>569</v>
      </c>
      <c r="F48" s="184" t="s">
        <v>570</v>
      </c>
      <c r="G48" s="187" t="s">
        <v>571</v>
      </c>
    </row>
    <row r="49" spans="3:7" ht="17.399999999999999">
      <c r="C49" s="268"/>
      <c r="D49" s="271"/>
      <c r="E49" s="184" t="s">
        <v>572</v>
      </c>
      <c r="F49" s="184" t="s">
        <v>573</v>
      </c>
      <c r="G49" s="187" t="s">
        <v>560</v>
      </c>
    </row>
    <row r="50" spans="3:7" ht="87">
      <c r="C50" s="268"/>
      <c r="D50" s="271"/>
      <c r="E50" s="184" t="s">
        <v>574</v>
      </c>
      <c r="F50" s="188" t="s">
        <v>575</v>
      </c>
      <c r="G50" s="187" t="s">
        <v>560</v>
      </c>
    </row>
    <row r="51" spans="3:7" ht="17.399999999999999">
      <c r="C51" s="268"/>
      <c r="D51" s="271"/>
      <c r="E51" s="184" t="s">
        <v>576</v>
      </c>
      <c r="F51" s="184" t="s">
        <v>577</v>
      </c>
      <c r="G51" s="187" t="s">
        <v>560</v>
      </c>
    </row>
    <row r="52" spans="3:7" ht="37.5" customHeight="1">
      <c r="C52" s="268"/>
      <c r="D52" s="271"/>
      <c r="E52" s="184" t="s">
        <v>578</v>
      </c>
      <c r="F52" s="189" t="s">
        <v>579</v>
      </c>
      <c r="G52" s="187" t="s">
        <v>560</v>
      </c>
    </row>
    <row r="53" spans="3:7" ht="17.399999999999999">
      <c r="C53" s="268"/>
      <c r="D53" s="271"/>
      <c r="E53" s="184"/>
      <c r="F53" s="189" t="s">
        <v>539</v>
      </c>
      <c r="G53" s="187" t="s">
        <v>560</v>
      </c>
    </row>
    <row r="54" spans="3:7" ht="17.399999999999999">
      <c r="C54" s="268"/>
      <c r="D54" s="271"/>
      <c r="E54" s="184"/>
      <c r="F54" s="189" t="s">
        <v>580</v>
      </c>
      <c r="G54" s="187" t="s">
        <v>560</v>
      </c>
    </row>
    <row r="55" spans="3:7" ht="17.399999999999999">
      <c r="C55" s="269"/>
      <c r="D55" s="271"/>
      <c r="E55" s="184"/>
      <c r="F55" s="189" t="s">
        <v>581</v>
      </c>
      <c r="G55" s="187" t="s">
        <v>560</v>
      </c>
    </row>
    <row r="56" spans="3:7" ht="17.399999999999999">
      <c r="C56" s="172">
        <v>14</v>
      </c>
      <c r="D56" s="190" t="s">
        <v>582</v>
      </c>
      <c r="E56" s="272" t="s">
        <v>655</v>
      </c>
      <c r="F56" s="273"/>
      <c r="G56" s="274"/>
    </row>
    <row r="57" spans="3:7" ht="17.399999999999999">
      <c r="C57" s="172">
        <v>15</v>
      </c>
      <c r="D57" s="190" t="s">
        <v>583</v>
      </c>
      <c r="E57" s="272" t="s">
        <v>584</v>
      </c>
      <c r="F57" s="273"/>
      <c r="G57" s="274"/>
    </row>
    <row r="58" spans="3:7">
      <c r="C58" s="3"/>
      <c r="D58" s="3"/>
      <c r="E58" s="3"/>
      <c r="F58" s="129"/>
      <c r="G58" s="3"/>
    </row>
    <row r="59" spans="3:7" ht="136.19999999999999" customHeight="1">
      <c r="C59" s="131" t="s">
        <v>585</v>
      </c>
      <c r="D59" s="275" t="s">
        <v>656</v>
      </c>
      <c r="E59" s="276"/>
      <c r="F59" s="276"/>
      <c r="G59" s="277"/>
    </row>
    <row r="61" spans="3:7" ht="100.5" customHeight="1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pane ySplit="3" topLeftCell="A7" activePane="bottomLeft" state="frozen"/>
      <selection pane="bottomLeft" activeCell="L40" sqref="L40"/>
    </sheetView>
  </sheetViews>
  <sheetFormatPr defaultRowHeight="14.4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/>
    <row r="2" spans="1:22" ht="18" thickBot="1">
      <c r="A2" s="301" t="s">
        <v>330</v>
      </c>
      <c r="B2" s="291" t="s">
        <v>331</v>
      </c>
      <c r="C2" s="291" t="s">
        <v>332</v>
      </c>
      <c r="D2" s="291" t="s">
        <v>333</v>
      </c>
      <c r="E2" s="291" t="s">
        <v>334</v>
      </c>
      <c r="F2" s="293" t="s">
        <v>335</v>
      </c>
      <c r="G2" s="295" t="s">
        <v>336</v>
      </c>
      <c r="H2" s="291" t="s">
        <v>337</v>
      </c>
      <c r="I2" s="295" t="s">
        <v>338</v>
      </c>
      <c r="J2" s="303" t="s">
        <v>339</v>
      </c>
      <c r="K2" s="291" t="s">
        <v>340</v>
      </c>
      <c r="L2" s="293" t="s">
        <v>341</v>
      </c>
      <c r="M2" s="291" t="s">
        <v>342</v>
      </c>
      <c r="N2" s="291" t="s">
        <v>343</v>
      </c>
      <c r="O2" s="293" t="s">
        <v>344</v>
      </c>
      <c r="P2" s="291" t="s">
        <v>345</v>
      </c>
      <c r="Q2" s="291" t="s">
        <v>346</v>
      </c>
      <c r="R2" s="291"/>
      <c r="S2" s="295" t="s">
        <v>347</v>
      </c>
      <c r="T2" s="297" t="s">
        <v>348</v>
      </c>
      <c r="U2" s="299" t="s">
        <v>349</v>
      </c>
      <c r="V2" s="299" t="s">
        <v>350</v>
      </c>
    </row>
    <row r="3" spans="1:22" ht="18" thickBot="1">
      <c r="A3" s="302"/>
      <c r="B3" s="292"/>
      <c r="C3" s="292"/>
      <c r="D3" s="292"/>
      <c r="E3" s="292"/>
      <c r="F3" s="294"/>
      <c r="G3" s="296"/>
      <c r="H3" s="292"/>
      <c r="I3" s="296"/>
      <c r="J3" s="304"/>
      <c r="K3" s="292"/>
      <c r="L3" s="294"/>
      <c r="M3" s="292"/>
      <c r="N3" s="292"/>
      <c r="O3" s="294"/>
      <c r="P3" s="292"/>
      <c r="Q3" s="138" t="s">
        <v>351</v>
      </c>
      <c r="R3" s="138" t="s">
        <v>352</v>
      </c>
      <c r="S3" s="296"/>
      <c r="T3" s="298"/>
      <c r="U3" s="300"/>
      <c r="V3" s="300"/>
    </row>
    <row r="4" spans="1:22" ht="18" thickTop="1">
      <c r="A4" s="139">
        <v>20</v>
      </c>
      <c r="B4" s="140">
        <v>220</v>
      </c>
      <c r="C4" s="141">
        <f t="shared" ref="C4:C47" si="0">ROUNDUP(A4/(B4*0.9)/3^0.5*1000/0.9,0)</f>
        <v>65</v>
      </c>
      <c r="D4" s="141">
        <f t="shared" ref="D4:D47" si="1">ROUNDUP(B4*2^0.5*0.93,0)</f>
        <v>290</v>
      </c>
      <c r="E4" s="141">
        <f t="shared" ref="E4:E47" si="2">ROUNDUP(A4*1000/D4,0)</f>
        <v>69</v>
      </c>
      <c r="F4" s="142">
        <f t="shared" ref="F4:F47" si="3">30.8*100*C4/(1000*10)</f>
        <v>20.02</v>
      </c>
      <c r="G4" s="143">
        <f t="shared" ref="G4:G47" si="4">C4/(H4*I4)</f>
        <v>1.8571428571428572</v>
      </c>
      <c r="H4" s="140">
        <v>35</v>
      </c>
      <c r="I4" s="140">
        <v>1</v>
      </c>
      <c r="J4" s="140">
        <f t="shared" ref="J4:J47" si="5">L4*0.052</f>
        <v>3.9</v>
      </c>
      <c r="K4" s="140">
        <v>16</v>
      </c>
      <c r="L4" s="140">
        <v>75</v>
      </c>
      <c r="M4" s="140" t="s">
        <v>353</v>
      </c>
      <c r="N4" s="140" t="s">
        <v>354</v>
      </c>
      <c r="O4" s="144">
        <f t="shared" ref="O4:O47" si="6">SUM(C4*1.25)</f>
        <v>81.25</v>
      </c>
      <c r="P4" s="140" t="s">
        <v>355</v>
      </c>
      <c r="Q4" s="140" t="s">
        <v>356</v>
      </c>
      <c r="R4" s="140"/>
      <c r="S4" s="145" t="s">
        <v>357</v>
      </c>
      <c r="T4" s="145" t="s">
        <v>358</v>
      </c>
      <c r="U4" s="140" t="s">
        <v>359</v>
      </c>
      <c r="V4" s="146" t="s">
        <v>360</v>
      </c>
    </row>
    <row r="5" spans="1:22" ht="17.399999999999999">
      <c r="A5" s="139">
        <v>20</v>
      </c>
      <c r="B5" s="140">
        <v>380</v>
      </c>
      <c r="C5" s="141">
        <f t="shared" si="0"/>
        <v>38</v>
      </c>
      <c r="D5" s="141">
        <f t="shared" si="1"/>
        <v>500</v>
      </c>
      <c r="E5" s="141">
        <f t="shared" si="2"/>
        <v>40</v>
      </c>
      <c r="F5" s="142">
        <f t="shared" si="3"/>
        <v>11.704000000000001</v>
      </c>
      <c r="G5" s="143">
        <f t="shared" si="4"/>
        <v>1.52</v>
      </c>
      <c r="H5" s="140">
        <v>25</v>
      </c>
      <c r="I5" s="140">
        <v>1</v>
      </c>
      <c r="J5" s="140">
        <f t="shared" si="5"/>
        <v>2.6</v>
      </c>
      <c r="K5" s="140">
        <v>16</v>
      </c>
      <c r="L5" s="140">
        <v>50</v>
      </c>
      <c r="M5" s="140" t="s">
        <v>361</v>
      </c>
      <c r="N5" s="140" t="s">
        <v>362</v>
      </c>
      <c r="O5" s="144">
        <f t="shared" si="6"/>
        <v>47.5</v>
      </c>
      <c r="P5" s="140" t="s">
        <v>363</v>
      </c>
      <c r="Q5" s="140" t="s">
        <v>356</v>
      </c>
      <c r="R5" s="140"/>
      <c r="S5" s="145" t="s">
        <v>357</v>
      </c>
      <c r="T5" s="145" t="s">
        <v>355</v>
      </c>
      <c r="U5" s="140" t="s">
        <v>364</v>
      </c>
      <c r="V5" s="146" t="s">
        <v>360</v>
      </c>
    </row>
    <row r="6" spans="1:22" ht="17.399999999999999">
      <c r="A6" s="139">
        <v>20</v>
      </c>
      <c r="B6" s="140">
        <v>440</v>
      </c>
      <c r="C6" s="141">
        <f t="shared" si="0"/>
        <v>33</v>
      </c>
      <c r="D6" s="141">
        <f t="shared" si="1"/>
        <v>579</v>
      </c>
      <c r="E6" s="141">
        <f t="shared" si="2"/>
        <v>35</v>
      </c>
      <c r="F6" s="142">
        <f t="shared" si="3"/>
        <v>10.164</v>
      </c>
      <c r="G6" s="143">
        <f t="shared" si="4"/>
        <v>1.32</v>
      </c>
      <c r="H6" s="140">
        <v>25</v>
      </c>
      <c r="I6" s="140">
        <v>1</v>
      </c>
      <c r="J6" s="140">
        <f t="shared" si="5"/>
        <v>2.6</v>
      </c>
      <c r="K6" s="140">
        <v>16</v>
      </c>
      <c r="L6" s="140">
        <v>50</v>
      </c>
      <c r="M6" s="140" t="s">
        <v>361</v>
      </c>
      <c r="N6" s="140" t="s">
        <v>362</v>
      </c>
      <c r="O6" s="144">
        <f t="shared" si="6"/>
        <v>41.25</v>
      </c>
      <c r="P6" s="140" t="s">
        <v>363</v>
      </c>
      <c r="Q6" s="140" t="s">
        <v>356</v>
      </c>
      <c r="R6" s="140"/>
      <c r="S6" s="145" t="s">
        <v>357</v>
      </c>
      <c r="T6" s="145" t="s">
        <v>355</v>
      </c>
      <c r="U6" s="140" t="s">
        <v>364</v>
      </c>
      <c r="V6" s="146" t="s">
        <v>360</v>
      </c>
    </row>
    <row r="7" spans="1:22" ht="17.399999999999999">
      <c r="A7" s="139">
        <v>30</v>
      </c>
      <c r="B7" s="140">
        <v>220</v>
      </c>
      <c r="C7" s="141">
        <f t="shared" si="0"/>
        <v>98</v>
      </c>
      <c r="D7" s="141">
        <f t="shared" si="1"/>
        <v>290</v>
      </c>
      <c r="E7" s="141">
        <f t="shared" si="2"/>
        <v>104</v>
      </c>
      <c r="F7" s="142">
        <f t="shared" si="3"/>
        <v>30.184000000000001</v>
      </c>
      <c r="G7" s="143">
        <f t="shared" si="4"/>
        <v>1.96</v>
      </c>
      <c r="H7" s="140">
        <v>50</v>
      </c>
      <c r="I7" s="140">
        <v>1</v>
      </c>
      <c r="J7" s="140">
        <f t="shared" si="5"/>
        <v>6.5</v>
      </c>
      <c r="K7" s="140">
        <v>16</v>
      </c>
      <c r="L7" s="140">
        <v>125</v>
      </c>
      <c r="M7" s="140" t="s">
        <v>365</v>
      </c>
      <c r="N7" s="140" t="s">
        <v>366</v>
      </c>
      <c r="O7" s="144">
        <f t="shared" si="6"/>
        <v>122.5</v>
      </c>
      <c r="P7" s="140" t="s">
        <v>367</v>
      </c>
      <c r="Q7" s="140" t="s">
        <v>356</v>
      </c>
      <c r="R7" s="147" t="s">
        <v>360</v>
      </c>
      <c r="S7" s="145" t="s">
        <v>357</v>
      </c>
      <c r="T7" s="145" t="s">
        <v>368</v>
      </c>
      <c r="U7" s="140" t="s">
        <v>364</v>
      </c>
      <c r="V7" s="146" t="s">
        <v>360</v>
      </c>
    </row>
    <row r="8" spans="1:22" ht="17.399999999999999">
      <c r="A8" s="139">
        <v>30</v>
      </c>
      <c r="B8" s="140">
        <v>380</v>
      </c>
      <c r="C8" s="141">
        <f t="shared" si="0"/>
        <v>57</v>
      </c>
      <c r="D8" s="141">
        <f t="shared" si="1"/>
        <v>500</v>
      </c>
      <c r="E8" s="141">
        <f t="shared" si="2"/>
        <v>60</v>
      </c>
      <c r="F8" s="142">
        <f t="shared" si="3"/>
        <v>17.556000000000001</v>
      </c>
      <c r="G8" s="143">
        <f t="shared" si="4"/>
        <v>1.6285714285714286</v>
      </c>
      <c r="H8" s="140">
        <v>35</v>
      </c>
      <c r="I8" s="140">
        <v>1</v>
      </c>
      <c r="J8" s="140">
        <f t="shared" si="5"/>
        <v>3.9</v>
      </c>
      <c r="K8" s="140">
        <v>16</v>
      </c>
      <c r="L8" s="140">
        <v>75</v>
      </c>
      <c r="M8" s="140" t="s">
        <v>353</v>
      </c>
      <c r="N8" s="140" t="s">
        <v>354</v>
      </c>
      <c r="O8" s="144">
        <f t="shared" si="6"/>
        <v>71.25</v>
      </c>
      <c r="P8" s="140" t="s">
        <v>355</v>
      </c>
      <c r="Q8" s="140" t="s">
        <v>356</v>
      </c>
      <c r="R8" s="147" t="s">
        <v>360</v>
      </c>
      <c r="S8" s="145" t="s">
        <v>357</v>
      </c>
      <c r="T8" s="145" t="s">
        <v>355</v>
      </c>
      <c r="U8" s="140" t="s">
        <v>364</v>
      </c>
      <c r="V8" s="146" t="s">
        <v>360</v>
      </c>
    </row>
    <row r="9" spans="1:22" ht="17.399999999999999">
      <c r="A9" s="139">
        <v>30</v>
      </c>
      <c r="B9" s="140">
        <v>440</v>
      </c>
      <c r="C9" s="141">
        <f t="shared" si="0"/>
        <v>49</v>
      </c>
      <c r="D9" s="141">
        <f t="shared" si="1"/>
        <v>579</v>
      </c>
      <c r="E9" s="141">
        <f t="shared" si="2"/>
        <v>52</v>
      </c>
      <c r="F9" s="142">
        <f t="shared" si="3"/>
        <v>15.092000000000001</v>
      </c>
      <c r="G9" s="143">
        <f t="shared" si="4"/>
        <v>1.4</v>
      </c>
      <c r="H9" s="140">
        <v>35</v>
      </c>
      <c r="I9" s="140">
        <v>1</v>
      </c>
      <c r="J9" s="140">
        <f t="shared" si="5"/>
        <v>3.9</v>
      </c>
      <c r="K9" s="140">
        <v>16</v>
      </c>
      <c r="L9" s="140">
        <v>75</v>
      </c>
      <c r="M9" s="140" t="s">
        <v>353</v>
      </c>
      <c r="N9" s="140" t="s">
        <v>354</v>
      </c>
      <c r="O9" s="144">
        <f t="shared" si="6"/>
        <v>61.25</v>
      </c>
      <c r="P9" s="140" t="s">
        <v>355</v>
      </c>
      <c r="Q9" s="140" t="s">
        <v>356</v>
      </c>
      <c r="R9" s="147" t="s">
        <v>360</v>
      </c>
      <c r="S9" s="145" t="s">
        <v>357</v>
      </c>
      <c r="T9" s="145" t="s">
        <v>355</v>
      </c>
      <c r="U9" s="140" t="s">
        <v>364</v>
      </c>
      <c r="V9" s="146" t="s">
        <v>360</v>
      </c>
    </row>
    <row r="10" spans="1:22" ht="17.399999999999999">
      <c r="A10" s="139">
        <v>50</v>
      </c>
      <c r="B10" s="140">
        <v>220</v>
      </c>
      <c r="C10" s="141">
        <f t="shared" si="0"/>
        <v>162</v>
      </c>
      <c r="D10" s="141">
        <f t="shared" si="1"/>
        <v>290</v>
      </c>
      <c r="E10" s="141">
        <f t="shared" si="2"/>
        <v>173</v>
      </c>
      <c r="F10" s="142">
        <f t="shared" si="3"/>
        <v>49.896000000000001</v>
      </c>
      <c r="G10" s="143">
        <f t="shared" si="4"/>
        <v>2.3142857142857145</v>
      </c>
      <c r="H10" s="140">
        <v>70</v>
      </c>
      <c r="I10" s="140">
        <v>1</v>
      </c>
      <c r="J10" s="140">
        <f t="shared" si="5"/>
        <v>10.4</v>
      </c>
      <c r="K10" s="140">
        <v>16</v>
      </c>
      <c r="L10" s="140">
        <v>200</v>
      </c>
      <c r="M10" s="140" t="s">
        <v>369</v>
      </c>
      <c r="N10" s="140" t="s">
        <v>370</v>
      </c>
      <c r="O10" s="144">
        <f t="shared" si="6"/>
        <v>202.5</v>
      </c>
      <c r="P10" s="140" t="s">
        <v>371</v>
      </c>
      <c r="Q10" s="140" t="s">
        <v>372</v>
      </c>
      <c r="R10" s="147" t="s">
        <v>360</v>
      </c>
      <c r="S10" s="145" t="s">
        <v>373</v>
      </c>
      <c r="T10" s="145" t="s">
        <v>374</v>
      </c>
      <c r="U10" s="289" t="s">
        <v>375</v>
      </c>
      <c r="V10" s="290"/>
    </row>
    <row r="11" spans="1:22" ht="17.399999999999999">
      <c r="A11" s="139">
        <v>50</v>
      </c>
      <c r="B11" s="140">
        <v>380</v>
      </c>
      <c r="C11" s="141">
        <f t="shared" si="0"/>
        <v>94</v>
      </c>
      <c r="D11" s="141">
        <f t="shared" si="1"/>
        <v>500</v>
      </c>
      <c r="E11" s="141">
        <f t="shared" si="2"/>
        <v>100</v>
      </c>
      <c r="F11" s="142">
        <f t="shared" si="3"/>
        <v>28.952000000000002</v>
      </c>
      <c r="G11" s="143">
        <f t="shared" si="4"/>
        <v>1.3428571428571427</v>
      </c>
      <c r="H11" s="140">
        <v>70</v>
      </c>
      <c r="I11" s="140">
        <v>1</v>
      </c>
      <c r="J11" s="140">
        <f t="shared" si="5"/>
        <v>6.5</v>
      </c>
      <c r="K11" s="140">
        <v>16</v>
      </c>
      <c r="L11" s="140">
        <v>125</v>
      </c>
      <c r="M11" s="140" t="s">
        <v>376</v>
      </c>
      <c r="N11" s="140" t="s">
        <v>366</v>
      </c>
      <c r="O11" s="144">
        <f t="shared" si="6"/>
        <v>117.5</v>
      </c>
      <c r="P11" s="140" t="s">
        <v>367</v>
      </c>
      <c r="Q11" s="140" t="s">
        <v>356</v>
      </c>
      <c r="R11" s="147" t="s">
        <v>360</v>
      </c>
      <c r="S11" s="145" t="s">
        <v>357</v>
      </c>
      <c r="T11" s="145" t="s">
        <v>368</v>
      </c>
      <c r="U11" s="140" t="s">
        <v>364</v>
      </c>
      <c r="V11" s="146" t="s">
        <v>360</v>
      </c>
    </row>
    <row r="12" spans="1:22" ht="17.399999999999999">
      <c r="A12" s="139">
        <v>50</v>
      </c>
      <c r="B12" s="140">
        <v>440</v>
      </c>
      <c r="C12" s="141">
        <f t="shared" si="0"/>
        <v>81</v>
      </c>
      <c r="D12" s="141">
        <f t="shared" si="1"/>
        <v>579</v>
      </c>
      <c r="E12" s="141">
        <f t="shared" si="2"/>
        <v>87</v>
      </c>
      <c r="F12" s="142">
        <f t="shared" si="3"/>
        <v>24.948</v>
      </c>
      <c r="G12" s="143">
        <f t="shared" si="4"/>
        <v>1.1571428571428573</v>
      </c>
      <c r="H12" s="140">
        <v>70</v>
      </c>
      <c r="I12" s="140">
        <v>1</v>
      </c>
      <c r="J12" s="140">
        <f t="shared" si="5"/>
        <v>5.2</v>
      </c>
      <c r="K12" s="140">
        <v>16</v>
      </c>
      <c r="L12" s="140">
        <v>100</v>
      </c>
      <c r="M12" s="140" t="s">
        <v>376</v>
      </c>
      <c r="N12" s="140" t="s">
        <v>366</v>
      </c>
      <c r="O12" s="144">
        <f t="shared" si="6"/>
        <v>101.25</v>
      </c>
      <c r="P12" s="140" t="s">
        <v>367</v>
      </c>
      <c r="Q12" s="140" t="s">
        <v>356</v>
      </c>
      <c r="R12" s="147" t="s">
        <v>360</v>
      </c>
      <c r="S12" s="145" t="s">
        <v>357</v>
      </c>
      <c r="T12" s="145" t="s">
        <v>368</v>
      </c>
      <c r="U12" s="140" t="s">
        <v>364</v>
      </c>
      <c r="V12" s="146" t="s">
        <v>360</v>
      </c>
    </row>
    <row r="13" spans="1:22" ht="17.399999999999999">
      <c r="A13" s="139">
        <v>75</v>
      </c>
      <c r="B13" s="140">
        <v>220</v>
      </c>
      <c r="C13" s="141">
        <f t="shared" si="0"/>
        <v>243</v>
      </c>
      <c r="D13" s="141">
        <f t="shared" si="1"/>
        <v>290</v>
      </c>
      <c r="E13" s="141">
        <f t="shared" si="2"/>
        <v>259</v>
      </c>
      <c r="F13" s="142">
        <f t="shared" si="3"/>
        <v>74.843999999999994</v>
      </c>
      <c r="G13" s="143">
        <f t="shared" si="4"/>
        <v>1.7357142857142858</v>
      </c>
      <c r="H13" s="140">
        <v>70</v>
      </c>
      <c r="I13" s="140">
        <v>2</v>
      </c>
      <c r="J13" s="140">
        <f t="shared" si="5"/>
        <v>15.6</v>
      </c>
      <c r="K13" s="140">
        <v>16</v>
      </c>
      <c r="L13" s="140">
        <v>300</v>
      </c>
      <c r="M13" s="140" t="s">
        <v>377</v>
      </c>
      <c r="N13" s="140" t="s">
        <v>378</v>
      </c>
      <c r="O13" s="144">
        <f t="shared" si="6"/>
        <v>303.75</v>
      </c>
      <c r="P13" s="140" t="s">
        <v>379</v>
      </c>
      <c r="Q13" s="140" t="s">
        <v>372</v>
      </c>
      <c r="R13" s="147" t="s">
        <v>360</v>
      </c>
      <c r="S13" s="145" t="s">
        <v>380</v>
      </c>
      <c r="T13" s="145" t="s">
        <v>379</v>
      </c>
      <c r="U13" s="289" t="s">
        <v>375</v>
      </c>
      <c r="V13" s="290"/>
    </row>
    <row r="14" spans="1:22" ht="17.399999999999999">
      <c r="A14" s="139">
        <v>75</v>
      </c>
      <c r="B14" s="140">
        <v>380</v>
      </c>
      <c r="C14" s="141">
        <f t="shared" si="0"/>
        <v>141</v>
      </c>
      <c r="D14" s="141">
        <f t="shared" si="1"/>
        <v>500</v>
      </c>
      <c r="E14" s="141">
        <f t="shared" si="2"/>
        <v>150</v>
      </c>
      <c r="F14" s="142">
        <f t="shared" si="3"/>
        <v>43.427999999999997</v>
      </c>
      <c r="G14" s="143">
        <f t="shared" si="4"/>
        <v>2.0142857142857142</v>
      </c>
      <c r="H14" s="140">
        <v>70</v>
      </c>
      <c r="I14" s="140">
        <v>1</v>
      </c>
      <c r="J14" s="140">
        <f t="shared" si="5"/>
        <v>9.1</v>
      </c>
      <c r="K14" s="140">
        <v>16</v>
      </c>
      <c r="L14" s="140">
        <v>175</v>
      </c>
      <c r="M14" s="140" t="s">
        <v>369</v>
      </c>
      <c r="N14" s="140" t="s">
        <v>370</v>
      </c>
      <c r="O14" s="144">
        <f t="shared" si="6"/>
        <v>176.25</v>
      </c>
      <c r="P14" s="140" t="s">
        <v>371</v>
      </c>
      <c r="Q14" s="140" t="s">
        <v>372</v>
      </c>
      <c r="R14" s="147" t="s">
        <v>360</v>
      </c>
      <c r="S14" s="145" t="s">
        <v>380</v>
      </c>
      <c r="T14" s="145" t="s">
        <v>371</v>
      </c>
      <c r="U14" s="289" t="s">
        <v>375</v>
      </c>
      <c r="V14" s="290"/>
    </row>
    <row r="15" spans="1:22" ht="17.399999999999999">
      <c r="A15" s="139">
        <v>75</v>
      </c>
      <c r="B15" s="140">
        <v>440</v>
      </c>
      <c r="C15" s="141">
        <f t="shared" si="0"/>
        <v>122</v>
      </c>
      <c r="D15" s="141">
        <f t="shared" si="1"/>
        <v>579</v>
      </c>
      <c r="E15" s="141">
        <f t="shared" si="2"/>
        <v>130</v>
      </c>
      <c r="F15" s="142">
        <f t="shared" si="3"/>
        <v>37.576000000000001</v>
      </c>
      <c r="G15" s="143">
        <f t="shared" si="4"/>
        <v>1.7428571428571429</v>
      </c>
      <c r="H15" s="140">
        <v>70</v>
      </c>
      <c r="I15" s="140">
        <v>1</v>
      </c>
      <c r="J15" s="140">
        <f t="shared" si="5"/>
        <v>7.8</v>
      </c>
      <c r="K15" s="140">
        <v>16</v>
      </c>
      <c r="L15" s="140">
        <v>150</v>
      </c>
      <c r="M15" s="140" t="s">
        <v>369</v>
      </c>
      <c r="N15" s="140" t="s">
        <v>370</v>
      </c>
      <c r="O15" s="144">
        <f t="shared" si="6"/>
        <v>152.5</v>
      </c>
      <c r="P15" s="140" t="s">
        <v>371</v>
      </c>
      <c r="Q15" s="140" t="s">
        <v>372</v>
      </c>
      <c r="R15" s="147" t="s">
        <v>360</v>
      </c>
      <c r="S15" s="145" t="s">
        <v>380</v>
      </c>
      <c r="T15" s="145" t="s">
        <v>371</v>
      </c>
      <c r="U15" s="289" t="s">
        <v>375</v>
      </c>
      <c r="V15" s="290"/>
    </row>
    <row r="16" spans="1:22" ht="17.399999999999999">
      <c r="A16" s="139">
        <v>100</v>
      </c>
      <c r="B16" s="140">
        <v>380</v>
      </c>
      <c r="C16" s="141">
        <f t="shared" si="0"/>
        <v>188</v>
      </c>
      <c r="D16" s="141">
        <f t="shared" si="1"/>
        <v>500</v>
      </c>
      <c r="E16" s="141">
        <f t="shared" si="2"/>
        <v>200</v>
      </c>
      <c r="F16" s="142">
        <f t="shared" si="3"/>
        <v>57.904000000000003</v>
      </c>
      <c r="G16" s="143">
        <f t="shared" si="4"/>
        <v>1.9789473684210526</v>
      </c>
      <c r="H16" s="140">
        <v>95</v>
      </c>
      <c r="I16" s="140">
        <v>1</v>
      </c>
      <c r="J16" s="140">
        <f t="shared" si="5"/>
        <v>10.4</v>
      </c>
      <c r="K16" s="140">
        <v>16</v>
      </c>
      <c r="L16" s="140">
        <v>200</v>
      </c>
      <c r="M16" s="140" t="s">
        <v>369</v>
      </c>
      <c r="N16" s="140" t="s">
        <v>381</v>
      </c>
      <c r="O16" s="144">
        <f t="shared" si="6"/>
        <v>235</v>
      </c>
      <c r="P16" s="140" t="s">
        <v>382</v>
      </c>
      <c r="Q16" s="140" t="s">
        <v>372</v>
      </c>
      <c r="R16" s="147" t="s">
        <v>360</v>
      </c>
      <c r="S16" s="145" t="s">
        <v>380</v>
      </c>
      <c r="T16" s="145" t="s">
        <v>379</v>
      </c>
      <c r="U16" s="289" t="s">
        <v>375</v>
      </c>
      <c r="V16" s="290"/>
    </row>
    <row r="17" spans="1:22" ht="17.399999999999999">
      <c r="A17" s="139">
        <v>100</v>
      </c>
      <c r="B17" s="140">
        <v>440</v>
      </c>
      <c r="C17" s="141">
        <f t="shared" si="0"/>
        <v>162</v>
      </c>
      <c r="D17" s="141">
        <f t="shared" si="1"/>
        <v>579</v>
      </c>
      <c r="E17" s="141">
        <f t="shared" si="2"/>
        <v>173</v>
      </c>
      <c r="F17" s="142">
        <f t="shared" si="3"/>
        <v>49.896000000000001</v>
      </c>
      <c r="G17" s="143">
        <f t="shared" si="4"/>
        <v>1.7052631578947368</v>
      </c>
      <c r="H17" s="140">
        <v>95</v>
      </c>
      <c r="I17" s="140">
        <v>1</v>
      </c>
      <c r="J17" s="140">
        <f t="shared" si="5"/>
        <v>10.4</v>
      </c>
      <c r="K17" s="140">
        <v>16</v>
      </c>
      <c r="L17" s="140">
        <v>200</v>
      </c>
      <c r="M17" s="140" t="s">
        <v>369</v>
      </c>
      <c r="N17" s="140" t="s">
        <v>381</v>
      </c>
      <c r="O17" s="144">
        <f t="shared" si="6"/>
        <v>202.5</v>
      </c>
      <c r="P17" s="140" t="s">
        <v>382</v>
      </c>
      <c r="Q17" s="140" t="s">
        <v>372</v>
      </c>
      <c r="R17" s="147" t="s">
        <v>360</v>
      </c>
      <c r="S17" s="145" t="s">
        <v>380</v>
      </c>
      <c r="T17" s="145" t="s">
        <v>379</v>
      </c>
      <c r="U17" s="289" t="s">
        <v>375</v>
      </c>
      <c r="V17" s="290"/>
    </row>
    <row r="18" spans="1:22" ht="17.399999999999999">
      <c r="A18" s="139">
        <v>125</v>
      </c>
      <c r="B18" s="140">
        <v>380</v>
      </c>
      <c r="C18" s="141">
        <f t="shared" si="0"/>
        <v>235</v>
      </c>
      <c r="D18" s="141">
        <f t="shared" si="1"/>
        <v>500</v>
      </c>
      <c r="E18" s="141">
        <f t="shared" si="2"/>
        <v>250</v>
      </c>
      <c r="F18" s="142">
        <f t="shared" si="3"/>
        <v>72.38</v>
      </c>
      <c r="G18" s="143">
        <f t="shared" si="4"/>
        <v>1.6785714285714286</v>
      </c>
      <c r="H18" s="140">
        <v>70</v>
      </c>
      <c r="I18" s="140">
        <v>2</v>
      </c>
      <c r="J18" s="140">
        <f t="shared" si="5"/>
        <v>13</v>
      </c>
      <c r="K18" s="140">
        <v>16</v>
      </c>
      <c r="L18" s="140">
        <v>250</v>
      </c>
      <c r="M18" s="140" t="s">
        <v>377</v>
      </c>
      <c r="N18" s="140" t="s">
        <v>378</v>
      </c>
      <c r="O18" s="144">
        <f t="shared" si="6"/>
        <v>293.75</v>
      </c>
      <c r="P18" s="140" t="s">
        <v>379</v>
      </c>
      <c r="Q18" s="140" t="s">
        <v>372</v>
      </c>
      <c r="R18" s="147" t="s">
        <v>360</v>
      </c>
      <c r="S18" s="145" t="s">
        <v>383</v>
      </c>
      <c r="T18" s="145" t="s">
        <v>379</v>
      </c>
      <c r="U18" s="289" t="s">
        <v>375</v>
      </c>
      <c r="V18" s="290"/>
    </row>
    <row r="19" spans="1:22" ht="17.399999999999999">
      <c r="A19" s="139">
        <v>125</v>
      </c>
      <c r="B19" s="140">
        <v>440</v>
      </c>
      <c r="C19" s="141">
        <f t="shared" si="0"/>
        <v>203</v>
      </c>
      <c r="D19" s="141">
        <f t="shared" si="1"/>
        <v>579</v>
      </c>
      <c r="E19" s="141">
        <f t="shared" si="2"/>
        <v>216</v>
      </c>
      <c r="F19" s="142">
        <f t="shared" si="3"/>
        <v>62.524000000000001</v>
      </c>
      <c r="G19" s="143">
        <f t="shared" si="4"/>
        <v>1.45</v>
      </c>
      <c r="H19" s="140">
        <v>70</v>
      </c>
      <c r="I19" s="140">
        <v>2</v>
      </c>
      <c r="J19" s="140">
        <f t="shared" si="5"/>
        <v>13</v>
      </c>
      <c r="K19" s="140">
        <v>16</v>
      </c>
      <c r="L19" s="140">
        <v>250</v>
      </c>
      <c r="M19" s="140" t="s">
        <v>384</v>
      </c>
      <c r="N19" s="140" t="s">
        <v>381</v>
      </c>
      <c r="O19" s="144">
        <f t="shared" si="6"/>
        <v>253.75</v>
      </c>
      <c r="P19" s="140" t="s">
        <v>379</v>
      </c>
      <c r="Q19" s="140" t="s">
        <v>372</v>
      </c>
      <c r="R19" s="147" t="s">
        <v>360</v>
      </c>
      <c r="S19" s="145" t="s">
        <v>383</v>
      </c>
      <c r="T19" s="145" t="s">
        <v>379</v>
      </c>
      <c r="U19" s="289" t="s">
        <v>375</v>
      </c>
      <c r="V19" s="290"/>
    </row>
    <row r="20" spans="1:22" ht="17.399999999999999">
      <c r="A20" s="139">
        <v>150</v>
      </c>
      <c r="B20" s="140">
        <v>380</v>
      </c>
      <c r="C20" s="141">
        <f t="shared" si="0"/>
        <v>282</v>
      </c>
      <c r="D20" s="141">
        <f t="shared" si="1"/>
        <v>500</v>
      </c>
      <c r="E20" s="141">
        <f t="shared" si="2"/>
        <v>300</v>
      </c>
      <c r="F20" s="142">
        <f t="shared" si="3"/>
        <v>86.855999999999995</v>
      </c>
      <c r="G20" s="143">
        <f t="shared" si="4"/>
        <v>2.0142857142857142</v>
      </c>
      <c r="H20" s="140">
        <v>70</v>
      </c>
      <c r="I20" s="140">
        <v>2</v>
      </c>
      <c r="J20" s="140">
        <f t="shared" si="5"/>
        <v>15.6</v>
      </c>
      <c r="K20" s="140">
        <v>25</v>
      </c>
      <c r="L20" s="140">
        <v>300</v>
      </c>
      <c r="M20" s="140" t="s">
        <v>377</v>
      </c>
      <c r="N20" s="140" t="s">
        <v>378</v>
      </c>
      <c r="O20" s="144">
        <f t="shared" si="6"/>
        <v>352.5</v>
      </c>
      <c r="P20" s="140" t="s">
        <v>385</v>
      </c>
      <c r="Q20" s="140" t="s">
        <v>372</v>
      </c>
      <c r="R20" s="147" t="s">
        <v>360</v>
      </c>
      <c r="S20" s="145" t="s">
        <v>383</v>
      </c>
      <c r="T20" s="145" t="s">
        <v>385</v>
      </c>
      <c r="U20" s="289" t="s">
        <v>375</v>
      </c>
      <c r="V20" s="290"/>
    </row>
    <row r="21" spans="1:22" ht="17.399999999999999">
      <c r="A21" s="139">
        <v>150</v>
      </c>
      <c r="B21" s="140">
        <v>440</v>
      </c>
      <c r="C21" s="141">
        <f t="shared" si="0"/>
        <v>243</v>
      </c>
      <c r="D21" s="141">
        <f t="shared" si="1"/>
        <v>579</v>
      </c>
      <c r="E21" s="141">
        <f t="shared" si="2"/>
        <v>260</v>
      </c>
      <c r="F21" s="142">
        <f t="shared" si="3"/>
        <v>74.843999999999994</v>
      </c>
      <c r="G21" s="143">
        <f t="shared" si="4"/>
        <v>1.7357142857142858</v>
      </c>
      <c r="H21" s="140">
        <v>70</v>
      </c>
      <c r="I21" s="140">
        <v>2</v>
      </c>
      <c r="J21" s="140">
        <f t="shared" si="5"/>
        <v>15.6</v>
      </c>
      <c r="K21" s="140">
        <v>25</v>
      </c>
      <c r="L21" s="140">
        <v>300</v>
      </c>
      <c r="M21" s="140" t="s">
        <v>377</v>
      </c>
      <c r="N21" s="140" t="s">
        <v>378</v>
      </c>
      <c r="O21" s="144">
        <f t="shared" si="6"/>
        <v>303.75</v>
      </c>
      <c r="P21" s="140" t="s">
        <v>379</v>
      </c>
      <c r="Q21" s="140" t="s">
        <v>372</v>
      </c>
      <c r="R21" s="147" t="s">
        <v>360</v>
      </c>
      <c r="S21" s="145" t="s">
        <v>383</v>
      </c>
      <c r="T21" s="145" t="s">
        <v>385</v>
      </c>
      <c r="U21" s="289" t="s">
        <v>375</v>
      </c>
      <c r="V21" s="290"/>
    </row>
    <row r="22" spans="1:22" ht="17.399999999999999">
      <c r="A22" s="139">
        <v>200</v>
      </c>
      <c r="B22" s="140">
        <v>380</v>
      </c>
      <c r="C22" s="141">
        <f t="shared" si="0"/>
        <v>376</v>
      </c>
      <c r="D22" s="141">
        <f t="shared" si="1"/>
        <v>500</v>
      </c>
      <c r="E22" s="141">
        <f t="shared" si="2"/>
        <v>400</v>
      </c>
      <c r="F22" s="142">
        <f t="shared" si="3"/>
        <v>115.80800000000001</v>
      </c>
      <c r="G22" s="143">
        <f t="shared" si="4"/>
        <v>1.9789473684210526</v>
      </c>
      <c r="H22" s="140">
        <v>95</v>
      </c>
      <c r="I22" s="140">
        <v>2</v>
      </c>
      <c r="J22" s="140">
        <f t="shared" si="5"/>
        <v>20.8</v>
      </c>
      <c r="K22" s="140">
        <v>25</v>
      </c>
      <c r="L22" s="140">
        <v>400</v>
      </c>
      <c r="M22" s="140" t="s">
        <v>386</v>
      </c>
      <c r="N22" s="140" t="s">
        <v>378</v>
      </c>
      <c r="O22" s="144">
        <f t="shared" si="6"/>
        <v>470</v>
      </c>
      <c r="P22" s="140" t="s">
        <v>387</v>
      </c>
      <c r="Q22" s="140" t="s">
        <v>388</v>
      </c>
      <c r="R22" s="147" t="s">
        <v>360</v>
      </c>
      <c r="S22" s="145" t="s">
        <v>383</v>
      </c>
      <c r="T22" s="145" t="s">
        <v>387</v>
      </c>
      <c r="U22" s="289" t="s">
        <v>375</v>
      </c>
      <c r="V22" s="290"/>
    </row>
    <row r="23" spans="1:22" ht="17.399999999999999">
      <c r="A23" s="139">
        <v>200</v>
      </c>
      <c r="B23" s="140">
        <v>440</v>
      </c>
      <c r="C23" s="141">
        <f t="shared" si="0"/>
        <v>324</v>
      </c>
      <c r="D23" s="141">
        <f t="shared" si="1"/>
        <v>579</v>
      </c>
      <c r="E23" s="141">
        <f t="shared" si="2"/>
        <v>346</v>
      </c>
      <c r="F23" s="142">
        <f t="shared" si="3"/>
        <v>99.792000000000002</v>
      </c>
      <c r="G23" s="143">
        <f t="shared" si="4"/>
        <v>1.7052631578947368</v>
      </c>
      <c r="H23" s="140">
        <v>95</v>
      </c>
      <c r="I23" s="140">
        <v>2</v>
      </c>
      <c r="J23" s="140">
        <f t="shared" si="5"/>
        <v>20.8</v>
      </c>
      <c r="K23" s="140">
        <v>25</v>
      </c>
      <c r="L23" s="140">
        <v>400</v>
      </c>
      <c r="M23" s="140" t="s">
        <v>386</v>
      </c>
      <c r="N23" s="140" t="s">
        <v>378</v>
      </c>
      <c r="O23" s="144">
        <f t="shared" si="6"/>
        <v>405</v>
      </c>
      <c r="P23" s="140" t="s">
        <v>385</v>
      </c>
      <c r="Q23" s="140" t="s">
        <v>388</v>
      </c>
      <c r="R23" s="147" t="s">
        <v>360</v>
      </c>
      <c r="S23" s="145" t="s">
        <v>383</v>
      </c>
      <c r="T23" s="145" t="s">
        <v>387</v>
      </c>
      <c r="U23" s="289" t="s">
        <v>375</v>
      </c>
      <c r="V23" s="290"/>
    </row>
    <row r="24" spans="1:22" ht="17.399999999999999">
      <c r="A24" s="139">
        <v>250</v>
      </c>
      <c r="B24" s="140">
        <v>380</v>
      </c>
      <c r="C24" s="141">
        <f t="shared" si="0"/>
        <v>469</v>
      </c>
      <c r="D24" s="141">
        <f t="shared" si="1"/>
        <v>500</v>
      </c>
      <c r="E24" s="141">
        <f t="shared" si="2"/>
        <v>500</v>
      </c>
      <c r="F24" s="142">
        <f t="shared" si="3"/>
        <v>144.452</v>
      </c>
      <c r="G24" s="143">
        <f t="shared" si="4"/>
        <v>1.9541666666666666</v>
      </c>
      <c r="H24" s="140">
        <v>120</v>
      </c>
      <c r="I24" s="140">
        <v>2</v>
      </c>
      <c r="J24" s="140">
        <f t="shared" si="5"/>
        <v>26</v>
      </c>
      <c r="K24" s="140">
        <v>35</v>
      </c>
      <c r="L24" s="140">
        <v>500</v>
      </c>
      <c r="M24" s="140" t="s">
        <v>389</v>
      </c>
      <c r="N24" s="140" t="s">
        <v>390</v>
      </c>
      <c r="O24" s="144">
        <f t="shared" si="6"/>
        <v>586.25</v>
      </c>
      <c r="P24" s="140" t="s">
        <v>391</v>
      </c>
      <c r="Q24" s="140" t="s">
        <v>388</v>
      </c>
      <c r="R24" s="147" t="s">
        <v>360</v>
      </c>
      <c r="S24" s="145" t="s">
        <v>392</v>
      </c>
      <c r="T24" s="145" t="s">
        <v>391</v>
      </c>
      <c r="U24" s="289" t="s">
        <v>375</v>
      </c>
      <c r="V24" s="290"/>
    </row>
    <row r="25" spans="1:22" ht="17.399999999999999">
      <c r="A25" s="139">
        <v>250</v>
      </c>
      <c r="B25" s="140">
        <v>440</v>
      </c>
      <c r="C25" s="141">
        <f t="shared" si="0"/>
        <v>405</v>
      </c>
      <c r="D25" s="141">
        <f t="shared" si="1"/>
        <v>579</v>
      </c>
      <c r="E25" s="141">
        <f t="shared" si="2"/>
        <v>432</v>
      </c>
      <c r="F25" s="142">
        <f t="shared" si="3"/>
        <v>124.74</v>
      </c>
      <c r="G25" s="143">
        <f t="shared" si="4"/>
        <v>1.6875</v>
      </c>
      <c r="H25" s="140">
        <v>120</v>
      </c>
      <c r="I25" s="140">
        <v>2</v>
      </c>
      <c r="J25" s="140">
        <f t="shared" si="5"/>
        <v>26</v>
      </c>
      <c r="K25" s="140">
        <v>35</v>
      </c>
      <c r="L25" s="140">
        <v>500</v>
      </c>
      <c r="M25" s="140" t="s">
        <v>386</v>
      </c>
      <c r="N25" s="140" t="s">
        <v>393</v>
      </c>
      <c r="O25" s="144">
        <f t="shared" si="6"/>
        <v>506.25</v>
      </c>
      <c r="P25" s="140" t="s">
        <v>387</v>
      </c>
      <c r="Q25" s="140" t="s">
        <v>388</v>
      </c>
      <c r="R25" s="147" t="s">
        <v>360</v>
      </c>
      <c r="S25" s="145" t="s">
        <v>392</v>
      </c>
      <c r="T25" s="145" t="s">
        <v>391</v>
      </c>
      <c r="U25" s="289" t="s">
        <v>375</v>
      </c>
      <c r="V25" s="290"/>
    </row>
    <row r="26" spans="1:22" ht="17.399999999999999">
      <c r="A26" s="139">
        <v>300</v>
      </c>
      <c r="B26" s="140">
        <v>380</v>
      </c>
      <c r="C26" s="141">
        <f t="shared" si="0"/>
        <v>563</v>
      </c>
      <c r="D26" s="141">
        <f t="shared" si="1"/>
        <v>500</v>
      </c>
      <c r="E26" s="141">
        <f t="shared" si="2"/>
        <v>600</v>
      </c>
      <c r="F26" s="142">
        <f t="shared" si="3"/>
        <v>173.404</v>
      </c>
      <c r="G26" s="143">
        <f t="shared" si="4"/>
        <v>1.8766666666666667</v>
      </c>
      <c r="H26" s="140">
        <v>150</v>
      </c>
      <c r="I26" s="140">
        <v>2</v>
      </c>
      <c r="J26" s="140">
        <f t="shared" si="5"/>
        <v>32.76</v>
      </c>
      <c r="K26" s="140">
        <v>35</v>
      </c>
      <c r="L26" s="140">
        <v>630</v>
      </c>
      <c r="M26" s="140" t="s">
        <v>394</v>
      </c>
      <c r="N26" s="140" t="s">
        <v>390</v>
      </c>
      <c r="O26" s="144">
        <f t="shared" si="6"/>
        <v>703.75</v>
      </c>
      <c r="P26" s="140" t="s">
        <v>395</v>
      </c>
      <c r="Q26" s="140" t="s">
        <v>388</v>
      </c>
      <c r="R26" s="147" t="s">
        <v>360</v>
      </c>
      <c r="S26" s="145" t="s">
        <v>392</v>
      </c>
      <c r="T26" s="145" t="s">
        <v>395</v>
      </c>
      <c r="U26" s="289" t="s">
        <v>375</v>
      </c>
      <c r="V26" s="290"/>
    </row>
    <row r="27" spans="1:22" ht="17.399999999999999">
      <c r="A27" s="139">
        <v>300</v>
      </c>
      <c r="B27" s="140">
        <v>440</v>
      </c>
      <c r="C27" s="141">
        <f t="shared" si="0"/>
        <v>486</v>
      </c>
      <c r="D27" s="141">
        <f t="shared" si="1"/>
        <v>579</v>
      </c>
      <c r="E27" s="141">
        <f t="shared" si="2"/>
        <v>519</v>
      </c>
      <c r="F27" s="142">
        <f t="shared" si="3"/>
        <v>149.68799999999999</v>
      </c>
      <c r="G27" s="143">
        <f t="shared" si="4"/>
        <v>1.62</v>
      </c>
      <c r="H27" s="140">
        <v>150</v>
      </c>
      <c r="I27" s="140">
        <v>2</v>
      </c>
      <c r="J27" s="140">
        <f t="shared" si="5"/>
        <v>32.76</v>
      </c>
      <c r="K27" s="140">
        <v>35</v>
      </c>
      <c r="L27" s="140">
        <v>630</v>
      </c>
      <c r="M27" s="140" t="s">
        <v>394</v>
      </c>
      <c r="N27" s="140" t="s">
        <v>390</v>
      </c>
      <c r="O27" s="144">
        <f t="shared" si="6"/>
        <v>607.5</v>
      </c>
      <c r="P27" s="140" t="s">
        <v>391</v>
      </c>
      <c r="Q27" s="140" t="s">
        <v>388</v>
      </c>
      <c r="R27" s="147" t="s">
        <v>360</v>
      </c>
      <c r="S27" s="145" t="s">
        <v>392</v>
      </c>
      <c r="T27" s="145" t="s">
        <v>395</v>
      </c>
      <c r="U27" s="289" t="s">
        <v>375</v>
      </c>
      <c r="V27" s="290"/>
    </row>
    <row r="28" spans="1:22" ht="17.399999999999999">
      <c r="A28" s="139">
        <v>350</v>
      </c>
      <c r="B28" s="140">
        <v>440</v>
      </c>
      <c r="C28" s="141">
        <f t="shared" si="0"/>
        <v>567</v>
      </c>
      <c r="D28" s="141">
        <f t="shared" si="1"/>
        <v>579</v>
      </c>
      <c r="E28" s="141">
        <f t="shared" si="2"/>
        <v>605</v>
      </c>
      <c r="F28" s="142">
        <f t="shared" si="3"/>
        <v>174.636</v>
      </c>
      <c r="G28" s="143">
        <f t="shared" si="4"/>
        <v>1.89</v>
      </c>
      <c r="H28" s="140">
        <v>150</v>
      </c>
      <c r="I28" s="140">
        <v>2</v>
      </c>
      <c r="J28" s="140">
        <f t="shared" si="5"/>
        <v>36.4</v>
      </c>
      <c r="K28" s="140">
        <v>50</v>
      </c>
      <c r="L28" s="140">
        <v>700</v>
      </c>
      <c r="M28" s="140" t="s">
        <v>396</v>
      </c>
      <c r="N28" s="140" t="s">
        <v>397</v>
      </c>
      <c r="O28" s="144">
        <f t="shared" si="6"/>
        <v>708.75</v>
      </c>
      <c r="P28" s="140" t="s">
        <v>395</v>
      </c>
      <c r="Q28" s="140" t="s">
        <v>388</v>
      </c>
      <c r="R28" s="147" t="s">
        <v>360</v>
      </c>
      <c r="S28" s="145" t="s">
        <v>392</v>
      </c>
      <c r="T28" s="145" t="s">
        <v>395</v>
      </c>
      <c r="U28" s="289" t="s">
        <v>375</v>
      </c>
      <c r="V28" s="290"/>
    </row>
    <row r="29" spans="1:22" ht="17.399999999999999">
      <c r="A29" s="139">
        <v>400</v>
      </c>
      <c r="B29" s="140">
        <v>440</v>
      </c>
      <c r="C29" s="141">
        <f t="shared" si="0"/>
        <v>648</v>
      </c>
      <c r="D29" s="141">
        <f t="shared" si="1"/>
        <v>579</v>
      </c>
      <c r="E29" s="141">
        <f t="shared" si="2"/>
        <v>691</v>
      </c>
      <c r="F29" s="142">
        <f t="shared" si="3"/>
        <v>199.584</v>
      </c>
      <c r="G29" s="143">
        <f t="shared" si="4"/>
        <v>2.16</v>
      </c>
      <c r="H29" s="140">
        <v>150</v>
      </c>
      <c r="I29" s="140">
        <v>2</v>
      </c>
      <c r="J29" s="140">
        <f t="shared" si="5"/>
        <v>41.6</v>
      </c>
      <c r="K29" s="140">
        <v>50</v>
      </c>
      <c r="L29" s="140">
        <v>800</v>
      </c>
      <c r="M29" s="140" t="s">
        <v>396</v>
      </c>
      <c r="N29" s="140" t="s">
        <v>397</v>
      </c>
      <c r="O29" s="144">
        <f t="shared" si="6"/>
        <v>810</v>
      </c>
      <c r="P29" s="140" t="s">
        <v>395</v>
      </c>
      <c r="Q29" s="140" t="s">
        <v>398</v>
      </c>
      <c r="R29" s="147" t="s">
        <v>360</v>
      </c>
      <c r="S29" s="145" t="s">
        <v>392</v>
      </c>
      <c r="T29" s="145" t="s">
        <v>399</v>
      </c>
      <c r="U29" s="289" t="s">
        <v>375</v>
      </c>
      <c r="V29" s="290"/>
    </row>
    <row r="30" spans="1:22" ht="17.399999999999999">
      <c r="A30" s="139">
        <v>450</v>
      </c>
      <c r="B30" s="140">
        <v>440</v>
      </c>
      <c r="C30" s="141">
        <f t="shared" si="0"/>
        <v>729</v>
      </c>
      <c r="D30" s="141">
        <f t="shared" si="1"/>
        <v>579</v>
      </c>
      <c r="E30" s="141">
        <f t="shared" si="2"/>
        <v>778</v>
      </c>
      <c r="F30" s="142"/>
      <c r="G30" s="143">
        <f t="shared" si="4"/>
        <v>1.9702702702702704</v>
      </c>
      <c r="H30" s="140">
        <v>185</v>
      </c>
      <c r="I30" s="140">
        <v>2</v>
      </c>
      <c r="J30" s="140">
        <f t="shared" si="5"/>
        <v>41.6</v>
      </c>
      <c r="K30" s="140">
        <v>50</v>
      </c>
      <c r="L30" s="140">
        <v>800</v>
      </c>
      <c r="M30" s="140" t="s">
        <v>396</v>
      </c>
      <c r="N30" s="140" t="s">
        <v>400</v>
      </c>
      <c r="O30" s="144">
        <f t="shared" si="6"/>
        <v>911.25</v>
      </c>
      <c r="P30" s="140" t="s">
        <v>401</v>
      </c>
      <c r="Q30" s="140" t="s">
        <v>398</v>
      </c>
      <c r="R30" s="147" t="s">
        <v>360</v>
      </c>
      <c r="S30" s="145" t="s">
        <v>392</v>
      </c>
      <c r="T30" s="145" t="s">
        <v>399</v>
      </c>
      <c r="U30" s="289" t="s">
        <v>375</v>
      </c>
      <c r="V30" s="290"/>
    </row>
    <row r="31" spans="1:22" ht="17.399999999999999">
      <c r="A31" s="139">
        <v>500</v>
      </c>
      <c r="B31" s="140">
        <v>440</v>
      </c>
      <c r="C31" s="141">
        <f t="shared" si="0"/>
        <v>810</v>
      </c>
      <c r="D31" s="141">
        <f t="shared" si="1"/>
        <v>579</v>
      </c>
      <c r="E31" s="141">
        <f t="shared" si="2"/>
        <v>864</v>
      </c>
      <c r="F31" s="142">
        <f t="shared" si="3"/>
        <v>249.48</v>
      </c>
      <c r="G31" s="143">
        <f t="shared" si="4"/>
        <v>2.189189189189189</v>
      </c>
      <c r="H31" s="140">
        <v>185</v>
      </c>
      <c r="I31" s="140">
        <v>2</v>
      </c>
      <c r="J31" s="140">
        <f t="shared" si="5"/>
        <v>52</v>
      </c>
      <c r="K31" s="140">
        <v>70</v>
      </c>
      <c r="L31" s="140">
        <v>1000</v>
      </c>
      <c r="M31" s="140" t="s">
        <v>402</v>
      </c>
      <c r="N31" s="140" t="s">
        <v>403</v>
      </c>
      <c r="O31" s="144">
        <f t="shared" si="6"/>
        <v>1012.5</v>
      </c>
      <c r="P31" s="140" t="s">
        <v>399</v>
      </c>
      <c r="Q31" s="140" t="s">
        <v>398</v>
      </c>
      <c r="R31" s="147" t="s">
        <v>360</v>
      </c>
      <c r="S31" s="145" t="s">
        <v>404</v>
      </c>
      <c r="T31" s="145" t="s">
        <v>405</v>
      </c>
      <c r="U31" s="289" t="s">
        <v>375</v>
      </c>
      <c r="V31" s="290"/>
    </row>
    <row r="32" spans="1:22" ht="17.399999999999999">
      <c r="A32" s="139">
        <v>600</v>
      </c>
      <c r="B32" s="140">
        <v>460</v>
      </c>
      <c r="C32" s="141">
        <f t="shared" si="0"/>
        <v>930</v>
      </c>
      <c r="D32" s="141">
        <f t="shared" si="1"/>
        <v>606</v>
      </c>
      <c r="E32" s="141">
        <f t="shared" si="2"/>
        <v>991</v>
      </c>
      <c r="F32" s="142">
        <f t="shared" si="3"/>
        <v>286.44</v>
      </c>
      <c r="G32" s="143">
        <f t="shared" si="4"/>
        <v>1.6756756756756757</v>
      </c>
      <c r="H32" s="140">
        <v>185</v>
      </c>
      <c r="I32" s="140">
        <v>3</v>
      </c>
      <c r="J32" s="140">
        <f t="shared" si="5"/>
        <v>62.4</v>
      </c>
      <c r="K32" s="140">
        <v>70</v>
      </c>
      <c r="L32" s="140">
        <v>1200</v>
      </c>
      <c r="M32" s="140" t="s">
        <v>406</v>
      </c>
      <c r="N32" s="140" t="s">
        <v>403</v>
      </c>
      <c r="O32" s="144">
        <f t="shared" si="6"/>
        <v>1162.5</v>
      </c>
      <c r="P32" s="140" t="s">
        <v>407</v>
      </c>
      <c r="Q32" s="140" t="s">
        <v>398</v>
      </c>
      <c r="R32" s="147" t="s">
        <v>360</v>
      </c>
      <c r="S32" s="145" t="s">
        <v>408</v>
      </c>
      <c r="T32" s="145" t="s">
        <v>405</v>
      </c>
      <c r="U32" s="140" t="s">
        <v>409</v>
      </c>
      <c r="V32" s="148" t="s">
        <v>410</v>
      </c>
    </row>
    <row r="33" spans="1:22" ht="17.399999999999999">
      <c r="A33" s="139">
        <v>700</v>
      </c>
      <c r="B33" s="140">
        <v>460</v>
      </c>
      <c r="C33" s="141">
        <f t="shared" si="0"/>
        <v>1085</v>
      </c>
      <c r="D33" s="141">
        <f t="shared" si="1"/>
        <v>606</v>
      </c>
      <c r="E33" s="141">
        <f t="shared" si="2"/>
        <v>1156</v>
      </c>
      <c r="F33" s="142">
        <f t="shared" si="3"/>
        <v>334.18</v>
      </c>
      <c r="G33" s="143">
        <f t="shared" si="4"/>
        <v>1.4662162162162162</v>
      </c>
      <c r="H33" s="140">
        <v>185</v>
      </c>
      <c r="I33" s="140">
        <v>4</v>
      </c>
      <c r="J33" s="140">
        <f t="shared" si="5"/>
        <v>65</v>
      </c>
      <c r="K33" s="140">
        <v>70</v>
      </c>
      <c r="L33" s="140">
        <v>1250</v>
      </c>
      <c r="M33" s="140" t="s">
        <v>411</v>
      </c>
      <c r="N33" s="140" t="s">
        <v>412</v>
      </c>
      <c r="O33" s="144">
        <f t="shared" si="6"/>
        <v>1356.25</v>
      </c>
      <c r="P33" s="147" t="s">
        <v>413</v>
      </c>
      <c r="Q33" s="140" t="s">
        <v>414</v>
      </c>
      <c r="R33" s="147" t="s">
        <v>413</v>
      </c>
      <c r="S33" s="145" t="s">
        <v>415</v>
      </c>
      <c r="T33" s="145" t="s">
        <v>416</v>
      </c>
      <c r="U33" s="140" t="s">
        <v>417</v>
      </c>
      <c r="V33" s="148" t="s">
        <v>418</v>
      </c>
    </row>
    <row r="34" spans="1:22" ht="17.399999999999999">
      <c r="A34" s="139">
        <v>750</v>
      </c>
      <c r="B34" s="254">
        <v>460</v>
      </c>
      <c r="C34" s="255">
        <f t="shared" si="0"/>
        <v>1163</v>
      </c>
      <c r="D34" s="255">
        <f t="shared" si="1"/>
        <v>606</v>
      </c>
      <c r="E34" s="255">
        <f t="shared" si="2"/>
        <v>1238</v>
      </c>
      <c r="F34" s="256">
        <f t="shared" si="3"/>
        <v>358.20400000000001</v>
      </c>
      <c r="G34" s="257">
        <f t="shared" si="4"/>
        <v>1.5716216216216217</v>
      </c>
      <c r="H34" s="254">
        <v>185</v>
      </c>
      <c r="I34" s="254">
        <v>4</v>
      </c>
      <c r="J34" s="254">
        <f t="shared" si="5"/>
        <v>65</v>
      </c>
      <c r="K34" s="254">
        <v>70</v>
      </c>
      <c r="L34" s="254">
        <v>1250</v>
      </c>
      <c r="M34" s="254" t="s">
        <v>411</v>
      </c>
      <c r="N34" s="254" t="s">
        <v>412</v>
      </c>
      <c r="O34" s="258">
        <f t="shared" si="6"/>
        <v>1453.75</v>
      </c>
      <c r="P34" s="259" t="s">
        <v>413</v>
      </c>
      <c r="Q34" s="254" t="s">
        <v>414</v>
      </c>
      <c r="R34" s="259" t="s">
        <v>413</v>
      </c>
      <c r="S34" s="260" t="s">
        <v>415</v>
      </c>
      <c r="T34" s="260" t="s">
        <v>419</v>
      </c>
      <c r="U34" s="254" t="s">
        <v>417</v>
      </c>
      <c r="V34" s="261" t="s">
        <v>418</v>
      </c>
    </row>
    <row r="35" spans="1:22" ht="17.399999999999999">
      <c r="A35" s="139">
        <v>800</v>
      </c>
      <c r="B35" s="254">
        <v>460</v>
      </c>
      <c r="C35" s="255">
        <f t="shared" si="0"/>
        <v>1240</v>
      </c>
      <c r="D35" s="255">
        <f t="shared" si="1"/>
        <v>606</v>
      </c>
      <c r="E35" s="255">
        <f t="shared" si="2"/>
        <v>1321</v>
      </c>
      <c r="F35" s="256">
        <f t="shared" si="3"/>
        <v>381.92</v>
      </c>
      <c r="G35" s="257">
        <f t="shared" si="4"/>
        <v>1.6756756756756757</v>
      </c>
      <c r="H35" s="254">
        <v>185</v>
      </c>
      <c r="I35" s="254">
        <v>4</v>
      </c>
      <c r="J35" s="254">
        <f t="shared" si="5"/>
        <v>83.2</v>
      </c>
      <c r="K35" s="254">
        <v>95</v>
      </c>
      <c r="L35" s="254">
        <v>1600</v>
      </c>
      <c r="M35" s="254" t="s">
        <v>420</v>
      </c>
      <c r="N35" s="254" t="s">
        <v>421</v>
      </c>
      <c r="O35" s="258">
        <f t="shared" si="6"/>
        <v>1550</v>
      </c>
      <c r="P35" s="259" t="s">
        <v>413</v>
      </c>
      <c r="Q35" s="254" t="s">
        <v>414</v>
      </c>
      <c r="R35" s="259" t="s">
        <v>413</v>
      </c>
      <c r="S35" s="260" t="s">
        <v>415</v>
      </c>
      <c r="T35" s="260" t="s">
        <v>419</v>
      </c>
      <c r="U35" s="254" t="s">
        <v>417</v>
      </c>
      <c r="V35" s="261" t="s">
        <v>418</v>
      </c>
    </row>
    <row r="36" spans="1:22" ht="17.399999999999999">
      <c r="A36" s="139">
        <v>1000</v>
      </c>
      <c r="B36" s="254">
        <v>460</v>
      </c>
      <c r="C36" s="255">
        <f t="shared" si="0"/>
        <v>1550</v>
      </c>
      <c r="D36" s="255">
        <f t="shared" si="1"/>
        <v>606</v>
      </c>
      <c r="E36" s="255">
        <f t="shared" si="2"/>
        <v>1651</v>
      </c>
      <c r="F36" s="256">
        <f t="shared" si="3"/>
        <v>477.4</v>
      </c>
      <c r="G36" s="257">
        <f t="shared" si="4"/>
        <v>1.6145833333333333</v>
      </c>
      <c r="H36" s="254">
        <v>240</v>
      </c>
      <c r="I36" s="254">
        <v>4</v>
      </c>
      <c r="J36" s="254">
        <f t="shared" si="5"/>
        <v>104</v>
      </c>
      <c r="K36" s="254">
        <v>120</v>
      </c>
      <c r="L36" s="254">
        <v>2000</v>
      </c>
      <c r="M36" s="254" t="s">
        <v>422</v>
      </c>
      <c r="N36" s="254" t="s">
        <v>423</v>
      </c>
      <c r="O36" s="258">
        <f t="shared" si="6"/>
        <v>1937.5</v>
      </c>
      <c r="P36" s="259" t="s">
        <v>413</v>
      </c>
      <c r="Q36" s="254" t="s">
        <v>424</v>
      </c>
      <c r="R36" s="254" t="s">
        <v>425</v>
      </c>
      <c r="S36" s="260" t="s">
        <v>415</v>
      </c>
      <c r="T36" s="260" t="s">
        <v>426</v>
      </c>
      <c r="U36" s="254" t="s">
        <v>417</v>
      </c>
      <c r="V36" s="261" t="s">
        <v>418</v>
      </c>
    </row>
    <row r="37" spans="1:22" ht="17.399999999999999">
      <c r="A37" s="139">
        <v>1200</v>
      </c>
      <c r="B37" s="140">
        <v>460</v>
      </c>
      <c r="C37" s="141">
        <f t="shared" si="0"/>
        <v>1860</v>
      </c>
      <c r="D37" s="141">
        <f t="shared" si="1"/>
        <v>606</v>
      </c>
      <c r="E37" s="141">
        <f t="shared" si="2"/>
        <v>1981</v>
      </c>
      <c r="F37" s="142">
        <f t="shared" si="3"/>
        <v>572.88</v>
      </c>
      <c r="G37" s="143">
        <f t="shared" si="4"/>
        <v>1.55</v>
      </c>
      <c r="H37" s="140">
        <v>300</v>
      </c>
      <c r="I37" s="140">
        <v>4</v>
      </c>
      <c r="J37" s="140">
        <f t="shared" si="5"/>
        <v>130</v>
      </c>
      <c r="K37" s="140">
        <v>150</v>
      </c>
      <c r="L37" s="140">
        <v>2500</v>
      </c>
      <c r="M37" s="140" t="s">
        <v>427</v>
      </c>
      <c r="N37" s="140" t="s">
        <v>428</v>
      </c>
      <c r="O37" s="144">
        <f t="shared" si="6"/>
        <v>2325</v>
      </c>
      <c r="P37" s="147" t="s">
        <v>413</v>
      </c>
      <c r="Q37" s="140"/>
      <c r="R37" s="140" t="s">
        <v>425</v>
      </c>
      <c r="S37" s="145" t="s">
        <v>415</v>
      </c>
      <c r="T37" s="145" t="s">
        <v>426</v>
      </c>
      <c r="U37" s="140" t="s">
        <v>417</v>
      </c>
      <c r="V37" s="148" t="s">
        <v>429</v>
      </c>
    </row>
    <row r="38" spans="1:22" ht="17.399999999999999">
      <c r="A38" s="139">
        <v>1250</v>
      </c>
      <c r="B38" s="140">
        <v>460</v>
      </c>
      <c r="C38" s="141">
        <f t="shared" si="0"/>
        <v>1937</v>
      </c>
      <c r="D38" s="141">
        <f t="shared" si="1"/>
        <v>606</v>
      </c>
      <c r="E38" s="141">
        <f t="shared" si="2"/>
        <v>2063</v>
      </c>
      <c r="F38" s="142">
        <f t="shared" si="3"/>
        <v>596.596</v>
      </c>
      <c r="G38" s="143">
        <f t="shared" si="4"/>
        <v>1.6141666666666667</v>
      </c>
      <c r="H38" s="140">
        <v>300</v>
      </c>
      <c r="I38" s="140">
        <v>4</v>
      </c>
      <c r="J38" s="140">
        <f t="shared" si="5"/>
        <v>130</v>
      </c>
      <c r="K38" s="140">
        <v>150</v>
      </c>
      <c r="L38" s="140">
        <v>2500</v>
      </c>
      <c r="M38" s="140" t="s">
        <v>430</v>
      </c>
      <c r="N38" s="140" t="s">
        <v>431</v>
      </c>
      <c r="O38" s="144">
        <f t="shared" si="6"/>
        <v>2421.25</v>
      </c>
      <c r="P38" s="147" t="s">
        <v>432</v>
      </c>
      <c r="Q38" s="140"/>
      <c r="R38" s="140" t="s">
        <v>433</v>
      </c>
      <c r="S38" s="145" t="s">
        <v>434</v>
      </c>
      <c r="T38" s="145" t="s">
        <v>435</v>
      </c>
      <c r="U38" s="140" t="s">
        <v>436</v>
      </c>
      <c r="V38" s="148" t="s">
        <v>429</v>
      </c>
    </row>
    <row r="39" spans="1:22" ht="17.399999999999999">
      <c r="A39" s="139">
        <v>1500</v>
      </c>
      <c r="B39" s="140">
        <v>460</v>
      </c>
      <c r="C39" s="141">
        <f t="shared" si="0"/>
        <v>2325</v>
      </c>
      <c r="D39" s="141">
        <f t="shared" si="1"/>
        <v>606</v>
      </c>
      <c r="E39" s="141">
        <f t="shared" si="2"/>
        <v>2476</v>
      </c>
      <c r="F39" s="142">
        <f t="shared" si="3"/>
        <v>716.1</v>
      </c>
      <c r="G39" s="143">
        <f t="shared" si="4"/>
        <v>1.55</v>
      </c>
      <c r="H39" s="140">
        <v>300</v>
      </c>
      <c r="I39" s="140">
        <v>5</v>
      </c>
      <c r="J39" s="140">
        <f t="shared" si="5"/>
        <v>130</v>
      </c>
      <c r="K39" s="140">
        <v>150</v>
      </c>
      <c r="L39" s="140">
        <v>2500</v>
      </c>
      <c r="M39" s="140" t="s">
        <v>430</v>
      </c>
      <c r="N39" s="140" t="s">
        <v>431</v>
      </c>
      <c r="O39" s="144">
        <f t="shared" si="6"/>
        <v>2906.25</v>
      </c>
      <c r="P39" s="147" t="s">
        <v>432</v>
      </c>
      <c r="Q39" s="140" t="s">
        <v>437</v>
      </c>
      <c r="R39" s="140" t="s">
        <v>433</v>
      </c>
      <c r="S39" s="145" t="s">
        <v>434</v>
      </c>
      <c r="T39" s="145" t="s">
        <v>438</v>
      </c>
      <c r="U39" s="140" t="s">
        <v>417</v>
      </c>
      <c r="V39" s="148" t="s">
        <v>439</v>
      </c>
    </row>
    <row r="40" spans="1:22" ht="17.399999999999999">
      <c r="A40" s="139">
        <v>1500</v>
      </c>
      <c r="B40" s="140">
        <v>650</v>
      </c>
      <c r="C40" s="141">
        <f t="shared" si="0"/>
        <v>1645</v>
      </c>
      <c r="D40" s="141">
        <f t="shared" si="1"/>
        <v>855</v>
      </c>
      <c r="E40" s="141">
        <f t="shared" si="2"/>
        <v>1755</v>
      </c>
      <c r="F40" s="142">
        <f t="shared" si="3"/>
        <v>506.66</v>
      </c>
      <c r="G40" s="143">
        <f t="shared" si="4"/>
        <v>1.7135416666666667</v>
      </c>
      <c r="H40" s="140">
        <v>240</v>
      </c>
      <c r="I40" s="140">
        <v>4</v>
      </c>
      <c r="J40" s="140">
        <f t="shared" si="5"/>
        <v>104</v>
      </c>
      <c r="K40" s="140">
        <v>120</v>
      </c>
      <c r="L40" s="140">
        <v>2000</v>
      </c>
      <c r="M40" s="140" t="s">
        <v>422</v>
      </c>
      <c r="N40" s="140" t="s">
        <v>423</v>
      </c>
      <c r="O40" s="144">
        <f t="shared" si="6"/>
        <v>2056.25</v>
      </c>
      <c r="P40" s="147" t="s">
        <v>413</v>
      </c>
      <c r="Q40" s="140"/>
      <c r="R40" s="140" t="s">
        <v>425</v>
      </c>
      <c r="S40" s="145" t="s">
        <v>415</v>
      </c>
      <c r="T40" s="145" t="s">
        <v>426</v>
      </c>
      <c r="U40" s="140" t="s">
        <v>417</v>
      </c>
      <c r="V40" s="148" t="s">
        <v>439</v>
      </c>
    </row>
    <row r="41" spans="1:22" ht="17.399999999999999">
      <c r="A41" s="139">
        <v>1600</v>
      </c>
      <c r="B41" s="140">
        <v>690</v>
      </c>
      <c r="C41" s="141">
        <f>ROUNDUP(A41/(B41*0.9)/3^0.5*1000/0.9,0)</f>
        <v>1653</v>
      </c>
      <c r="D41" s="141">
        <f>ROUNDUP(B41*2^0.5*0.93,0)</f>
        <v>908</v>
      </c>
      <c r="E41" s="141">
        <f>ROUNDUP(A41*1000/D41,0)</f>
        <v>1763</v>
      </c>
      <c r="F41" s="142">
        <f>30.8*100*C41/(1000*10)</f>
        <v>509.12400000000002</v>
      </c>
      <c r="G41" s="143">
        <f>C41/(H41*I41)</f>
        <v>1.721875</v>
      </c>
      <c r="H41" s="140">
        <v>240</v>
      </c>
      <c r="I41" s="140">
        <v>4</v>
      </c>
      <c r="J41" s="140">
        <f>L41*0.052</f>
        <v>104</v>
      </c>
      <c r="K41" s="140">
        <v>120</v>
      </c>
      <c r="L41" s="140">
        <v>2000</v>
      </c>
      <c r="M41" s="140" t="s">
        <v>422</v>
      </c>
      <c r="N41" s="140" t="s">
        <v>423</v>
      </c>
      <c r="O41" s="144">
        <f>SUM(C41*1.25)</f>
        <v>2066.25</v>
      </c>
      <c r="P41" s="147" t="s">
        <v>360</v>
      </c>
      <c r="Q41" s="140"/>
      <c r="R41" s="140" t="s">
        <v>425</v>
      </c>
      <c r="S41" s="145" t="s">
        <v>415</v>
      </c>
      <c r="T41" s="145" t="s">
        <v>426</v>
      </c>
      <c r="U41" s="140" t="s">
        <v>409</v>
      </c>
      <c r="V41" s="148" t="s">
        <v>492</v>
      </c>
    </row>
    <row r="42" spans="1:22" ht="17.399999999999999">
      <c r="A42" s="139">
        <v>2000</v>
      </c>
      <c r="B42" s="140">
        <v>460</v>
      </c>
      <c r="C42" s="141">
        <f t="shared" si="0"/>
        <v>3100</v>
      </c>
      <c r="D42" s="141">
        <f t="shared" si="1"/>
        <v>606</v>
      </c>
      <c r="E42" s="141">
        <f t="shared" si="2"/>
        <v>3301</v>
      </c>
      <c r="F42" s="142">
        <f t="shared" si="3"/>
        <v>954.8</v>
      </c>
      <c r="G42" s="143">
        <f t="shared" si="4"/>
        <v>1.2916666666666667</v>
      </c>
      <c r="H42" s="140">
        <v>400</v>
      </c>
      <c r="I42" s="140">
        <v>6</v>
      </c>
      <c r="J42" s="140">
        <f t="shared" si="5"/>
        <v>166.4</v>
      </c>
      <c r="K42" s="140">
        <v>185</v>
      </c>
      <c r="L42" s="140">
        <v>3200</v>
      </c>
      <c r="M42" s="140" t="s">
        <v>440</v>
      </c>
      <c r="N42" s="140" t="s">
        <v>441</v>
      </c>
      <c r="O42" s="144">
        <f t="shared" si="6"/>
        <v>3875</v>
      </c>
      <c r="P42" s="147" t="s">
        <v>413</v>
      </c>
      <c r="Q42" s="140" t="s">
        <v>442</v>
      </c>
      <c r="R42" s="140" t="s">
        <v>443</v>
      </c>
      <c r="S42" s="145" t="s">
        <v>415</v>
      </c>
      <c r="T42" s="145" t="s">
        <v>444</v>
      </c>
      <c r="U42" s="140" t="s">
        <v>417</v>
      </c>
      <c r="V42" s="148" t="s">
        <v>445</v>
      </c>
    </row>
    <row r="43" spans="1:22" ht="17.399999999999999">
      <c r="A43" s="139">
        <v>2000</v>
      </c>
      <c r="B43" s="140">
        <v>650</v>
      </c>
      <c r="C43" s="141">
        <f t="shared" si="0"/>
        <v>2194</v>
      </c>
      <c r="D43" s="141">
        <f t="shared" si="1"/>
        <v>855</v>
      </c>
      <c r="E43" s="141">
        <f t="shared" si="2"/>
        <v>2340</v>
      </c>
      <c r="F43" s="142">
        <f t="shared" si="3"/>
        <v>675.75199999999995</v>
      </c>
      <c r="G43" s="143">
        <f t="shared" si="4"/>
        <v>1.4626666666666666</v>
      </c>
      <c r="H43" s="140">
        <v>300</v>
      </c>
      <c r="I43" s="140">
        <v>5</v>
      </c>
      <c r="J43" s="140">
        <f t="shared" si="5"/>
        <v>130</v>
      </c>
      <c r="K43" s="140">
        <v>150</v>
      </c>
      <c r="L43" s="140">
        <v>2500</v>
      </c>
      <c r="M43" s="140" t="s">
        <v>427</v>
      </c>
      <c r="N43" s="140" t="s">
        <v>428</v>
      </c>
      <c r="O43" s="144">
        <f t="shared" si="6"/>
        <v>2742.5</v>
      </c>
      <c r="P43" s="147" t="s">
        <v>413</v>
      </c>
      <c r="Q43" s="140" t="s">
        <v>446</v>
      </c>
      <c r="R43" s="140" t="s">
        <v>425</v>
      </c>
      <c r="S43" s="145" t="s">
        <v>415</v>
      </c>
      <c r="T43" s="145" t="s">
        <v>438</v>
      </c>
      <c r="U43" s="140" t="s">
        <v>417</v>
      </c>
      <c r="V43" s="148" t="s">
        <v>439</v>
      </c>
    </row>
    <row r="44" spans="1:22" ht="17.399999999999999">
      <c r="A44" s="139">
        <v>2500</v>
      </c>
      <c r="B44" s="140">
        <v>460</v>
      </c>
      <c r="C44" s="141">
        <f t="shared" si="0"/>
        <v>3874</v>
      </c>
      <c r="D44" s="141">
        <f t="shared" si="1"/>
        <v>606</v>
      </c>
      <c r="E44" s="141">
        <f t="shared" si="2"/>
        <v>4126</v>
      </c>
      <c r="F44" s="142">
        <f t="shared" si="3"/>
        <v>1193.192</v>
      </c>
      <c r="G44" s="143">
        <f t="shared" si="4"/>
        <v>1.6141666666666667</v>
      </c>
      <c r="H44" s="140">
        <v>400</v>
      </c>
      <c r="I44" s="140">
        <v>6</v>
      </c>
      <c r="J44" s="140">
        <f t="shared" si="5"/>
        <v>208</v>
      </c>
      <c r="K44" s="140">
        <v>240</v>
      </c>
      <c r="L44" s="140">
        <v>4000</v>
      </c>
      <c r="M44" s="140" t="s">
        <v>447</v>
      </c>
      <c r="N44" s="140" t="s">
        <v>441</v>
      </c>
      <c r="O44" s="144">
        <f t="shared" si="6"/>
        <v>4842.5</v>
      </c>
      <c r="P44" s="147" t="s">
        <v>413</v>
      </c>
      <c r="Q44" s="140" t="s">
        <v>442</v>
      </c>
      <c r="R44" s="140" t="s">
        <v>443</v>
      </c>
      <c r="S44" s="145" t="s">
        <v>415</v>
      </c>
      <c r="T44" s="145" t="s">
        <v>448</v>
      </c>
      <c r="U44" s="140" t="s">
        <v>417</v>
      </c>
      <c r="V44" s="148" t="s">
        <v>445</v>
      </c>
    </row>
    <row r="45" spans="1:22" ht="17.399999999999999">
      <c r="A45" s="149">
        <v>2500</v>
      </c>
      <c r="B45" s="140">
        <v>650</v>
      </c>
      <c r="C45" s="141">
        <f t="shared" si="0"/>
        <v>2742</v>
      </c>
      <c r="D45" s="141">
        <f t="shared" si="1"/>
        <v>855</v>
      </c>
      <c r="E45" s="141">
        <f t="shared" si="2"/>
        <v>2924</v>
      </c>
      <c r="F45" s="150"/>
      <c r="G45" s="143">
        <f t="shared" si="4"/>
        <v>1.1425000000000001</v>
      </c>
      <c r="H45" s="140">
        <v>400</v>
      </c>
      <c r="I45" s="140">
        <v>6</v>
      </c>
      <c r="J45" s="140">
        <f t="shared" si="5"/>
        <v>166.4</v>
      </c>
      <c r="K45" s="140">
        <v>185</v>
      </c>
      <c r="L45" s="140">
        <v>3200</v>
      </c>
      <c r="M45" s="140" t="s">
        <v>440</v>
      </c>
      <c r="N45" s="140" t="s">
        <v>441</v>
      </c>
      <c r="O45" s="144">
        <f t="shared" si="6"/>
        <v>3427.5</v>
      </c>
      <c r="P45" s="147" t="s">
        <v>413</v>
      </c>
      <c r="Q45" s="140" t="s">
        <v>442</v>
      </c>
      <c r="R45" s="140" t="s">
        <v>443</v>
      </c>
      <c r="S45" s="145" t="s">
        <v>415</v>
      </c>
      <c r="T45" s="145" t="s">
        <v>444</v>
      </c>
      <c r="U45" s="140" t="s">
        <v>417</v>
      </c>
      <c r="V45" s="148" t="s">
        <v>445</v>
      </c>
    </row>
    <row r="46" spans="1:22" ht="17.399999999999999">
      <c r="A46" s="149">
        <v>3000</v>
      </c>
      <c r="B46" s="151">
        <v>460</v>
      </c>
      <c r="C46" s="152">
        <f>ROUNDUP(A46/(B46*0.9)/3^0.5*1000/0.9,0)</f>
        <v>4649</v>
      </c>
      <c r="D46" s="152">
        <f t="shared" si="1"/>
        <v>606</v>
      </c>
      <c r="E46" s="152">
        <f t="shared" si="2"/>
        <v>4951</v>
      </c>
      <c r="F46" s="150">
        <f>30.8*100*C46/(1000*10)</f>
        <v>1431.8920000000001</v>
      </c>
      <c r="G46" s="153">
        <f t="shared" si="4"/>
        <v>1.5496666666666667</v>
      </c>
      <c r="H46" s="151">
        <v>500</v>
      </c>
      <c r="I46" s="151">
        <v>6</v>
      </c>
      <c r="J46" s="151">
        <f t="shared" si="5"/>
        <v>208</v>
      </c>
      <c r="K46" s="151">
        <v>240</v>
      </c>
      <c r="L46" s="151">
        <v>4000</v>
      </c>
      <c r="M46" s="151" t="s">
        <v>447</v>
      </c>
      <c r="N46" s="151" t="s">
        <v>441</v>
      </c>
      <c r="O46" s="154">
        <f t="shared" si="6"/>
        <v>5811.25</v>
      </c>
      <c r="P46" s="155" t="s">
        <v>413</v>
      </c>
      <c r="Q46" s="151" t="s">
        <v>442</v>
      </c>
      <c r="R46" s="151" t="s">
        <v>443</v>
      </c>
      <c r="S46" s="145" t="s">
        <v>415</v>
      </c>
      <c r="T46" s="156" t="s">
        <v>449</v>
      </c>
      <c r="U46" s="151" t="s">
        <v>436</v>
      </c>
      <c r="V46" s="157" t="s">
        <v>450</v>
      </c>
    </row>
    <row r="47" spans="1:22" ht="18" thickBot="1">
      <c r="A47" s="158">
        <v>3000</v>
      </c>
      <c r="B47" s="159">
        <v>650</v>
      </c>
      <c r="C47" s="160">
        <f t="shared" si="0"/>
        <v>3290</v>
      </c>
      <c r="D47" s="160">
        <f t="shared" si="1"/>
        <v>855</v>
      </c>
      <c r="E47" s="160">
        <f t="shared" si="2"/>
        <v>3509</v>
      </c>
      <c r="F47" s="161">
        <f t="shared" si="3"/>
        <v>1013.32</v>
      </c>
      <c r="G47" s="162">
        <f t="shared" si="4"/>
        <v>1.3708333333333333</v>
      </c>
      <c r="H47" s="159">
        <v>400</v>
      </c>
      <c r="I47" s="159">
        <v>6</v>
      </c>
      <c r="J47" s="159">
        <f t="shared" si="5"/>
        <v>166.4</v>
      </c>
      <c r="K47" s="159">
        <v>185</v>
      </c>
      <c r="L47" s="159">
        <v>3200</v>
      </c>
      <c r="M47" s="159" t="s">
        <v>451</v>
      </c>
      <c r="N47" s="159" t="s">
        <v>452</v>
      </c>
      <c r="O47" s="163">
        <f t="shared" si="6"/>
        <v>4112.5</v>
      </c>
      <c r="P47" s="164" t="s">
        <v>453</v>
      </c>
      <c r="Q47" s="159" t="s">
        <v>442</v>
      </c>
      <c r="R47" s="159" t="s">
        <v>454</v>
      </c>
      <c r="S47" s="165" t="s">
        <v>455</v>
      </c>
      <c r="T47" s="159" t="s">
        <v>456</v>
      </c>
      <c r="U47" s="159" t="s">
        <v>409</v>
      </c>
      <c r="V47" s="166" t="s">
        <v>450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4.4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/>
    <row r="2" spans="2:20" ht="18" thickBot="1">
      <c r="B2" s="305" t="s">
        <v>189</v>
      </c>
      <c r="C2" s="307" t="s">
        <v>190</v>
      </c>
      <c r="D2" s="307"/>
      <c r="E2" s="307"/>
      <c r="F2" s="307"/>
      <c r="G2" s="307"/>
      <c r="H2" s="307"/>
      <c r="I2" s="307"/>
      <c r="J2" s="307"/>
      <c r="K2" s="307"/>
      <c r="L2" s="308" t="s">
        <v>191</v>
      </c>
      <c r="M2" s="308"/>
      <c r="N2" s="308"/>
      <c r="O2" s="309" t="s">
        <v>192</v>
      </c>
      <c r="P2" s="309"/>
      <c r="Q2" s="309"/>
      <c r="R2" s="310" t="s">
        <v>193</v>
      </c>
      <c r="S2" s="310"/>
      <c r="T2" s="311"/>
    </row>
    <row r="3" spans="2:20" ht="17.399999999999999">
      <c r="B3" s="306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2021-11-01T23:13:14Z</dcterms:modified>
</cp:coreProperties>
</file>