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업무\1.업체폴더\2021_24_PSA02Y21-0024_제닉스_압연롤유도가열전원장치_150KW_15-20KHZ\전장설계\"/>
    </mc:Choice>
  </mc:AlternateContent>
  <bookViews>
    <workbookView xWindow="0" yWindow="0" windowWidth="28800" windowHeight="12975" activeTab="1"/>
  </bookViews>
  <sheets>
    <sheet name="직렬공진_PSPWM_150kW" sheetId="2" r:id="rId1"/>
    <sheet name="설계 결과표" sheetId="1" r:id="rId2"/>
    <sheet name="sw요청서" sheetId="4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3" i="4" l="1"/>
  <c r="E25" i="4"/>
  <c r="E26" i="4" s="1"/>
  <c r="E9" i="4"/>
  <c r="E11" i="4" s="1"/>
  <c r="E12" i="4" s="1"/>
  <c r="F11" i="4" l="1"/>
  <c r="F12" i="4" s="1"/>
  <c r="G32" i="2" l="1"/>
  <c r="G18" i="2"/>
  <c r="G16" i="2"/>
  <c r="G21" i="2" s="1"/>
  <c r="G24" i="2" s="1"/>
  <c r="G10" i="2"/>
  <c r="G37" i="2" s="1"/>
  <c r="G39" i="2" s="1"/>
  <c r="G6" i="2"/>
  <c r="G8" i="2" s="1"/>
  <c r="F32" i="2"/>
  <c r="F18" i="2"/>
  <c r="F16" i="2"/>
  <c r="F22" i="2" s="1"/>
  <c r="F25" i="2" s="1"/>
  <c r="F10" i="2"/>
  <c r="F37" i="2" s="1"/>
  <c r="F39" i="2" s="1"/>
  <c r="F6" i="2"/>
  <c r="F8" i="2" s="1"/>
  <c r="E32" i="2"/>
  <c r="E18" i="2"/>
  <c r="E16" i="2"/>
  <c r="E10" i="2"/>
  <c r="E37" i="2" s="1"/>
  <c r="E39" i="2" s="1"/>
  <c r="E6" i="2"/>
  <c r="E8" i="2" s="1"/>
  <c r="E21" i="2" l="1"/>
  <c r="E24" i="2" s="1"/>
  <c r="G22" i="2"/>
  <c r="G25" i="2" s="1"/>
  <c r="G28" i="2" s="1"/>
  <c r="G29" i="2" s="1"/>
  <c r="E22" i="2"/>
  <c r="E25" i="2" s="1"/>
  <c r="E28" i="2" s="1"/>
  <c r="E29" i="2" s="1"/>
  <c r="G11" i="2"/>
  <c r="G23" i="2"/>
  <c r="F28" i="2"/>
  <c r="F21" i="2"/>
  <c r="F11" i="2"/>
  <c r="E11" i="2"/>
  <c r="E23" i="2" l="1"/>
  <c r="G43" i="2"/>
  <c r="G44" i="2" s="1"/>
  <c r="G45" i="2" s="1"/>
  <c r="G46" i="2" s="1"/>
  <c r="G26" i="2"/>
  <c r="G31" i="2" s="1"/>
  <c r="G41" i="2" s="1"/>
  <c r="G30" i="2"/>
  <c r="G34" i="2" s="1"/>
  <c r="E43" i="2"/>
  <c r="E44" i="2" s="1"/>
  <c r="E45" i="2" s="1"/>
  <c r="E46" i="2" s="1"/>
  <c r="E30" i="2"/>
  <c r="E33" i="2" s="1"/>
  <c r="E26" i="2"/>
  <c r="E31" i="2" s="1"/>
  <c r="E41" i="2" s="1"/>
  <c r="E66" i="2" s="1"/>
  <c r="G33" i="2"/>
  <c r="F29" i="2"/>
  <c r="F43" i="2"/>
  <c r="F44" i="2" s="1"/>
  <c r="F45" i="2" s="1"/>
  <c r="F46" i="2" s="1"/>
  <c r="F30" i="2"/>
  <c r="F24" i="2"/>
  <c r="F23" i="2"/>
  <c r="E34" i="2"/>
  <c r="U72" i="2"/>
  <c r="U74" i="2" s="1"/>
  <c r="U67" i="2"/>
  <c r="G67" i="2"/>
  <c r="F67" i="2"/>
  <c r="E67" i="2"/>
  <c r="C67" i="2"/>
  <c r="U66" i="2"/>
  <c r="U75" i="2" s="1"/>
  <c r="Y63" i="2"/>
  <c r="M59" i="2"/>
  <c r="Q56" i="2"/>
  <c r="Q58" i="2" s="1"/>
  <c r="Y55" i="2"/>
  <c r="E54" i="2"/>
  <c r="E60" i="2" s="1"/>
  <c r="Q53" i="2"/>
  <c r="M53" i="2"/>
  <c r="Y48" i="2"/>
  <c r="Q48" i="2"/>
  <c r="U47" i="2"/>
  <c r="U46" i="2"/>
  <c r="U50" i="2" s="1"/>
  <c r="U53" i="2" s="1"/>
  <c r="U56" i="2" s="1"/>
  <c r="U58" i="2" s="1"/>
  <c r="M46" i="2"/>
  <c r="M47" i="2" s="1"/>
  <c r="M45" i="2"/>
  <c r="Y41" i="2"/>
  <c r="Y36" i="2"/>
  <c r="M36" i="2"/>
  <c r="Y35" i="2"/>
  <c r="M35" i="2"/>
  <c r="M37" i="2" s="1"/>
  <c r="M38" i="2" s="1"/>
  <c r="Q34" i="2"/>
  <c r="C32" i="2"/>
  <c r="Y30" i="2"/>
  <c r="Q30" i="2"/>
  <c r="U27" i="2"/>
  <c r="U31" i="2" s="1"/>
  <c r="U34" i="2" s="1"/>
  <c r="U36" i="2" s="1"/>
  <c r="Y26" i="2"/>
  <c r="Q26" i="2"/>
  <c r="Q38" i="2" s="1"/>
  <c r="Q39" i="2" s="1"/>
  <c r="Q40" i="2" s="1"/>
  <c r="Q41" i="2" s="1"/>
  <c r="Q42" i="2" s="1"/>
  <c r="M26" i="2"/>
  <c r="M25" i="2"/>
  <c r="M27" i="2" s="1"/>
  <c r="M24" i="2"/>
  <c r="Y22" i="2"/>
  <c r="Q19" i="2"/>
  <c r="C18" i="2"/>
  <c r="C16" i="2"/>
  <c r="C21" i="2" s="1"/>
  <c r="Y15" i="2"/>
  <c r="Y16" i="2" s="1"/>
  <c r="Y17" i="2" s="1"/>
  <c r="Q13" i="2"/>
  <c r="U12" i="2"/>
  <c r="U15" i="2" s="1"/>
  <c r="U17" i="2" s="1"/>
  <c r="U19" i="2" s="1"/>
  <c r="C10" i="2"/>
  <c r="C37" i="2" s="1"/>
  <c r="C39" i="2" s="1"/>
  <c r="Y8" i="2"/>
  <c r="U8" i="2"/>
  <c r="U20" i="2" s="1"/>
  <c r="Q8" i="2"/>
  <c r="M7" i="2"/>
  <c r="M9" i="2" s="1"/>
  <c r="M14" i="2" s="1"/>
  <c r="C6" i="2"/>
  <c r="C8" i="2" s="1"/>
  <c r="E50" i="2" l="1"/>
  <c r="E63" i="2" s="1"/>
  <c r="E70" i="2" s="1"/>
  <c r="F33" i="2"/>
  <c r="F34" i="2"/>
  <c r="F26" i="2"/>
  <c r="F31" i="2" s="1"/>
  <c r="F41" i="2" s="1"/>
  <c r="U38" i="2"/>
  <c r="U39" i="2"/>
  <c r="C54" i="2"/>
  <c r="C23" i="2"/>
  <c r="C24" i="2"/>
  <c r="F54" i="2"/>
  <c r="Q35" i="2"/>
  <c r="U9" i="2"/>
  <c r="C11" i="2"/>
  <c r="C22" i="2"/>
  <c r="C25" i="2" s="1"/>
  <c r="E53" i="2"/>
  <c r="E59" i="2"/>
  <c r="E62" i="2" s="1"/>
  <c r="U59" i="2"/>
  <c r="G54" i="2"/>
  <c r="U28" i="2"/>
  <c r="E68" i="2" l="1"/>
  <c r="E69" i="2"/>
  <c r="E72" i="2" s="1"/>
  <c r="E89" i="2" s="1"/>
  <c r="E55" i="2"/>
  <c r="E71" i="2"/>
  <c r="E88" i="2" s="1"/>
  <c r="E73" i="2"/>
  <c r="E75" i="2" s="1"/>
  <c r="C60" i="2"/>
  <c r="C53" i="2"/>
  <c r="C59" i="2"/>
  <c r="C62" i="2" s="1"/>
  <c r="C28" i="2"/>
  <c r="C26" i="2"/>
  <c r="G66" i="2"/>
  <c r="G59" i="2"/>
  <c r="G62" i="2" s="1"/>
  <c r="G53" i="2"/>
  <c r="G60" i="2"/>
  <c r="F59" i="2"/>
  <c r="F62" i="2" s="1"/>
  <c r="F53" i="2"/>
  <c r="F60" i="2"/>
  <c r="E83" i="2"/>
  <c r="E81" i="2"/>
  <c r="E87" i="2" s="1"/>
  <c r="E80" i="2" l="1"/>
  <c r="E86" i="2" s="1"/>
  <c r="E82" i="2"/>
  <c r="G50" i="2"/>
  <c r="C30" i="2"/>
  <c r="C43" i="2"/>
  <c r="C31" i="2"/>
  <c r="C41" i="2" s="1"/>
  <c r="C66" i="2" s="1"/>
  <c r="C29" i="2"/>
  <c r="E92" i="2"/>
  <c r="E77" i="2"/>
  <c r="F66" i="2"/>
  <c r="C33" i="2" l="1"/>
  <c r="C34" i="2"/>
  <c r="F50" i="2"/>
  <c r="G55" i="2"/>
  <c r="G63" i="2"/>
  <c r="C50" i="2"/>
  <c r="C44" i="2"/>
  <c r="C45" i="2" s="1"/>
  <c r="C46" i="2" s="1"/>
  <c r="G70" i="2" l="1"/>
  <c r="G73" i="2" s="1"/>
  <c r="G75" i="2" s="1"/>
  <c r="G68" i="2"/>
  <c r="G71" i="2" s="1"/>
  <c r="G69" i="2"/>
  <c r="G72" i="2" s="1"/>
  <c r="F63" i="2"/>
  <c r="F55" i="2"/>
  <c r="C55" i="2"/>
  <c r="C63" i="2"/>
  <c r="C70" i="2" l="1"/>
  <c r="C73" i="2" s="1"/>
  <c r="C75" i="2" s="1"/>
  <c r="C69" i="2"/>
  <c r="C72" i="2" s="1"/>
  <c r="C68" i="2"/>
  <c r="C71" i="2" s="1"/>
  <c r="G89" i="2"/>
  <c r="G83" i="2"/>
  <c r="G81" i="2"/>
  <c r="G87" i="2" s="1"/>
  <c r="F70" i="2"/>
  <c r="F73" i="2" s="1"/>
  <c r="F75" i="2" s="1"/>
  <c r="F69" i="2"/>
  <c r="F72" i="2" s="1"/>
  <c r="F68" i="2"/>
  <c r="F71" i="2" s="1"/>
  <c r="G88" i="2"/>
  <c r="G82" i="2"/>
  <c r="G80" i="2"/>
  <c r="G86" i="2" s="1"/>
  <c r="G92" i="2"/>
  <c r="G77" i="2"/>
  <c r="F92" i="2" l="1"/>
  <c r="F77" i="2"/>
  <c r="C80" i="2"/>
  <c r="C86" i="2" s="1"/>
  <c r="C88" i="2"/>
  <c r="C82" i="2"/>
  <c r="F89" i="2"/>
  <c r="F83" i="2"/>
  <c r="F81" i="2"/>
  <c r="F87" i="2" s="1"/>
  <c r="C89" i="2"/>
  <c r="C83" i="2"/>
  <c r="C81" i="2"/>
  <c r="C87" i="2" s="1"/>
  <c r="F88" i="2"/>
  <c r="F82" i="2"/>
  <c r="F80" i="2"/>
  <c r="F86" i="2" s="1"/>
  <c r="C92" i="2"/>
  <c r="C77" i="2"/>
</calcChain>
</file>

<file path=xl/sharedStrings.xml><?xml version="1.0" encoding="utf-8"?>
<sst xmlns="http://schemas.openxmlformats.org/spreadsheetml/2006/main" count="862" uniqueCount="645">
  <si>
    <t>고객사</t>
    <phoneticPr fontId="3" type="noConversion"/>
  </si>
  <si>
    <t>공정</t>
    <phoneticPr fontId="3" type="noConversion"/>
  </si>
  <si>
    <t>전력</t>
    <phoneticPr fontId="3" type="noConversion"/>
  </si>
  <si>
    <t>예상 동작 주파수</t>
    <phoneticPr fontId="3" type="noConversion"/>
  </si>
  <si>
    <t>MCCB</t>
    <phoneticPr fontId="3" type="noConversion"/>
  </si>
  <si>
    <t>ABS403c 300A</t>
    <phoneticPr fontId="3" type="noConversion"/>
  </si>
  <si>
    <t>FUSE</t>
    <phoneticPr fontId="3" type="noConversion"/>
  </si>
  <si>
    <t xml:space="preserve">DIODE </t>
    <phoneticPr fontId="3" type="noConversion"/>
  </si>
  <si>
    <t>[MDD172-16N1] DIP, 300A-1600V, -40 ~ 125</t>
    <phoneticPr fontId="3" type="noConversion"/>
  </si>
  <si>
    <t>인러쉬 충전 및 과전압보호</t>
    <phoneticPr fontId="3" type="noConversion"/>
  </si>
  <si>
    <t>DC 인덕터</t>
    <phoneticPr fontId="3" type="noConversion"/>
  </si>
  <si>
    <t>PSIH-200XF-LI-V1</t>
    <phoneticPr fontId="3" type="noConversion"/>
  </si>
  <si>
    <t>전류센싱 션트저항</t>
    <phoneticPr fontId="3" type="noConversion"/>
  </si>
  <si>
    <t>[SK-S-03] 400A, 50mV, ±2%</t>
    <phoneticPr fontId="3" type="noConversion"/>
  </si>
  <si>
    <t>인버팅 소자(IGBT)</t>
    <phoneticPr fontId="3" type="noConversion"/>
  </si>
  <si>
    <t>DC LINK CAPACITOR</t>
    <phoneticPr fontId="3" type="noConversion"/>
  </si>
  <si>
    <t>전류센싱 C/T</t>
    <phoneticPr fontId="3" type="noConversion"/>
  </si>
  <si>
    <t>전류검출용 CT 300:1, 페라이트T코아 96mm, 0.3mmX7 USTC (고주파용)</t>
    <phoneticPr fontId="3" type="noConversion"/>
  </si>
  <si>
    <t>DC BLOCKING CAP</t>
    <phoneticPr fontId="3" type="noConversion"/>
  </si>
  <si>
    <t>사용안함</t>
    <phoneticPr fontId="3" type="noConversion"/>
  </si>
  <si>
    <t>M/T(Matching Transformer)</t>
    <phoneticPr fontId="3" type="noConversion"/>
  </si>
  <si>
    <t>공진 CAP</t>
    <phoneticPr fontId="3" type="noConversion"/>
  </si>
  <si>
    <t>공진 CAP 구조</t>
    <phoneticPr fontId="3" type="noConversion"/>
  </si>
  <si>
    <t>MAIN C/T</t>
    <phoneticPr fontId="4" type="noConversion"/>
  </si>
  <si>
    <t>사용안함</t>
    <phoneticPr fontId="4" type="noConversion"/>
  </si>
  <si>
    <t xml:space="preserve">코일 </t>
    <phoneticPr fontId="3" type="noConversion"/>
  </si>
  <si>
    <t>개발팀 문의</t>
    <phoneticPr fontId="4" type="noConversion"/>
  </si>
  <si>
    <t>코일 연결 구조</t>
    <phoneticPr fontId="3" type="noConversion"/>
  </si>
  <si>
    <t>예상 Q값</t>
    <phoneticPr fontId="3" type="noConversion"/>
  </si>
  <si>
    <t>입력 선전류( 마진포함)</t>
    <phoneticPr fontId="3" type="noConversion"/>
  </si>
  <si>
    <t>281A</t>
    <phoneticPr fontId="3" type="noConversion"/>
  </si>
  <si>
    <t>입력 DC전류</t>
    <phoneticPr fontId="3" type="noConversion"/>
  </si>
  <si>
    <t>인버터 출력전류(M/T 1차)</t>
    <phoneticPr fontId="3" type="noConversion"/>
  </si>
  <si>
    <t>공진전류(공진CAP,출력케이블)</t>
    <phoneticPr fontId="3" type="noConversion"/>
  </si>
  <si>
    <t>코일전류</t>
    <phoneticPr fontId="4" type="noConversion"/>
  </si>
  <si>
    <t>제어방식</t>
    <phoneticPr fontId="3" type="noConversion"/>
  </si>
  <si>
    <t>FM+ LBPWM (Full Bridge)</t>
    <phoneticPr fontId="3" type="noConversion"/>
  </si>
  <si>
    <t>메인 컨트롤 보드</t>
    <phoneticPr fontId="4" type="noConversion"/>
  </si>
  <si>
    <t>확장(익스펜션) 보드</t>
    <phoneticPr fontId="4" type="noConversion"/>
  </si>
  <si>
    <t>사용안함</t>
    <phoneticPr fontId="3" type="noConversion"/>
  </si>
  <si>
    <t>모듈 컨트롤 보드</t>
    <phoneticPr fontId="4" type="noConversion"/>
  </si>
  <si>
    <t>게이트 드라이버 보드</t>
    <phoneticPr fontId="4" type="noConversion"/>
  </si>
  <si>
    <t xml:space="preserve">직렬공진회로 설계 시트_PAM,PWM </t>
    <phoneticPr fontId="4" type="noConversion"/>
  </si>
  <si>
    <t>정류부 관련</t>
    <phoneticPr fontId="4" type="noConversion"/>
  </si>
  <si>
    <t>시뮬레이션 결과</t>
    <phoneticPr fontId="4" type="noConversion"/>
  </si>
  <si>
    <t>기입순서</t>
    <phoneticPr fontId="4" type="noConversion"/>
  </si>
  <si>
    <t xml:space="preserve">비고 </t>
    <phoneticPr fontId="4" type="noConversion"/>
  </si>
  <si>
    <t>Po</t>
    <phoneticPr fontId="4" type="noConversion"/>
  </si>
  <si>
    <t>kW</t>
    <phoneticPr fontId="4" type="noConversion"/>
  </si>
  <si>
    <t>전력</t>
    <phoneticPr fontId="4" type="noConversion"/>
  </si>
  <si>
    <t>&lt;코일 인덕턴스 계산 공식: 팬케익형, C/T 및 출력케이블포함&gt;</t>
    <phoneticPr fontId="4" type="noConversion"/>
  </si>
  <si>
    <t>ok</t>
    <phoneticPr fontId="4" type="noConversion"/>
  </si>
  <si>
    <t>&lt;트랜스포머 최소 턴수 계산 공식&gt;</t>
    <phoneticPr fontId="4" type="noConversion"/>
  </si>
  <si>
    <t>&lt;동 부스바(AC) 발열량 계산 공식&gt;</t>
    <phoneticPr fontId="4" type="noConversion"/>
  </si>
  <si>
    <t>&lt;Fault 발생시 L에 의한 VDC 상승전압 계산공식&gt;</t>
    <phoneticPr fontId="4" type="noConversion"/>
  </si>
  <si>
    <t>Vin(입력선전압)</t>
    <phoneticPr fontId="4" type="noConversion"/>
  </si>
  <si>
    <t>V</t>
    <phoneticPr fontId="4" type="noConversion"/>
  </si>
  <si>
    <t>입력 선전압</t>
    <phoneticPr fontId="4" type="noConversion"/>
  </si>
  <si>
    <t>코일턴수 T</t>
    <phoneticPr fontId="4" type="noConversion"/>
  </si>
  <si>
    <t>Turns</t>
    <phoneticPr fontId="4" type="noConversion"/>
  </si>
  <si>
    <t>일차 최대전압</t>
    <phoneticPr fontId="4" type="noConversion"/>
  </si>
  <si>
    <t>사용 재료</t>
    <phoneticPr fontId="3" type="noConversion"/>
  </si>
  <si>
    <t>타프피치 동</t>
    <phoneticPr fontId="3" type="noConversion"/>
  </si>
  <si>
    <t>코일 L값</t>
    <phoneticPr fontId="4" type="noConversion"/>
  </si>
  <si>
    <t>uH</t>
    <phoneticPr fontId="4" type="noConversion"/>
  </si>
  <si>
    <t>역율</t>
    <phoneticPr fontId="4" type="noConversion"/>
  </si>
  <si>
    <t>3상 : 0.93, 6상: 0.96 (설계시에는 마진 고려 0.9로 함)</t>
    <phoneticPr fontId="4" type="noConversion"/>
  </si>
  <si>
    <t>내부직경 r</t>
    <phoneticPr fontId="4" type="noConversion"/>
  </si>
  <si>
    <t>mm</t>
    <phoneticPr fontId="4" type="noConversion"/>
  </si>
  <si>
    <t>최대자속밀도</t>
    <phoneticPr fontId="4" type="noConversion"/>
  </si>
  <si>
    <t>Tesla</t>
    <phoneticPr fontId="4" type="noConversion"/>
  </si>
  <si>
    <t>도체 고유전기저항</t>
    <phoneticPr fontId="4" type="noConversion"/>
  </si>
  <si>
    <t>[Ωm×10E-8]</t>
    <phoneticPr fontId="4" type="noConversion"/>
  </si>
  <si>
    <t>인버터 출력전류</t>
    <phoneticPr fontId="4" type="noConversion"/>
  </si>
  <si>
    <t>A</t>
    <phoneticPr fontId="4" type="noConversion"/>
  </si>
  <si>
    <t>입력선전류</t>
    <phoneticPr fontId="4" type="noConversion"/>
  </si>
  <si>
    <t>A</t>
    <phoneticPr fontId="4" type="noConversion"/>
  </si>
  <si>
    <t>상당 입력 선전류 (차단기 및 FUSE 선정 기준)</t>
    <phoneticPr fontId="4" type="noConversion"/>
  </si>
  <si>
    <t>권취 수평폭 W</t>
    <phoneticPr fontId="4" type="noConversion"/>
  </si>
  <si>
    <t>mm</t>
    <phoneticPr fontId="4" type="noConversion"/>
  </si>
  <si>
    <t>중족단면적</t>
    <phoneticPr fontId="4" type="noConversion"/>
  </si>
  <si>
    <t>cmSq</t>
    <phoneticPr fontId="4" type="noConversion"/>
  </si>
  <si>
    <t>도체의 온도저항계수</t>
    <phoneticPr fontId="4" type="noConversion"/>
  </si>
  <si>
    <t>at 20℃</t>
    <phoneticPr fontId="4" type="noConversion"/>
  </si>
  <si>
    <t>DC LINK C값</t>
    <phoneticPr fontId="4" type="noConversion"/>
  </si>
  <si>
    <t>uF</t>
    <phoneticPr fontId="4" type="noConversion"/>
  </si>
  <si>
    <t>Current Density</t>
    <phoneticPr fontId="4" type="noConversion"/>
  </si>
  <si>
    <t>A/㎟</t>
    <phoneticPr fontId="4" type="noConversion"/>
  </si>
  <si>
    <t>인덕턴스 L</t>
    <phoneticPr fontId="4" type="noConversion"/>
  </si>
  <si>
    <t>uH</t>
    <phoneticPr fontId="4" type="noConversion"/>
  </si>
  <si>
    <t>스위칭주파수</t>
    <phoneticPr fontId="4" type="noConversion"/>
  </si>
  <si>
    <t>Hz</t>
    <phoneticPr fontId="4" type="noConversion"/>
  </si>
  <si>
    <t>도체의 온도</t>
    <phoneticPr fontId="4" type="noConversion"/>
  </si>
  <si>
    <t>℃</t>
  </si>
  <si>
    <t>VDC (동작: RUN 중)</t>
    <phoneticPr fontId="4" type="noConversion"/>
  </si>
  <si>
    <t>V</t>
    <phoneticPr fontId="4" type="noConversion"/>
  </si>
  <si>
    <t>입력선 단면적</t>
    <phoneticPr fontId="4" type="noConversion"/>
  </si>
  <si>
    <t>㎟</t>
  </si>
  <si>
    <t>L값 감소율</t>
    <phoneticPr fontId="4" type="noConversion"/>
  </si>
  <si>
    <t>%</t>
    <phoneticPr fontId="4" type="noConversion"/>
  </si>
  <si>
    <t>최소 일차턴수</t>
    <phoneticPr fontId="4" type="noConversion"/>
  </si>
  <si>
    <t>turn</t>
    <phoneticPr fontId="4" type="noConversion"/>
  </si>
  <si>
    <t xml:space="preserve">도체의 산출저항 </t>
    <phoneticPr fontId="4" type="noConversion"/>
  </si>
  <si>
    <t>[Ωm×10E-8]</t>
    <phoneticPr fontId="4" type="noConversion"/>
  </si>
  <si>
    <t>VDC (Fault 발생시 상승전압)</t>
    <phoneticPr fontId="4" type="noConversion"/>
  </si>
  <si>
    <t>V</t>
    <phoneticPr fontId="4" type="noConversion"/>
  </si>
  <si>
    <t>부하 인덕턴스</t>
    <phoneticPr fontId="4" type="noConversion"/>
  </si>
  <si>
    <t>도체의 산출 전도도</t>
    <phoneticPr fontId="3" type="noConversion"/>
  </si>
  <si>
    <t>[SIMENS/m]</t>
    <phoneticPr fontId="3" type="noConversion"/>
  </si>
  <si>
    <t>Vdc</t>
    <phoneticPr fontId="4" type="noConversion"/>
  </si>
  <si>
    <t>Vdc 전압</t>
    <phoneticPr fontId="4" type="noConversion"/>
  </si>
  <si>
    <t>출력케이블L값</t>
    <phoneticPr fontId="4" type="noConversion"/>
  </si>
  <si>
    <t>uH</t>
    <phoneticPr fontId="4" type="noConversion"/>
  </si>
  <si>
    <t>5m 4가닥 기준</t>
    <phoneticPr fontId="4" type="noConversion"/>
  </si>
  <si>
    <t>&lt;직렬공진주파수 계산 공식&gt;</t>
    <phoneticPr fontId="4" type="noConversion"/>
  </si>
  <si>
    <t>비투자율</t>
    <phoneticPr fontId="4" type="noConversion"/>
  </si>
  <si>
    <t>ui</t>
    <phoneticPr fontId="3" type="noConversion"/>
  </si>
  <si>
    <t>&lt;DC LINK CAPACITOR 리플 전압,전류 계산 공식&gt;</t>
    <phoneticPr fontId="4" type="noConversion"/>
  </si>
  <si>
    <t>Idc</t>
    <phoneticPr fontId="4" type="noConversion"/>
  </si>
  <si>
    <t>A</t>
    <phoneticPr fontId="4" type="noConversion"/>
  </si>
  <si>
    <t>Idc 전류 (정류다이오드 선정 기준)</t>
    <phoneticPr fontId="4" type="noConversion"/>
  </si>
  <si>
    <t>C/T권선비</t>
    <phoneticPr fontId="4" type="noConversion"/>
  </si>
  <si>
    <t>:1</t>
    <phoneticPr fontId="4" type="noConversion"/>
  </si>
  <si>
    <t>공진콘덴서</t>
    <phoneticPr fontId="4" type="noConversion"/>
  </si>
  <si>
    <t>uF</t>
    <phoneticPr fontId="4" type="noConversion"/>
  </si>
  <si>
    <t>주파수</t>
    <phoneticPr fontId="4" type="noConversion"/>
  </si>
  <si>
    <t>[Hz]</t>
    <phoneticPr fontId="4" type="noConversion"/>
  </si>
  <si>
    <t>DC LINK C값</t>
    <phoneticPr fontId="4" type="noConversion"/>
  </si>
  <si>
    <t>uF</t>
    <phoneticPr fontId="4" type="noConversion"/>
  </si>
  <si>
    <t>코일 병렬 수</t>
    <phoneticPr fontId="4" type="noConversion"/>
  </si>
  <si>
    <t>병렬</t>
    <phoneticPr fontId="4" type="noConversion"/>
  </si>
  <si>
    <t>공진인덕터</t>
    <phoneticPr fontId="4" type="noConversion"/>
  </si>
  <si>
    <t>Skin Depth</t>
    <phoneticPr fontId="4" type="noConversion"/>
  </si>
  <si>
    <t>[mm]</t>
    <phoneticPr fontId="3" type="noConversion"/>
  </si>
  <si>
    <t>VDC 평균값</t>
    <phoneticPr fontId="4" type="noConversion"/>
  </si>
  <si>
    <t>인버터 관련</t>
    <phoneticPr fontId="4" type="noConversion"/>
  </si>
  <si>
    <t>코일 직렬 수</t>
    <phoneticPr fontId="4" type="noConversion"/>
  </si>
  <si>
    <t>직렬</t>
    <phoneticPr fontId="4" type="noConversion"/>
  </si>
  <si>
    <t>공진주파수</t>
    <phoneticPr fontId="4" type="noConversion"/>
  </si>
  <si>
    <t>Hz (결과)</t>
    <phoneticPr fontId="4" type="noConversion"/>
  </si>
  <si>
    <t>배선길이</t>
    <phoneticPr fontId="4" type="noConversion"/>
  </si>
  <si>
    <t>[mm]</t>
    <phoneticPr fontId="3" type="noConversion"/>
  </si>
  <si>
    <t>인버터 출력전류</t>
    <phoneticPr fontId="4" type="noConversion"/>
  </si>
  <si>
    <t>A</t>
    <phoneticPr fontId="4" type="noConversion"/>
  </si>
  <si>
    <t>L</t>
    <phoneticPr fontId="4" type="noConversion"/>
  </si>
  <si>
    <t>코일 혹은 C/T 1차측 L값 (측정값 혹은 설계 값)</t>
    <phoneticPr fontId="4" type="noConversion"/>
  </si>
  <si>
    <t>C/T1차 인덕턴스</t>
    <phoneticPr fontId="4" type="noConversion"/>
  </si>
  <si>
    <t xml:space="preserve">두께 : 부스바 </t>
    <phoneticPr fontId="4" type="noConversion"/>
  </si>
  <si>
    <t>동작주파수</t>
    <phoneticPr fontId="4" type="noConversion"/>
  </si>
  <si>
    <t>Hz</t>
    <phoneticPr fontId="4" type="noConversion"/>
  </si>
  <si>
    <t>C</t>
    <phoneticPr fontId="4" type="noConversion"/>
  </si>
  <si>
    <t>공진 콘덴서 총 C값 (Fs 및 Fr을 원하는 주파수에 맞게 C값을 조정)</t>
    <phoneticPr fontId="4" type="noConversion"/>
  </si>
  <si>
    <t>&lt;콘덴서 내전압 계산 공식&gt;</t>
    <phoneticPr fontId="4" type="noConversion"/>
  </si>
  <si>
    <t>Min(스킨뎁스,두께)</t>
    <phoneticPr fontId="4" type="noConversion"/>
  </si>
  <si>
    <t>[mm]</t>
    <phoneticPr fontId="3" type="noConversion"/>
  </si>
  <si>
    <t>DC LINK CAP 리플 함유율(peak to peak)</t>
    <phoneticPr fontId="4" type="noConversion"/>
  </si>
  <si>
    <t>%</t>
    <phoneticPr fontId="4" type="noConversion"/>
  </si>
  <si>
    <t>Fr</t>
    <phoneticPr fontId="4" type="noConversion"/>
  </si>
  <si>
    <t>kHz</t>
    <phoneticPr fontId="4" type="noConversion"/>
  </si>
  <si>
    <t>공진 주파수</t>
    <phoneticPr fontId="4" type="noConversion"/>
  </si>
  <si>
    <t>&lt;공진 C 계산 공식&gt;</t>
    <phoneticPr fontId="4" type="noConversion"/>
  </si>
  <si>
    <t>ok</t>
    <phoneticPr fontId="4" type="noConversion"/>
  </si>
  <si>
    <t>콘덴서</t>
    <phoneticPr fontId="4" type="noConversion"/>
  </si>
  <si>
    <t>uF</t>
  </si>
  <si>
    <t xml:space="preserve">부스바 폭(너비) </t>
    <phoneticPr fontId="4" type="noConversion"/>
  </si>
  <si>
    <t>DC LINK CAP RIPPLE Voltage</t>
    <phoneticPr fontId="4" type="noConversion"/>
  </si>
  <si>
    <t>Phase MIN</t>
    <phoneticPr fontId="4" type="noConversion"/>
  </si>
  <si>
    <t>°</t>
    <phoneticPr fontId="4" type="noConversion"/>
  </si>
  <si>
    <t>인버터의 위상각(기준 30° ,상황에 따라 20° 까지 적용)</t>
    <phoneticPr fontId="4" type="noConversion"/>
  </si>
  <si>
    <t>단위 C 용량</t>
    <phoneticPr fontId="4" type="noConversion"/>
  </si>
  <si>
    <t>인가주파수</t>
    <phoneticPr fontId="4" type="noConversion"/>
  </si>
  <si>
    <t>단면적</t>
    <phoneticPr fontId="4" type="noConversion"/>
  </si>
  <si>
    <t>[mmSQ]</t>
    <phoneticPr fontId="3" type="noConversion"/>
  </si>
  <si>
    <t>DC LINK CAP RIPPLE Current</t>
    <phoneticPr fontId="4" type="noConversion"/>
  </si>
  <si>
    <t>TAN(Phase MIN)</t>
    <phoneticPr fontId="4" type="noConversion"/>
  </si>
  <si>
    <t>전체 탭</t>
    <phoneticPr fontId="4" type="noConversion"/>
  </si>
  <si>
    <t>탭</t>
    <phoneticPr fontId="4" type="noConversion"/>
  </si>
  <si>
    <t>통전전류</t>
    <phoneticPr fontId="4" type="noConversion"/>
  </si>
  <si>
    <t>A</t>
    <phoneticPr fontId="4" type="noConversion"/>
  </si>
  <si>
    <t>인가전류</t>
    <phoneticPr fontId="4" type="noConversion"/>
  </si>
  <si>
    <t>[A]</t>
    <phoneticPr fontId="4" type="noConversion"/>
  </si>
  <si>
    <t>정격 전압</t>
    <phoneticPr fontId="4" type="noConversion"/>
  </si>
  <si>
    <t>콘덴서전압</t>
    <phoneticPr fontId="4" type="noConversion"/>
  </si>
  <si>
    <t>mmSQ당 전류</t>
    <phoneticPr fontId="4" type="noConversion"/>
  </si>
  <si>
    <t>&lt;수냉케이블 L값 계산 공식: 10kHz 기준, 트위스트 하지 않음&gt;</t>
    <phoneticPr fontId="4" type="noConversion"/>
  </si>
  <si>
    <t>Q</t>
    <phoneticPr fontId="4" type="noConversion"/>
  </si>
  <si>
    <t>코일의 Q값 (예상값 범위를 입력)</t>
    <phoneticPr fontId="4" type="noConversion"/>
  </si>
  <si>
    <t>정격 전류</t>
    <phoneticPr fontId="4" type="noConversion"/>
  </si>
  <si>
    <t>발열량</t>
    <phoneticPr fontId="4" type="noConversion"/>
  </si>
  <si>
    <t>[W]</t>
    <phoneticPr fontId="4" type="noConversion"/>
  </si>
  <si>
    <t xml:space="preserve">단위길이당 L값 (2EA) </t>
    <phoneticPr fontId="4" type="noConversion"/>
  </si>
  <si>
    <t>uH</t>
  </si>
  <si>
    <t>Fs</t>
    <phoneticPr fontId="4" type="noConversion"/>
  </si>
  <si>
    <t>동작 주파수 (Q값 ,위상각 등에 따라 달라짐)</t>
    <phoneticPr fontId="4" type="noConversion"/>
  </si>
  <si>
    <t>사용 탭</t>
    <phoneticPr fontId="4" type="noConversion"/>
  </si>
  <si>
    <t>탭</t>
    <phoneticPr fontId="4" type="noConversion"/>
  </si>
  <si>
    <t>&lt;스너버C 용량 적정성 검토 계산 공식&gt;</t>
    <phoneticPr fontId="4" type="noConversion"/>
  </si>
  <si>
    <t>수냉케이블 길이 (2EA)</t>
    <phoneticPr fontId="4" type="noConversion"/>
  </si>
  <si>
    <t>m</t>
    <phoneticPr fontId="4" type="noConversion"/>
  </si>
  <si>
    <t>Zl at Fr</t>
    <phoneticPr fontId="4" type="noConversion"/>
  </si>
  <si>
    <t>mΩ</t>
    <phoneticPr fontId="4" type="noConversion"/>
  </si>
  <si>
    <t>직렬 연결 수량</t>
    <phoneticPr fontId="4" type="noConversion"/>
  </si>
  <si>
    <t>직렬</t>
    <phoneticPr fontId="4" type="noConversion"/>
  </si>
  <si>
    <t>Vdc 전압</t>
    <phoneticPr fontId="3" type="noConversion"/>
  </si>
  <si>
    <t>Vdc</t>
    <phoneticPr fontId="3" type="noConversion"/>
  </si>
  <si>
    <t>ok</t>
    <phoneticPr fontId="4" type="noConversion"/>
  </si>
  <si>
    <t>&lt;동 파이프(AC) 발열량 계산 공식&gt;</t>
    <phoneticPr fontId="4" type="noConversion"/>
  </si>
  <si>
    <t>수냉케이블 L값 (2EA)</t>
    <phoneticPr fontId="4" type="noConversion"/>
  </si>
  <si>
    <t>Zl</t>
    <phoneticPr fontId="4" type="noConversion"/>
  </si>
  <si>
    <t>mΩ</t>
    <phoneticPr fontId="4" type="noConversion"/>
  </si>
  <si>
    <t>병렬 연결 수량</t>
    <phoneticPr fontId="4" type="noConversion"/>
  </si>
  <si>
    <t>C스너버 개당 C값</t>
    <phoneticPr fontId="3" type="noConversion"/>
  </si>
  <si>
    <t>nF</t>
    <phoneticPr fontId="3" type="noConversion"/>
  </si>
  <si>
    <t>사용 재료</t>
    <phoneticPr fontId="3" type="noConversion"/>
  </si>
  <si>
    <t>타프피치 동</t>
    <phoneticPr fontId="3" type="noConversion"/>
  </si>
  <si>
    <t>Zc</t>
    <phoneticPr fontId="4" type="noConversion"/>
  </si>
  <si>
    <t>mΩ</t>
    <phoneticPr fontId="4" type="noConversion"/>
  </si>
  <si>
    <t>전체 C 용량</t>
    <phoneticPr fontId="4" type="noConversion"/>
  </si>
  <si>
    <t>C스너버 보드당 C갯수</t>
    <phoneticPr fontId="3" type="noConversion"/>
  </si>
  <si>
    <t>개</t>
    <phoneticPr fontId="3" type="noConversion"/>
  </si>
  <si>
    <t>도체 고유전기저항</t>
    <phoneticPr fontId="4" type="noConversion"/>
  </si>
  <si>
    <t>[Ωm×10E-8]</t>
    <phoneticPr fontId="4" type="noConversion"/>
  </si>
  <si>
    <t xml:space="preserve">단위길이당 L값 (4EA) </t>
    <phoneticPr fontId="4" type="noConversion"/>
  </si>
  <si>
    <t>R</t>
    <phoneticPr fontId="4" type="noConversion"/>
  </si>
  <si>
    <t>사용가능 전압</t>
    <phoneticPr fontId="4" type="noConversion"/>
  </si>
  <si>
    <t>V</t>
    <phoneticPr fontId="4" type="noConversion"/>
  </si>
  <si>
    <t>보드를 겹침 수량</t>
    <phoneticPr fontId="3" type="noConversion"/>
  </si>
  <si>
    <t>도체의 온도저항계수</t>
    <phoneticPr fontId="4" type="noConversion"/>
  </si>
  <si>
    <t>at 20℃</t>
    <phoneticPr fontId="4" type="noConversion"/>
  </si>
  <si>
    <t>수냉케이블 길이 (4EA)</t>
    <phoneticPr fontId="4" type="noConversion"/>
  </si>
  <si>
    <t>Z</t>
    <phoneticPr fontId="4" type="noConversion"/>
  </si>
  <si>
    <t>사용가능 전류</t>
    <phoneticPr fontId="4" type="noConversion"/>
  </si>
  <si>
    <t>상하 고려</t>
    <phoneticPr fontId="3" type="noConversion"/>
  </si>
  <si>
    <t>nF</t>
    <phoneticPr fontId="3" type="noConversion"/>
  </si>
  <si>
    <t>도체의 온도</t>
    <phoneticPr fontId="4" type="noConversion"/>
  </si>
  <si>
    <t>수냉케이블 L값 (4EA)</t>
    <phoneticPr fontId="4" type="noConversion"/>
  </si>
  <si>
    <t>KVA</t>
    <phoneticPr fontId="4" type="noConversion"/>
  </si>
  <si>
    <t>상하 데드타임</t>
    <phoneticPr fontId="3" type="noConversion"/>
  </si>
  <si>
    <t>us</t>
    <phoneticPr fontId="3" type="noConversion"/>
  </si>
  <si>
    <t xml:space="preserve">도체의 산출저항 </t>
    <phoneticPr fontId="4" type="noConversion"/>
  </si>
  <si>
    <t>Irmax at R</t>
    <phoneticPr fontId="4" type="noConversion"/>
  </si>
  <si>
    <t>공진 전류(코일전류, C/T 1차전류)</t>
    <phoneticPr fontId="4" type="noConversion"/>
  </si>
  <si>
    <t>모듈 출력전류</t>
    <phoneticPr fontId="3" type="noConversion"/>
  </si>
  <si>
    <t>Arms</t>
    <phoneticPr fontId="3" type="noConversion"/>
  </si>
  <si>
    <t>[SIMENS/m]</t>
    <phoneticPr fontId="3" type="noConversion"/>
  </si>
  <si>
    <t xml:space="preserve">단위길이당 L값 (4EA) </t>
    <phoneticPr fontId="4" type="noConversion"/>
  </si>
  <si>
    <t>Vac for Irmax at inphase</t>
    <phoneticPr fontId="4" type="noConversion"/>
  </si>
  <si>
    <t>&lt;Q값 계산 공식 :공진 C 기준&gt;: 기존설비 데이터</t>
    <phoneticPr fontId="4" type="noConversion"/>
  </si>
  <si>
    <t>운전 모듈 수량</t>
    <phoneticPr fontId="3" type="noConversion"/>
  </si>
  <si>
    <t>대</t>
    <phoneticPr fontId="3" type="noConversion"/>
  </si>
  <si>
    <t>비투자율</t>
    <phoneticPr fontId="4" type="noConversion"/>
  </si>
  <si>
    <t>ui</t>
    <phoneticPr fontId="3" type="noConversion"/>
  </si>
  <si>
    <t>수냉케이블 길이 (4EA)</t>
    <phoneticPr fontId="4" type="noConversion"/>
  </si>
  <si>
    <t>Vc Voltage</t>
    <phoneticPr fontId="4" type="noConversion"/>
  </si>
  <si>
    <t>공진콘덴서 전압</t>
    <phoneticPr fontId="4" type="noConversion"/>
  </si>
  <si>
    <t>주파수</t>
    <phoneticPr fontId="4" type="noConversion"/>
  </si>
  <si>
    <t>Hz</t>
    <phoneticPr fontId="4" type="noConversion"/>
  </si>
  <si>
    <t>인버터 출력전류</t>
    <phoneticPr fontId="3" type="noConversion"/>
  </si>
  <si>
    <t>Arms</t>
    <phoneticPr fontId="3" type="noConversion"/>
  </si>
  <si>
    <t>[Hz]</t>
    <phoneticPr fontId="4" type="noConversion"/>
  </si>
  <si>
    <t>수냉케이블 L값 (4EA)</t>
    <phoneticPr fontId="4" type="noConversion"/>
  </si>
  <si>
    <t>Vac for Irmax with phase</t>
    <phoneticPr fontId="4" type="noConversion"/>
  </si>
  <si>
    <t>콘덴서값</t>
    <phoneticPr fontId="4" type="noConversion"/>
  </si>
  <si>
    <t>Skin Depth</t>
    <phoneticPr fontId="4" type="noConversion"/>
  </si>
  <si>
    <t>COS(Phase MIN)</t>
    <phoneticPr fontId="4" type="noConversion"/>
  </si>
  <si>
    <t>1차 공진전류</t>
    <phoneticPr fontId="4" type="noConversion"/>
  </si>
  <si>
    <t>정격전류시 상승시간</t>
    <phoneticPr fontId="3" type="noConversion"/>
  </si>
  <si>
    <t>ON-POLE</t>
    <phoneticPr fontId="3" type="noConversion"/>
  </si>
  <si>
    <t>배선길이</t>
    <phoneticPr fontId="4" type="noConversion"/>
  </si>
  <si>
    <t>&lt;FUSE 용량 계산 공식&gt;</t>
    <phoneticPr fontId="4" type="noConversion"/>
  </si>
  <si>
    <t>Qsw-cap</t>
    <phoneticPr fontId="4" type="noConversion"/>
  </si>
  <si>
    <t>공진콘덴서 기준의 Q값(예상데이터, 측정 및 계산 데이터)</t>
    <phoneticPr fontId="4" type="noConversion"/>
  </si>
  <si>
    <t>입력전력</t>
    <phoneticPr fontId="4" type="noConversion"/>
  </si>
  <si>
    <t>kW</t>
    <phoneticPr fontId="4" type="noConversion"/>
  </si>
  <si>
    <t>스위칭각</t>
    <phoneticPr fontId="3" type="noConversion"/>
  </si>
  <si>
    <t>deg</t>
    <phoneticPr fontId="3" type="noConversion"/>
  </si>
  <si>
    <t>두께 : 파이프</t>
    <phoneticPr fontId="4" type="noConversion"/>
  </si>
  <si>
    <t>입력선전압</t>
    <phoneticPr fontId="4" type="noConversion"/>
  </si>
  <si>
    <t>Vl Voltage</t>
    <phoneticPr fontId="4" type="noConversion"/>
  </si>
  <si>
    <t>코일 전압(출력케이블 포함)</t>
    <phoneticPr fontId="4" type="noConversion"/>
  </si>
  <si>
    <t>트랜스포머 권선비</t>
    <phoneticPr fontId="4" type="noConversion"/>
  </si>
  <si>
    <t>:1</t>
    <phoneticPr fontId="4" type="noConversion"/>
  </si>
  <si>
    <t>스위칭 전류</t>
    <phoneticPr fontId="3" type="noConversion"/>
  </si>
  <si>
    <t>A</t>
    <phoneticPr fontId="3" type="noConversion"/>
  </si>
  <si>
    <t>Min(스킨뎁스,두께)</t>
    <phoneticPr fontId="4" type="noConversion"/>
  </si>
  <si>
    <t>입력선전류</t>
    <phoneticPr fontId="4" type="noConversion"/>
  </si>
  <si>
    <t>공진전압</t>
    <phoneticPr fontId="4" type="noConversion"/>
  </si>
  <si>
    <t>VAC</t>
    <phoneticPr fontId="4" type="noConversion"/>
  </si>
  <si>
    <t>전압 상승 소요시간</t>
    <phoneticPr fontId="3" type="noConversion"/>
  </si>
  <si>
    <t>nsec</t>
    <phoneticPr fontId="3" type="noConversion"/>
  </si>
  <si>
    <t>파이프 외경</t>
    <phoneticPr fontId="4" type="noConversion"/>
  </si>
  <si>
    <t>FUSE 정격전압</t>
    <phoneticPr fontId="4" type="noConversion"/>
  </si>
  <si>
    <t>V 이상</t>
    <phoneticPr fontId="4" type="noConversion"/>
  </si>
  <si>
    <t>HB/FB</t>
    <phoneticPr fontId="4" type="noConversion"/>
  </si>
  <si>
    <t>Half Bridge = 2, Full Bridge = 1</t>
    <phoneticPr fontId="4" type="noConversion"/>
  </si>
  <si>
    <t>2차공진전류</t>
    <phoneticPr fontId="4" type="noConversion"/>
  </si>
  <si>
    <t xml:space="preserve">단면적 </t>
    <phoneticPr fontId="4" type="noConversion"/>
  </si>
  <si>
    <t>FUSE 정격전류</t>
    <phoneticPr fontId="4" type="noConversion"/>
  </si>
  <si>
    <t>A 이상</t>
    <phoneticPr fontId="4" type="noConversion"/>
  </si>
  <si>
    <t xml:space="preserve">Vac max </t>
    <phoneticPr fontId="4" type="noConversion"/>
  </si>
  <si>
    <t>M/T 1차 구형파 전압으로 얻을 수 있는 AC 전압의 최대값</t>
    <phoneticPr fontId="4" type="noConversion"/>
  </si>
  <si>
    <t>kVar</t>
    <phoneticPr fontId="4" type="noConversion"/>
  </si>
  <si>
    <t>데드타임 에 맞추기 위한</t>
    <phoneticPr fontId="3" type="noConversion"/>
  </si>
  <si>
    <t>인가전류</t>
    <phoneticPr fontId="4" type="noConversion"/>
  </si>
  <si>
    <t>[A]</t>
    <phoneticPr fontId="4" type="noConversion"/>
  </si>
  <si>
    <t>Turn Ratio</t>
    <phoneticPr fontId="4" type="noConversion"/>
  </si>
  <si>
    <t>Matching Transformer 의 권선비(Duty가 100%넘지 않도록 조정)</t>
    <phoneticPr fontId="4" type="noConversion"/>
  </si>
  <si>
    <t>ZVS 모듈 스위칭 전류</t>
    <phoneticPr fontId="3" type="noConversion"/>
  </si>
  <si>
    <t>mmSQ당 전류</t>
    <phoneticPr fontId="4" type="noConversion"/>
  </si>
  <si>
    <t>&lt;컷오프주파수 계산 공식&gt;</t>
    <phoneticPr fontId="4" type="noConversion"/>
  </si>
  <si>
    <t>Vac secondary</t>
    <phoneticPr fontId="4" type="noConversion"/>
  </si>
  <si>
    <t>M/T 2차 구형파 전압으로 얻을 수 있는 AC 전압의 최대값</t>
    <phoneticPr fontId="4" type="noConversion"/>
  </si>
  <si>
    <t>ZVS 모듈 전류</t>
    <phoneticPr fontId="3" type="noConversion"/>
  </si>
  <si>
    <t>발열량</t>
    <phoneticPr fontId="4" type="noConversion"/>
  </si>
  <si>
    <t>[W]</t>
    <phoneticPr fontId="4" type="noConversion"/>
  </si>
  <si>
    <t>공진콘덴서</t>
    <phoneticPr fontId="4" type="noConversion"/>
  </si>
  <si>
    <t>uF</t>
    <phoneticPr fontId="4" type="noConversion"/>
  </si>
  <si>
    <t>&lt;위상각 계산 공식&gt;</t>
    <phoneticPr fontId="4" type="noConversion"/>
  </si>
  <si>
    <t>인버터 출력전류</t>
    <phoneticPr fontId="3" type="noConversion"/>
  </si>
  <si>
    <t>공진인덕터</t>
    <phoneticPr fontId="4" type="noConversion"/>
  </si>
  <si>
    <t>Duty</t>
    <phoneticPr fontId="4" type="noConversion"/>
  </si>
  <si>
    <t>100%이하(98%정도이하),Turn Ratio값을 조정하여 변경</t>
    <phoneticPr fontId="4" type="noConversion"/>
  </si>
  <si>
    <t>Po</t>
    <phoneticPr fontId="4" type="noConversion"/>
  </si>
  <si>
    <t>kw</t>
    <phoneticPr fontId="4" type="noConversion"/>
  </si>
  <si>
    <t>정격전류 대비 율</t>
    <phoneticPr fontId="3" type="noConversion"/>
  </si>
  <si>
    <t>%</t>
    <phoneticPr fontId="3" type="noConversion"/>
  </si>
  <si>
    <t>&lt;사각 파이프(AC) 발열량 계산 공식&gt;</t>
    <phoneticPr fontId="4" type="noConversion"/>
  </si>
  <si>
    <t>Hz (결과)</t>
    <phoneticPr fontId="4" type="noConversion"/>
  </si>
  <si>
    <t>IR</t>
    <phoneticPr fontId="4" type="noConversion"/>
  </si>
  <si>
    <t>정격전력 대비 율</t>
    <phoneticPr fontId="3" type="noConversion"/>
  </si>
  <si>
    <t>Ir primary</t>
    <phoneticPr fontId="4" type="noConversion"/>
  </si>
  <si>
    <t>M/T 1차 전류(인버터 출력 전류)</t>
    <phoneticPr fontId="4" type="noConversion"/>
  </si>
  <si>
    <t>VDC</t>
    <phoneticPr fontId="4" type="noConversion"/>
  </si>
  <si>
    <t>도체 고유전기저항</t>
    <phoneticPr fontId="4" type="noConversion"/>
  </si>
  <si>
    <t>&lt;트랜스포머(C/T) 최소 턴수 계산 공식&gt;</t>
    <phoneticPr fontId="4" type="noConversion"/>
  </si>
  <si>
    <r>
      <t>o</t>
    </r>
    <r>
      <rPr>
        <sz val="11"/>
        <color theme="1"/>
        <rFont val="맑은 고딕"/>
        <family val="2"/>
        <charset val="129"/>
        <scheme val="minor"/>
      </rPr>
      <t>k</t>
    </r>
    <phoneticPr fontId="4" type="noConversion"/>
  </si>
  <si>
    <t>Ir avg</t>
    <phoneticPr fontId="4" type="noConversion"/>
  </si>
  <si>
    <t>HALF(2)/FULL(1)</t>
    <phoneticPr fontId="4" type="noConversion"/>
  </si>
  <si>
    <t>&lt;Dead Time 계산 공식&gt;</t>
    <phoneticPr fontId="4" type="noConversion"/>
  </si>
  <si>
    <t>도체의 온도저항계수</t>
    <phoneticPr fontId="4" type="noConversion"/>
  </si>
  <si>
    <t>at 20℃</t>
    <phoneticPr fontId="4" type="noConversion"/>
  </si>
  <si>
    <t>Ir avg DC</t>
    <phoneticPr fontId="4" type="noConversion"/>
  </si>
  <si>
    <t>VAC</t>
    <phoneticPr fontId="4" type="noConversion"/>
  </si>
  <si>
    <t>스너버 C값(POLE 기준)</t>
    <phoneticPr fontId="3" type="noConversion"/>
  </si>
  <si>
    <t>Ir avg DC/Idc</t>
    <phoneticPr fontId="4" type="noConversion"/>
  </si>
  <si>
    <t>COSθ</t>
    <phoneticPr fontId="4" type="noConversion"/>
  </si>
  <si>
    <t>VDC 전압</t>
    <phoneticPr fontId="3" type="noConversion"/>
  </si>
  <si>
    <t>V</t>
    <phoneticPr fontId="3" type="noConversion"/>
  </si>
  <si>
    <t>중족단면적</t>
    <phoneticPr fontId="4" type="noConversion"/>
  </si>
  <si>
    <t>cmSq</t>
    <phoneticPr fontId="4" type="noConversion"/>
  </si>
  <si>
    <t>θ (위상각, Phase)</t>
    <phoneticPr fontId="4" type="noConversion"/>
  </si>
  <si>
    <t>스위칭전류</t>
    <phoneticPr fontId="3" type="noConversion"/>
  </si>
  <si>
    <t>[SIMENS/m]</t>
    <phoneticPr fontId="3" type="noConversion"/>
  </si>
  <si>
    <t>스위칭주파수</t>
    <phoneticPr fontId="4" type="noConversion"/>
  </si>
  <si>
    <t>IGBT 발열량 계산(기초)</t>
    <phoneticPr fontId="4" type="noConversion"/>
  </si>
  <si>
    <t>스위칭시 전압 상승시간</t>
    <phoneticPr fontId="3" type="noConversion"/>
  </si>
  <si>
    <t>ns</t>
    <phoneticPr fontId="3" type="noConversion"/>
  </si>
  <si>
    <t>최소 일차턴수</t>
    <phoneticPr fontId="4" type="noConversion"/>
  </si>
  <si>
    <t>turn</t>
    <phoneticPr fontId="4" type="noConversion"/>
  </si>
  <si>
    <t>IGBT 병렬 수량</t>
    <phoneticPr fontId="4" type="noConversion"/>
  </si>
  <si>
    <t>EA</t>
    <phoneticPr fontId="4" type="noConversion"/>
  </si>
  <si>
    <t>IGBT 병렬 연결 수량</t>
    <phoneticPr fontId="4" type="noConversion"/>
  </si>
  <si>
    <t>&lt;평판 인덕턴스 계산 공식&gt;</t>
    <phoneticPr fontId="4" type="noConversion"/>
  </si>
  <si>
    <t>[Hz]</t>
    <phoneticPr fontId="4" type="noConversion"/>
  </si>
  <si>
    <t>IGBT IC RMS전류</t>
    <phoneticPr fontId="4" type="noConversion"/>
  </si>
  <si>
    <t>IGBT 1EA 당 흐르는 IC RMS 전류</t>
    <phoneticPr fontId="4" type="noConversion"/>
  </si>
  <si>
    <t>판폭</t>
    <phoneticPr fontId="4" type="noConversion"/>
  </si>
  <si>
    <t>&lt;동축케이블 커패시턴스 계산 공식&gt;</t>
    <phoneticPr fontId="4" type="noConversion"/>
  </si>
  <si>
    <t>Total Gate Charge</t>
    <phoneticPr fontId="4" type="noConversion"/>
  </si>
  <si>
    <t>uC</t>
    <phoneticPr fontId="4" type="noConversion"/>
  </si>
  <si>
    <t>DATA SHEET 확인</t>
    <phoneticPr fontId="4" type="noConversion"/>
  </si>
  <si>
    <t>판사이거리</t>
    <phoneticPr fontId="4" type="noConversion"/>
  </si>
  <si>
    <t>내부도체외경</t>
    <phoneticPr fontId="4" type="noConversion"/>
  </si>
  <si>
    <t>배선길이</t>
    <phoneticPr fontId="4" type="noConversion"/>
  </si>
  <si>
    <t>&lt;콘덴서 전류 계산 공식&gt;</t>
    <phoneticPr fontId="4" type="noConversion"/>
  </si>
  <si>
    <t>게이트 전압</t>
    <phoneticPr fontId="4" type="noConversion"/>
  </si>
  <si>
    <t>게이트드라이버 전위차(예를 들어 +15V,-10V 일때는 25V)</t>
    <phoneticPr fontId="4" type="noConversion"/>
  </si>
  <si>
    <t>판길이</t>
    <phoneticPr fontId="4" type="noConversion"/>
  </si>
  <si>
    <t>절연체두께</t>
    <phoneticPr fontId="4" type="noConversion"/>
  </si>
  <si>
    <t>콘덴서</t>
    <phoneticPr fontId="4" type="noConversion"/>
  </si>
  <si>
    <t>게이트 구동손실</t>
    <phoneticPr fontId="4" type="noConversion"/>
  </si>
  <si>
    <t>W</t>
    <phoneticPr fontId="4" type="noConversion"/>
  </si>
  <si>
    <t>nH</t>
    <phoneticPr fontId="4" type="noConversion"/>
  </si>
  <si>
    <t>외부도체내경</t>
    <phoneticPr fontId="4" type="noConversion"/>
  </si>
  <si>
    <t>인가주파수</t>
    <phoneticPr fontId="4" type="noConversion"/>
  </si>
  <si>
    <t>kHz</t>
    <phoneticPr fontId="4" type="noConversion"/>
  </si>
  <si>
    <t>Switching Frequency</t>
    <phoneticPr fontId="4" type="noConversion"/>
  </si>
  <si>
    <t>파형 및 LCD 확인</t>
    <phoneticPr fontId="4" type="noConversion"/>
  </si>
  <si>
    <t>공기유전율 (ε0)</t>
    <phoneticPr fontId="3" type="noConversion"/>
  </si>
  <si>
    <t>가로(외곽)</t>
    <phoneticPr fontId="4" type="noConversion"/>
  </si>
  <si>
    <t>콘덴서전압</t>
    <phoneticPr fontId="4" type="noConversion"/>
  </si>
  <si>
    <t>Switching Current(peak)</t>
    <phoneticPr fontId="4" type="noConversion"/>
  </si>
  <si>
    <t>정현파 기준 PEAK치로 계산 (IC RMS *1.414)</t>
    <phoneticPr fontId="4" type="noConversion"/>
  </si>
  <si>
    <t>&lt;평판 커패시턴스 계산 공식&gt;</t>
    <phoneticPr fontId="4" type="noConversion"/>
  </si>
  <si>
    <t>비유전율 (εr)</t>
    <phoneticPr fontId="4" type="noConversion"/>
  </si>
  <si>
    <t>테프론(2.1)</t>
    <phoneticPr fontId="4" type="noConversion"/>
  </si>
  <si>
    <t>세로(외곽)</t>
    <phoneticPr fontId="4" type="noConversion"/>
  </si>
  <si>
    <t>Off Switching Energy</t>
    <phoneticPr fontId="4" type="noConversion"/>
  </si>
  <si>
    <t>mJ</t>
    <phoneticPr fontId="4" type="noConversion"/>
  </si>
  <si>
    <t>DATA SHEET 확인(Switching Current 에 해당하는 Off Switching Energy)</t>
    <phoneticPr fontId="4" type="noConversion"/>
  </si>
  <si>
    <t>판 면적</t>
    <phoneticPr fontId="4" type="noConversion"/>
  </si>
  <si>
    <t>mm^2</t>
    <phoneticPr fontId="4" type="noConversion"/>
  </si>
  <si>
    <t>C(단위길이당 1m 당)</t>
    <phoneticPr fontId="4" type="noConversion"/>
  </si>
  <si>
    <t>nF</t>
    <phoneticPr fontId="4" type="noConversion"/>
  </si>
  <si>
    <t>단면적</t>
    <phoneticPr fontId="4" type="noConversion"/>
  </si>
  <si>
    <t>[mmSQ]</t>
    <phoneticPr fontId="3" type="noConversion"/>
  </si>
  <si>
    <t>On Switching Energy(ZVS)</t>
    <phoneticPr fontId="4" type="noConversion"/>
  </si>
  <si>
    <t>케이블 길이</t>
    <phoneticPr fontId="4" type="noConversion"/>
  </si>
  <si>
    <t>m</t>
    <phoneticPr fontId="4" type="noConversion"/>
  </si>
  <si>
    <t>[A]</t>
    <phoneticPr fontId="4" type="noConversion"/>
  </si>
  <si>
    <t>Diode 역방향 회복 Energy(ZVS)</t>
    <phoneticPr fontId="4" type="noConversion"/>
  </si>
  <si>
    <t>mJ</t>
    <phoneticPr fontId="4" type="noConversion"/>
  </si>
  <si>
    <t>비유전율</t>
    <phoneticPr fontId="4" type="noConversion"/>
  </si>
  <si>
    <t>테프론(2.1)</t>
    <phoneticPr fontId="4" type="noConversion"/>
  </si>
  <si>
    <t xml:space="preserve">C값 </t>
    <phoneticPr fontId="4" type="noConversion"/>
  </si>
  <si>
    <t>nF</t>
    <phoneticPr fontId="4" type="noConversion"/>
  </si>
  <si>
    <t>mmSQ당 전류</t>
    <phoneticPr fontId="4" type="noConversion"/>
  </si>
  <si>
    <t>IGBT Switching Loss/Device</t>
    <phoneticPr fontId="4" type="noConversion"/>
  </si>
  <si>
    <t>W</t>
    <phoneticPr fontId="4" type="noConversion"/>
  </si>
  <si>
    <t>C</t>
    <phoneticPr fontId="4" type="noConversion"/>
  </si>
  <si>
    <t>&lt;코일 인덕턴스 계산 공식 (팬케익)&gt;</t>
    <phoneticPr fontId="4" type="noConversion"/>
  </si>
  <si>
    <t>Diode 역방향 회복 손실(ZVS)</t>
    <phoneticPr fontId="4" type="noConversion"/>
  </si>
  <si>
    <t>스너버 손실 비율</t>
  </si>
  <si>
    <t>스너버 없으면 100%, 스너버 최소 손실비율(55% 감소)</t>
    <phoneticPr fontId="4" type="noConversion"/>
  </si>
  <si>
    <t>&lt;코아/주파수별 자속밀도 실험 데이터&gt;</t>
    <phoneticPr fontId="4" type="noConversion"/>
  </si>
  <si>
    <t>&lt;동 부스바(DC) 발열량 계산 공식&gt;</t>
    <phoneticPr fontId="4" type="noConversion"/>
  </si>
  <si>
    <t>IGBT Switching Loss/Device_스너버손실비율 포함</t>
    <phoneticPr fontId="4" type="noConversion"/>
  </si>
  <si>
    <t>규소강판[Tesla]</t>
    <phoneticPr fontId="4" type="noConversion"/>
  </si>
  <si>
    <t>아몰퍼스[Tesla]</t>
    <phoneticPr fontId="4" type="noConversion"/>
  </si>
  <si>
    <t>페라이트[Tesla]</t>
    <phoneticPr fontId="4" type="noConversion"/>
  </si>
  <si>
    <t>권취 수평폭 W</t>
    <phoneticPr fontId="4" type="noConversion"/>
  </si>
  <si>
    <t>mm</t>
    <phoneticPr fontId="4" type="noConversion"/>
  </si>
  <si>
    <t>IC 평균전류</t>
    <phoneticPr fontId="4" type="noConversion"/>
  </si>
  <si>
    <t>주파수[kHz]</t>
    <phoneticPr fontId="4" type="noConversion"/>
  </si>
  <si>
    <t>dT 80℃기준</t>
    <phoneticPr fontId="4" type="noConversion"/>
  </si>
  <si>
    <t>dT 75~80℃기준</t>
    <phoneticPr fontId="4" type="noConversion"/>
  </si>
  <si>
    <t>dT 60℃기준</t>
    <phoneticPr fontId="4" type="noConversion"/>
  </si>
  <si>
    <t>인덕턴스 L</t>
    <phoneticPr fontId="4" type="noConversion"/>
  </si>
  <si>
    <t>IGBT VCE Saturation</t>
    <phoneticPr fontId="4" type="noConversion"/>
  </si>
  <si>
    <t>DATA SHEET 확인(IC 평균전류에 해당하는 Vce saturation 확인)</t>
    <phoneticPr fontId="4" type="noConversion"/>
  </si>
  <si>
    <t>Diode Vf</t>
    <phoneticPr fontId="4" type="noConversion"/>
  </si>
  <si>
    <t>DATA SHEET 확인(IC 평균전류에 해당하는 Diode Vf 확인)</t>
    <phoneticPr fontId="4" type="noConversion"/>
  </si>
  <si>
    <t>Duty</t>
    <phoneticPr fontId="4" type="noConversion"/>
  </si>
  <si>
    <t>%</t>
    <phoneticPr fontId="4" type="noConversion"/>
  </si>
  <si>
    <t>위상지연각</t>
    <phoneticPr fontId="4" type="noConversion"/>
  </si>
  <si>
    <t>도체의 산출 전도도</t>
    <phoneticPr fontId="3" type="noConversion"/>
  </si>
  <si>
    <t>IGBT Conduction Loss</t>
    <phoneticPr fontId="4" type="noConversion"/>
  </si>
  <si>
    <t>비투자율</t>
    <phoneticPr fontId="4" type="noConversion"/>
  </si>
  <si>
    <t>ui</t>
    <phoneticPr fontId="3" type="noConversion"/>
  </si>
  <si>
    <t>Diode Conduction Loss</t>
    <phoneticPr fontId="4" type="noConversion"/>
  </si>
  <si>
    <t>Conduction Loss/Device</t>
    <phoneticPr fontId="4" type="noConversion"/>
  </si>
  <si>
    <t xml:space="preserve">두께 : 부스바 </t>
    <phoneticPr fontId="4" type="noConversion"/>
  </si>
  <si>
    <t>IGBT Loss (Total)</t>
    <phoneticPr fontId="4" type="noConversion"/>
  </si>
  <si>
    <t>Diode Loss (Total)</t>
    <phoneticPr fontId="4" type="noConversion"/>
  </si>
  <si>
    <t>단면적</t>
    <phoneticPr fontId="4" type="noConversion"/>
  </si>
  <si>
    <t>Total Loss/Module</t>
    <phoneticPr fontId="4" type="noConversion"/>
  </si>
  <si>
    <t>모듈 Package 당 IGBT(switching device)수량</t>
    <phoneticPr fontId="4" type="noConversion"/>
  </si>
  <si>
    <t>SINGLE 모듈: 1, DUAL 모듈: 2(62mm package)</t>
    <phoneticPr fontId="4" type="noConversion"/>
  </si>
  <si>
    <t>Total Solid Device Loss</t>
    <phoneticPr fontId="4" type="noConversion"/>
  </si>
  <si>
    <t>W MAX</t>
    <phoneticPr fontId="4" type="noConversion"/>
  </si>
  <si>
    <t>Ptot / IGBT CASE</t>
    <phoneticPr fontId="4" type="noConversion"/>
  </si>
  <si>
    <t>Loss %</t>
    <phoneticPr fontId="4" type="noConversion"/>
  </si>
  <si>
    <t>약 30% 이하가 되어야 함</t>
    <phoneticPr fontId="4" type="noConversion"/>
  </si>
  <si>
    <t>열저항(Junction-Case)-IGBT</t>
    <phoneticPr fontId="4" type="noConversion"/>
  </si>
  <si>
    <t>K/W</t>
    <phoneticPr fontId="4" type="noConversion"/>
  </si>
  <si>
    <t>열저항(Junction-Case)-Diode</t>
    <phoneticPr fontId="4" type="noConversion"/>
  </si>
  <si>
    <t>K/W</t>
    <phoneticPr fontId="4" type="noConversion"/>
  </si>
  <si>
    <t>Case온도(IGBT,Tj=125℃기준)</t>
    <phoneticPr fontId="4" type="noConversion"/>
  </si>
  <si>
    <t>℃</t>
    <phoneticPr fontId="4" type="noConversion"/>
  </si>
  <si>
    <t>표기된 온도 이상은 사용 불가</t>
    <phoneticPr fontId="4" type="noConversion"/>
  </si>
  <si>
    <t>Case온도(Diode,Tj=125℃기준)</t>
    <phoneticPr fontId="4" type="noConversion"/>
  </si>
  <si>
    <t>℃</t>
    <phoneticPr fontId="4" type="noConversion"/>
  </si>
  <si>
    <t>Case온도- IGBT  온도차</t>
    <phoneticPr fontId="4" type="noConversion"/>
  </si>
  <si>
    <t>&lt;코아 중족 단면적 ( 1조 기준, 주사용품)&gt;</t>
    <phoneticPr fontId="4" type="noConversion"/>
  </si>
  <si>
    <t>&lt;DC 인덕터 L값)&gt;</t>
    <phoneticPr fontId="4" type="noConversion"/>
  </si>
  <si>
    <t>Case온도- Diode 온도차</t>
    <phoneticPr fontId="4" type="noConversion"/>
  </si>
  <si>
    <t>코아 종류</t>
    <phoneticPr fontId="4" type="noConversion"/>
  </si>
  <si>
    <t>중족단면적(Ae)</t>
    <phoneticPr fontId="4" type="noConversion"/>
  </si>
  <si>
    <t>규격</t>
    <phoneticPr fontId="4" type="noConversion"/>
  </si>
  <si>
    <t>자재코드</t>
    <phoneticPr fontId="4" type="noConversion"/>
  </si>
  <si>
    <t>L값(360Hz)</t>
    <phoneticPr fontId="4" type="noConversion"/>
  </si>
  <si>
    <t>열저항(Case-Heatsink)-IGBT(lPaste = 1 W/(m·K)기준)</t>
    <phoneticPr fontId="4" type="noConversion"/>
  </si>
  <si>
    <t>규소강판(0.2t, Si 3%)</t>
    <phoneticPr fontId="4" type="noConversion"/>
  </si>
  <si>
    <t>cm^2</t>
    <phoneticPr fontId="4" type="noConversion"/>
  </si>
  <si>
    <t xml:space="preserve">[PSIH-50XF-L1F-V1] </t>
    <phoneticPr fontId="4" type="noConversion"/>
  </si>
  <si>
    <t>LLL00001</t>
    <phoneticPr fontId="3" type="noConversion"/>
  </si>
  <si>
    <t>60uH</t>
    <phoneticPr fontId="3" type="noConversion"/>
  </si>
  <si>
    <t>열저항(Case-Heatsink)-Diode(lPaste = 1 W/(m·K)기준)</t>
    <phoneticPr fontId="4" type="noConversion"/>
  </si>
  <si>
    <t>DATA SHEET 확인</t>
    <phoneticPr fontId="4" type="noConversion"/>
  </si>
  <si>
    <t>아몰퍼스(50x175xSF)</t>
    <phoneticPr fontId="4" type="noConversion"/>
  </si>
  <si>
    <t>cm^2</t>
    <phoneticPr fontId="4" type="noConversion"/>
  </si>
  <si>
    <t xml:space="preserve">[PSIH-050HF-LO-01] </t>
    <phoneticPr fontId="4" type="noConversion"/>
  </si>
  <si>
    <t>LLL00005</t>
    <phoneticPr fontId="3" type="noConversion"/>
  </si>
  <si>
    <t>390uH</t>
    <phoneticPr fontId="3" type="noConversion"/>
  </si>
  <si>
    <t>Heatsink온도-IGBT바닥면 중심</t>
    <phoneticPr fontId="4" type="noConversion"/>
  </si>
  <si>
    <t>UU100</t>
    <phoneticPr fontId="4" type="noConversion"/>
  </si>
  <si>
    <t>[PSIH-100XF-LI-V1]</t>
    <phoneticPr fontId="4" type="noConversion"/>
  </si>
  <si>
    <t>LLL00060</t>
    <phoneticPr fontId="3" type="noConversion"/>
  </si>
  <si>
    <t>900uH</t>
    <phoneticPr fontId="3" type="noConversion"/>
  </si>
  <si>
    <t>Heatsink온도-Diode바닥면 중심</t>
    <phoneticPr fontId="4" type="noConversion"/>
  </si>
  <si>
    <t>UU120</t>
    <phoneticPr fontId="4" type="noConversion"/>
  </si>
  <si>
    <t xml:space="preserve">[PSIH-200XF-LI-V1] </t>
    <phoneticPr fontId="4" type="noConversion"/>
  </si>
  <si>
    <t>LLL00012</t>
    <phoneticPr fontId="3" type="noConversion"/>
  </si>
  <si>
    <t>630uH</t>
    <phoneticPr fontId="3" type="noConversion"/>
  </si>
  <si>
    <t>Heatsink온도-케이스간 온도차-IGBT</t>
    <phoneticPr fontId="4" type="noConversion"/>
  </si>
  <si>
    <t>UU120C</t>
    <phoneticPr fontId="4" type="noConversion"/>
  </si>
  <si>
    <t xml:space="preserve">[PSIH-400XF-LI-V1]  </t>
    <phoneticPr fontId="4" type="noConversion"/>
  </si>
  <si>
    <t>LLL00013</t>
    <phoneticPr fontId="3" type="noConversion"/>
  </si>
  <si>
    <t>375uH</t>
    <phoneticPr fontId="3" type="noConversion"/>
  </si>
  <si>
    <t>Heatsink온도-케이스간 온도차-Diode</t>
    <phoneticPr fontId="4" type="noConversion"/>
  </si>
  <si>
    <t>I118+I140 조합</t>
    <phoneticPr fontId="4" type="noConversion"/>
  </si>
  <si>
    <t xml:space="preserve">[PSIH-500XF-LI-V2] </t>
    <phoneticPr fontId="4" type="noConversion"/>
  </si>
  <si>
    <t>LLL00051</t>
    <phoneticPr fontId="3" type="noConversion"/>
  </si>
  <si>
    <t>515uH</t>
    <phoneticPr fontId="3" type="noConversion"/>
  </si>
  <si>
    <t>냉각수 출수 온도</t>
    <phoneticPr fontId="4" type="noConversion"/>
  </si>
  <si>
    <t>수냉방열판과의 열저항의 기준이 없어 60℃를 기준으로함</t>
    <phoneticPr fontId="4" type="noConversion"/>
  </si>
  <si>
    <t>냉각수 유량</t>
    <phoneticPr fontId="4" type="noConversion"/>
  </si>
  <si>
    <t>lpm</t>
    <phoneticPr fontId="4" type="noConversion"/>
  </si>
  <si>
    <t>유량</t>
    <phoneticPr fontId="4" type="noConversion"/>
  </si>
  <si>
    <t>냉각수 입수 온도 최대</t>
    <phoneticPr fontId="4" type="noConversion"/>
  </si>
  <si>
    <t>실사용 콘덴서_출력케이블3M 반영</t>
    <phoneticPr fontId="1" type="noConversion"/>
  </si>
  <si>
    <t>저항 및 크로우바</t>
    <phoneticPr fontId="3" type="noConversion"/>
  </si>
  <si>
    <t>IH PROGRAM SETTING VALUE_Digital</t>
    <phoneticPr fontId="3" type="noConversion"/>
  </si>
  <si>
    <t xml:space="preserve">PROJECT </t>
    <phoneticPr fontId="3" type="noConversion"/>
  </si>
  <si>
    <t>킴스하이테크롤로지_150kW</t>
    <phoneticPr fontId="3" type="noConversion"/>
  </si>
  <si>
    <t>작성일시</t>
    <phoneticPr fontId="3" type="noConversion"/>
  </si>
  <si>
    <t>요청 일시</t>
  </si>
  <si>
    <t>시운전일시</t>
    <phoneticPr fontId="3" type="noConversion"/>
  </si>
  <si>
    <t>납품 일시</t>
  </si>
  <si>
    <t>PROGRAM SPECIFICATION</t>
    <phoneticPr fontId="3" type="noConversion"/>
  </si>
  <si>
    <t>CLOCK</t>
    <phoneticPr fontId="3" type="noConversion"/>
  </si>
  <si>
    <t>M</t>
    <phoneticPr fontId="3" type="noConversion"/>
  </si>
  <si>
    <t>SCALE</t>
    <phoneticPr fontId="3" type="noConversion"/>
  </si>
  <si>
    <t>분주</t>
    <phoneticPr fontId="3" type="noConversion"/>
  </si>
  <si>
    <t>ECAP_CLOCK_10HZ</t>
    <phoneticPr fontId="3" type="noConversion"/>
  </si>
  <si>
    <t>FREQUENCY</t>
    <phoneticPr fontId="3" type="noConversion"/>
  </si>
  <si>
    <t>PERIOD</t>
    <phoneticPr fontId="3" type="noConversion"/>
  </si>
  <si>
    <t>HALF PERIOD</t>
    <phoneticPr fontId="3" type="noConversion"/>
  </si>
  <si>
    <t>POWER</t>
    <phoneticPr fontId="3" type="noConversion"/>
  </si>
  <si>
    <t>MAXIMUM</t>
    <phoneticPr fontId="3" type="noConversion"/>
  </si>
  <si>
    <t>kW</t>
    <phoneticPr fontId="3" type="noConversion"/>
  </si>
  <si>
    <t>MINIMUM</t>
    <phoneticPr fontId="3" type="noConversion"/>
  </si>
  <si>
    <t>INPUT VOLTAGE</t>
    <phoneticPr fontId="3" type="noConversion"/>
  </si>
  <si>
    <t>VAC</t>
    <phoneticPr fontId="3" type="noConversion"/>
  </si>
  <si>
    <t>Vo MAX</t>
    <phoneticPr fontId="3" type="noConversion"/>
  </si>
  <si>
    <t>INRUSH Voltage</t>
    <phoneticPr fontId="3" type="noConversion"/>
  </si>
  <si>
    <t>UVP</t>
    <phoneticPr fontId="3" type="noConversion"/>
  </si>
  <si>
    <t>전류 센싱</t>
    <phoneticPr fontId="3" type="noConversion"/>
  </si>
  <si>
    <t>SHUNT</t>
    <phoneticPr fontId="3" type="noConversion"/>
  </si>
  <si>
    <t>A/50mV</t>
    <phoneticPr fontId="3" type="noConversion"/>
  </si>
  <si>
    <t>Io OCP</t>
    <phoneticPr fontId="3" type="noConversion"/>
  </si>
  <si>
    <t>A</t>
    <phoneticPr fontId="3" type="noConversion"/>
  </si>
  <si>
    <t>공진 전류 센싱</t>
    <phoneticPr fontId="3" type="noConversion"/>
  </si>
  <si>
    <t>RESISTOR</t>
    <phoneticPr fontId="3" type="noConversion"/>
  </si>
  <si>
    <t>Ω</t>
    <phoneticPr fontId="3" type="noConversion"/>
  </si>
  <si>
    <t>PARALLEL</t>
    <phoneticPr fontId="3" type="noConversion"/>
  </si>
  <si>
    <t>개수</t>
    <phoneticPr fontId="3" type="noConversion"/>
  </si>
  <si>
    <t>CT</t>
    <phoneticPr fontId="3" type="noConversion"/>
  </si>
  <si>
    <t>:1</t>
    <phoneticPr fontId="3" type="noConversion"/>
  </si>
  <si>
    <t>실제 CURRENT</t>
    <phoneticPr fontId="3" type="noConversion"/>
  </si>
  <si>
    <t>IR RMS</t>
    <phoneticPr fontId="3" type="noConversion"/>
  </si>
  <si>
    <t>IR AVG(LCD)</t>
    <phoneticPr fontId="3" type="noConversion"/>
  </si>
  <si>
    <t>IR OCP</t>
    <phoneticPr fontId="3" type="noConversion"/>
  </si>
  <si>
    <t>AD REF
(4 ~ 20mA)</t>
    <phoneticPr fontId="3" type="noConversion"/>
  </si>
  <si>
    <t xml:space="preserve">kW </t>
    <phoneticPr fontId="3" type="noConversion"/>
  </si>
  <si>
    <t>DA POWER</t>
    <phoneticPr fontId="3" type="noConversion"/>
  </si>
  <si>
    <t xml:space="preserve">kW </t>
    <phoneticPr fontId="3" type="noConversion"/>
  </si>
  <si>
    <t>DA FREQUENCY</t>
    <phoneticPr fontId="3" type="noConversion"/>
  </si>
  <si>
    <t>MAXIMUM</t>
    <phoneticPr fontId="3" type="noConversion"/>
  </si>
  <si>
    <t>Hz</t>
    <phoneticPr fontId="3" type="noConversion"/>
  </si>
  <si>
    <t>MINIMUM</t>
    <phoneticPr fontId="3" type="noConversion"/>
  </si>
  <si>
    <t>Hz</t>
    <phoneticPr fontId="3" type="noConversion"/>
  </si>
  <si>
    <t>공진 CAP</t>
    <phoneticPr fontId="3" type="noConversion"/>
  </si>
  <si>
    <t>RESONANT_CAP</t>
    <phoneticPr fontId="3" type="noConversion"/>
  </si>
  <si>
    <t xml:space="preserve">uF </t>
    <phoneticPr fontId="3" type="noConversion"/>
  </si>
  <si>
    <t>VOLTAGE</t>
    <phoneticPr fontId="3" type="noConversion"/>
  </si>
  <si>
    <t>V</t>
    <phoneticPr fontId="3" type="noConversion"/>
  </si>
  <si>
    <t>SET_Vr</t>
    <phoneticPr fontId="3" type="noConversion"/>
  </si>
  <si>
    <t>M/T</t>
    <phoneticPr fontId="3" type="noConversion"/>
  </si>
  <si>
    <t>SET_TURN_RATIO</t>
  </si>
  <si>
    <t>:1</t>
    <phoneticPr fontId="3" type="noConversion"/>
  </si>
  <si>
    <t>동작 주파수</t>
    <phoneticPr fontId="3" type="noConversion"/>
  </si>
  <si>
    <t>START FREQUENCY</t>
    <phoneticPr fontId="3" type="noConversion"/>
  </si>
  <si>
    <t>PWM FREQUENCY</t>
    <phoneticPr fontId="3" type="noConversion"/>
  </si>
  <si>
    <t>DEAD TIME</t>
    <phoneticPr fontId="3" type="noConversion"/>
  </si>
  <si>
    <t>DEAD TIME</t>
    <phoneticPr fontId="3" type="noConversion"/>
  </si>
  <si>
    <t xml:space="preserve">uS </t>
    <phoneticPr fontId="3" type="noConversion"/>
  </si>
  <si>
    <t>분주 주파수</t>
    <phoneticPr fontId="3" type="noConversion"/>
  </si>
  <si>
    <t>EXT FAULT</t>
    <phoneticPr fontId="3" type="noConversion"/>
  </si>
  <si>
    <t>FLT1</t>
    <phoneticPr fontId="3" type="noConversion"/>
  </si>
  <si>
    <t>DOOR OPEN</t>
    <phoneticPr fontId="3" type="noConversion"/>
  </si>
  <si>
    <t>○</t>
    <phoneticPr fontId="3" type="noConversion"/>
  </si>
  <si>
    <t>FLT2</t>
  </si>
  <si>
    <t>OPP CAP</t>
    <phoneticPr fontId="3" type="noConversion"/>
  </si>
  <si>
    <t>FLT3</t>
  </si>
  <si>
    <t>OTP WATER</t>
    <phoneticPr fontId="3" type="noConversion"/>
  </si>
  <si>
    <t>○</t>
    <phoneticPr fontId="3" type="noConversion"/>
  </si>
  <si>
    <t>FLT4</t>
  </si>
  <si>
    <t>FLOW WATER</t>
    <phoneticPr fontId="3" type="noConversion"/>
  </si>
  <si>
    <t>FLT5</t>
  </si>
  <si>
    <t>MA/CB AUX</t>
    <phoneticPr fontId="3" type="noConversion"/>
  </si>
  <si>
    <t>FLT6</t>
  </si>
  <si>
    <t>SPARE</t>
    <phoneticPr fontId="3" type="noConversion"/>
  </si>
  <si>
    <t>FLT7</t>
  </si>
  <si>
    <t>LEAK WATER</t>
    <phoneticPr fontId="3" type="noConversion"/>
  </si>
  <si>
    <t>FLT8</t>
    <phoneticPr fontId="4" type="noConversion"/>
  </si>
  <si>
    <t>COIL TOUCH(열처리)
GOUND LEAK(용해로)</t>
    <phoneticPr fontId="4" type="noConversion"/>
  </si>
  <si>
    <t>FLT9</t>
    <phoneticPr fontId="3" type="noConversion"/>
  </si>
  <si>
    <t>FUSE OPEN</t>
    <phoneticPr fontId="3" type="noConversion"/>
  </si>
  <si>
    <t>FLT10</t>
    <phoneticPr fontId="3" type="noConversion"/>
  </si>
  <si>
    <t>OVGR</t>
    <phoneticPr fontId="3" type="noConversion"/>
  </si>
  <si>
    <t>IIN OCP</t>
    <phoneticPr fontId="3" type="noConversion"/>
  </si>
  <si>
    <t>MD FAULT</t>
    <phoneticPr fontId="3" type="noConversion"/>
  </si>
  <si>
    <t>CONTROL MODE</t>
    <phoneticPr fontId="3" type="noConversion"/>
  </si>
  <si>
    <t>FM+LBPWM</t>
    <phoneticPr fontId="3" type="noConversion"/>
  </si>
  <si>
    <t>공진회로</t>
    <phoneticPr fontId="3" type="noConversion"/>
  </si>
  <si>
    <t>직렬공진회로(FULL BRIDGE)</t>
    <phoneticPr fontId="3" type="noConversion"/>
  </si>
  <si>
    <t>특이 사항</t>
    <phoneticPr fontId="3" type="noConversion"/>
  </si>
  <si>
    <t>2021.08.02</t>
    <phoneticPr fontId="3" type="noConversion"/>
  </si>
  <si>
    <t>2021.09.03</t>
    <phoneticPr fontId="3" type="noConversion"/>
  </si>
  <si>
    <t>2021.09.30</t>
    <phoneticPr fontId="4" type="noConversion"/>
  </si>
  <si>
    <t>제닉스</t>
    <phoneticPr fontId="3" type="noConversion"/>
  </si>
  <si>
    <t>비고</t>
    <phoneticPr fontId="1" type="noConversion"/>
  </si>
  <si>
    <t>압연롤 가열장치</t>
    <phoneticPr fontId="3" type="noConversion"/>
  </si>
  <si>
    <t>15~20kHz</t>
    <phoneticPr fontId="3" type="noConversion"/>
  </si>
  <si>
    <t>[660GH-315SUL] 660V 315A</t>
    <phoneticPr fontId="3" type="noConversion"/>
  </si>
  <si>
    <t>[IMF1HT12] 인버터모듈관련 기구물, Full bridge 1홀,62mm packge(300A, 450A IGBT용 :내부 2직렬구조),  Triple type, 1200V급 IGBT 적용 
IGBT : FF450R12KT4 3병렬 6EA 적용</t>
    <phoneticPr fontId="3" type="noConversion"/>
  </si>
  <si>
    <t>[DD500954] DC LINK CAP Module, 장착위치: IGBT(62mm package) DIRECT 연결, CAP 용량: 50uF 900V, 가로(행)수: 5, 세로(열)수: 4
수량 1EA : 2000uF(50uF *40EA)</t>
    <phoneticPr fontId="3" type="noConversion"/>
  </si>
  <si>
    <t>7~10</t>
    <phoneticPr fontId="4" type="noConversion"/>
  </si>
  <si>
    <t>최대 400A</t>
    <phoneticPr fontId="3" type="noConversion"/>
  </si>
  <si>
    <t>300A</t>
    <phoneticPr fontId="3" type="noConversion"/>
  </si>
  <si>
    <t>최대 1200A</t>
    <phoneticPr fontId="3" type="noConversion"/>
  </si>
  <si>
    <t>최대 1200A</t>
    <phoneticPr fontId="4" type="noConversion"/>
  </si>
  <si>
    <t>IH DIGITAL CONTROL BOARD V3.8</t>
    <phoneticPr fontId="4" type="noConversion"/>
  </si>
  <si>
    <t>1. 동파이프 + 판 적층형
2. 1차 권선 : 동파이프(6.5파이 1t 코팅된것) 6턴, 2직렬 4병렬 (총 8층)
3. 2차 권선 : 판형 (외곽 물라인, 2t) 1턴, 4직렬 2병렬 (총 9층)
4. 코아 : UU120C 4조 ( 중족 단면적 48cm2)
5. 턴비 : 12(6+6)/12(6+6)/12(6+6)/12(6+6):4/4, 3/3/3 --&gt; 기본 12:4 (12:3 가능구조)
--&gt; 1차 최대 전류 : 400A, 2차 전류 : 1200A</t>
    <phoneticPr fontId="3" type="noConversion"/>
  </si>
  <si>
    <t>LCD MAX 설정치: 450A</t>
    <phoneticPr fontId="4" type="noConversion"/>
  </si>
  <si>
    <t>X</t>
    <phoneticPr fontId="3" type="noConversion"/>
  </si>
  <si>
    <t>X</t>
    <phoneticPr fontId="4" type="noConversion"/>
  </si>
  <si>
    <t>X</t>
    <phoneticPr fontId="3" type="noConversion"/>
  </si>
  <si>
    <t>실제 동작예상주파수는 15~20kHz</t>
    <phoneticPr fontId="4" type="noConversion"/>
  </si>
  <si>
    <t>150kW / 440VAC</t>
    <phoneticPr fontId="3" type="noConversion"/>
  </si>
  <si>
    <t>CI3H0002</t>
    <phoneticPr fontId="1" type="noConversion"/>
  </si>
  <si>
    <t>[DHF-S500P2100A] 500V 21uF, DHF-S500P, W*T*H=100*100*47</t>
    <phoneticPr fontId="1" type="noConversion"/>
  </si>
  <si>
    <t>4직렬 2병렬, 
 : 총 10.5uF, 2000V, 2000A, (8EA)</t>
    <phoneticPr fontId="3" type="noConversion"/>
  </si>
  <si>
    <t>GATE_DRIVER_50W_V3_2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</si>
</sst>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-* #,##0_-;\-* #,##0_-;_-* &quot;-&quot;_-;_-@_-"/>
    <numFmt numFmtId="176" formatCode="0.0"/>
    <numFmt numFmtId="177" formatCode="0.0_ "/>
    <numFmt numFmtId="178" formatCode="0.000_);[Red]\(0.000\)"/>
    <numFmt numFmtId="179" formatCode="0.000_ "/>
    <numFmt numFmtId="180" formatCode="0_ "/>
    <numFmt numFmtId="181" formatCode="0.0000_ "/>
    <numFmt numFmtId="182" formatCode="#,##0_);[Red]\(#,##0\)"/>
    <numFmt numFmtId="183" formatCode="_-* #,##0.0_-;\-* #,##0.0_-;_-* &quot;-&quot;_-;_-@_-"/>
    <numFmt numFmtId="184" formatCode="_-* #,##0.00_-;\-* #,##0.00_-;_-* &quot;-&quot;_-;_-@_-"/>
    <numFmt numFmtId="185" formatCode="0_);[Red]\(0\)"/>
  </numFmts>
  <fonts count="21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  <font>
      <sz val="8"/>
      <name val="맑은 고딕"/>
      <family val="3"/>
      <charset val="129"/>
    </font>
    <font>
      <sz val="8"/>
      <name val="돋움"/>
      <family val="3"/>
      <charset val="129"/>
    </font>
    <font>
      <b/>
      <sz val="10"/>
      <color rgb="FFFF000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1"/>
      <name val="돋움"/>
      <family val="3"/>
      <charset val="129"/>
    </font>
    <font>
      <b/>
      <sz val="12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1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4"/>
      <color rgb="FFFF000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thin">
        <color indexed="64"/>
      </top>
      <bottom style="medium">
        <color rgb="FFFF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>
      <alignment vertical="center"/>
    </xf>
    <xf numFmtId="0" fontId="9" fillId="0" borderId="0">
      <alignment vertical="center"/>
    </xf>
    <xf numFmtId="0" fontId="9" fillId="0" borderId="0"/>
    <xf numFmtId="41" fontId="16" fillId="0" borderId="0" applyFont="0" applyFill="0" applyBorder="0" applyAlignment="0" applyProtection="0">
      <alignment vertical="center"/>
    </xf>
  </cellStyleXfs>
  <cellXfs count="187">
    <xf numFmtId="0" fontId="0" fillId="0" borderId="0" xfId="0">
      <alignment vertical="center"/>
    </xf>
    <xf numFmtId="0" fontId="0" fillId="0" borderId="0" xfId="0" applyAlignment="1"/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2" xfId="0" applyFont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0" fontId="2" fillId="2" borderId="2" xfId="0" applyFont="1" applyFill="1" applyBorder="1" applyAlignment="1">
      <alignment vertical="center" wrapText="1"/>
    </xf>
    <xf numFmtId="0" fontId="6" fillId="2" borderId="2" xfId="0" applyFont="1" applyFill="1" applyBorder="1" applyAlignment="1">
      <alignment vertical="center"/>
    </xf>
    <xf numFmtId="0" fontId="6" fillId="2" borderId="2" xfId="0" applyFont="1" applyFill="1" applyBorder="1" applyAlignment="1">
      <alignment vertical="center" wrapText="1"/>
    </xf>
    <xf numFmtId="22" fontId="2" fillId="2" borderId="2" xfId="0" applyNumberFormat="1" applyFont="1" applyFill="1" applyBorder="1" applyAlignment="1">
      <alignment vertical="center"/>
    </xf>
    <xf numFmtId="0" fontId="7" fillId="2" borderId="2" xfId="0" applyFont="1" applyFill="1" applyBorder="1" applyAlignment="1">
      <alignment vertical="center" wrapText="1"/>
    </xf>
    <xf numFmtId="0" fontId="8" fillId="0" borderId="2" xfId="0" applyFont="1" applyBorder="1" applyAlignment="1">
      <alignment vertical="center" wrapText="1"/>
    </xf>
    <xf numFmtId="0" fontId="2" fillId="2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2" fillId="0" borderId="2" xfId="0" applyFont="1" applyBorder="1" applyAlignment="1">
      <alignment vertical="center" wrapText="1"/>
    </xf>
    <xf numFmtId="0" fontId="2" fillId="0" borderId="4" xfId="0" applyFont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2" borderId="5" xfId="0" applyFont="1" applyFill="1" applyBorder="1" applyAlignment="1">
      <alignment vertical="center"/>
    </xf>
    <xf numFmtId="0" fontId="10" fillId="0" borderId="0" xfId="1" applyFont="1">
      <alignment vertical="center"/>
    </xf>
    <xf numFmtId="0" fontId="9" fillId="0" borderId="0" xfId="1">
      <alignment vertical="center"/>
    </xf>
    <xf numFmtId="0" fontId="11" fillId="3" borderId="6" xfId="1" applyFont="1" applyFill="1" applyBorder="1">
      <alignment vertical="center"/>
    </xf>
    <xf numFmtId="0" fontId="11" fillId="0" borderId="0" xfId="1" applyFont="1">
      <alignment vertical="center"/>
    </xf>
    <xf numFmtId="0" fontId="11" fillId="0" borderId="6" xfId="1" applyFont="1" applyBorder="1">
      <alignment vertical="center"/>
    </xf>
    <xf numFmtId="176" fontId="11" fillId="4" borderId="6" xfId="1" applyNumberFormat="1" applyFont="1" applyFill="1" applyBorder="1">
      <alignment vertical="center"/>
    </xf>
    <xf numFmtId="0" fontId="12" fillId="0" borderId="6" xfId="1" applyFont="1" applyBorder="1" applyAlignment="1">
      <alignment horizontal="center" vertical="center"/>
    </xf>
    <xf numFmtId="0" fontId="13" fillId="0" borderId="6" xfId="1" applyFont="1" applyBorder="1">
      <alignment vertical="center"/>
    </xf>
    <xf numFmtId="0" fontId="11" fillId="0" borderId="0" xfId="1" applyFont="1" applyAlignment="1">
      <alignment vertical="center"/>
    </xf>
    <xf numFmtId="0" fontId="11" fillId="0" borderId="6" xfId="2" applyFont="1" applyBorder="1"/>
    <xf numFmtId="0" fontId="11" fillId="4" borderId="6" xfId="2" applyFont="1" applyFill="1" applyBorder="1"/>
    <xf numFmtId="0" fontId="11" fillId="0" borderId="6" xfId="0" applyFont="1" applyBorder="1" applyAlignment="1">
      <alignment vertical="center"/>
    </xf>
    <xf numFmtId="0" fontId="11" fillId="4" borderId="6" xfId="0" applyFont="1" applyFill="1" applyBorder="1" applyAlignment="1">
      <alignment vertical="center"/>
    </xf>
    <xf numFmtId="0" fontId="14" fillId="0" borderId="6" xfId="0" applyFont="1" applyBorder="1" applyAlignment="1">
      <alignment vertical="center"/>
    </xf>
    <xf numFmtId="0" fontId="11" fillId="2" borderId="6" xfId="0" applyFont="1" applyFill="1" applyBorder="1" applyAlignment="1">
      <alignment vertical="center"/>
    </xf>
    <xf numFmtId="2" fontId="11" fillId="2" borderId="6" xfId="1" applyNumberFormat="1" applyFont="1" applyFill="1" applyBorder="1">
      <alignment vertical="center"/>
    </xf>
    <xf numFmtId="0" fontId="15" fillId="0" borderId="6" xfId="0" applyFont="1" applyBorder="1" applyAlignment="1">
      <alignment vertical="center"/>
    </xf>
    <xf numFmtId="0" fontId="14" fillId="0" borderId="6" xfId="0" applyNumberFormat="1" applyFont="1" applyBorder="1" applyAlignment="1">
      <alignment vertical="center"/>
    </xf>
    <xf numFmtId="176" fontId="11" fillId="5" borderId="6" xfId="1" applyNumberFormat="1" applyFont="1" applyFill="1" applyBorder="1">
      <alignment vertical="center"/>
    </xf>
    <xf numFmtId="0" fontId="15" fillId="0" borderId="6" xfId="0" applyNumberFormat="1" applyFont="1" applyBorder="1" applyAlignment="1">
      <alignment vertical="center"/>
    </xf>
    <xf numFmtId="176" fontId="11" fillId="2" borderId="6" xfId="1" applyNumberFormat="1" applyFont="1" applyFill="1" applyBorder="1">
      <alignment vertical="center"/>
    </xf>
    <xf numFmtId="0" fontId="13" fillId="6" borderId="6" xfId="2" applyFont="1" applyFill="1" applyBorder="1"/>
    <xf numFmtId="0" fontId="14" fillId="2" borderId="6" xfId="0" applyNumberFormat="1" applyFont="1" applyFill="1" applyBorder="1" applyAlignment="1">
      <alignment vertical="center"/>
    </xf>
    <xf numFmtId="0" fontId="13" fillId="6" borderId="6" xfId="0" applyFont="1" applyFill="1" applyBorder="1" applyAlignment="1">
      <alignment vertical="center"/>
    </xf>
    <xf numFmtId="176" fontId="11" fillId="0" borderId="6" xfId="1" applyNumberFormat="1" applyFont="1" applyBorder="1">
      <alignment vertical="center"/>
    </xf>
    <xf numFmtId="0" fontId="11" fillId="6" borderId="6" xfId="0" applyFont="1" applyFill="1" applyBorder="1" applyAlignment="1">
      <alignment vertical="center"/>
    </xf>
    <xf numFmtId="1" fontId="14" fillId="0" borderId="6" xfId="0" applyNumberFormat="1" applyFont="1" applyBorder="1" applyAlignment="1">
      <alignment vertical="center"/>
    </xf>
    <xf numFmtId="0" fontId="15" fillId="4" borderId="6" xfId="0" applyNumberFormat="1" applyFont="1" applyFill="1" applyBorder="1" applyAlignment="1">
      <alignment vertical="center"/>
    </xf>
    <xf numFmtId="177" fontId="14" fillId="6" borderId="6" xfId="0" applyNumberFormat="1" applyFont="1" applyFill="1" applyBorder="1" applyAlignment="1">
      <alignment vertical="center"/>
    </xf>
    <xf numFmtId="0" fontId="11" fillId="4" borderId="6" xfId="0" applyNumberFormat="1" applyFont="1" applyFill="1" applyBorder="1" applyAlignment="1">
      <alignment vertical="center"/>
    </xf>
    <xf numFmtId="177" fontId="15" fillId="4" borderId="6" xfId="0" applyNumberFormat="1" applyFont="1" applyFill="1" applyBorder="1" applyAlignment="1">
      <alignment vertical="center"/>
    </xf>
    <xf numFmtId="178" fontId="13" fillId="6" borderId="6" xfId="0" applyNumberFormat="1" applyFont="1" applyFill="1" applyBorder="1" applyAlignment="1">
      <alignment vertical="center"/>
    </xf>
    <xf numFmtId="0" fontId="0" fillId="0" borderId="0" xfId="1" applyFont="1">
      <alignment vertical="center"/>
    </xf>
    <xf numFmtId="177" fontId="15" fillId="6" borderId="6" xfId="0" applyNumberFormat="1" applyFont="1" applyFill="1" applyBorder="1" applyAlignment="1">
      <alignment vertical="center"/>
    </xf>
    <xf numFmtId="0" fontId="11" fillId="0" borderId="6" xfId="1" applyFont="1" applyBorder="1" applyAlignment="1">
      <alignment vertical="center"/>
    </xf>
    <xf numFmtId="0" fontId="11" fillId="4" borderId="6" xfId="1" applyFont="1" applyFill="1" applyBorder="1" applyAlignment="1">
      <alignment vertical="center"/>
    </xf>
    <xf numFmtId="179" fontId="15" fillId="0" borderId="6" xfId="0" applyNumberFormat="1" applyFont="1" applyBorder="1" applyAlignment="1">
      <alignment vertical="center"/>
    </xf>
    <xf numFmtId="177" fontId="13" fillId="7" borderId="6" xfId="0" applyNumberFormat="1" applyFont="1" applyFill="1" applyBorder="1" applyAlignment="1">
      <alignment vertical="center"/>
    </xf>
    <xf numFmtId="2" fontId="11" fillId="4" borderId="6" xfId="1" applyNumberFormat="1" applyFont="1" applyFill="1" applyBorder="1">
      <alignment vertical="center"/>
    </xf>
    <xf numFmtId="0" fontId="11" fillId="8" borderId="6" xfId="1" applyFont="1" applyFill="1" applyBorder="1" applyAlignment="1">
      <alignment vertical="center"/>
    </xf>
    <xf numFmtId="176" fontId="11" fillId="6" borderId="6" xfId="1" applyNumberFormat="1" applyFont="1" applyFill="1" applyBorder="1">
      <alignment vertical="center"/>
    </xf>
    <xf numFmtId="0" fontId="12" fillId="0" borderId="6" xfId="1" applyFont="1" applyBorder="1">
      <alignment vertical="center"/>
    </xf>
    <xf numFmtId="0" fontId="11" fillId="4" borderId="6" xfId="1" applyFont="1" applyFill="1" applyBorder="1">
      <alignment vertical="center"/>
    </xf>
    <xf numFmtId="0" fontId="13" fillId="6" borderId="6" xfId="1" applyFont="1" applyFill="1" applyBorder="1">
      <alignment vertical="center"/>
    </xf>
    <xf numFmtId="0" fontId="13" fillId="6" borderId="6" xfId="1" applyFont="1" applyFill="1" applyBorder="1" applyAlignment="1">
      <alignment vertical="center"/>
    </xf>
    <xf numFmtId="0" fontId="11" fillId="6" borderId="6" xfId="1" applyFont="1" applyFill="1" applyBorder="1" applyAlignment="1">
      <alignment vertical="center"/>
    </xf>
    <xf numFmtId="0" fontId="11" fillId="8" borderId="6" xfId="0" applyFont="1" applyFill="1" applyBorder="1" applyAlignment="1">
      <alignment vertical="center"/>
    </xf>
    <xf numFmtId="176" fontId="11" fillId="3" borderId="6" xfId="1" applyNumberFormat="1" applyFont="1" applyFill="1" applyBorder="1">
      <alignment vertical="center"/>
    </xf>
    <xf numFmtId="2" fontId="11" fillId="3" borderId="6" xfId="1" applyNumberFormat="1" applyFont="1" applyFill="1" applyBorder="1">
      <alignment vertical="center"/>
    </xf>
    <xf numFmtId="177" fontId="11" fillId="6" borderId="6" xfId="0" applyNumberFormat="1" applyFont="1" applyFill="1" applyBorder="1" applyAlignment="1">
      <alignment vertical="center"/>
    </xf>
    <xf numFmtId="177" fontId="13" fillId="6" borderId="6" xfId="0" applyNumberFormat="1" applyFont="1" applyFill="1" applyBorder="1" applyAlignment="1">
      <alignment vertical="center"/>
    </xf>
    <xf numFmtId="0" fontId="12" fillId="0" borderId="6" xfId="1" applyFont="1" applyBorder="1" applyAlignment="1">
      <alignment vertical="center" wrapText="1"/>
    </xf>
    <xf numFmtId="0" fontId="11" fillId="0" borderId="6" xfId="0" applyFont="1" applyFill="1" applyBorder="1" applyAlignment="1">
      <alignment vertical="center"/>
    </xf>
    <xf numFmtId="0" fontId="13" fillId="6" borderId="6" xfId="1" quotePrefix="1" applyFont="1" applyFill="1" applyBorder="1" applyAlignment="1">
      <alignment vertical="center"/>
    </xf>
    <xf numFmtId="0" fontId="11" fillId="0" borderId="6" xfId="0" applyFont="1" applyBorder="1" applyAlignment="1"/>
    <xf numFmtId="0" fontId="11" fillId="4" borderId="6" xfId="0" applyFont="1" applyFill="1" applyBorder="1" applyAlignment="1">
      <alignment horizontal="right"/>
    </xf>
    <xf numFmtId="0" fontId="13" fillId="0" borderId="6" xfId="0" applyFont="1" applyBorder="1" applyAlignment="1"/>
    <xf numFmtId="177" fontId="11" fillId="2" borderId="6" xfId="0" applyNumberFormat="1" applyFont="1" applyFill="1" applyBorder="1" applyAlignment="1"/>
    <xf numFmtId="0" fontId="11" fillId="4" borderId="6" xfId="0" applyFont="1" applyFill="1" applyBorder="1" applyAlignment="1"/>
    <xf numFmtId="177" fontId="11" fillId="4" borderId="6" xfId="0" applyNumberFormat="1" applyFont="1" applyFill="1" applyBorder="1" applyAlignment="1">
      <alignment horizontal="right"/>
    </xf>
    <xf numFmtId="177" fontId="11" fillId="2" borderId="6" xfId="0" applyNumberFormat="1" applyFont="1" applyFill="1" applyBorder="1" applyAlignment="1">
      <alignment horizontal="right"/>
    </xf>
    <xf numFmtId="0" fontId="13" fillId="6" borderId="6" xfId="0" applyFont="1" applyFill="1" applyBorder="1" applyAlignment="1"/>
    <xf numFmtId="0" fontId="15" fillId="0" borderId="6" xfId="0" applyFont="1" applyBorder="1" applyAlignment="1">
      <alignment horizontal="left" vertical="center"/>
    </xf>
    <xf numFmtId="0" fontId="11" fillId="6" borderId="6" xfId="1" applyFont="1" applyFill="1" applyBorder="1">
      <alignment vertical="center"/>
    </xf>
    <xf numFmtId="177" fontId="12" fillId="6" borderId="6" xfId="0" applyNumberFormat="1" applyFont="1" applyFill="1" applyBorder="1" applyAlignment="1">
      <alignment horizontal="right"/>
    </xf>
    <xf numFmtId="1" fontId="13" fillId="6" borderId="6" xfId="0" applyNumberFormat="1" applyFont="1" applyFill="1" applyBorder="1" applyAlignment="1">
      <alignment vertical="center"/>
    </xf>
    <xf numFmtId="0" fontId="9" fillId="0" borderId="0" xfId="2"/>
    <xf numFmtId="0" fontId="13" fillId="7" borderId="6" xfId="1" applyFont="1" applyFill="1" applyBorder="1">
      <alignment vertical="center"/>
    </xf>
    <xf numFmtId="177" fontId="11" fillId="5" borderId="6" xfId="0" applyNumberFormat="1" applyFont="1" applyFill="1" applyBorder="1" applyAlignment="1">
      <alignment horizontal="right"/>
    </xf>
    <xf numFmtId="0" fontId="12" fillId="0" borderId="0" xfId="2" applyFont="1"/>
    <xf numFmtId="0" fontId="11" fillId="0" borderId="0" xfId="2" applyFont="1"/>
    <xf numFmtId="177" fontId="14" fillId="6" borderId="6" xfId="0" applyNumberFormat="1" applyFont="1" applyFill="1" applyBorder="1" applyAlignment="1">
      <alignment horizontal="right"/>
    </xf>
    <xf numFmtId="0" fontId="7" fillId="0" borderId="6" xfId="0" applyFont="1" applyBorder="1" applyAlignment="1">
      <alignment horizontal="left"/>
    </xf>
    <xf numFmtId="0" fontId="7" fillId="8" borderId="6" xfId="0" applyFont="1" applyFill="1" applyBorder="1" applyAlignment="1">
      <alignment horizontal="left"/>
    </xf>
    <xf numFmtId="0" fontId="11" fillId="0" borderId="6" xfId="0" applyFont="1" applyBorder="1" applyAlignment="1">
      <alignment horizontal="left"/>
    </xf>
    <xf numFmtId="180" fontId="11" fillId="4" borderId="6" xfId="0" applyNumberFormat="1" applyFont="1" applyFill="1" applyBorder="1" applyAlignment="1">
      <alignment horizontal="right"/>
    </xf>
    <xf numFmtId="177" fontId="13" fillId="6" borderId="6" xfId="0" applyNumberFormat="1" applyFont="1" applyFill="1" applyBorder="1" applyAlignment="1">
      <alignment horizontal="right"/>
    </xf>
    <xf numFmtId="177" fontId="12" fillId="4" borderId="6" xfId="0" applyNumberFormat="1" applyFont="1" applyFill="1" applyBorder="1" applyAlignment="1">
      <alignment horizontal="right"/>
    </xf>
    <xf numFmtId="181" fontId="11" fillId="4" borderId="6" xfId="0" applyNumberFormat="1" applyFont="1" applyFill="1" applyBorder="1" applyAlignment="1"/>
    <xf numFmtId="0" fontId="12" fillId="0" borderId="6" xfId="0" applyFont="1" applyBorder="1" applyAlignment="1"/>
    <xf numFmtId="177" fontId="13" fillId="6" borderId="6" xfId="0" applyNumberFormat="1" applyFont="1" applyFill="1" applyBorder="1" applyAlignment="1"/>
    <xf numFmtId="0" fontId="11" fillId="0" borderId="6" xfId="0" applyFont="1" applyFill="1" applyBorder="1" applyAlignment="1"/>
    <xf numFmtId="0" fontId="11" fillId="8" borderId="6" xfId="1" applyFont="1" applyFill="1" applyBorder="1">
      <alignment vertical="center"/>
    </xf>
    <xf numFmtId="0" fontId="11" fillId="0" borderId="6" xfId="0" applyFont="1" applyBorder="1" applyAlignment="1">
      <alignment horizontal="left" vertical="center"/>
    </xf>
    <xf numFmtId="0" fontId="11" fillId="0" borderId="6" xfId="0" applyFont="1" applyBorder="1" applyAlignment="1">
      <alignment horizontal="center" vertical="center"/>
    </xf>
    <xf numFmtId="177" fontId="14" fillId="2" borderId="6" xfId="0" applyNumberFormat="1" applyFont="1" applyFill="1" applyBorder="1" applyAlignment="1"/>
    <xf numFmtId="0" fontId="11" fillId="2" borderId="6" xfId="0" applyFont="1" applyFill="1" applyBorder="1" applyAlignment="1"/>
    <xf numFmtId="177" fontId="11" fillId="5" borderId="6" xfId="0" applyNumberFormat="1" applyFont="1" applyFill="1" applyBorder="1" applyAlignment="1"/>
    <xf numFmtId="176" fontId="11" fillId="4" borderId="8" xfId="1" applyNumberFormat="1" applyFont="1" applyFill="1" applyBorder="1">
      <alignment vertical="center"/>
    </xf>
    <xf numFmtId="2" fontId="11" fillId="2" borderId="8" xfId="1" applyNumberFormat="1" applyFont="1" applyFill="1" applyBorder="1">
      <alignment vertical="center"/>
    </xf>
    <xf numFmtId="176" fontId="11" fillId="5" borderId="8" xfId="1" applyNumberFormat="1" applyFont="1" applyFill="1" applyBorder="1">
      <alignment vertical="center"/>
    </xf>
    <xf numFmtId="176" fontId="11" fillId="2" borderId="8" xfId="1" applyNumberFormat="1" applyFont="1" applyFill="1" applyBorder="1">
      <alignment vertical="center"/>
    </xf>
    <xf numFmtId="176" fontId="11" fillId="0" borderId="8" xfId="1" applyNumberFormat="1" applyFont="1" applyBorder="1">
      <alignment vertical="center"/>
    </xf>
    <xf numFmtId="2" fontId="11" fillId="4" borderId="8" xfId="1" applyNumberFormat="1" applyFont="1" applyFill="1" applyBorder="1">
      <alignment vertical="center"/>
    </xf>
    <xf numFmtId="176" fontId="11" fillId="6" borderId="8" xfId="1" applyNumberFormat="1" applyFont="1" applyFill="1" applyBorder="1">
      <alignment vertical="center"/>
    </xf>
    <xf numFmtId="2" fontId="11" fillId="3" borderId="8" xfId="1" applyNumberFormat="1" applyFont="1" applyFill="1" applyBorder="1">
      <alignment vertical="center"/>
    </xf>
    <xf numFmtId="176" fontId="11" fillId="3" borderId="8" xfId="1" applyNumberFormat="1" applyFont="1" applyFill="1" applyBorder="1">
      <alignment vertical="center"/>
    </xf>
    <xf numFmtId="176" fontId="11" fillId="4" borderId="9" xfId="1" applyNumberFormat="1" applyFont="1" applyFill="1" applyBorder="1">
      <alignment vertical="center"/>
    </xf>
    <xf numFmtId="2" fontId="11" fillId="2" borderId="9" xfId="1" applyNumberFormat="1" applyFont="1" applyFill="1" applyBorder="1">
      <alignment vertical="center"/>
    </xf>
    <xf numFmtId="176" fontId="11" fillId="5" borderId="9" xfId="1" applyNumberFormat="1" applyFont="1" applyFill="1" applyBorder="1">
      <alignment vertical="center"/>
    </xf>
    <xf numFmtId="176" fontId="11" fillId="2" borderId="9" xfId="1" applyNumberFormat="1" applyFont="1" applyFill="1" applyBorder="1">
      <alignment vertical="center"/>
    </xf>
    <xf numFmtId="176" fontId="11" fillId="0" borderId="9" xfId="1" applyNumberFormat="1" applyFont="1" applyBorder="1">
      <alignment vertical="center"/>
    </xf>
    <xf numFmtId="2" fontId="11" fillId="4" borderId="9" xfId="1" applyNumberFormat="1" applyFont="1" applyFill="1" applyBorder="1">
      <alignment vertical="center"/>
    </xf>
    <xf numFmtId="176" fontId="11" fillId="6" borderId="9" xfId="1" applyNumberFormat="1" applyFont="1" applyFill="1" applyBorder="1">
      <alignment vertical="center"/>
    </xf>
    <xf numFmtId="2" fontId="11" fillId="3" borderId="9" xfId="1" applyNumberFormat="1" applyFont="1" applyFill="1" applyBorder="1">
      <alignment vertical="center"/>
    </xf>
    <xf numFmtId="176" fontId="11" fillId="3" borderId="9" xfId="1" applyNumberFormat="1" applyFont="1" applyFill="1" applyBorder="1">
      <alignment vertical="center"/>
    </xf>
    <xf numFmtId="176" fontId="11" fillId="4" borderId="10" xfId="1" applyNumberFormat="1" applyFont="1" applyFill="1" applyBorder="1">
      <alignment vertical="center"/>
    </xf>
    <xf numFmtId="176" fontId="11" fillId="4" borderId="11" xfId="1" applyNumberFormat="1" applyFont="1" applyFill="1" applyBorder="1">
      <alignment vertical="center"/>
    </xf>
    <xf numFmtId="2" fontId="11" fillId="2" borderId="11" xfId="1" applyNumberFormat="1" applyFont="1" applyFill="1" applyBorder="1">
      <alignment vertical="center"/>
    </xf>
    <xf numFmtId="176" fontId="11" fillId="5" borderId="11" xfId="1" applyNumberFormat="1" applyFont="1" applyFill="1" applyBorder="1">
      <alignment vertical="center"/>
    </xf>
    <xf numFmtId="176" fontId="11" fillId="2" borderId="11" xfId="1" applyNumberFormat="1" applyFont="1" applyFill="1" applyBorder="1">
      <alignment vertical="center"/>
    </xf>
    <xf numFmtId="176" fontId="11" fillId="0" borderId="11" xfId="1" applyNumberFormat="1" applyFont="1" applyBorder="1">
      <alignment vertical="center"/>
    </xf>
    <xf numFmtId="2" fontId="11" fillId="4" borderId="11" xfId="1" applyNumberFormat="1" applyFont="1" applyFill="1" applyBorder="1">
      <alignment vertical="center"/>
    </xf>
    <xf numFmtId="176" fontId="11" fillId="6" borderId="11" xfId="1" applyNumberFormat="1" applyFont="1" applyFill="1" applyBorder="1">
      <alignment vertical="center"/>
    </xf>
    <xf numFmtId="2" fontId="11" fillId="3" borderId="11" xfId="1" applyNumberFormat="1" applyFont="1" applyFill="1" applyBorder="1">
      <alignment vertical="center"/>
    </xf>
    <xf numFmtId="176" fontId="11" fillId="3" borderId="11" xfId="1" applyNumberFormat="1" applyFont="1" applyFill="1" applyBorder="1">
      <alignment vertical="center"/>
    </xf>
    <xf numFmtId="176" fontId="11" fillId="2" borderId="12" xfId="1" applyNumberFormat="1" applyFont="1" applyFill="1" applyBorder="1">
      <alignment vertical="center"/>
    </xf>
    <xf numFmtId="2" fontId="11" fillId="0" borderId="11" xfId="1" applyNumberFormat="1" applyFont="1" applyBorder="1">
      <alignment vertical="center"/>
    </xf>
    <xf numFmtId="0" fontId="19" fillId="2" borderId="8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9" fillId="2" borderId="6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182" fontId="15" fillId="2" borderId="6" xfId="0" applyNumberFormat="1" applyFont="1" applyFill="1" applyBorder="1" applyAlignment="1">
      <alignment vertical="center"/>
    </xf>
    <xf numFmtId="41" fontId="11" fillId="2" borderId="6" xfId="3" applyFont="1" applyFill="1" applyBorder="1" applyAlignment="1">
      <alignment vertical="center"/>
    </xf>
    <xf numFmtId="182" fontId="14" fillId="2" borderId="6" xfId="0" applyNumberFormat="1" applyFont="1" applyFill="1" applyBorder="1" applyAlignment="1">
      <alignment vertical="center"/>
    </xf>
    <xf numFmtId="0" fontId="11" fillId="0" borderId="0" xfId="0" applyFont="1" applyAlignment="1">
      <alignment vertical="center"/>
    </xf>
    <xf numFmtId="182" fontId="11" fillId="2" borderId="6" xfId="0" applyNumberFormat="1" applyFont="1" applyFill="1" applyBorder="1" applyAlignment="1">
      <alignment vertical="center"/>
    </xf>
    <xf numFmtId="183" fontId="11" fillId="2" borderId="6" xfId="3" applyNumberFormat="1" applyFont="1" applyFill="1" applyBorder="1" applyAlignment="1">
      <alignment vertical="center"/>
    </xf>
    <xf numFmtId="0" fontId="15" fillId="2" borderId="6" xfId="0" applyFont="1" applyFill="1" applyBorder="1" applyAlignment="1">
      <alignment vertical="center"/>
    </xf>
    <xf numFmtId="0" fontId="14" fillId="2" borderId="6" xfId="0" applyFont="1" applyFill="1" applyBorder="1" applyAlignment="1">
      <alignment vertical="center"/>
    </xf>
    <xf numFmtId="184" fontId="11" fillId="2" borderId="6" xfId="3" applyNumberFormat="1" applyFont="1" applyFill="1" applyBorder="1" applyAlignment="1">
      <alignment vertical="center"/>
    </xf>
    <xf numFmtId="177" fontId="15" fillId="2" borderId="6" xfId="0" applyNumberFormat="1" applyFont="1" applyFill="1" applyBorder="1" applyAlignment="1">
      <alignment horizontal="center" vertical="center"/>
    </xf>
    <xf numFmtId="0" fontId="11" fillId="2" borderId="6" xfId="0" applyFont="1" applyFill="1" applyBorder="1" applyAlignment="1">
      <alignment vertical="center" wrapText="1"/>
    </xf>
    <xf numFmtId="185" fontId="11" fillId="2" borderId="6" xfId="3" applyNumberFormat="1" applyFont="1" applyFill="1" applyBorder="1" applyAlignment="1">
      <alignment vertical="center"/>
    </xf>
    <xf numFmtId="0" fontId="0" fillId="0" borderId="0" xfId="0" applyAlignment="1">
      <alignment vertical="center"/>
    </xf>
    <xf numFmtId="41" fontId="0" fillId="0" borderId="0" xfId="3" applyFont="1" applyAlignment="1">
      <alignment vertical="center"/>
    </xf>
    <xf numFmtId="0" fontId="0" fillId="0" borderId="6" xfId="0" applyBorder="1" applyAlignment="1">
      <alignment horizontal="center" vertical="center"/>
    </xf>
    <xf numFmtId="0" fontId="7" fillId="2" borderId="2" xfId="0" applyFont="1" applyFill="1" applyBorder="1" applyAlignment="1">
      <alignment vertical="center"/>
    </xf>
    <xf numFmtId="0" fontId="12" fillId="0" borderId="7" xfId="0" applyFont="1" applyBorder="1" applyAlignment="1">
      <alignment horizontal="left"/>
    </xf>
    <xf numFmtId="0" fontId="12" fillId="0" borderId="0" xfId="1" applyFont="1" applyAlignment="1">
      <alignment horizontal="left" vertical="center"/>
    </xf>
    <xf numFmtId="0" fontId="12" fillId="0" borderId="7" xfId="1" applyFont="1" applyBorder="1" applyAlignment="1">
      <alignment horizontal="left" vertical="center"/>
    </xf>
    <xf numFmtId="0" fontId="11" fillId="8" borderId="6" xfId="0" applyFont="1" applyFill="1" applyBorder="1" applyAlignment="1">
      <alignment horizontal="center" vertical="center"/>
    </xf>
    <xf numFmtId="0" fontId="9" fillId="0" borderId="0" xfId="1" applyAlignment="1">
      <alignment horizontal="center" vertical="center"/>
    </xf>
    <xf numFmtId="0" fontId="0" fillId="0" borderId="13" xfId="0" applyBorder="1" applyAlignment="1">
      <alignment horizontal="left" vertical="center" wrapText="1"/>
    </xf>
    <xf numFmtId="0" fontId="0" fillId="0" borderId="13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11" fillId="0" borderId="14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1" fillId="0" borderId="14" xfId="0" applyFont="1" applyBorder="1" applyAlignment="1">
      <alignment horizontal="left" vertical="center"/>
    </xf>
    <xf numFmtId="0" fontId="11" fillId="0" borderId="16" xfId="0" applyFont="1" applyBorder="1" applyAlignment="1">
      <alignment horizontal="left" vertical="center"/>
    </xf>
    <xf numFmtId="0" fontId="11" fillId="0" borderId="15" xfId="0" applyFont="1" applyBorder="1" applyAlignment="1">
      <alignment horizontal="center" vertical="center"/>
    </xf>
    <xf numFmtId="41" fontId="11" fillId="2" borderId="8" xfId="3" applyFont="1" applyFill="1" applyBorder="1" applyAlignment="1">
      <alignment horizontal="center" vertical="center"/>
    </xf>
    <xf numFmtId="41" fontId="11" fillId="2" borderId="13" xfId="3" applyFont="1" applyFill="1" applyBorder="1" applyAlignment="1">
      <alignment horizontal="center" vertical="center"/>
    </xf>
    <xf numFmtId="41" fontId="11" fillId="2" borderId="9" xfId="3" applyFont="1" applyFill="1" applyBorder="1" applyAlignment="1">
      <alignment horizontal="center" vertical="center"/>
    </xf>
    <xf numFmtId="0" fontId="11" fillId="0" borderId="15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 wrapText="1"/>
    </xf>
    <xf numFmtId="0" fontId="17" fillId="0" borderId="8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9" xfId="0" applyFont="1" applyBorder="1" applyAlignment="1">
      <alignment horizontal="center" vertical="center"/>
    </xf>
    <xf numFmtId="0" fontId="18" fillId="2" borderId="6" xfId="0" applyFont="1" applyFill="1" applyBorder="1" applyAlignment="1">
      <alignment horizontal="center" vertical="center"/>
    </xf>
    <xf numFmtId="0" fontId="18" fillId="2" borderId="8" xfId="0" applyFont="1" applyFill="1" applyBorder="1" applyAlignment="1">
      <alignment horizontal="center" vertical="center"/>
    </xf>
    <xf numFmtId="0" fontId="18" fillId="2" borderId="13" xfId="0" applyFont="1" applyFill="1" applyBorder="1" applyAlignment="1">
      <alignment horizontal="center" vertical="center"/>
    </xf>
    <xf numFmtId="0" fontId="18" fillId="2" borderId="9" xfId="0" applyFont="1" applyFill="1" applyBorder="1" applyAlignment="1">
      <alignment horizontal="center" vertical="center"/>
    </xf>
    <xf numFmtId="0" fontId="20" fillId="2" borderId="8" xfId="0" applyFont="1" applyFill="1" applyBorder="1" applyAlignment="1">
      <alignment horizontal="center" vertical="center"/>
    </xf>
    <xf numFmtId="0" fontId="20" fillId="2" borderId="9" xfId="0" applyFont="1" applyFill="1" applyBorder="1" applyAlignment="1">
      <alignment horizontal="center" vertical="center"/>
    </xf>
  </cellXfs>
  <cellStyles count="4">
    <cellStyle name="쉼표 [0]" xfId="3" builtinId="6"/>
    <cellStyle name="표준" xfId="0" builtinId="0"/>
    <cellStyle name="표준_20080312_동작점설계_해송_150MF" xfId="1"/>
    <cellStyle name="표준_계산공식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2" name="타원 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19</xdr:row>
      <xdr:rowOff>61441</xdr:rowOff>
    </xdr:from>
    <xdr:to>
      <xdr:col>23</xdr:col>
      <xdr:colOff>1777630</xdr:colOff>
      <xdr:row>19</xdr:row>
      <xdr:rowOff>143982</xdr:rowOff>
    </xdr:to>
    <xdr:sp macro="" textlink="">
      <xdr:nvSpPr>
        <xdr:cNvPr id="3" name="타원 2"/>
        <xdr:cNvSpPr/>
      </xdr:nvSpPr>
      <xdr:spPr>
        <a:xfrm>
          <a:off x="27898630" y="40524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58555</xdr:rowOff>
    </xdr:from>
    <xdr:to>
      <xdr:col>23</xdr:col>
      <xdr:colOff>1651260</xdr:colOff>
      <xdr:row>23</xdr:row>
      <xdr:rowOff>148340</xdr:rowOff>
    </xdr:to>
    <xdr:sp macro="" textlink="">
      <xdr:nvSpPr>
        <xdr:cNvPr id="4" name="타원 3"/>
        <xdr:cNvSpPr/>
      </xdr:nvSpPr>
      <xdr:spPr>
        <a:xfrm>
          <a:off x="27760980" y="48877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1695355</xdr:colOff>
      <xdr:row>23</xdr:row>
      <xdr:rowOff>61441</xdr:rowOff>
    </xdr:from>
    <xdr:to>
      <xdr:col>23</xdr:col>
      <xdr:colOff>1777630</xdr:colOff>
      <xdr:row>23</xdr:row>
      <xdr:rowOff>143982</xdr:rowOff>
    </xdr:to>
    <xdr:sp macro="" textlink="">
      <xdr:nvSpPr>
        <xdr:cNvPr id="5" name="타원 4"/>
        <xdr:cNvSpPr/>
      </xdr:nvSpPr>
      <xdr:spPr>
        <a:xfrm>
          <a:off x="27898630" y="4890616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54807</xdr:rowOff>
    </xdr:from>
    <xdr:to>
      <xdr:col>23</xdr:col>
      <xdr:colOff>1912964</xdr:colOff>
      <xdr:row>23</xdr:row>
      <xdr:rowOff>144592</xdr:rowOff>
    </xdr:to>
    <xdr:sp macro="" textlink="">
      <xdr:nvSpPr>
        <xdr:cNvPr id="6" name="타원 5"/>
        <xdr:cNvSpPr/>
      </xdr:nvSpPr>
      <xdr:spPr>
        <a:xfrm>
          <a:off x="28022684" y="4883982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1957059</xdr:colOff>
      <xdr:row>23</xdr:row>
      <xdr:rowOff>57693</xdr:rowOff>
    </xdr:from>
    <xdr:to>
      <xdr:col>23</xdr:col>
      <xdr:colOff>2039334</xdr:colOff>
      <xdr:row>23</xdr:row>
      <xdr:rowOff>140234</xdr:rowOff>
    </xdr:to>
    <xdr:sp macro="" textlink="">
      <xdr:nvSpPr>
        <xdr:cNvPr id="7" name="타원 6"/>
        <xdr:cNvSpPr/>
      </xdr:nvSpPr>
      <xdr:spPr>
        <a:xfrm>
          <a:off x="28160334" y="4886868"/>
          <a:ext cx="82275" cy="82541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1549897</xdr:colOff>
      <xdr:row>27</xdr:row>
      <xdr:rowOff>23231</xdr:rowOff>
    </xdr:from>
    <xdr:to>
      <xdr:col>23</xdr:col>
      <xdr:colOff>1629124</xdr:colOff>
      <xdr:row>27</xdr:row>
      <xdr:rowOff>92041</xdr:rowOff>
    </xdr:to>
    <xdr:sp macro="" textlink="">
      <xdr:nvSpPr>
        <xdr:cNvPr id="8" name="타원 7"/>
        <xdr:cNvSpPr/>
      </xdr:nvSpPr>
      <xdr:spPr>
        <a:xfrm>
          <a:off x="27753172" y="5690606"/>
          <a:ext cx="79227" cy="68810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23231</xdr:rowOff>
    </xdr:from>
    <xdr:to>
      <xdr:col>23</xdr:col>
      <xdr:colOff>1736572</xdr:colOff>
      <xdr:row>27</xdr:row>
      <xdr:rowOff>88929</xdr:rowOff>
    </xdr:to>
    <xdr:sp macro="" textlink="">
      <xdr:nvSpPr>
        <xdr:cNvPr id="9" name="타원 8"/>
        <xdr:cNvSpPr/>
      </xdr:nvSpPr>
      <xdr:spPr>
        <a:xfrm>
          <a:off x="27871305" y="5690606"/>
          <a:ext cx="68542" cy="6569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1667817</xdr:colOff>
      <xdr:row>27</xdr:row>
      <xdr:rowOff>120160</xdr:rowOff>
    </xdr:from>
    <xdr:to>
      <xdr:col>23</xdr:col>
      <xdr:colOff>1741046</xdr:colOff>
      <xdr:row>27</xdr:row>
      <xdr:rowOff>184948</xdr:rowOff>
    </xdr:to>
    <xdr:sp macro="" textlink="">
      <xdr:nvSpPr>
        <xdr:cNvPr id="10" name="타원 9"/>
        <xdr:cNvSpPr/>
      </xdr:nvSpPr>
      <xdr:spPr>
        <a:xfrm>
          <a:off x="27871092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121015</xdr:rowOff>
    </xdr:from>
    <xdr:to>
      <xdr:col>23</xdr:col>
      <xdr:colOff>1627839</xdr:colOff>
      <xdr:row>27</xdr:row>
      <xdr:rowOff>185853</xdr:rowOff>
    </xdr:to>
    <xdr:sp macro="" textlink="">
      <xdr:nvSpPr>
        <xdr:cNvPr id="11" name="타원 10"/>
        <xdr:cNvSpPr/>
      </xdr:nvSpPr>
      <xdr:spPr>
        <a:xfrm>
          <a:off x="27759800" y="5788390"/>
          <a:ext cx="71314" cy="64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19</xdr:row>
      <xdr:rowOff>58555</xdr:rowOff>
    </xdr:from>
    <xdr:to>
      <xdr:col>23</xdr:col>
      <xdr:colOff>1651260</xdr:colOff>
      <xdr:row>19</xdr:row>
      <xdr:rowOff>148340</xdr:rowOff>
    </xdr:to>
    <xdr:sp macro="" textlink="">
      <xdr:nvSpPr>
        <xdr:cNvPr id="12" name="타원 11"/>
        <xdr:cNvSpPr/>
      </xdr:nvSpPr>
      <xdr:spPr>
        <a:xfrm>
          <a:off x="27760980" y="4049530"/>
          <a:ext cx="93555" cy="89785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1695356</xdr:colOff>
      <xdr:row>19</xdr:row>
      <xdr:rowOff>55621</xdr:rowOff>
    </xdr:from>
    <xdr:to>
      <xdr:col>23</xdr:col>
      <xdr:colOff>1786806</xdr:colOff>
      <xdr:row>19</xdr:row>
      <xdr:rowOff>147459</xdr:rowOff>
    </xdr:to>
    <xdr:sp macro="" textlink="">
      <xdr:nvSpPr>
        <xdr:cNvPr id="13" name="타원 12"/>
        <xdr:cNvSpPr/>
      </xdr:nvSpPr>
      <xdr:spPr>
        <a:xfrm>
          <a:off x="27898631" y="4046596"/>
          <a:ext cx="91450" cy="91838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1557705</xdr:colOff>
      <xdr:row>23</xdr:row>
      <xdr:rowOff>56203</xdr:rowOff>
    </xdr:from>
    <xdr:to>
      <xdr:col>23</xdr:col>
      <xdr:colOff>1651260</xdr:colOff>
      <xdr:row>23</xdr:row>
      <xdr:rowOff>148340</xdr:rowOff>
    </xdr:to>
    <xdr:sp macro="" textlink="">
      <xdr:nvSpPr>
        <xdr:cNvPr id="14" name="타원 13"/>
        <xdr:cNvSpPr/>
      </xdr:nvSpPr>
      <xdr:spPr>
        <a:xfrm>
          <a:off x="27760980" y="4885378"/>
          <a:ext cx="93555" cy="9213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1690298</xdr:colOff>
      <xdr:row>23</xdr:row>
      <xdr:rowOff>54429</xdr:rowOff>
    </xdr:from>
    <xdr:to>
      <xdr:col>23</xdr:col>
      <xdr:colOff>1779854</xdr:colOff>
      <xdr:row>23</xdr:row>
      <xdr:rowOff>140533</xdr:rowOff>
    </xdr:to>
    <xdr:sp macro="" textlink="">
      <xdr:nvSpPr>
        <xdr:cNvPr id="15" name="타원 14"/>
        <xdr:cNvSpPr/>
      </xdr:nvSpPr>
      <xdr:spPr>
        <a:xfrm>
          <a:off x="27893573" y="4883604"/>
          <a:ext cx="89556" cy="8610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1819409</xdr:colOff>
      <xdr:row>23</xdr:row>
      <xdr:rowOff>53245</xdr:rowOff>
    </xdr:from>
    <xdr:to>
      <xdr:col>23</xdr:col>
      <xdr:colOff>1912964</xdr:colOff>
      <xdr:row>23</xdr:row>
      <xdr:rowOff>144592</xdr:rowOff>
    </xdr:to>
    <xdr:sp macro="" textlink="">
      <xdr:nvSpPr>
        <xdr:cNvPr id="16" name="타원 15"/>
        <xdr:cNvSpPr/>
      </xdr:nvSpPr>
      <xdr:spPr>
        <a:xfrm>
          <a:off x="28022684" y="4882420"/>
          <a:ext cx="93555" cy="91347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1950107</xdr:colOff>
      <xdr:row>23</xdr:row>
      <xdr:rowOff>54428</xdr:rowOff>
    </xdr:from>
    <xdr:to>
      <xdr:col>23</xdr:col>
      <xdr:colOff>2047875</xdr:colOff>
      <xdr:row>23</xdr:row>
      <xdr:rowOff>146277</xdr:rowOff>
    </xdr:to>
    <xdr:sp macro="" textlink="">
      <xdr:nvSpPr>
        <xdr:cNvPr id="17" name="타원 16"/>
        <xdr:cNvSpPr/>
      </xdr:nvSpPr>
      <xdr:spPr>
        <a:xfrm>
          <a:off x="28153382" y="4883603"/>
          <a:ext cx="97768" cy="91849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1553159</xdr:colOff>
      <xdr:row>27</xdr:row>
      <xdr:rowOff>23664</xdr:rowOff>
    </xdr:from>
    <xdr:to>
      <xdr:col>23</xdr:col>
      <xdr:colOff>1632857</xdr:colOff>
      <xdr:row>27</xdr:row>
      <xdr:rowOff>94657</xdr:rowOff>
    </xdr:to>
    <xdr:sp macro="" textlink="">
      <xdr:nvSpPr>
        <xdr:cNvPr id="18" name="타원 17"/>
        <xdr:cNvSpPr/>
      </xdr:nvSpPr>
      <xdr:spPr>
        <a:xfrm>
          <a:off x="27756434" y="5691039"/>
          <a:ext cx="79698" cy="70993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1668030</xdr:colOff>
      <xdr:row>27</xdr:row>
      <xdr:rowOff>23230</xdr:rowOff>
    </xdr:from>
    <xdr:to>
      <xdr:col>23</xdr:col>
      <xdr:colOff>1738638</xdr:colOff>
      <xdr:row>27</xdr:row>
      <xdr:rowOff>91335</xdr:rowOff>
    </xdr:to>
    <xdr:sp macro="" textlink="">
      <xdr:nvSpPr>
        <xdr:cNvPr id="19" name="타원 18"/>
        <xdr:cNvSpPr/>
      </xdr:nvSpPr>
      <xdr:spPr>
        <a:xfrm>
          <a:off x="27871305" y="5690605"/>
          <a:ext cx="70608" cy="68105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1664555</xdr:colOff>
      <xdr:row>27</xdr:row>
      <xdr:rowOff>120160</xdr:rowOff>
    </xdr:from>
    <xdr:to>
      <xdr:col>23</xdr:col>
      <xdr:colOff>1737784</xdr:colOff>
      <xdr:row>27</xdr:row>
      <xdr:rowOff>184948</xdr:rowOff>
    </xdr:to>
    <xdr:sp macro="" textlink="">
      <xdr:nvSpPr>
        <xdr:cNvPr id="20" name="타원 19"/>
        <xdr:cNvSpPr/>
      </xdr:nvSpPr>
      <xdr:spPr>
        <a:xfrm>
          <a:off x="27867830" y="5787535"/>
          <a:ext cx="73229" cy="64788"/>
        </a:xfrm>
        <a:prstGeom prst="ellipse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23</xdr:col>
      <xdr:colOff>1556525</xdr:colOff>
      <xdr:row>27</xdr:row>
      <xdr:rowOff>124239</xdr:rowOff>
    </xdr:from>
    <xdr:to>
      <xdr:col>23</xdr:col>
      <xdr:colOff>1627839</xdr:colOff>
      <xdr:row>27</xdr:row>
      <xdr:rowOff>185853</xdr:rowOff>
    </xdr:to>
    <xdr:sp macro="" textlink="">
      <xdr:nvSpPr>
        <xdr:cNvPr id="21" name="타원 20"/>
        <xdr:cNvSpPr/>
      </xdr:nvSpPr>
      <xdr:spPr>
        <a:xfrm>
          <a:off x="27759800" y="5791614"/>
          <a:ext cx="71314" cy="61614"/>
        </a:xfrm>
        <a:prstGeom prst="ellipse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endParaRPr lang="ko-KR" altLang="en-US"/>
        </a:p>
      </xdr:txBody>
    </xdr:sp>
    <xdr:clientData/>
  </xdr:twoCellAnchor>
  <xdr:twoCellAnchor>
    <xdr:from>
      <xdr:col>26</xdr:col>
      <xdr:colOff>28575</xdr:colOff>
      <xdr:row>57</xdr:row>
      <xdr:rowOff>47625</xdr:rowOff>
    </xdr:from>
    <xdr:to>
      <xdr:col>28</xdr:col>
      <xdr:colOff>0</xdr:colOff>
      <xdr:row>63</xdr:row>
      <xdr:rowOff>76200</xdr:rowOff>
    </xdr:to>
    <xdr:grpSp>
      <xdr:nvGrpSpPr>
        <xdr:cNvPr id="22" name="그룹 73"/>
        <xdr:cNvGrpSpPr>
          <a:grpSpLocks/>
        </xdr:cNvGrpSpPr>
      </xdr:nvGrpSpPr>
      <xdr:grpSpPr bwMode="auto">
        <a:xfrm>
          <a:off x="30806231" y="12263438"/>
          <a:ext cx="1352550" cy="1314450"/>
          <a:chOff x="13722010" y="2477311"/>
          <a:chExt cx="1617739" cy="1066696"/>
        </a:xfrm>
      </xdr:grpSpPr>
      <xdr:sp macro="" textlink="">
        <xdr:nvSpPr>
          <xdr:cNvPr id="23" name="직사각형 22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24" name="직선 화살표 연결선 23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25" name="직선 화살표 연결선 24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6" name="왼쪽 중괄호 25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27" name="TextBox 26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28" name="TextBox 27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29" name="TextBox 28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30" name="타원 29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1" name="타원 30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2" name="타원 31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3" name="타원 32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4" name="타원 33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5" name="타원 34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6" name="타원 35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7" name="타원 36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8" name="타원 37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39" name="타원 38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0" name="직선 연결선 39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  <xdr:twoCellAnchor>
    <xdr:from>
      <xdr:col>14</xdr:col>
      <xdr:colOff>35719</xdr:colOff>
      <xdr:row>3</xdr:row>
      <xdr:rowOff>47625</xdr:rowOff>
    </xdr:from>
    <xdr:to>
      <xdr:col>14</xdr:col>
      <xdr:colOff>683418</xdr:colOff>
      <xdr:row>8</xdr:row>
      <xdr:rowOff>47625</xdr:rowOff>
    </xdr:to>
    <xdr:grpSp>
      <xdr:nvGrpSpPr>
        <xdr:cNvPr id="41" name="그룹 73"/>
        <xdr:cNvGrpSpPr>
          <a:grpSpLocks/>
        </xdr:cNvGrpSpPr>
      </xdr:nvGrpSpPr>
      <xdr:grpSpPr bwMode="auto">
        <a:xfrm>
          <a:off x="17776032" y="690563"/>
          <a:ext cx="647699" cy="1071562"/>
          <a:chOff x="13722010" y="2477311"/>
          <a:chExt cx="1617739" cy="1066696"/>
        </a:xfrm>
      </xdr:grpSpPr>
      <xdr:sp macro="" textlink="">
        <xdr:nvSpPr>
          <xdr:cNvPr id="42" name="직사각형 41"/>
          <xdr:cNvSpPr/>
        </xdr:nvSpPr>
        <xdr:spPr>
          <a:xfrm>
            <a:off x="13722010" y="2477311"/>
            <a:ext cx="1617739" cy="1066696"/>
          </a:xfrm>
          <a:prstGeom prst="rect">
            <a:avLst/>
          </a:prstGeom>
          <a:solidFill>
            <a:schemeClr val="accent1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43" name="직선 화살표 연결선 42"/>
          <xdr:cNvCxnSpPr/>
        </xdr:nvCxnSpPr>
        <xdr:spPr>
          <a:xfrm>
            <a:off x="14074106" y="2755997"/>
            <a:ext cx="456773" cy="961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44" name="직선 화살표 연결선 43"/>
          <xdr:cNvCxnSpPr/>
        </xdr:nvCxnSpPr>
        <xdr:spPr>
          <a:xfrm flipV="1">
            <a:off x="14664105" y="2832876"/>
            <a:ext cx="589999" cy="0"/>
          </a:xfrm>
          <a:prstGeom prst="straightConnector1">
            <a:avLst/>
          </a:prstGeom>
          <a:ln>
            <a:headEnd type="arrow"/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45" name="왼쪽 중괄호 44"/>
          <xdr:cNvSpPr/>
        </xdr:nvSpPr>
        <xdr:spPr>
          <a:xfrm rot="16200000">
            <a:off x="14011454" y="2869418"/>
            <a:ext cx="163368" cy="589999"/>
          </a:xfrm>
          <a:prstGeom prst="leftBrace">
            <a:avLst/>
          </a:prstGeom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46" name="TextBox 45"/>
          <xdr:cNvSpPr txBox="1"/>
        </xdr:nvSpPr>
        <xdr:spPr>
          <a:xfrm>
            <a:off x="14188299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r</a:t>
            </a:r>
            <a:endParaRPr lang="ko-KR" altLang="en-US" sz="1200" b="1"/>
          </a:p>
        </xdr:txBody>
      </xdr:sp>
      <xdr:sp macro="" textlink="">
        <xdr:nvSpPr>
          <xdr:cNvPr id="47" name="TextBox 46"/>
          <xdr:cNvSpPr txBox="1"/>
        </xdr:nvSpPr>
        <xdr:spPr>
          <a:xfrm>
            <a:off x="14835395" y="2534970"/>
            <a:ext cx="266451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W</a:t>
            </a:r>
            <a:endParaRPr lang="ko-KR" altLang="en-US" sz="1200" b="1"/>
          </a:p>
        </xdr:txBody>
      </xdr:sp>
      <xdr:sp macro="" textlink="">
        <xdr:nvSpPr>
          <xdr:cNvPr id="48" name="TextBox 47"/>
          <xdr:cNvSpPr txBox="1"/>
        </xdr:nvSpPr>
        <xdr:spPr>
          <a:xfrm>
            <a:off x="13959913" y="3236491"/>
            <a:ext cx="256935" cy="25946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wrap="square" rtlCol="0" anchor="t"/>
          <a:lstStyle/>
          <a:p>
            <a:r>
              <a:rPr lang="en-US" altLang="ko-KR" sz="1200" b="1"/>
              <a:t>T</a:t>
            </a:r>
            <a:endParaRPr lang="ko-KR" altLang="en-US" sz="1200" b="1"/>
          </a:p>
        </xdr:txBody>
      </xdr:sp>
      <xdr:sp macro="" textlink="">
        <xdr:nvSpPr>
          <xdr:cNvPr id="49" name="타원 48"/>
          <xdr:cNvSpPr/>
        </xdr:nvSpPr>
        <xdr:spPr>
          <a:xfrm>
            <a:off x="13912332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0" name="타원 49"/>
          <xdr:cNvSpPr/>
        </xdr:nvSpPr>
        <xdr:spPr>
          <a:xfrm>
            <a:off x="14036042" y="291936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1" name="타원 50"/>
          <xdr:cNvSpPr/>
        </xdr:nvSpPr>
        <xdr:spPr>
          <a:xfrm>
            <a:off x="14159751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2" name="타원 51"/>
          <xdr:cNvSpPr/>
        </xdr:nvSpPr>
        <xdr:spPr>
          <a:xfrm>
            <a:off x="14273944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3" name="타원 52"/>
          <xdr:cNvSpPr/>
        </xdr:nvSpPr>
        <xdr:spPr>
          <a:xfrm>
            <a:off x="13798139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4" name="타원 53"/>
          <xdr:cNvSpPr/>
        </xdr:nvSpPr>
        <xdr:spPr>
          <a:xfrm>
            <a:off x="1477829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5" name="타원 54"/>
          <xdr:cNvSpPr/>
        </xdr:nvSpPr>
        <xdr:spPr>
          <a:xfrm>
            <a:off x="14902008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6" name="타원 55"/>
          <xdr:cNvSpPr/>
        </xdr:nvSpPr>
        <xdr:spPr>
          <a:xfrm>
            <a:off x="15025717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7" name="타원 56"/>
          <xdr:cNvSpPr/>
        </xdr:nvSpPr>
        <xdr:spPr>
          <a:xfrm>
            <a:off x="15139911" y="293858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sp macro="" textlink="">
        <xdr:nvSpPr>
          <xdr:cNvPr id="58" name="타원 57"/>
          <xdr:cNvSpPr/>
        </xdr:nvSpPr>
        <xdr:spPr>
          <a:xfrm>
            <a:off x="14664105" y="2928975"/>
            <a:ext cx="104677" cy="115318"/>
          </a:xfrm>
          <a:prstGeom prst="ellipse">
            <a:avLst/>
          </a:prstGeom>
          <a:solidFill>
            <a:schemeClr val="accent6">
              <a:lumMod val="20000"/>
              <a:lumOff val="80000"/>
            </a:schemeClr>
          </a:solidFill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rtlCol="0" anchor="ctr"/>
          <a:lstStyle/>
          <a:p>
            <a:pPr algn="ctr"/>
            <a:endParaRPr lang="ko-KR" altLang="en-US" sz="1100"/>
          </a:p>
        </xdr:txBody>
      </xdr:sp>
      <xdr:cxnSp macro="">
        <xdr:nvCxnSpPr>
          <xdr:cNvPr id="59" name="직선 연결선 58"/>
          <xdr:cNvCxnSpPr/>
        </xdr:nvCxnSpPr>
        <xdr:spPr>
          <a:xfrm rot="5400000">
            <a:off x="14160853" y="2972266"/>
            <a:ext cx="749570" cy="9516"/>
          </a:xfrm>
          <a:prstGeom prst="line">
            <a:avLst/>
          </a:prstGeom>
          <a:ln>
            <a:prstDash val="lgDashDot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</xdr:grp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92"/>
  <sheetViews>
    <sheetView zoomScale="80" zoomScaleNormal="80" workbookViewId="0">
      <selection activeCell="H42" sqref="H42"/>
    </sheetView>
  </sheetViews>
  <sheetFormatPr defaultRowHeight="13.5" x14ac:dyDescent="0.3"/>
  <cols>
    <col min="1" max="1" width="9" style="23"/>
    <col min="2" max="2" width="39.875" style="23" customWidth="1"/>
    <col min="3" max="3" width="16.375" style="23" bestFit="1" customWidth="1"/>
    <col min="4" max="4" width="2.75" style="23" customWidth="1"/>
    <col min="5" max="7" width="10.625" style="23" customWidth="1"/>
    <col min="8" max="8" width="7.125" style="23" customWidth="1"/>
    <col min="9" max="9" width="9.25" style="23" bestFit="1" customWidth="1"/>
    <col min="10" max="10" width="63.625" style="23" customWidth="1"/>
    <col min="11" max="11" width="6.125" style="23" customWidth="1"/>
    <col min="12" max="12" width="17.75" style="23" bestFit="1" customWidth="1"/>
    <col min="13" max="13" width="14.5" style="23" bestFit="1" customWidth="1"/>
    <col min="14" max="14" width="14.375" style="23" bestFit="1" customWidth="1"/>
    <col min="15" max="15" width="26.875" style="23" customWidth="1"/>
    <col min="16" max="16" width="23.25" style="23" bestFit="1" customWidth="1"/>
    <col min="17" max="18" width="9" style="23"/>
    <col min="19" max="19" width="5.25" style="23" customWidth="1"/>
    <col min="20" max="20" width="19.75" style="23" bestFit="1" customWidth="1"/>
    <col min="21" max="21" width="9" style="23"/>
    <col min="22" max="22" width="12.125" style="23" bestFit="1" customWidth="1"/>
    <col min="23" max="23" width="4.75" style="23" customWidth="1"/>
    <col min="24" max="24" width="33.75" style="23" customWidth="1"/>
    <col min="25" max="16384" width="9" style="23"/>
  </cols>
  <sheetData>
    <row r="1" spans="2:26" ht="17.25" x14ac:dyDescent="0.3">
      <c r="B1" s="22" t="s">
        <v>42</v>
      </c>
      <c r="E1" s="164" t="s">
        <v>520</v>
      </c>
      <c r="F1" s="164"/>
      <c r="G1" s="164"/>
    </row>
    <row r="2" spans="2:26" ht="17.25" thickBot="1" x14ac:dyDescent="0.35">
      <c r="B2" s="24" t="s">
        <v>43</v>
      </c>
      <c r="C2" s="25" t="s">
        <v>44</v>
      </c>
      <c r="D2" s="25"/>
      <c r="E2" s="164"/>
      <c r="F2" s="164"/>
      <c r="G2" s="164"/>
      <c r="H2" s="25"/>
      <c r="I2" s="25" t="s">
        <v>45</v>
      </c>
      <c r="J2" s="25" t="s">
        <v>46</v>
      </c>
    </row>
    <row r="3" spans="2:26" ht="16.5" x14ac:dyDescent="0.3">
      <c r="B3" s="26" t="s">
        <v>47</v>
      </c>
      <c r="C3" s="27">
        <v>150</v>
      </c>
      <c r="D3" s="27"/>
      <c r="E3" s="110">
        <v>150</v>
      </c>
      <c r="F3" s="128">
        <v>150</v>
      </c>
      <c r="G3" s="119">
        <v>150</v>
      </c>
      <c r="H3" s="26" t="s">
        <v>48</v>
      </c>
      <c r="I3" s="28">
        <v>1</v>
      </c>
      <c r="J3" s="29" t="s">
        <v>49</v>
      </c>
      <c r="L3" s="162" t="s">
        <v>50</v>
      </c>
      <c r="M3" s="162"/>
      <c r="N3" s="162"/>
      <c r="O3" s="30" t="s">
        <v>51</v>
      </c>
      <c r="P3" s="161" t="s">
        <v>52</v>
      </c>
      <c r="Q3" s="161"/>
      <c r="R3" s="161"/>
      <c r="S3" s="30" t="s">
        <v>51</v>
      </c>
      <c r="T3" s="161" t="s">
        <v>53</v>
      </c>
      <c r="U3" s="161"/>
      <c r="V3" s="161"/>
      <c r="W3" s="30"/>
      <c r="X3" s="162" t="s">
        <v>54</v>
      </c>
      <c r="Y3" s="162"/>
      <c r="Z3" s="162"/>
    </row>
    <row r="4" spans="2:26" ht="16.5" x14ac:dyDescent="0.3">
      <c r="B4" s="26" t="s">
        <v>55</v>
      </c>
      <c r="C4" s="27">
        <v>440</v>
      </c>
      <c r="D4" s="27"/>
      <c r="E4" s="110">
        <v>440</v>
      </c>
      <c r="F4" s="129">
        <v>440</v>
      </c>
      <c r="G4" s="119">
        <v>440</v>
      </c>
      <c r="H4" s="26" t="s">
        <v>56</v>
      </c>
      <c r="I4" s="28">
        <v>2</v>
      </c>
      <c r="J4" s="29" t="s">
        <v>57</v>
      </c>
      <c r="L4" s="31" t="s">
        <v>58</v>
      </c>
      <c r="M4" s="32">
        <v>8</v>
      </c>
      <c r="N4" s="31" t="s">
        <v>59</v>
      </c>
      <c r="O4" s="30"/>
      <c r="P4" s="33" t="s">
        <v>60</v>
      </c>
      <c r="Q4" s="34">
        <v>580</v>
      </c>
      <c r="R4" s="33" t="s">
        <v>56</v>
      </c>
      <c r="S4" s="30"/>
      <c r="T4" s="33" t="s">
        <v>61</v>
      </c>
      <c r="U4" s="35" t="s">
        <v>62</v>
      </c>
      <c r="V4" s="35"/>
      <c r="W4" s="30"/>
      <c r="X4" s="36" t="s">
        <v>63</v>
      </c>
      <c r="Y4" s="34">
        <v>200</v>
      </c>
      <c r="Z4" s="36" t="s">
        <v>64</v>
      </c>
    </row>
    <row r="5" spans="2:26" ht="16.5" x14ac:dyDescent="0.3">
      <c r="B5" s="26" t="s">
        <v>65</v>
      </c>
      <c r="C5" s="37">
        <v>0.9</v>
      </c>
      <c r="D5" s="37"/>
      <c r="E5" s="111">
        <v>0.9</v>
      </c>
      <c r="F5" s="130">
        <v>0.9</v>
      </c>
      <c r="G5" s="120">
        <v>0.9</v>
      </c>
      <c r="H5" s="26"/>
      <c r="I5" s="28"/>
      <c r="J5" s="26" t="s">
        <v>66</v>
      </c>
      <c r="L5" s="31" t="s">
        <v>67</v>
      </c>
      <c r="M5" s="32">
        <v>34</v>
      </c>
      <c r="N5" s="31" t="s">
        <v>68</v>
      </c>
      <c r="O5" s="30"/>
      <c r="P5" s="33" t="s">
        <v>69</v>
      </c>
      <c r="Q5" s="34">
        <v>0.35</v>
      </c>
      <c r="R5" s="33" t="s">
        <v>70</v>
      </c>
      <c r="S5" s="30"/>
      <c r="T5" s="38" t="s">
        <v>71</v>
      </c>
      <c r="U5" s="39">
        <v>1.75</v>
      </c>
      <c r="V5" s="38" t="s">
        <v>72</v>
      </c>
      <c r="W5" s="30"/>
      <c r="X5" s="36" t="s">
        <v>73</v>
      </c>
      <c r="Y5" s="34">
        <v>7200</v>
      </c>
      <c r="Z5" s="36" t="s">
        <v>74</v>
      </c>
    </row>
    <row r="6" spans="2:26" ht="16.5" x14ac:dyDescent="0.3">
      <c r="B6" s="26" t="s">
        <v>75</v>
      </c>
      <c r="C6" s="40">
        <f t="shared" ref="C6" si="0">ROUND(C3*1000/(C4*0.9)/(3^0.5)/C5,1)</f>
        <v>243</v>
      </c>
      <c r="D6" s="40"/>
      <c r="E6" s="112">
        <f t="shared" ref="E6:F6" si="1">ROUND(E3*1000/(E4*0.9)/(3^0.5)/E5,1)</f>
        <v>243</v>
      </c>
      <c r="F6" s="131">
        <f t="shared" si="1"/>
        <v>243</v>
      </c>
      <c r="G6" s="121">
        <f t="shared" ref="G6" si="2">ROUND(G3*1000/(G4*0.9)/(3^0.5)/G5,1)</f>
        <v>243</v>
      </c>
      <c r="H6" s="26" t="s">
        <v>76</v>
      </c>
      <c r="I6" s="28"/>
      <c r="J6" s="26" t="s">
        <v>77</v>
      </c>
      <c r="L6" s="31" t="s">
        <v>78</v>
      </c>
      <c r="M6" s="32">
        <v>154</v>
      </c>
      <c r="N6" s="31" t="s">
        <v>79</v>
      </c>
      <c r="O6" s="30"/>
      <c r="P6" s="33" t="s">
        <v>80</v>
      </c>
      <c r="Q6" s="34">
        <v>48</v>
      </c>
      <c r="R6" s="33" t="s">
        <v>81</v>
      </c>
      <c r="S6" s="30"/>
      <c r="T6" s="38" t="s">
        <v>82</v>
      </c>
      <c r="U6" s="41">
        <v>3.8999999999999998E-3</v>
      </c>
      <c r="V6" s="38" t="s">
        <v>83</v>
      </c>
      <c r="W6" s="30"/>
      <c r="X6" s="36" t="s">
        <v>84</v>
      </c>
      <c r="Y6" s="34">
        <v>12800</v>
      </c>
      <c r="Z6" s="36" t="s">
        <v>85</v>
      </c>
    </row>
    <row r="7" spans="2:26" ht="16.5" x14ac:dyDescent="0.3">
      <c r="B7" s="26" t="s">
        <v>86</v>
      </c>
      <c r="C7" s="42">
        <v>2</v>
      </c>
      <c r="D7" s="42"/>
      <c r="E7" s="113">
        <v>2</v>
      </c>
      <c r="F7" s="132">
        <v>2</v>
      </c>
      <c r="G7" s="122">
        <v>2</v>
      </c>
      <c r="H7" s="26" t="s">
        <v>87</v>
      </c>
      <c r="I7" s="28"/>
      <c r="J7" s="26"/>
      <c r="L7" s="31" t="s">
        <v>88</v>
      </c>
      <c r="M7" s="43">
        <f>((M5/25.4)^2*(M4^2))/(8*M5/25.4+11*M6/25.4)</f>
        <v>1.4815645501077372</v>
      </c>
      <c r="N7" s="31" t="s">
        <v>89</v>
      </c>
      <c r="O7" s="30"/>
      <c r="P7" s="33" t="s">
        <v>90</v>
      </c>
      <c r="Q7" s="34">
        <v>17000</v>
      </c>
      <c r="R7" s="33" t="s">
        <v>91</v>
      </c>
      <c r="S7" s="30"/>
      <c r="T7" s="38" t="s">
        <v>92</v>
      </c>
      <c r="U7" s="44">
        <v>45</v>
      </c>
      <c r="V7" s="38" t="s">
        <v>93</v>
      </c>
      <c r="W7" s="30"/>
      <c r="X7" s="36" t="s">
        <v>94</v>
      </c>
      <c r="Y7" s="34">
        <v>645</v>
      </c>
      <c r="Z7" s="36" t="s">
        <v>95</v>
      </c>
    </row>
    <row r="8" spans="2:26" ht="16.5" x14ac:dyDescent="0.3">
      <c r="B8" s="26" t="s">
        <v>96</v>
      </c>
      <c r="C8" s="42">
        <f t="shared" ref="C8" si="3">ROUND(C6/C7,0)</f>
        <v>122</v>
      </c>
      <c r="D8" s="42"/>
      <c r="E8" s="113">
        <f t="shared" ref="E8:F8" si="4">ROUND(E6/E7,0)</f>
        <v>122</v>
      </c>
      <c r="F8" s="132">
        <f t="shared" si="4"/>
        <v>122</v>
      </c>
      <c r="G8" s="122">
        <f t="shared" ref="G8" si="5">ROUND(G6/G7,0)</f>
        <v>122</v>
      </c>
      <c r="H8" s="26" t="s">
        <v>97</v>
      </c>
      <c r="I8" s="28"/>
      <c r="J8" s="26"/>
      <c r="L8" s="33" t="s">
        <v>98</v>
      </c>
      <c r="M8" s="34">
        <v>100</v>
      </c>
      <c r="N8" s="33" t="s">
        <v>99</v>
      </c>
      <c r="O8" s="30"/>
      <c r="P8" s="33" t="s">
        <v>100</v>
      </c>
      <c r="Q8" s="45">
        <f>(5000*Q4)/(Q5*Q6*Q7)</f>
        <v>10.154061624649861</v>
      </c>
      <c r="R8" s="33" t="s">
        <v>101</v>
      </c>
      <c r="S8" s="30"/>
      <c r="T8" s="38" t="s">
        <v>102</v>
      </c>
      <c r="U8" s="41">
        <f>U5*(1+U6*(U7-20))</f>
        <v>1.9206249999999998</v>
      </c>
      <c r="V8" s="38" t="s">
        <v>103</v>
      </c>
      <c r="W8" s="30"/>
      <c r="X8" s="36" t="s">
        <v>104</v>
      </c>
      <c r="Y8" s="45">
        <f>SQRT(Y7^2+Y4*Y5^2/Y6)</f>
        <v>1107.2601320376345</v>
      </c>
      <c r="Z8" s="36" t="s">
        <v>105</v>
      </c>
    </row>
    <row r="9" spans="2:26" ht="16.5" x14ac:dyDescent="0.3">
      <c r="B9" s="26"/>
      <c r="C9" s="46"/>
      <c r="D9" s="46"/>
      <c r="E9" s="114"/>
      <c r="F9" s="133"/>
      <c r="G9" s="123"/>
      <c r="H9" s="26"/>
      <c r="I9" s="28"/>
      <c r="J9" s="26"/>
      <c r="L9" s="33" t="s">
        <v>106</v>
      </c>
      <c r="M9" s="47">
        <f>M7*M8/100</f>
        <v>1.4815645501077372</v>
      </c>
      <c r="N9" s="33" t="s">
        <v>89</v>
      </c>
      <c r="O9" s="30"/>
      <c r="P9" s="30"/>
      <c r="Q9" s="30"/>
      <c r="R9" s="30"/>
      <c r="S9" s="30"/>
      <c r="T9" s="38" t="s">
        <v>107</v>
      </c>
      <c r="U9" s="48">
        <f>1/(U8/100000000)</f>
        <v>52066384.64041654</v>
      </c>
      <c r="V9" s="38" t="s">
        <v>108</v>
      </c>
      <c r="W9" s="30"/>
      <c r="X9" s="30"/>
      <c r="Y9" s="30"/>
      <c r="Z9" s="30"/>
    </row>
    <row r="10" spans="2:26" ht="16.5" x14ac:dyDescent="0.3">
      <c r="B10" s="26" t="s">
        <v>109</v>
      </c>
      <c r="C10" s="40">
        <f t="shared" ref="C10" si="6">ROUND(C4*2^0.5*0.93,1)</f>
        <v>578.70000000000005</v>
      </c>
      <c r="D10" s="40"/>
      <c r="E10" s="112">
        <f t="shared" ref="E10:F10" si="7">ROUND(E4*2^0.5*0.93,1)</f>
        <v>578.70000000000005</v>
      </c>
      <c r="F10" s="131">
        <f t="shared" si="7"/>
        <v>578.70000000000005</v>
      </c>
      <c r="G10" s="121">
        <f t="shared" ref="G10" si="8">ROUND(G4*2^0.5*0.93,1)</f>
        <v>578.70000000000005</v>
      </c>
      <c r="H10" s="26" t="s">
        <v>105</v>
      </c>
      <c r="I10" s="28"/>
      <c r="J10" s="26" t="s">
        <v>110</v>
      </c>
      <c r="L10" s="36" t="s">
        <v>111</v>
      </c>
      <c r="M10" s="34">
        <v>1.25</v>
      </c>
      <c r="N10" s="33" t="s">
        <v>112</v>
      </c>
      <c r="O10" s="30" t="s">
        <v>113</v>
      </c>
      <c r="P10" s="161" t="s">
        <v>114</v>
      </c>
      <c r="Q10" s="161"/>
      <c r="R10" s="161"/>
      <c r="S10" s="30"/>
      <c r="T10" s="38" t="s">
        <v>115</v>
      </c>
      <c r="U10" s="35">
        <v>1</v>
      </c>
      <c r="V10" s="38" t="s">
        <v>116</v>
      </c>
      <c r="W10" s="30"/>
      <c r="X10" s="162" t="s">
        <v>117</v>
      </c>
      <c r="Y10" s="162"/>
      <c r="Z10" s="162"/>
    </row>
    <row r="11" spans="2:26" ht="16.5" x14ac:dyDescent="0.3">
      <c r="B11" s="26" t="s">
        <v>118</v>
      </c>
      <c r="C11" s="40">
        <f t="shared" ref="C11" si="9">ROUND(C3*1000/C10,1)</f>
        <v>259.2</v>
      </c>
      <c r="D11" s="40"/>
      <c r="E11" s="112">
        <f t="shared" ref="E11:F11" si="10">ROUND(E3*1000/E10,1)</f>
        <v>259.2</v>
      </c>
      <c r="F11" s="131">
        <f t="shared" si="10"/>
        <v>259.2</v>
      </c>
      <c r="G11" s="121">
        <f t="shared" ref="G11" si="11">ROUND(G3*1000/G10,1)</f>
        <v>259.2</v>
      </c>
      <c r="H11" s="26" t="s">
        <v>119</v>
      </c>
      <c r="I11" s="28"/>
      <c r="J11" s="26" t="s">
        <v>120</v>
      </c>
      <c r="L11" s="36" t="s">
        <v>121</v>
      </c>
      <c r="M11" s="34">
        <v>1</v>
      </c>
      <c r="N11" s="33" t="s">
        <v>122</v>
      </c>
      <c r="O11" s="30"/>
      <c r="P11" s="33" t="s">
        <v>123</v>
      </c>
      <c r="Q11" s="34">
        <v>2500</v>
      </c>
      <c r="R11" s="33" t="s">
        <v>124</v>
      </c>
      <c r="S11" s="30"/>
      <c r="T11" s="38" t="s">
        <v>125</v>
      </c>
      <c r="U11" s="49">
        <v>1000</v>
      </c>
      <c r="V11" s="38" t="s">
        <v>126</v>
      </c>
      <c r="W11" s="30"/>
      <c r="X11" s="33" t="s">
        <v>127</v>
      </c>
      <c r="Y11" s="34">
        <v>9284</v>
      </c>
      <c r="Z11" s="33" t="s">
        <v>128</v>
      </c>
    </row>
    <row r="12" spans="2:26" ht="16.5" x14ac:dyDescent="0.3">
      <c r="B12" s="26"/>
      <c r="C12" s="46"/>
      <c r="D12" s="46"/>
      <c r="E12" s="114"/>
      <c r="F12" s="133"/>
      <c r="G12" s="123"/>
      <c r="H12" s="26"/>
      <c r="I12" s="28"/>
      <c r="J12" s="26"/>
      <c r="L12" s="36" t="s">
        <v>129</v>
      </c>
      <c r="M12" s="34">
        <v>1</v>
      </c>
      <c r="N12" s="33" t="s">
        <v>130</v>
      </c>
      <c r="O12" s="30"/>
      <c r="P12" s="33" t="s">
        <v>131</v>
      </c>
      <c r="Q12" s="34">
        <v>40</v>
      </c>
      <c r="R12" s="33" t="s">
        <v>89</v>
      </c>
      <c r="S12" s="30"/>
      <c r="T12" s="38" t="s">
        <v>132</v>
      </c>
      <c r="U12" s="50">
        <f>503.3*SQRT((U8/100000000)/(U10*U11))*1000</f>
        <v>2.205709020034714</v>
      </c>
      <c r="V12" s="38" t="s">
        <v>133</v>
      </c>
      <c r="W12" s="30"/>
      <c r="X12" s="33" t="s">
        <v>134</v>
      </c>
      <c r="Y12" s="34">
        <v>675</v>
      </c>
      <c r="Z12" s="33" t="s">
        <v>105</v>
      </c>
    </row>
    <row r="13" spans="2:26" ht="16.5" x14ac:dyDescent="0.3">
      <c r="B13" s="24" t="s">
        <v>135</v>
      </c>
      <c r="C13" s="46"/>
      <c r="D13" s="46"/>
      <c r="E13" s="114"/>
      <c r="F13" s="133"/>
      <c r="G13" s="123"/>
      <c r="H13" s="26"/>
      <c r="I13" s="28"/>
      <c r="J13" s="26"/>
      <c r="L13" s="36" t="s">
        <v>136</v>
      </c>
      <c r="M13" s="51">
        <v>1</v>
      </c>
      <c r="N13" s="33" t="s">
        <v>137</v>
      </c>
      <c r="O13" s="30"/>
      <c r="P13" s="33" t="s">
        <v>138</v>
      </c>
      <c r="Q13" s="45">
        <f>1/(2*3.14*SQRT((Q11/1000000)*(Q12/1000000)))</f>
        <v>503.54739811598398</v>
      </c>
      <c r="R13" s="33" t="s">
        <v>139</v>
      </c>
      <c r="S13" s="30"/>
      <c r="T13" s="38" t="s">
        <v>140</v>
      </c>
      <c r="U13" s="52">
        <v>6126</v>
      </c>
      <c r="V13" s="38" t="s">
        <v>141</v>
      </c>
      <c r="W13" s="30"/>
      <c r="X13" s="33" t="s">
        <v>142</v>
      </c>
      <c r="Y13" s="34">
        <v>4300</v>
      </c>
      <c r="Z13" s="33" t="s">
        <v>143</v>
      </c>
    </row>
    <row r="14" spans="2:26" ht="16.5" x14ac:dyDescent="0.3">
      <c r="B14" s="26" t="s">
        <v>144</v>
      </c>
      <c r="C14" s="60">
        <v>7.8192000000000004</v>
      </c>
      <c r="D14" s="60"/>
      <c r="E14" s="115">
        <v>9.06</v>
      </c>
      <c r="F14" s="134">
        <v>9.06</v>
      </c>
      <c r="G14" s="124">
        <v>9.06</v>
      </c>
      <c r="H14" s="26" t="s">
        <v>89</v>
      </c>
      <c r="I14" s="28">
        <v>3</v>
      </c>
      <c r="J14" s="29" t="s">
        <v>145</v>
      </c>
      <c r="L14" s="36" t="s">
        <v>146</v>
      </c>
      <c r="M14" s="53">
        <f>M9/M12*M13*M11^2+M10</f>
        <v>2.7315645501077372</v>
      </c>
      <c r="N14" s="33" t="s">
        <v>112</v>
      </c>
      <c r="O14" s="30"/>
      <c r="P14" s="30"/>
      <c r="Q14" s="30"/>
      <c r="R14" s="30"/>
      <c r="S14" s="30"/>
      <c r="T14" s="38" t="s">
        <v>147</v>
      </c>
      <c r="U14" s="52">
        <v>5</v>
      </c>
      <c r="V14" s="38" t="s">
        <v>133</v>
      </c>
      <c r="W14" s="30"/>
      <c r="X14" s="33" t="s">
        <v>148</v>
      </c>
      <c r="Y14" s="34">
        <v>800</v>
      </c>
      <c r="Z14" s="33" t="s">
        <v>149</v>
      </c>
    </row>
    <row r="15" spans="2:26" ht="16.5" x14ac:dyDescent="0.3">
      <c r="B15" s="26" t="s">
        <v>150</v>
      </c>
      <c r="C15" s="27">
        <v>8.6999999999999993</v>
      </c>
      <c r="D15" s="27"/>
      <c r="E15" s="110">
        <v>10.5</v>
      </c>
      <c r="F15" s="129">
        <v>10.5</v>
      </c>
      <c r="G15" s="119">
        <v>10.5</v>
      </c>
      <c r="H15" s="26" t="s">
        <v>128</v>
      </c>
      <c r="I15" s="28">
        <v>4</v>
      </c>
      <c r="J15" s="29" t="s">
        <v>151</v>
      </c>
      <c r="K15" s="54"/>
      <c r="L15" s="30"/>
      <c r="M15" s="30"/>
      <c r="N15" s="30"/>
      <c r="O15" s="30"/>
      <c r="P15" s="161" t="s">
        <v>152</v>
      </c>
      <c r="Q15" s="161"/>
      <c r="R15" s="161"/>
      <c r="S15" s="30"/>
      <c r="T15" s="38" t="s">
        <v>153</v>
      </c>
      <c r="U15" s="55">
        <f>MIN(U12,U14)</f>
        <v>2.205709020034714</v>
      </c>
      <c r="V15" s="38" t="s">
        <v>154</v>
      </c>
      <c r="W15" s="30"/>
      <c r="X15" s="33" t="s">
        <v>155</v>
      </c>
      <c r="Y15" s="47">
        <f>(1.414*Y13*0.421)/(2*3.14159*Y14*Y12*2*Y11*0.000001)*2*100</f>
        <v>8.1262759844751162</v>
      </c>
      <c r="Z15" s="33" t="s">
        <v>156</v>
      </c>
    </row>
    <row r="16" spans="2:26" ht="16.5" x14ac:dyDescent="0.3">
      <c r="B16" s="26" t="s">
        <v>157</v>
      </c>
      <c r="C16" s="40">
        <f t="shared" ref="C16" si="12">1000/(2*PI()*(C14*C15)^0.5)</f>
        <v>19.296535576226624</v>
      </c>
      <c r="D16" s="40"/>
      <c r="E16" s="112">
        <f t="shared" ref="E16:F16" si="13">1000/(2*PI()*(E14*E15)^0.5)</f>
        <v>16.317791636086639</v>
      </c>
      <c r="F16" s="131">
        <f t="shared" si="13"/>
        <v>16.317791636086639</v>
      </c>
      <c r="G16" s="121">
        <f t="shared" ref="G16" si="14">1000/(2*PI()*(G14*G15)^0.5)</f>
        <v>16.317791636086639</v>
      </c>
      <c r="H16" s="26" t="s">
        <v>158</v>
      </c>
      <c r="I16" s="28"/>
      <c r="J16" s="26" t="s">
        <v>159</v>
      </c>
      <c r="L16" s="162" t="s">
        <v>160</v>
      </c>
      <c r="M16" s="162"/>
      <c r="N16" s="162"/>
      <c r="O16" s="30" t="s">
        <v>161</v>
      </c>
      <c r="P16" s="33" t="s">
        <v>162</v>
      </c>
      <c r="Q16" s="34">
        <v>855</v>
      </c>
      <c r="R16" s="33" t="s">
        <v>163</v>
      </c>
      <c r="S16" s="30"/>
      <c r="T16" s="38" t="s">
        <v>164</v>
      </c>
      <c r="U16" s="52">
        <v>200</v>
      </c>
      <c r="V16" s="38" t="s">
        <v>154</v>
      </c>
      <c r="W16" s="30"/>
      <c r="X16" s="33" t="s">
        <v>165</v>
      </c>
      <c r="Y16" s="45">
        <f>Y12*Y15/100</f>
        <v>54.852362895207037</v>
      </c>
      <c r="Z16" s="33" t="s">
        <v>105</v>
      </c>
    </row>
    <row r="17" spans="2:26" ht="16.5" x14ac:dyDescent="0.3">
      <c r="B17" s="26" t="s">
        <v>166</v>
      </c>
      <c r="C17" s="27">
        <v>30</v>
      </c>
      <c r="D17" s="27"/>
      <c r="E17" s="110">
        <v>25</v>
      </c>
      <c r="F17" s="129">
        <v>30</v>
      </c>
      <c r="G17" s="119">
        <v>30</v>
      </c>
      <c r="H17" s="26" t="s">
        <v>167</v>
      </c>
      <c r="I17" s="28">
        <v>5</v>
      </c>
      <c r="J17" s="29" t="s">
        <v>168</v>
      </c>
      <c r="L17" s="56" t="s">
        <v>169</v>
      </c>
      <c r="M17" s="57">
        <v>21</v>
      </c>
      <c r="N17" s="56" t="s">
        <v>128</v>
      </c>
      <c r="O17" s="30"/>
      <c r="P17" s="33" t="s">
        <v>170</v>
      </c>
      <c r="Q17" s="34">
        <v>0.5</v>
      </c>
      <c r="R17" s="33" t="s">
        <v>158</v>
      </c>
      <c r="S17" s="30"/>
      <c r="T17" s="38" t="s">
        <v>171</v>
      </c>
      <c r="U17" s="50">
        <f>U15*U16</f>
        <v>441.14180400694283</v>
      </c>
      <c r="V17" s="38" t="s">
        <v>172</v>
      </c>
      <c r="W17" s="30"/>
      <c r="X17" s="33" t="s">
        <v>173</v>
      </c>
      <c r="Y17" s="45">
        <f>2*3.14159*Y14*Y11*0.000001*Y16</f>
        <v>2559.7641999999996</v>
      </c>
      <c r="Z17" s="33" t="s">
        <v>143</v>
      </c>
    </row>
    <row r="18" spans="2:26" ht="16.5" x14ac:dyDescent="0.3">
      <c r="B18" s="26" t="s">
        <v>174</v>
      </c>
      <c r="C18" s="42">
        <f t="shared" ref="C18" si="15">ROUNDUP(TAN(PI()*C17/180),3)</f>
        <v>0.57799999999999996</v>
      </c>
      <c r="D18" s="42"/>
      <c r="E18" s="113">
        <f t="shared" ref="E18:F18" si="16">ROUNDUP(TAN(PI()*E17/180),3)</f>
        <v>0.46700000000000003</v>
      </c>
      <c r="F18" s="132">
        <f t="shared" si="16"/>
        <v>0.57799999999999996</v>
      </c>
      <c r="G18" s="122">
        <f t="shared" ref="G18" si="17">ROUNDUP(TAN(PI()*G17/180),3)</f>
        <v>0.57799999999999996</v>
      </c>
      <c r="H18" s="26"/>
      <c r="I18" s="28"/>
      <c r="J18" s="26"/>
      <c r="L18" s="56" t="s">
        <v>175</v>
      </c>
      <c r="M18" s="57">
        <v>1</v>
      </c>
      <c r="N18" s="56" t="s">
        <v>176</v>
      </c>
      <c r="O18" s="30"/>
      <c r="P18" s="33" t="s">
        <v>177</v>
      </c>
      <c r="Q18" s="34">
        <v>7200</v>
      </c>
      <c r="R18" s="33" t="s">
        <v>178</v>
      </c>
      <c r="S18" s="30"/>
      <c r="T18" s="38" t="s">
        <v>179</v>
      </c>
      <c r="U18" s="52">
        <v>1000</v>
      </c>
      <c r="V18" s="58" t="s">
        <v>180</v>
      </c>
      <c r="W18" s="30"/>
      <c r="X18" s="30"/>
    </row>
    <row r="19" spans="2:26" ht="16.5" x14ac:dyDescent="0.3">
      <c r="B19" s="26"/>
      <c r="C19" s="46"/>
      <c r="D19" s="46"/>
      <c r="E19" s="114"/>
      <c r="F19" s="139"/>
      <c r="G19" s="123"/>
      <c r="H19" s="26"/>
      <c r="I19" s="28"/>
      <c r="J19" s="26"/>
      <c r="L19" s="56" t="s">
        <v>181</v>
      </c>
      <c r="M19" s="57">
        <v>500</v>
      </c>
      <c r="N19" s="56" t="s">
        <v>105</v>
      </c>
      <c r="O19" s="30"/>
      <c r="P19" s="33" t="s">
        <v>182</v>
      </c>
      <c r="Q19" s="45">
        <f>(Q18)/(2*3.14*Q17*1000*(Q16/1000000))</f>
        <v>2681.8638954073081</v>
      </c>
      <c r="R19" s="33" t="s">
        <v>95</v>
      </c>
      <c r="S19" s="30"/>
      <c r="T19" s="38" t="s">
        <v>183</v>
      </c>
      <c r="U19" s="59">
        <f>U18/U17</f>
        <v>2.2668447898541522</v>
      </c>
      <c r="V19" s="58" t="s">
        <v>180</v>
      </c>
      <c r="W19" s="30"/>
      <c r="X19" s="162" t="s">
        <v>184</v>
      </c>
      <c r="Y19" s="162"/>
      <c r="Z19" s="162"/>
    </row>
    <row r="20" spans="2:26" ht="16.5" x14ac:dyDescent="0.3">
      <c r="B20" s="26" t="s">
        <v>185</v>
      </c>
      <c r="C20" s="60">
        <v>7.69</v>
      </c>
      <c r="D20" s="60"/>
      <c r="E20" s="115">
        <v>4</v>
      </c>
      <c r="F20" s="134">
        <v>8.18</v>
      </c>
      <c r="G20" s="124">
        <v>11</v>
      </c>
      <c r="H20" s="26"/>
      <c r="I20" s="28">
        <v>6</v>
      </c>
      <c r="J20" s="29" t="s">
        <v>186</v>
      </c>
      <c r="L20" s="56" t="s">
        <v>187</v>
      </c>
      <c r="M20" s="57">
        <v>1000</v>
      </c>
      <c r="N20" s="56" t="s">
        <v>143</v>
      </c>
      <c r="O20" s="30"/>
      <c r="P20" s="30"/>
      <c r="Q20" s="30"/>
      <c r="R20" s="30"/>
      <c r="S20" s="30"/>
      <c r="T20" s="38" t="s">
        <v>188</v>
      </c>
      <c r="U20" s="59">
        <f>U8/100000000*(U18^2)/(U17/1000000)*U13/1000</f>
        <v>266.71126252670501</v>
      </c>
      <c r="V20" s="58" t="s">
        <v>189</v>
      </c>
      <c r="W20" s="30"/>
      <c r="X20" s="61" t="s">
        <v>190</v>
      </c>
      <c r="Y20" s="26">
        <v>0.9133</v>
      </c>
      <c r="Z20" s="26" t="s">
        <v>191</v>
      </c>
    </row>
    <row r="21" spans="2:26" ht="16.5" x14ac:dyDescent="0.3">
      <c r="B21" s="26" t="s">
        <v>192</v>
      </c>
      <c r="C21" s="62">
        <f t="shared" ref="C21" si="18">C16*((C18/C20)+(((C18/C20)^2+4)^0.5))/2</f>
        <v>20.035345918380635</v>
      </c>
      <c r="D21" s="62"/>
      <c r="E21" s="116">
        <f t="shared" ref="E21:F21" si="19">E16*((E18/E20)+(((E18/E20)^2+4)^0.5))/2</f>
        <v>17.298121662653266</v>
      </c>
      <c r="F21" s="135">
        <f t="shared" si="19"/>
        <v>16.904481284168135</v>
      </c>
      <c r="G21" s="125">
        <f t="shared" ref="G21" si="20">G16*((G18/G20)+(((G18/G20)^2+4)^0.5))/2</f>
        <v>16.752135282346206</v>
      </c>
      <c r="H21" s="26" t="s">
        <v>158</v>
      </c>
      <c r="I21" s="28"/>
      <c r="J21" s="63" t="s">
        <v>193</v>
      </c>
      <c r="L21" s="56" t="s">
        <v>194</v>
      </c>
      <c r="M21" s="57">
        <v>1</v>
      </c>
      <c r="N21" s="56" t="s">
        <v>195</v>
      </c>
      <c r="O21" s="30"/>
      <c r="P21" s="161" t="s">
        <v>196</v>
      </c>
      <c r="Q21" s="161"/>
      <c r="R21" s="161"/>
      <c r="S21" s="30"/>
      <c r="T21" s="30"/>
      <c r="U21" s="30"/>
      <c r="V21" s="30"/>
      <c r="W21" s="30"/>
      <c r="X21" s="56" t="s">
        <v>197</v>
      </c>
      <c r="Y21" s="64">
        <v>3</v>
      </c>
      <c r="Z21" s="26" t="s">
        <v>198</v>
      </c>
    </row>
    <row r="22" spans="2:26" ht="16.5" x14ac:dyDescent="0.3">
      <c r="B22" s="26" t="s">
        <v>199</v>
      </c>
      <c r="C22" s="42">
        <f t="shared" ref="C22" si="21">2*PI()*C16*C14</f>
        <v>948.02880794291002</v>
      </c>
      <c r="D22" s="42"/>
      <c r="E22" s="113">
        <f t="shared" ref="E22:F22" si="22">2*PI()*E16*E14</f>
        <v>928.90104040050642</v>
      </c>
      <c r="F22" s="132">
        <f t="shared" si="22"/>
        <v>928.90104040050642</v>
      </c>
      <c r="G22" s="122">
        <f t="shared" ref="G22" si="23">2*PI()*G16*G14</f>
        <v>928.90104040050642</v>
      </c>
      <c r="H22" s="26" t="s">
        <v>200</v>
      </c>
      <c r="I22" s="28"/>
      <c r="J22" s="26"/>
      <c r="L22" s="56" t="s">
        <v>201</v>
      </c>
      <c r="M22" s="57">
        <v>4</v>
      </c>
      <c r="N22" s="56" t="s">
        <v>202</v>
      </c>
      <c r="O22" s="30"/>
      <c r="P22" s="36" t="s">
        <v>203</v>
      </c>
      <c r="Q22" s="34">
        <v>600</v>
      </c>
      <c r="R22" s="33" t="s">
        <v>204</v>
      </c>
      <c r="S22" s="30" t="s">
        <v>205</v>
      </c>
      <c r="T22" s="161" t="s">
        <v>206</v>
      </c>
      <c r="U22" s="161"/>
      <c r="V22" s="161"/>
      <c r="W22" s="30"/>
      <c r="X22" s="56" t="s">
        <v>207</v>
      </c>
      <c r="Y22" s="65">
        <f>Y20*Y21</f>
        <v>2.7399</v>
      </c>
      <c r="Z22" s="26" t="s">
        <v>191</v>
      </c>
    </row>
    <row r="23" spans="2:26" ht="16.5" x14ac:dyDescent="0.3">
      <c r="B23" s="26" t="s">
        <v>208</v>
      </c>
      <c r="C23" s="42">
        <f t="shared" ref="C23" si="24">2*PI()*C21*C14</f>
        <v>984.32617775840538</v>
      </c>
      <c r="D23" s="42"/>
      <c r="E23" s="113">
        <f t="shared" ref="E23:F23" si="25">2*PI()*E21*E14</f>
        <v>984.70697308564661</v>
      </c>
      <c r="F23" s="132">
        <f t="shared" si="25"/>
        <v>962.29873517740839</v>
      </c>
      <c r="G23" s="122">
        <f t="shared" ref="G23" si="26">2*PI()*G21*G14</f>
        <v>953.62633864549719</v>
      </c>
      <c r="H23" s="26" t="s">
        <v>209</v>
      </c>
      <c r="I23" s="28"/>
      <c r="J23" s="26"/>
      <c r="L23" s="56" t="s">
        <v>210</v>
      </c>
      <c r="M23" s="57">
        <v>2</v>
      </c>
      <c r="N23" s="56" t="s">
        <v>130</v>
      </c>
      <c r="O23" s="30"/>
      <c r="P23" s="36" t="s">
        <v>211</v>
      </c>
      <c r="Q23" s="34">
        <v>2.2000000000000002</v>
      </c>
      <c r="R23" s="33" t="s">
        <v>212</v>
      </c>
      <c r="S23" s="30"/>
      <c r="T23" s="33" t="s">
        <v>213</v>
      </c>
      <c r="U23" s="35" t="s">
        <v>214</v>
      </c>
      <c r="V23" s="35"/>
      <c r="W23" s="30"/>
      <c r="X23" s="56"/>
      <c r="Y23" s="26"/>
      <c r="Z23" s="26"/>
    </row>
    <row r="24" spans="2:26" ht="16.5" x14ac:dyDescent="0.3">
      <c r="B24" s="26" t="s">
        <v>215</v>
      </c>
      <c r="C24" s="42">
        <f t="shared" ref="C24" si="27">1000000/(2*PI()*C21*C15)</f>
        <v>913.069916251123</v>
      </c>
      <c r="D24" s="42"/>
      <c r="E24" s="113">
        <f t="shared" ref="E24:F24" si="28">1000000/(2*PI()*E21*E15)</f>
        <v>876.25777661888708</v>
      </c>
      <c r="F24" s="132">
        <f t="shared" si="28"/>
        <v>896.66245139360751</v>
      </c>
      <c r="G24" s="122">
        <f t="shared" ref="G24" si="29">1000000/(2*PI()*G21*G15)</f>
        <v>904.81681124990723</v>
      </c>
      <c r="H24" s="26" t="s">
        <v>216</v>
      </c>
      <c r="I24" s="28"/>
      <c r="J24" s="26"/>
      <c r="L24" s="56" t="s">
        <v>217</v>
      </c>
      <c r="M24" s="66">
        <f>M17*(M21/M18)*M23/M22</f>
        <v>10.5</v>
      </c>
      <c r="N24" s="56" t="s">
        <v>128</v>
      </c>
      <c r="O24" s="30"/>
      <c r="P24" s="36" t="s">
        <v>218</v>
      </c>
      <c r="Q24" s="34">
        <v>22</v>
      </c>
      <c r="R24" s="33" t="s">
        <v>219</v>
      </c>
      <c r="S24" s="30"/>
      <c r="T24" s="38" t="s">
        <v>220</v>
      </c>
      <c r="U24" s="39">
        <v>1.75</v>
      </c>
      <c r="V24" s="38" t="s">
        <v>221</v>
      </c>
      <c r="W24" s="30"/>
      <c r="X24" s="61" t="s">
        <v>222</v>
      </c>
      <c r="Y24" s="26">
        <v>0.48</v>
      </c>
      <c r="Z24" s="26" t="s">
        <v>191</v>
      </c>
    </row>
    <row r="25" spans="2:26" ht="16.5" x14ac:dyDescent="0.3">
      <c r="B25" s="26" t="s">
        <v>223</v>
      </c>
      <c r="C25" s="42">
        <f t="shared" ref="C25" si="30">C22/C20</f>
        <v>123.2807292513537</v>
      </c>
      <c r="D25" s="42"/>
      <c r="E25" s="113">
        <f t="shared" ref="E25:F25" si="31">E22/E20</f>
        <v>232.2252601001266</v>
      </c>
      <c r="F25" s="132">
        <f t="shared" si="31"/>
        <v>113.5575844010399</v>
      </c>
      <c r="G25" s="122">
        <f t="shared" ref="G25" si="32">G22/G20</f>
        <v>84.44554912731877</v>
      </c>
      <c r="H25" s="26" t="s">
        <v>209</v>
      </c>
      <c r="I25" s="28"/>
      <c r="J25" s="26"/>
      <c r="L25" s="56" t="s">
        <v>224</v>
      </c>
      <c r="M25" s="67">
        <f>M19*M22</f>
        <v>2000</v>
      </c>
      <c r="N25" s="56" t="s">
        <v>225</v>
      </c>
      <c r="O25" s="30"/>
      <c r="P25" s="36" t="s">
        <v>226</v>
      </c>
      <c r="Q25" s="34">
        <v>2</v>
      </c>
      <c r="R25" s="33"/>
      <c r="S25" s="30"/>
      <c r="T25" s="38" t="s">
        <v>227</v>
      </c>
      <c r="U25" s="41">
        <v>3.8999999999999998E-3</v>
      </c>
      <c r="V25" s="38" t="s">
        <v>228</v>
      </c>
      <c r="W25" s="30"/>
      <c r="X25" s="56" t="s">
        <v>229</v>
      </c>
      <c r="Y25" s="64">
        <v>5</v>
      </c>
      <c r="Z25" s="26" t="s">
        <v>198</v>
      </c>
    </row>
    <row r="26" spans="2:26" ht="16.5" x14ac:dyDescent="0.3">
      <c r="B26" s="26" t="s">
        <v>230</v>
      </c>
      <c r="C26" s="42">
        <f t="shared" ref="C26" si="33">(C25^2+(C23-C24)^2)^0.5</f>
        <v>142.39239097908214</v>
      </c>
      <c r="D26" s="42"/>
      <c r="E26" s="113">
        <f t="shared" ref="E26:F26" si="34">(E25^2+(E23-E24)^2)^0.5</f>
        <v>256.30021389545749</v>
      </c>
      <c r="F26" s="132">
        <f t="shared" si="34"/>
        <v>131.16191033965214</v>
      </c>
      <c r="G26" s="122">
        <f t="shared" ref="G26" si="35">(G25^2+(G23-G24)^2)^0.5</f>
        <v>97.536766052577605</v>
      </c>
      <c r="H26" s="26" t="s">
        <v>216</v>
      </c>
      <c r="I26" s="28"/>
      <c r="J26" s="26"/>
      <c r="L26" s="56" t="s">
        <v>231</v>
      </c>
      <c r="M26" s="67">
        <f>M20*(M21/M18)*M23</f>
        <v>2000</v>
      </c>
      <c r="N26" s="56" t="s">
        <v>119</v>
      </c>
      <c r="O26" s="30"/>
      <c r="P26" s="36" t="s">
        <v>232</v>
      </c>
      <c r="Q26" s="47">
        <f>Q23*Q24*Q25*2</f>
        <v>193.60000000000002</v>
      </c>
      <c r="R26" s="33" t="s">
        <v>233</v>
      </c>
      <c r="S26" s="30"/>
      <c r="T26" s="38" t="s">
        <v>234</v>
      </c>
      <c r="U26" s="44">
        <v>45</v>
      </c>
      <c r="V26" s="38" t="s">
        <v>93</v>
      </c>
      <c r="W26" s="30"/>
      <c r="X26" s="56" t="s">
        <v>235</v>
      </c>
      <c r="Y26" s="65">
        <f>Y24*Y25</f>
        <v>2.4</v>
      </c>
      <c r="Z26" s="26" t="s">
        <v>191</v>
      </c>
    </row>
    <row r="27" spans="2:26" ht="16.5" x14ac:dyDescent="0.3">
      <c r="B27" s="26"/>
      <c r="C27" s="46"/>
      <c r="D27" s="46"/>
      <c r="E27" s="114"/>
      <c r="F27" s="133"/>
      <c r="G27" s="123"/>
      <c r="H27" s="26"/>
      <c r="I27" s="28"/>
      <c r="J27" s="26"/>
      <c r="L27" s="56" t="s">
        <v>236</v>
      </c>
      <c r="M27" s="67">
        <f>M25*M26/1000</f>
        <v>4000</v>
      </c>
      <c r="N27" s="56" t="s">
        <v>236</v>
      </c>
      <c r="O27" s="30"/>
      <c r="P27" s="36" t="s">
        <v>237</v>
      </c>
      <c r="Q27" s="34">
        <v>1.5</v>
      </c>
      <c r="R27" s="33" t="s">
        <v>238</v>
      </c>
      <c r="S27" s="30"/>
      <c r="T27" s="38" t="s">
        <v>239</v>
      </c>
      <c r="U27" s="41">
        <f>U24*(1+U25*(U26-20))</f>
        <v>1.9206249999999998</v>
      </c>
      <c r="V27" s="38" t="s">
        <v>221</v>
      </c>
      <c r="W27" s="30"/>
      <c r="X27" s="56"/>
      <c r="Y27" s="26"/>
      <c r="Z27" s="26"/>
    </row>
    <row r="28" spans="2:26" ht="16.5" x14ac:dyDescent="0.3">
      <c r="B28" s="26" t="s">
        <v>240</v>
      </c>
      <c r="C28" s="62">
        <f t="shared" ref="C28" si="36">(C3*1000000/C25)^0.5</f>
        <v>1103.0571959774068</v>
      </c>
      <c r="D28" s="62"/>
      <c r="E28" s="116">
        <f t="shared" ref="E28:F28" si="37">(E3*1000000/E25)^0.5</f>
        <v>803.6943228099276</v>
      </c>
      <c r="F28" s="135">
        <f t="shared" si="37"/>
        <v>1149.3109824747507</v>
      </c>
      <c r="G28" s="125">
        <f t="shared" ref="G28" si="38">(G3*1000000/G25)^0.5</f>
        <v>1332.7762574496505</v>
      </c>
      <c r="H28" s="26" t="s">
        <v>178</v>
      </c>
      <c r="I28" s="28"/>
      <c r="J28" s="63" t="s">
        <v>241</v>
      </c>
      <c r="L28" s="30"/>
      <c r="M28" s="30"/>
      <c r="N28" s="30"/>
      <c r="O28" s="30"/>
      <c r="P28" s="36" t="s">
        <v>242</v>
      </c>
      <c r="Q28" s="34">
        <v>400</v>
      </c>
      <c r="R28" s="33" t="s">
        <v>243</v>
      </c>
      <c r="S28" s="30"/>
      <c r="T28" s="38" t="s">
        <v>107</v>
      </c>
      <c r="U28" s="48">
        <f>1/(U27/100000000)</f>
        <v>52066384.64041654</v>
      </c>
      <c r="V28" s="38" t="s">
        <v>244</v>
      </c>
      <c r="W28" s="30"/>
      <c r="X28" s="61" t="s">
        <v>245</v>
      </c>
      <c r="Y28" s="26">
        <v>0.4133</v>
      </c>
      <c r="Z28" s="26" t="s">
        <v>191</v>
      </c>
    </row>
    <row r="29" spans="2:26" ht="16.5" x14ac:dyDescent="0.3">
      <c r="B29" s="26" t="s">
        <v>246</v>
      </c>
      <c r="C29" s="42">
        <f t="shared" ref="C29" si="39">C28*C25/1000</f>
        <v>135.98569552604806</v>
      </c>
      <c r="D29" s="42"/>
      <c r="E29" s="113">
        <f t="shared" ref="E29:F29" si="40">E28*E25/1000</f>
        <v>186.63812315553054</v>
      </c>
      <c r="F29" s="132">
        <f t="shared" si="40"/>
        <v>130.5129788954186</v>
      </c>
      <c r="G29" s="122">
        <f t="shared" ref="G29" si="41">G28*G25/1000</f>
        <v>112.54702292418851</v>
      </c>
      <c r="H29" s="26" t="s">
        <v>225</v>
      </c>
      <c r="I29" s="28"/>
      <c r="J29" s="26"/>
      <c r="L29" s="162" t="s">
        <v>247</v>
      </c>
      <c r="M29" s="162"/>
      <c r="N29" s="162"/>
      <c r="O29" s="30" t="s">
        <v>205</v>
      </c>
      <c r="P29" s="36" t="s">
        <v>248</v>
      </c>
      <c r="Q29" s="34">
        <v>1</v>
      </c>
      <c r="R29" s="33" t="s">
        <v>249</v>
      </c>
      <c r="S29" s="30"/>
      <c r="T29" s="38" t="s">
        <v>250</v>
      </c>
      <c r="U29" s="35">
        <v>1</v>
      </c>
      <c r="V29" s="38" t="s">
        <v>251</v>
      </c>
      <c r="W29" s="30"/>
      <c r="X29" s="56" t="s">
        <v>252</v>
      </c>
      <c r="Y29" s="64">
        <v>3</v>
      </c>
      <c r="Z29" s="26" t="s">
        <v>198</v>
      </c>
    </row>
    <row r="30" spans="2:26" ht="16.5" x14ac:dyDescent="0.3">
      <c r="B30" s="26" t="s">
        <v>253</v>
      </c>
      <c r="C30" s="62">
        <f t="shared" ref="C30" si="42">C28/(2*3.14159*C21*1000*C15/1000000)</f>
        <v>1007.1691922707122</v>
      </c>
      <c r="D30" s="62"/>
      <c r="E30" s="116">
        <f t="shared" ref="E30:F30" si="43">E28/(2*3.14159*E21*1000*E15/1000000)</f>
        <v>704.24399523610418</v>
      </c>
      <c r="F30" s="135">
        <f t="shared" si="43"/>
        <v>1030.5448734234212</v>
      </c>
      <c r="G30" s="125">
        <f t="shared" ref="G30" si="44">G28/(2*3.14159*G21*1000*G15/1000000)</f>
        <v>1205.9193819717041</v>
      </c>
      <c r="H30" s="26" t="s">
        <v>105</v>
      </c>
      <c r="I30" s="28"/>
      <c r="J30" s="63" t="s">
        <v>254</v>
      </c>
      <c r="L30" s="36" t="s">
        <v>255</v>
      </c>
      <c r="M30" s="34">
        <v>20120</v>
      </c>
      <c r="N30" s="36" t="s">
        <v>256</v>
      </c>
      <c r="O30" s="30"/>
      <c r="P30" s="36" t="s">
        <v>257</v>
      </c>
      <c r="Q30" s="47">
        <f>Q28*Q29</f>
        <v>400</v>
      </c>
      <c r="R30" s="33" t="s">
        <v>258</v>
      </c>
      <c r="S30" s="30"/>
      <c r="T30" s="38" t="s">
        <v>125</v>
      </c>
      <c r="U30" s="49">
        <v>1000</v>
      </c>
      <c r="V30" s="38" t="s">
        <v>259</v>
      </c>
      <c r="W30" s="30"/>
      <c r="X30" s="56" t="s">
        <v>260</v>
      </c>
      <c r="Y30" s="65">
        <f>Y28*Y29</f>
        <v>1.2399</v>
      </c>
      <c r="Z30" s="26" t="s">
        <v>191</v>
      </c>
    </row>
    <row r="31" spans="2:26" ht="16.5" x14ac:dyDescent="0.3">
      <c r="B31" s="26" t="s">
        <v>261</v>
      </c>
      <c r="C31" s="42">
        <f t="shared" ref="C31" si="45">C28*C26/1000</f>
        <v>157.06695152190494</v>
      </c>
      <c r="D31" s="42"/>
      <c r="E31" s="113">
        <f t="shared" ref="E31:F31" si="46">E28*E26/1000</f>
        <v>205.98702684274929</v>
      </c>
      <c r="F31" s="132">
        <f t="shared" si="46"/>
        <v>150.74582403573078</v>
      </c>
      <c r="G31" s="122">
        <f t="shared" ref="G31" si="47">G28*G26/1000</f>
        <v>129.99468602329651</v>
      </c>
      <c r="H31" s="26" t="s">
        <v>105</v>
      </c>
      <c r="I31" s="28"/>
      <c r="J31" s="26"/>
      <c r="L31" s="36" t="s">
        <v>262</v>
      </c>
      <c r="M31" s="34">
        <v>5</v>
      </c>
      <c r="N31" s="36" t="s">
        <v>128</v>
      </c>
      <c r="O31" s="30"/>
      <c r="P31" s="33"/>
      <c r="Q31" s="33"/>
      <c r="R31" s="33"/>
      <c r="S31" s="30"/>
      <c r="T31" s="38" t="s">
        <v>263</v>
      </c>
      <c r="U31" s="50">
        <f>503.3*SQRT((U27/100000000)/(U29*U30))*1000</f>
        <v>2.205709020034714</v>
      </c>
      <c r="V31" s="38" t="s">
        <v>141</v>
      </c>
      <c r="W31" s="30"/>
      <c r="X31" s="30"/>
    </row>
    <row r="32" spans="2:26" ht="16.5" x14ac:dyDescent="0.3">
      <c r="B32" s="26" t="s">
        <v>264</v>
      </c>
      <c r="C32" s="42">
        <f t="shared" ref="C32" si="48">ROUNDUP(COS(PI()*C17/180),3)</f>
        <v>0.86699999999999999</v>
      </c>
      <c r="D32" s="42"/>
      <c r="E32" s="113">
        <f t="shared" ref="E32:F32" si="49">ROUNDUP(COS(PI()*E17/180),3)</f>
        <v>0.90700000000000003</v>
      </c>
      <c r="F32" s="132">
        <f t="shared" si="49"/>
        <v>0.86699999999999999</v>
      </c>
      <c r="G32" s="122">
        <f t="shared" ref="G32" si="50">ROUNDUP(COS(PI()*G17/180),3)</f>
        <v>0.86699999999999999</v>
      </c>
      <c r="H32" s="26"/>
      <c r="I32" s="28"/>
      <c r="J32" s="26"/>
      <c r="L32" s="36" t="s">
        <v>265</v>
      </c>
      <c r="M32" s="34">
        <v>293</v>
      </c>
      <c r="N32" s="36" t="s">
        <v>143</v>
      </c>
      <c r="O32" s="30"/>
      <c r="P32" s="68" t="s">
        <v>266</v>
      </c>
      <c r="Q32" s="163" t="s">
        <v>267</v>
      </c>
      <c r="R32" s="163"/>
      <c r="S32" s="30"/>
      <c r="T32" s="38" t="s">
        <v>268</v>
      </c>
      <c r="U32" s="52">
        <v>6126</v>
      </c>
      <c r="V32" s="38" t="s">
        <v>141</v>
      </c>
      <c r="W32" s="30"/>
      <c r="X32" s="161" t="s">
        <v>269</v>
      </c>
      <c r="Y32" s="161"/>
      <c r="Z32" s="161"/>
    </row>
    <row r="33" spans="2:27" ht="16.5" x14ac:dyDescent="0.3">
      <c r="B33" s="26" t="s">
        <v>270</v>
      </c>
      <c r="C33" s="70">
        <f t="shared" ref="C33" si="51">C30/(C25*C28/1000)</f>
        <v>7.4064348340064114</v>
      </c>
      <c r="D33" s="70"/>
      <c r="E33" s="117">
        <f t="shared" ref="E33:F33" si="52">E30/(E25*E28/1000)</f>
        <v>3.7733126722949248</v>
      </c>
      <c r="F33" s="136">
        <f t="shared" si="52"/>
        <v>7.8961102730572685</v>
      </c>
      <c r="G33" s="126">
        <f t="shared" ref="G33" si="53">G30/(G25*G28/1000)</f>
        <v>10.714804804601624</v>
      </c>
      <c r="H33" s="26"/>
      <c r="I33" s="28"/>
      <c r="J33" s="63" t="s">
        <v>271</v>
      </c>
      <c r="L33" s="36" t="s">
        <v>272</v>
      </c>
      <c r="M33" s="34">
        <v>100</v>
      </c>
      <c r="N33" s="36" t="s">
        <v>273</v>
      </c>
      <c r="O33" s="30"/>
      <c r="P33" s="36" t="s">
        <v>274</v>
      </c>
      <c r="Q33" s="34">
        <v>30</v>
      </c>
      <c r="R33" s="33" t="s">
        <v>275</v>
      </c>
      <c r="S33" s="30"/>
      <c r="T33" s="38" t="s">
        <v>276</v>
      </c>
      <c r="U33" s="52">
        <v>2</v>
      </c>
      <c r="V33" s="38" t="s">
        <v>154</v>
      </c>
      <c r="W33" s="30"/>
      <c r="X33" s="33" t="s">
        <v>277</v>
      </c>
      <c r="Y33" s="34">
        <v>440</v>
      </c>
      <c r="Z33" s="33" t="s">
        <v>225</v>
      </c>
    </row>
    <row r="34" spans="2:27" ht="16.5" x14ac:dyDescent="0.3">
      <c r="B34" s="26" t="s">
        <v>278</v>
      </c>
      <c r="C34" s="62">
        <f t="shared" ref="C34" si="54">C30+C28*C18*C25/1000</f>
        <v>1085.768924284768</v>
      </c>
      <c r="D34" s="62"/>
      <c r="E34" s="116">
        <f t="shared" ref="E34:F34" si="55">E30+E28*E18*E25/1000</f>
        <v>791.40399874973696</v>
      </c>
      <c r="F34" s="135">
        <f t="shared" si="55"/>
        <v>1105.9813752249731</v>
      </c>
      <c r="G34" s="125">
        <f t="shared" ref="G34" si="56">G30+G28*G18*G25/1000</f>
        <v>1270.9715612218849</v>
      </c>
      <c r="H34" s="26" t="s">
        <v>225</v>
      </c>
      <c r="I34" s="28"/>
      <c r="J34" s="63" t="s">
        <v>279</v>
      </c>
      <c r="L34" s="36" t="s">
        <v>280</v>
      </c>
      <c r="M34" s="34">
        <v>1.4</v>
      </c>
      <c r="N34" s="36" t="s">
        <v>281</v>
      </c>
      <c r="O34" s="30"/>
      <c r="P34" s="36" t="s">
        <v>282</v>
      </c>
      <c r="Q34" s="71">
        <f>Q28*SQRT(2)*SIN(Q33*PI()/180)</f>
        <v>282.84271247461896</v>
      </c>
      <c r="R34" s="33" t="s">
        <v>283</v>
      </c>
      <c r="S34" s="30"/>
      <c r="T34" s="38" t="s">
        <v>284</v>
      </c>
      <c r="U34" s="55">
        <f>MIN(U31,U33)</f>
        <v>2</v>
      </c>
      <c r="V34" s="38" t="s">
        <v>154</v>
      </c>
      <c r="W34" s="30"/>
      <c r="X34" s="33" t="s">
        <v>285</v>
      </c>
      <c r="Y34" s="34">
        <v>300</v>
      </c>
      <c r="Z34" s="33" t="s">
        <v>143</v>
      </c>
    </row>
    <row r="35" spans="2:27" ht="16.5" x14ac:dyDescent="0.3">
      <c r="B35" s="26"/>
      <c r="C35" s="46"/>
      <c r="D35" s="46"/>
      <c r="E35" s="114"/>
      <c r="F35" s="133"/>
      <c r="G35" s="123"/>
      <c r="H35" s="26"/>
      <c r="I35" s="28"/>
      <c r="J35" s="26"/>
      <c r="L35" s="36" t="s">
        <v>286</v>
      </c>
      <c r="M35" s="47">
        <f>(M32*M34)/(2*3.1415*M30*(M31/1000000))</f>
        <v>648.97895770372179</v>
      </c>
      <c r="N35" s="36" t="s">
        <v>287</v>
      </c>
      <c r="O35" s="30"/>
      <c r="P35" s="36" t="s">
        <v>288</v>
      </c>
      <c r="Q35" s="72">
        <f>Q22*Q26/Q34</f>
        <v>410.6876185131469</v>
      </c>
      <c r="R35" s="33" t="s">
        <v>289</v>
      </c>
      <c r="S35" s="30"/>
      <c r="T35" s="38" t="s">
        <v>290</v>
      </c>
      <c r="U35" s="52">
        <v>30</v>
      </c>
      <c r="V35" s="38" t="s">
        <v>141</v>
      </c>
      <c r="W35" s="30"/>
      <c r="X35" s="33" t="s">
        <v>291</v>
      </c>
      <c r="Y35" s="45">
        <f>Y33</f>
        <v>440</v>
      </c>
      <c r="Z35" s="33" t="s">
        <v>292</v>
      </c>
    </row>
    <row r="36" spans="2:27" ht="16.5" x14ac:dyDescent="0.3">
      <c r="B36" s="26" t="s">
        <v>293</v>
      </c>
      <c r="C36" s="42">
        <v>1</v>
      </c>
      <c r="D36" s="42"/>
      <c r="E36" s="113">
        <v>1</v>
      </c>
      <c r="F36" s="132">
        <v>1</v>
      </c>
      <c r="G36" s="122">
        <v>1</v>
      </c>
      <c r="H36" s="26"/>
      <c r="I36" s="28"/>
      <c r="J36" s="26" t="s">
        <v>294</v>
      </c>
      <c r="L36" s="36" t="s">
        <v>295</v>
      </c>
      <c r="M36" s="47">
        <f>M32*M34</f>
        <v>410.2</v>
      </c>
      <c r="N36" s="36"/>
      <c r="O36" s="30"/>
      <c r="P36" s="33"/>
      <c r="Q36" s="33"/>
      <c r="R36" s="33"/>
      <c r="S36" s="30"/>
      <c r="T36" s="38" t="s">
        <v>296</v>
      </c>
      <c r="U36" s="50">
        <f>(PI()*(U35/2)^2)-(PI()*(U35/2-U34)^2)</f>
        <v>175.92918860102839</v>
      </c>
      <c r="V36" s="38" t="s">
        <v>172</v>
      </c>
      <c r="W36" s="30"/>
      <c r="X36" s="33" t="s">
        <v>297</v>
      </c>
      <c r="Y36" s="45">
        <f>Y34*1.25</f>
        <v>375</v>
      </c>
      <c r="Z36" s="33" t="s">
        <v>298</v>
      </c>
    </row>
    <row r="37" spans="2:27" ht="16.5" x14ac:dyDescent="0.3">
      <c r="B37" s="26" t="s">
        <v>299</v>
      </c>
      <c r="C37" s="42">
        <f t="shared" ref="C37" si="57">C10/C36*4/PI()/2^0.5</f>
        <v>521.01305216011724</v>
      </c>
      <c r="D37" s="42"/>
      <c r="E37" s="113">
        <f t="shared" ref="E37:F37" si="58">E10/E36*4/PI()/2^0.5</f>
        <v>521.01305216011724</v>
      </c>
      <c r="F37" s="132">
        <f t="shared" si="58"/>
        <v>521.01305216011724</v>
      </c>
      <c r="G37" s="122">
        <f t="shared" ref="G37" si="59">G10/G36*4/PI()/2^0.5</f>
        <v>521.01305216011724</v>
      </c>
      <c r="H37" s="26" t="s">
        <v>105</v>
      </c>
      <c r="I37" s="28"/>
      <c r="J37" s="26" t="s">
        <v>300</v>
      </c>
      <c r="L37" s="36" t="s">
        <v>301</v>
      </c>
      <c r="M37" s="47">
        <f>M35*M36/1000</f>
        <v>266.21116845006662</v>
      </c>
      <c r="N37" s="36" t="s">
        <v>301</v>
      </c>
      <c r="O37" s="30"/>
      <c r="P37" s="68" t="s">
        <v>302</v>
      </c>
      <c r="Q37" s="36"/>
      <c r="R37" s="36"/>
      <c r="S37" s="30"/>
      <c r="T37" s="38" t="s">
        <v>303</v>
      </c>
      <c r="U37" s="52">
        <v>850</v>
      </c>
      <c r="V37" s="58" t="s">
        <v>304</v>
      </c>
      <c r="W37" s="30"/>
      <c r="X37" s="30"/>
    </row>
    <row r="38" spans="2:27" ht="16.5" x14ac:dyDescent="0.3">
      <c r="B38" s="26" t="s">
        <v>305</v>
      </c>
      <c r="C38" s="27">
        <v>3</v>
      </c>
      <c r="D38" s="27"/>
      <c r="E38" s="110">
        <v>3</v>
      </c>
      <c r="F38" s="129">
        <v>3</v>
      </c>
      <c r="G38" s="119">
        <v>4</v>
      </c>
      <c r="H38" s="26" t="s">
        <v>281</v>
      </c>
      <c r="I38" s="28">
        <v>7</v>
      </c>
      <c r="J38" s="29" t="s">
        <v>306</v>
      </c>
      <c r="L38" s="36" t="s">
        <v>185</v>
      </c>
      <c r="M38" s="45">
        <f>M37/M33</f>
        <v>2.6621116845006663</v>
      </c>
      <c r="N38" s="36"/>
      <c r="O38" s="30"/>
      <c r="P38" s="36" t="s">
        <v>307</v>
      </c>
      <c r="Q38" s="71">
        <f>Q22*Q26/Q27/1000</f>
        <v>77.440000000000012</v>
      </c>
      <c r="R38" s="33" t="s">
        <v>283</v>
      </c>
      <c r="S38" s="30"/>
      <c r="T38" s="38" t="s">
        <v>308</v>
      </c>
      <c r="U38" s="59">
        <f>U37/U36</f>
        <v>4.8314893438611097</v>
      </c>
      <c r="V38" s="58" t="s">
        <v>304</v>
      </c>
      <c r="W38" s="30"/>
      <c r="X38" s="161" t="s">
        <v>309</v>
      </c>
      <c r="Y38" s="161"/>
      <c r="Z38" s="161"/>
    </row>
    <row r="39" spans="2:27" ht="16.5" x14ac:dyDescent="0.3">
      <c r="B39" s="26" t="s">
        <v>310</v>
      </c>
      <c r="C39" s="42">
        <f t="shared" ref="C39" si="60">ROUND(C37/C38,1)</f>
        <v>173.7</v>
      </c>
      <c r="D39" s="42"/>
      <c r="E39" s="113">
        <f t="shared" ref="E39:F39" si="61">ROUND(E37/E38,1)</f>
        <v>173.7</v>
      </c>
      <c r="F39" s="132">
        <f t="shared" si="61"/>
        <v>173.7</v>
      </c>
      <c r="G39" s="122">
        <f t="shared" ref="G39" si="62">ROUND(G37/G38,1)</f>
        <v>130.30000000000001</v>
      </c>
      <c r="H39" s="26" t="s">
        <v>225</v>
      </c>
      <c r="I39" s="28"/>
      <c r="J39" s="26" t="s">
        <v>311</v>
      </c>
      <c r="L39" s="30"/>
      <c r="M39" s="30"/>
      <c r="N39" s="30"/>
      <c r="O39" s="30"/>
      <c r="P39" s="36" t="s">
        <v>312</v>
      </c>
      <c r="Q39" s="71">
        <f>Q38/SIN(Q33*PI()/180)/SQRT(2)</f>
        <v>109.51669827017251</v>
      </c>
      <c r="R39" s="33" t="s">
        <v>243</v>
      </c>
      <c r="S39" s="30"/>
      <c r="T39" s="38" t="s">
        <v>313</v>
      </c>
      <c r="U39" s="59">
        <f>U27/100000000*(U37^2)/(U36/1000000)*U32/1000</f>
        <v>483.19176251946334</v>
      </c>
      <c r="V39" s="58" t="s">
        <v>314</v>
      </c>
      <c r="W39" s="30"/>
      <c r="X39" s="33" t="s">
        <v>315</v>
      </c>
      <c r="Y39" s="34">
        <v>0.52800000000000002</v>
      </c>
      <c r="Z39" s="33" t="s">
        <v>316</v>
      </c>
    </row>
    <row r="40" spans="2:27" ht="16.5" x14ac:dyDescent="0.3">
      <c r="B40" s="26"/>
      <c r="C40" s="46"/>
      <c r="D40" s="46"/>
      <c r="E40" s="114"/>
      <c r="F40" s="133"/>
      <c r="G40" s="123"/>
      <c r="H40" s="26"/>
      <c r="I40" s="28"/>
      <c r="J40" s="26"/>
      <c r="L40" s="162" t="s">
        <v>317</v>
      </c>
      <c r="M40" s="162"/>
      <c r="N40" s="162"/>
      <c r="O40" s="30"/>
      <c r="P40" s="36" t="s">
        <v>318</v>
      </c>
      <c r="Q40" s="72">
        <f>Q39*Q29</f>
        <v>109.51669827017251</v>
      </c>
      <c r="R40" s="33" t="s">
        <v>243</v>
      </c>
      <c r="S40" s="30"/>
      <c r="T40" s="30"/>
      <c r="U40" s="30"/>
      <c r="V40" s="30"/>
      <c r="W40" s="30"/>
      <c r="X40" s="33" t="s">
        <v>319</v>
      </c>
      <c r="Y40" s="34">
        <v>0.27</v>
      </c>
      <c r="Z40" s="33" t="s">
        <v>89</v>
      </c>
    </row>
    <row r="41" spans="2:27" ht="16.5" x14ac:dyDescent="0.3">
      <c r="B41" s="26" t="s">
        <v>320</v>
      </c>
      <c r="C41" s="69">
        <f t="shared" ref="C41" si="63">C31/C39*100</f>
        <v>90.424266851989032</v>
      </c>
      <c r="D41" s="69"/>
      <c r="E41" s="118">
        <f t="shared" ref="E41:F41" si="64">E31/E39*100</f>
        <v>118.58781050244636</v>
      </c>
      <c r="F41" s="137">
        <f t="shared" si="64"/>
        <v>86.785160642332059</v>
      </c>
      <c r="G41" s="127">
        <f t="shared" ref="G41" si="65">G31/G39*100</f>
        <v>99.765683824479282</v>
      </c>
      <c r="H41" s="26" t="s">
        <v>156</v>
      </c>
      <c r="I41" s="28"/>
      <c r="J41" s="73" t="s">
        <v>321</v>
      </c>
      <c r="L41" s="56" t="s">
        <v>322</v>
      </c>
      <c r="M41" s="57">
        <v>40</v>
      </c>
      <c r="N41" s="56" t="s">
        <v>323</v>
      </c>
      <c r="O41" s="30"/>
      <c r="P41" s="36" t="s">
        <v>324</v>
      </c>
      <c r="Q41" s="71">
        <f>Q40/Q30*100</f>
        <v>27.379174567543132</v>
      </c>
      <c r="R41" s="74" t="s">
        <v>325</v>
      </c>
      <c r="S41" s="30"/>
      <c r="T41" s="161" t="s">
        <v>326</v>
      </c>
      <c r="U41" s="161"/>
      <c r="V41" s="161"/>
      <c r="W41" s="30"/>
      <c r="X41" s="33" t="s">
        <v>138</v>
      </c>
      <c r="Y41" s="45">
        <f>1/(2*3.14*SQRT((Y39/1000000)*(Y40/1000000)))</f>
        <v>421736.81406829093</v>
      </c>
      <c r="Z41" s="33" t="s">
        <v>327</v>
      </c>
    </row>
    <row r="42" spans="2:27" ht="16.5" x14ac:dyDescent="0.3">
      <c r="B42" s="26"/>
      <c r="C42" s="46"/>
      <c r="D42" s="46"/>
      <c r="E42" s="114"/>
      <c r="F42" s="133"/>
      <c r="G42" s="123"/>
      <c r="H42" s="26"/>
      <c r="I42" s="28"/>
      <c r="J42" s="26"/>
      <c r="L42" s="56" t="s">
        <v>328</v>
      </c>
      <c r="M42" s="57">
        <v>127</v>
      </c>
      <c r="N42" s="56" t="s">
        <v>178</v>
      </c>
      <c r="O42" s="30"/>
      <c r="P42" s="36" t="s">
        <v>329</v>
      </c>
      <c r="Q42" s="71">
        <f>Q41*Q41/100</f>
        <v>7.4961920000000068</v>
      </c>
      <c r="R42" s="74" t="s">
        <v>325</v>
      </c>
      <c r="S42" s="30"/>
      <c r="T42" s="33" t="s">
        <v>213</v>
      </c>
      <c r="U42" s="35" t="s">
        <v>62</v>
      </c>
      <c r="V42" s="35"/>
      <c r="W42" s="30"/>
      <c r="X42" s="30"/>
    </row>
    <row r="43" spans="2:27" ht="16.5" x14ac:dyDescent="0.3">
      <c r="B43" s="26" t="s">
        <v>330</v>
      </c>
      <c r="C43" s="62">
        <f t="shared" ref="C43" si="66">C28/C38</f>
        <v>367.6857319924689</v>
      </c>
      <c r="D43" s="62"/>
      <c r="E43" s="116">
        <f t="shared" ref="E43:F43" si="67">E28/E38</f>
        <v>267.8981076033092</v>
      </c>
      <c r="F43" s="135">
        <f t="shared" si="67"/>
        <v>383.10366082491691</v>
      </c>
      <c r="G43" s="125">
        <f t="shared" ref="G43" si="68">G28/G38</f>
        <v>333.19406436241263</v>
      </c>
      <c r="H43" s="26" t="s">
        <v>178</v>
      </c>
      <c r="I43" s="28"/>
      <c r="J43" s="63" t="s">
        <v>331</v>
      </c>
      <c r="L43" s="56" t="s">
        <v>332</v>
      </c>
      <c r="M43" s="57">
        <v>401</v>
      </c>
      <c r="N43" s="56" t="s">
        <v>225</v>
      </c>
      <c r="O43" s="30"/>
      <c r="P43" s="30"/>
      <c r="Q43" s="30"/>
      <c r="R43" s="30"/>
      <c r="S43" s="30"/>
      <c r="T43" s="38" t="s">
        <v>333</v>
      </c>
      <c r="U43" s="39">
        <v>1.75</v>
      </c>
      <c r="V43" s="38" t="s">
        <v>221</v>
      </c>
      <c r="W43" s="30"/>
      <c r="X43" s="161" t="s">
        <v>334</v>
      </c>
      <c r="Y43" s="161"/>
      <c r="Z43" s="161"/>
      <c r="AA43" s="54" t="s">
        <v>335</v>
      </c>
    </row>
    <row r="44" spans="2:27" ht="16.5" x14ac:dyDescent="0.3">
      <c r="B44" s="26" t="s">
        <v>336</v>
      </c>
      <c r="C44" s="42">
        <f t="shared" ref="C44" si="69">ROUND(C43*2^0.5*2/PI(),0)</f>
        <v>331</v>
      </c>
      <c r="D44" s="42"/>
      <c r="E44" s="113">
        <f t="shared" ref="E44:F44" si="70">ROUND(E43*2^0.5*2/PI(),0)</f>
        <v>241</v>
      </c>
      <c r="F44" s="132">
        <f t="shared" si="70"/>
        <v>345</v>
      </c>
      <c r="G44" s="122">
        <f t="shared" ref="G44" si="71">ROUND(G43*2^0.5*2/PI(),0)</f>
        <v>300</v>
      </c>
      <c r="H44" s="26" t="s">
        <v>143</v>
      </c>
      <c r="I44" s="28"/>
      <c r="J44" s="26"/>
      <c r="L44" s="56" t="s">
        <v>337</v>
      </c>
      <c r="M44" s="57">
        <v>1</v>
      </c>
      <c r="N44" s="56"/>
      <c r="O44" s="30"/>
      <c r="P44" s="161" t="s">
        <v>338</v>
      </c>
      <c r="Q44" s="161"/>
      <c r="R44" s="161"/>
      <c r="S44" s="30"/>
      <c r="T44" s="38" t="s">
        <v>339</v>
      </c>
      <c r="U44" s="41">
        <v>3.8999999999999998E-3</v>
      </c>
      <c r="V44" s="38" t="s">
        <v>340</v>
      </c>
      <c r="W44" s="30"/>
      <c r="X44" s="33" t="s">
        <v>60</v>
      </c>
      <c r="Y44" s="34">
        <v>1100</v>
      </c>
      <c r="Z44" s="33" t="s">
        <v>225</v>
      </c>
    </row>
    <row r="45" spans="2:27" ht="16.5" x14ac:dyDescent="0.3">
      <c r="B45" s="26" t="s">
        <v>341</v>
      </c>
      <c r="C45" s="42">
        <f t="shared" ref="C45" si="72">C44/C36</f>
        <v>331</v>
      </c>
      <c r="D45" s="42"/>
      <c r="E45" s="113">
        <f t="shared" ref="E45:F45" si="73">E44/E36</f>
        <v>241</v>
      </c>
      <c r="F45" s="132">
        <f t="shared" si="73"/>
        <v>345</v>
      </c>
      <c r="G45" s="122">
        <f t="shared" ref="G45" si="74">G44/G36</f>
        <v>300</v>
      </c>
      <c r="H45" s="26" t="s">
        <v>119</v>
      </c>
      <c r="I45" s="28"/>
      <c r="J45" s="26"/>
      <c r="L45" s="56" t="s">
        <v>342</v>
      </c>
      <c r="M45" s="67">
        <f>M43*0.9/M44</f>
        <v>360.90000000000003</v>
      </c>
      <c r="N45" s="56" t="s">
        <v>225</v>
      </c>
      <c r="O45" s="30"/>
      <c r="P45" s="36" t="s">
        <v>343</v>
      </c>
      <c r="Q45" s="34">
        <v>5808</v>
      </c>
      <c r="R45" s="36" t="s">
        <v>233</v>
      </c>
      <c r="S45" s="30"/>
      <c r="T45" s="38" t="s">
        <v>234</v>
      </c>
      <c r="U45" s="44">
        <v>45</v>
      </c>
      <c r="V45" s="38" t="s">
        <v>93</v>
      </c>
      <c r="W45" s="30"/>
      <c r="X45" s="33" t="s">
        <v>69</v>
      </c>
      <c r="Y45" s="34">
        <v>0.35</v>
      </c>
      <c r="Z45" s="33" t="s">
        <v>70</v>
      </c>
    </row>
    <row r="46" spans="2:27" ht="17.25" thickBot="1" x14ac:dyDescent="0.35">
      <c r="B46" s="26" t="s">
        <v>344</v>
      </c>
      <c r="C46" s="42">
        <f t="shared" ref="C46" si="75">ROUND(C45/C11,3)</f>
        <v>1.2769999999999999</v>
      </c>
      <c r="D46" s="42"/>
      <c r="E46" s="113">
        <f t="shared" ref="E46:F46" si="76">ROUND(E45/E11,3)</f>
        <v>0.93</v>
      </c>
      <c r="F46" s="138">
        <f t="shared" si="76"/>
        <v>1.331</v>
      </c>
      <c r="G46" s="122">
        <f t="shared" ref="G46" si="77">ROUND(G45/G11,3)</f>
        <v>1.157</v>
      </c>
      <c r="H46" s="26"/>
      <c r="I46" s="28"/>
      <c r="J46" s="26"/>
      <c r="L46" s="56" t="s">
        <v>345</v>
      </c>
      <c r="M46" s="67">
        <f>(M41*1000)/(M42*M43*0.9/M44)</f>
        <v>0.87270886650390644</v>
      </c>
      <c r="N46" s="56"/>
      <c r="O46" s="30"/>
      <c r="P46" s="36" t="s">
        <v>346</v>
      </c>
      <c r="Q46" s="34">
        <v>680</v>
      </c>
      <c r="R46" s="36" t="s">
        <v>347</v>
      </c>
      <c r="S46" s="30"/>
      <c r="T46" s="38" t="s">
        <v>239</v>
      </c>
      <c r="U46" s="41">
        <f>U43*(1+U44*(U45-20))</f>
        <v>1.9206249999999998</v>
      </c>
      <c r="V46" s="38" t="s">
        <v>221</v>
      </c>
      <c r="W46" s="30"/>
      <c r="X46" s="33" t="s">
        <v>348</v>
      </c>
      <c r="Y46" s="34">
        <v>78.540000000000006</v>
      </c>
      <c r="Z46" s="33" t="s">
        <v>349</v>
      </c>
    </row>
    <row r="47" spans="2:27" ht="16.5" x14ac:dyDescent="0.3">
      <c r="L47" s="56" t="s">
        <v>350</v>
      </c>
      <c r="M47" s="75">
        <f>DEGREES(ACOS(M46))</f>
        <v>29.225030363895115</v>
      </c>
      <c r="N47" s="56"/>
      <c r="O47" s="30"/>
      <c r="P47" s="36" t="s">
        <v>351</v>
      </c>
      <c r="Q47" s="34">
        <v>300</v>
      </c>
      <c r="R47" s="36" t="s">
        <v>283</v>
      </c>
      <c r="S47" s="30"/>
      <c r="T47" s="38" t="s">
        <v>107</v>
      </c>
      <c r="U47" s="48">
        <f>1/(U46/100000000)</f>
        <v>52066384.64041654</v>
      </c>
      <c r="V47" s="38" t="s">
        <v>352</v>
      </c>
      <c r="W47" s="30"/>
      <c r="X47" s="33" t="s">
        <v>353</v>
      </c>
      <c r="Y47" s="34">
        <v>20000</v>
      </c>
      <c r="Z47" s="33" t="s">
        <v>256</v>
      </c>
    </row>
    <row r="48" spans="2:27" ht="16.5" x14ac:dyDescent="0.3">
      <c r="B48" s="24" t="s">
        <v>354</v>
      </c>
      <c r="L48" s="30"/>
      <c r="M48" s="30"/>
      <c r="N48" s="30"/>
      <c r="O48" s="30"/>
      <c r="P48" s="36" t="s">
        <v>355</v>
      </c>
      <c r="Q48" s="45">
        <f>Q45*Q46/Q47</f>
        <v>13164.8</v>
      </c>
      <c r="R48" s="36" t="s">
        <v>356</v>
      </c>
      <c r="S48" s="30"/>
      <c r="T48" s="38" t="s">
        <v>250</v>
      </c>
      <c r="U48" s="35">
        <v>1</v>
      </c>
      <c r="V48" s="38" t="s">
        <v>251</v>
      </c>
      <c r="W48" s="30"/>
      <c r="X48" s="33" t="s">
        <v>357</v>
      </c>
      <c r="Y48" s="45">
        <f>(5000*Y44)/(Y45*Y46*Y47)</f>
        <v>10.004001600640256</v>
      </c>
      <c r="Z48" s="33" t="s">
        <v>358</v>
      </c>
    </row>
    <row r="49" spans="2:28" ht="16.5" x14ac:dyDescent="0.3">
      <c r="B49" s="76" t="s">
        <v>359</v>
      </c>
      <c r="C49" s="77">
        <v>1</v>
      </c>
      <c r="D49" s="77"/>
      <c r="E49" s="77">
        <v>1</v>
      </c>
      <c r="F49" s="77">
        <v>1</v>
      </c>
      <c r="G49" s="77">
        <v>1</v>
      </c>
      <c r="H49" s="76" t="s">
        <v>360</v>
      </c>
      <c r="I49" s="28">
        <v>8</v>
      </c>
      <c r="J49" s="78" t="s">
        <v>361</v>
      </c>
      <c r="L49" s="162" t="s">
        <v>362</v>
      </c>
      <c r="M49" s="162"/>
      <c r="N49" s="162"/>
      <c r="O49" s="30"/>
      <c r="P49" s="30"/>
      <c r="Q49" s="30"/>
      <c r="R49" s="30"/>
      <c r="S49" s="30"/>
      <c r="T49" s="38" t="s">
        <v>125</v>
      </c>
      <c r="U49" s="49">
        <v>500</v>
      </c>
      <c r="V49" s="38" t="s">
        <v>363</v>
      </c>
      <c r="W49" s="30"/>
      <c r="X49" s="30"/>
    </row>
    <row r="50" spans="2:28" ht="16.5" x14ac:dyDescent="0.3">
      <c r="B50" s="76" t="s">
        <v>364</v>
      </c>
      <c r="C50" s="79">
        <f t="shared" ref="C50:G50" si="78">C43/C49</f>
        <v>367.6857319924689</v>
      </c>
      <c r="D50" s="79"/>
      <c r="E50" s="79">
        <f t="shared" si="78"/>
        <v>267.8981076033092</v>
      </c>
      <c r="F50" s="79">
        <f t="shared" si="78"/>
        <v>383.10366082491691</v>
      </c>
      <c r="G50" s="79">
        <f t="shared" si="78"/>
        <v>333.19406436241263</v>
      </c>
      <c r="H50" s="76" t="s">
        <v>178</v>
      </c>
      <c r="I50" s="28"/>
      <c r="J50" s="76" t="s">
        <v>365</v>
      </c>
      <c r="L50" s="76" t="s">
        <v>366</v>
      </c>
      <c r="M50" s="80">
        <v>300</v>
      </c>
      <c r="N50" s="76" t="s">
        <v>68</v>
      </c>
      <c r="O50" s="30"/>
      <c r="P50" s="161" t="s">
        <v>367</v>
      </c>
      <c r="Q50" s="161"/>
      <c r="R50" s="161"/>
      <c r="S50" s="30"/>
      <c r="T50" s="38" t="s">
        <v>263</v>
      </c>
      <c r="U50" s="50">
        <f>503.3*SQRT((U46/100000000)/(U48*U49))*1000</f>
        <v>3.1193436107817618</v>
      </c>
      <c r="V50" s="38" t="s">
        <v>141</v>
      </c>
      <c r="W50" s="30"/>
      <c r="X50" s="30"/>
    </row>
    <row r="51" spans="2:28" ht="16.5" x14ac:dyDescent="0.3">
      <c r="B51" s="76" t="s">
        <v>368</v>
      </c>
      <c r="C51" s="81">
        <v>3.2</v>
      </c>
      <c r="D51" s="81"/>
      <c r="E51" s="81">
        <v>3.2</v>
      </c>
      <c r="F51" s="81">
        <v>3.2</v>
      </c>
      <c r="G51" s="81">
        <v>3.2</v>
      </c>
      <c r="H51" s="76" t="s">
        <v>369</v>
      </c>
      <c r="I51" s="28">
        <v>9</v>
      </c>
      <c r="J51" s="78" t="s">
        <v>370</v>
      </c>
      <c r="L51" s="76" t="s">
        <v>371</v>
      </c>
      <c r="M51" s="80">
        <v>1</v>
      </c>
      <c r="N51" s="76" t="s">
        <v>79</v>
      </c>
      <c r="O51" s="30"/>
      <c r="P51" s="56" t="s">
        <v>372</v>
      </c>
      <c r="Q51" s="57">
        <v>15.4</v>
      </c>
      <c r="R51" s="56" t="s">
        <v>68</v>
      </c>
      <c r="S51" s="30"/>
      <c r="T51" s="38" t="s">
        <v>373</v>
      </c>
      <c r="U51" s="52">
        <v>16000</v>
      </c>
      <c r="V51" s="38" t="s">
        <v>141</v>
      </c>
      <c r="W51" s="30"/>
      <c r="X51" s="161" t="s">
        <v>374</v>
      </c>
      <c r="Y51" s="161"/>
      <c r="Z51" s="161"/>
    </row>
    <row r="52" spans="2:28" ht="16.5" x14ac:dyDescent="0.3">
      <c r="B52" s="76" t="s">
        <v>375</v>
      </c>
      <c r="C52" s="81">
        <v>25</v>
      </c>
      <c r="D52" s="81"/>
      <c r="E52" s="81">
        <v>25</v>
      </c>
      <c r="F52" s="81">
        <v>25</v>
      </c>
      <c r="G52" s="81">
        <v>25</v>
      </c>
      <c r="H52" s="76" t="s">
        <v>225</v>
      </c>
      <c r="I52" s="28">
        <v>10</v>
      </c>
      <c r="J52" s="78" t="s">
        <v>376</v>
      </c>
      <c r="L52" s="76" t="s">
        <v>377</v>
      </c>
      <c r="M52" s="80">
        <v>100</v>
      </c>
      <c r="N52" s="76" t="s">
        <v>68</v>
      </c>
      <c r="O52" s="30"/>
      <c r="P52" s="56" t="s">
        <v>378</v>
      </c>
      <c r="Q52" s="57">
        <v>2</v>
      </c>
      <c r="R52" s="56" t="s">
        <v>79</v>
      </c>
      <c r="S52" s="30"/>
      <c r="T52" s="38" t="s">
        <v>276</v>
      </c>
      <c r="U52" s="52">
        <v>2</v>
      </c>
      <c r="V52" s="38" t="s">
        <v>154</v>
      </c>
      <c r="W52" s="30"/>
      <c r="X52" s="33" t="s">
        <v>379</v>
      </c>
      <c r="Y52" s="34">
        <v>884.4</v>
      </c>
      <c r="Z52" s="33" t="s">
        <v>163</v>
      </c>
    </row>
    <row r="53" spans="2:28" ht="16.5" x14ac:dyDescent="0.3">
      <c r="B53" s="76" t="s">
        <v>380</v>
      </c>
      <c r="C53" s="82">
        <f t="shared" ref="C53:G53" si="79">C52*C51/1000000*C54*1000</f>
        <v>1.602827673470451</v>
      </c>
      <c r="D53" s="82"/>
      <c r="E53" s="82">
        <f t="shared" si="79"/>
        <v>1.3838497330122612</v>
      </c>
      <c r="F53" s="82">
        <f t="shared" si="79"/>
        <v>1.3523585027334508</v>
      </c>
      <c r="G53" s="82">
        <f t="shared" si="79"/>
        <v>1.3401708225876967</v>
      </c>
      <c r="H53" s="76" t="s">
        <v>381</v>
      </c>
      <c r="I53" s="28"/>
      <c r="J53" s="76"/>
      <c r="L53" s="76" t="s">
        <v>144</v>
      </c>
      <c r="M53" s="83">
        <f>12.5*(M51/10)*(M52/10)/(M50/10)</f>
        <v>0.41666666666666669</v>
      </c>
      <c r="N53" s="76" t="s">
        <v>382</v>
      </c>
      <c r="O53" s="30"/>
      <c r="P53" s="56" t="s">
        <v>383</v>
      </c>
      <c r="Q53" s="67">
        <f>Q51+Q52*2</f>
        <v>19.399999999999999</v>
      </c>
      <c r="R53" s="56" t="s">
        <v>68</v>
      </c>
      <c r="S53" s="30"/>
      <c r="T53" s="38" t="s">
        <v>284</v>
      </c>
      <c r="U53" s="55">
        <f>MIN(U50,U52)</f>
        <v>2</v>
      </c>
      <c r="V53" s="38" t="s">
        <v>141</v>
      </c>
      <c r="W53" s="30"/>
      <c r="X53" s="33" t="s">
        <v>384</v>
      </c>
      <c r="Y53" s="34">
        <v>0.96</v>
      </c>
      <c r="Z53" s="33" t="s">
        <v>385</v>
      </c>
    </row>
    <row r="54" spans="2:28" ht="16.5" x14ac:dyDescent="0.3">
      <c r="B54" s="76" t="s">
        <v>386</v>
      </c>
      <c r="C54" s="79">
        <f t="shared" ref="C54:G54" si="80">C21</f>
        <v>20.035345918380635</v>
      </c>
      <c r="D54" s="79"/>
      <c r="E54" s="79">
        <f t="shared" si="80"/>
        <v>17.298121662653266</v>
      </c>
      <c r="F54" s="79">
        <f t="shared" si="80"/>
        <v>16.904481284168135</v>
      </c>
      <c r="G54" s="79">
        <f t="shared" si="80"/>
        <v>16.752135282346206</v>
      </c>
      <c r="H54" s="76" t="s">
        <v>385</v>
      </c>
      <c r="I54" s="28"/>
      <c r="J54" s="76" t="s">
        <v>387</v>
      </c>
      <c r="P54" s="84" t="s">
        <v>388</v>
      </c>
      <c r="Q54" s="85">
        <v>8.8539999999999992E-12</v>
      </c>
      <c r="R54" s="26"/>
      <c r="T54" s="38" t="s">
        <v>389</v>
      </c>
      <c r="U54" s="52">
        <v>20</v>
      </c>
      <c r="V54" s="38" t="s">
        <v>154</v>
      </c>
      <c r="X54" s="33" t="s">
        <v>390</v>
      </c>
      <c r="Y54" s="34">
        <v>1456</v>
      </c>
      <c r="Z54" s="33" t="s">
        <v>105</v>
      </c>
    </row>
    <row r="55" spans="2:28" ht="16.5" x14ac:dyDescent="0.3">
      <c r="B55" s="76" t="s">
        <v>391</v>
      </c>
      <c r="C55" s="86">
        <f t="shared" ref="C55:G55" si="81">C50*1.414</f>
        <v>519.90762503735095</v>
      </c>
      <c r="D55" s="86"/>
      <c r="E55" s="86">
        <f t="shared" si="81"/>
        <v>378.80792415107919</v>
      </c>
      <c r="F55" s="86">
        <f t="shared" si="81"/>
        <v>541.70857640643248</v>
      </c>
      <c r="G55" s="86">
        <f t="shared" si="81"/>
        <v>471.13640700845144</v>
      </c>
      <c r="H55" s="76" t="s">
        <v>119</v>
      </c>
      <c r="I55" s="28"/>
      <c r="J55" s="76" t="s">
        <v>392</v>
      </c>
      <c r="L55" s="162" t="s">
        <v>393</v>
      </c>
      <c r="M55" s="162"/>
      <c r="N55" s="162"/>
      <c r="P55" s="84" t="s">
        <v>394</v>
      </c>
      <c r="Q55" s="64">
        <v>2.1</v>
      </c>
      <c r="R55" s="26" t="s">
        <v>395</v>
      </c>
      <c r="T55" s="38" t="s">
        <v>396</v>
      </c>
      <c r="U55" s="52">
        <v>20</v>
      </c>
      <c r="V55" s="38" t="s">
        <v>133</v>
      </c>
      <c r="X55" s="33" t="s">
        <v>177</v>
      </c>
      <c r="Y55" s="87">
        <f>(Y54)*(2*3.14*Y53*1000*(Y52/1000000))</f>
        <v>7763.2037683200006</v>
      </c>
      <c r="Z55" s="33" t="s">
        <v>178</v>
      </c>
    </row>
    <row r="56" spans="2:28" ht="16.5" x14ac:dyDescent="0.3">
      <c r="B56" s="76" t="s">
        <v>397</v>
      </c>
      <c r="C56" s="81">
        <v>5</v>
      </c>
      <c r="D56" s="81"/>
      <c r="E56" s="81">
        <v>5</v>
      </c>
      <c r="F56" s="81">
        <v>5</v>
      </c>
      <c r="G56" s="81">
        <v>5</v>
      </c>
      <c r="H56" s="76" t="s">
        <v>398</v>
      </c>
      <c r="I56" s="28">
        <v>11</v>
      </c>
      <c r="J56" s="78" t="s">
        <v>399</v>
      </c>
      <c r="L56" s="76" t="s">
        <v>400</v>
      </c>
      <c r="M56" s="80">
        <v>3000</v>
      </c>
      <c r="N56" s="76" t="s">
        <v>401</v>
      </c>
      <c r="P56" s="26" t="s">
        <v>402</v>
      </c>
      <c r="Q56" s="85">
        <f>2*PI()*Q54*Q55/(LN(Q53/Q51))*1000000000</f>
        <v>0.50594615125588516</v>
      </c>
      <c r="R56" s="26" t="s">
        <v>403</v>
      </c>
      <c r="T56" s="38" t="s">
        <v>404</v>
      </c>
      <c r="U56" s="50">
        <f>(U54*U55)-((U54-2*U53)*(U55-2*U53))</f>
        <v>144</v>
      </c>
      <c r="V56" s="38" t="s">
        <v>405</v>
      </c>
    </row>
    <row r="57" spans="2:28" ht="16.5" x14ac:dyDescent="0.3">
      <c r="B57" s="76" t="s">
        <v>406</v>
      </c>
      <c r="C57" s="82">
        <v>0</v>
      </c>
      <c r="D57" s="82"/>
      <c r="E57" s="82">
        <v>0</v>
      </c>
      <c r="F57" s="82">
        <v>0</v>
      </c>
      <c r="G57" s="82">
        <v>0</v>
      </c>
      <c r="H57" s="76" t="s">
        <v>398</v>
      </c>
      <c r="I57" s="28"/>
      <c r="J57" s="76"/>
      <c r="L57" s="76" t="s">
        <v>371</v>
      </c>
      <c r="M57" s="80">
        <v>1</v>
      </c>
      <c r="N57" s="76" t="s">
        <v>68</v>
      </c>
      <c r="P57" s="26" t="s">
        <v>407</v>
      </c>
      <c r="Q57" s="64">
        <v>10</v>
      </c>
      <c r="R57" s="26" t="s">
        <v>408</v>
      </c>
      <c r="T57" s="38" t="s">
        <v>179</v>
      </c>
      <c r="U57" s="52">
        <v>7200</v>
      </c>
      <c r="V57" s="58" t="s">
        <v>409</v>
      </c>
      <c r="X57" s="88"/>
      <c r="Y57" s="88"/>
      <c r="Z57" s="88"/>
      <c r="AA57" s="88"/>
      <c r="AB57" s="88"/>
    </row>
    <row r="58" spans="2:28" ht="16.5" x14ac:dyDescent="0.3">
      <c r="B58" s="76" t="s">
        <v>410</v>
      </c>
      <c r="C58" s="82">
        <v>0</v>
      </c>
      <c r="D58" s="82"/>
      <c r="E58" s="82">
        <v>0</v>
      </c>
      <c r="F58" s="82">
        <v>0</v>
      </c>
      <c r="G58" s="82">
        <v>0</v>
      </c>
      <c r="H58" s="76" t="s">
        <v>411</v>
      </c>
      <c r="I58" s="28"/>
      <c r="J58" s="76"/>
      <c r="L58" s="76" t="s">
        <v>412</v>
      </c>
      <c r="M58" s="80">
        <v>2.1</v>
      </c>
      <c r="N58" s="76" t="s">
        <v>413</v>
      </c>
      <c r="O58" s="54"/>
      <c r="P58" s="26" t="s">
        <v>414</v>
      </c>
      <c r="Q58" s="89">
        <f>Q56*Q57</f>
        <v>5.0594615125588511</v>
      </c>
      <c r="R58" s="26" t="s">
        <v>415</v>
      </c>
      <c r="T58" s="38" t="s">
        <v>416</v>
      </c>
      <c r="U58" s="59">
        <f>U57/U56</f>
        <v>50</v>
      </c>
      <c r="V58" s="58" t="s">
        <v>409</v>
      </c>
      <c r="X58" s="88"/>
      <c r="Y58" s="88"/>
      <c r="Z58" s="88"/>
      <c r="AA58" s="88"/>
      <c r="AB58" s="88"/>
    </row>
    <row r="59" spans="2:28" ht="16.5" x14ac:dyDescent="0.3">
      <c r="B59" s="76" t="s">
        <v>417</v>
      </c>
      <c r="C59" s="90">
        <f t="shared" ref="C59:G59" si="82">C56*C54+C57*C54</f>
        <v>100.17672959190318</v>
      </c>
      <c r="D59" s="90"/>
      <c r="E59" s="90">
        <f t="shared" si="82"/>
        <v>86.490608313266335</v>
      </c>
      <c r="F59" s="90">
        <f t="shared" si="82"/>
        <v>84.522406420840667</v>
      </c>
      <c r="G59" s="90">
        <f t="shared" si="82"/>
        <v>83.760676411731026</v>
      </c>
      <c r="H59" s="76" t="s">
        <v>418</v>
      </c>
      <c r="I59" s="28"/>
      <c r="J59" s="76"/>
      <c r="L59" s="76" t="s">
        <v>419</v>
      </c>
      <c r="M59" s="83">
        <f>8.854/1000000000000*M58*(M56/1000000)/(M57/1000)*1000000000</f>
        <v>5.5780200000000002E-2</v>
      </c>
      <c r="N59" s="76" t="s">
        <v>415</v>
      </c>
      <c r="T59" s="38" t="s">
        <v>313</v>
      </c>
      <c r="U59" s="59">
        <f>U46/100000000*(U57^2)/(U56/1000000)*U51/1000</f>
        <v>110627.99999999999</v>
      </c>
      <c r="V59" s="58" t="s">
        <v>314</v>
      </c>
      <c r="X59" s="91" t="s">
        <v>420</v>
      </c>
      <c r="Y59" s="92"/>
      <c r="Z59" s="92"/>
      <c r="AA59" s="88"/>
      <c r="AB59" s="88"/>
    </row>
    <row r="60" spans="2:28" ht="16.5" x14ac:dyDescent="0.3">
      <c r="B60" s="76" t="s">
        <v>421</v>
      </c>
      <c r="C60" s="82">
        <f t="shared" ref="C60:G60" si="83">C54*C58</f>
        <v>0</v>
      </c>
      <c r="D60" s="82"/>
      <c r="E60" s="82">
        <f t="shared" si="83"/>
        <v>0</v>
      </c>
      <c r="F60" s="82">
        <f t="shared" si="83"/>
        <v>0</v>
      </c>
      <c r="G60" s="82">
        <f t="shared" si="83"/>
        <v>0</v>
      </c>
      <c r="H60" s="76" t="s">
        <v>418</v>
      </c>
      <c r="I60" s="28"/>
      <c r="J60" s="76"/>
      <c r="X60" s="31" t="s">
        <v>58</v>
      </c>
      <c r="Y60" s="32">
        <v>12</v>
      </c>
      <c r="Z60" s="31" t="s">
        <v>59</v>
      </c>
      <c r="AA60" s="88"/>
      <c r="AB60" s="88"/>
    </row>
    <row r="61" spans="2:28" ht="16.5" x14ac:dyDescent="0.3">
      <c r="B61" s="76" t="s">
        <v>422</v>
      </c>
      <c r="C61" s="81">
        <v>100</v>
      </c>
      <c r="D61" s="81"/>
      <c r="E61" s="81">
        <v>100</v>
      </c>
      <c r="F61" s="81">
        <v>100</v>
      </c>
      <c r="G61" s="81">
        <v>100</v>
      </c>
      <c r="H61" s="76" t="s">
        <v>156</v>
      </c>
      <c r="I61" s="28">
        <v>12</v>
      </c>
      <c r="J61" s="78" t="s">
        <v>423</v>
      </c>
      <c r="L61" s="160" t="s">
        <v>424</v>
      </c>
      <c r="M61" s="160"/>
      <c r="N61" s="160"/>
      <c r="O61" s="1"/>
      <c r="T61" s="161" t="s">
        <v>425</v>
      </c>
      <c r="U61" s="161"/>
      <c r="V61" s="161"/>
      <c r="X61" s="31" t="s">
        <v>67</v>
      </c>
      <c r="Y61" s="32">
        <v>222.5</v>
      </c>
      <c r="Z61" s="31" t="s">
        <v>68</v>
      </c>
      <c r="AA61" s="88"/>
      <c r="AB61" s="88"/>
    </row>
    <row r="62" spans="2:28" ht="16.5" x14ac:dyDescent="0.3">
      <c r="B62" s="76" t="s">
        <v>426</v>
      </c>
      <c r="C62" s="93">
        <f t="shared" ref="C62:G62" si="84">C59*C61/100</f>
        <v>100.17672959190318</v>
      </c>
      <c r="D62" s="93"/>
      <c r="E62" s="93">
        <f t="shared" si="84"/>
        <v>86.490608313266335</v>
      </c>
      <c r="F62" s="93">
        <f t="shared" si="84"/>
        <v>84.522406420840667</v>
      </c>
      <c r="G62" s="93">
        <f t="shared" si="84"/>
        <v>83.760676411731026</v>
      </c>
      <c r="H62" s="76" t="s">
        <v>381</v>
      </c>
      <c r="I62" s="28"/>
      <c r="J62" s="76"/>
      <c r="L62" s="94"/>
      <c r="M62" s="95" t="s">
        <v>427</v>
      </c>
      <c r="N62" s="95" t="s">
        <v>428</v>
      </c>
      <c r="O62" s="95" t="s">
        <v>429</v>
      </c>
      <c r="T62" s="33" t="s">
        <v>213</v>
      </c>
      <c r="U62" s="35" t="s">
        <v>62</v>
      </c>
      <c r="V62" s="35"/>
      <c r="X62" s="31" t="s">
        <v>430</v>
      </c>
      <c r="Y62" s="32">
        <v>285</v>
      </c>
      <c r="Z62" s="31" t="s">
        <v>431</v>
      </c>
      <c r="AA62" s="88"/>
      <c r="AB62" s="88"/>
    </row>
    <row r="63" spans="2:28" ht="16.5" x14ac:dyDescent="0.3">
      <c r="B63" s="76" t="s">
        <v>432</v>
      </c>
      <c r="C63" s="86">
        <f t="shared" ref="C63:G63" si="85">C50*0.9</f>
        <v>330.91715879322203</v>
      </c>
      <c r="D63" s="86"/>
      <c r="E63" s="86">
        <f t="shared" si="85"/>
        <v>241.10829684297829</v>
      </c>
      <c r="F63" s="86">
        <f t="shared" si="85"/>
        <v>344.79329474242525</v>
      </c>
      <c r="G63" s="86">
        <f t="shared" si="85"/>
        <v>299.87465792617138</v>
      </c>
      <c r="H63" s="76" t="s">
        <v>178</v>
      </c>
      <c r="I63" s="28"/>
      <c r="J63" s="76"/>
      <c r="L63" s="95" t="s">
        <v>433</v>
      </c>
      <c r="M63" s="95" t="s">
        <v>434</v>
      </c>
      <c r="N63" s="95" t="s">
        <v>435</v>
      </c>
      <c r="O63" s="95" t="s">
        <v>436</v>
      </c>
      <c r="T63" s="38" t="s">
        <v>333</v>
      </c>
      <c r="U63" s="39">
        <v>1.75</v>
      </c>
      <c r="V63" s="38" t="s">
        <v>221</v>
      </c>
      <c r="X63" s="31" t="s">
        <v>437</v>
      </c>
      <c r="Y63" s="43">
        <f>((Y61/25.4)^2*(Y60^2))/(8*Y61/25.4+11*Y62/25.4)</f>
        <v>57.103836079493135</v>
      </c>
      <c r="Z63" s="31" t="s">
        <v>64</v>
      </c>
      <c r="AA63" s="88"/>
      <c r="AB63" s="88"/>
    </row>
    <row r="64" spans="2:28" ht="16.5" x14ac:dyDescent="0.3">
      <c r="B64" s="76" t="s">
        <v>438</v>
      </c>
      <c r="C64" s="81">
        <v>2</v>
      </c>
      <c r="D64" s="81"/>
      <c r="E64" s="81">
        <v>2</v>
      </c>
      <c r="F64" s="81">
        <v>2</v>
      </c>
      <c r="G64" s="81">
        <v>2</v>
      </c>
      <c r="H64" s="76" t="s">
        <v>332</v>
      </c>
      <c r="I64" s="28">
        <v>13</v>
      </c>
      <c r="J64" s="78" t="s">
        <v>439</v>
      </c>
      <c r="L64" s="96">
        <v>0.5</v>
      </c>
      <c r="M64" s="96"/>
      <c r="N64" s="96">
        <v>2.5</v>
      </c>
      <c r="O64" s="96"/>
      <c r="T64" s="38" t="s">
        <v>339</v>
      </c>
      <c r="U64" s="41">
        <v>3.8999999999999998E-3</v>
      </c>
      <c r="V64" s="38" t="s">
        <v>228</v>
      </c>
      <c r="X64" s="88"/>
      <c r="Y64" s="88"/>
      <c r="Z64" s="88"/>
      <c r="AA64" s="88"/>
      <c r="AB64" s="88"/>
    </row>
    <row r="65" spans="2:28" ht="16.5" x14ac:dyDescent="0.3">
      <c r="B65" s="76" t="s">
        <v>440</v>
      </c>
      <c r="C65" s="81">
        <v>1</v>
      </c>
      <c r="D65" s="81"/>
      <c r="E65" s="81">
        <v>1</v>
      </c>
      <c r="F65" s="81">
        <v>1</v>
      </c>
      <c r="G65" s="81">
        <v>1</v>
      </c>
      <c r="H65" s="76" t="s">
        <v>332</v>
      </c>
      <c r="I65" s="28">
        <v>14</v>
      </c>
      <c r="J65" s="78" t="s">
        <v>441</v>
      </c>
      <c r="L65" s="96">
        <v>0.8</v>
      </c>
      <c r="M65" s="96">
        <v>1.9</v>
      </c>
      <c r="N65" s="96">
        <v>1.42</v>
      </c>
      <c r="O65" s="96"/>
      <c r="T65" s="38" t="s">
        <v>234</v>
      </c>
      <c r="U65" s="44">
        <v>45</v>
      </c>
      <c r="V65" s="38" t="s">
        <v>93</v>
      </c>
      <c r="X65" s="88"/>
      <c r="Y65" s="88"/>
      <c r="Z65" s="88"/>
      <c r="AA65" s="88"/>
      <c r="AB65" s="88"/>
    </row>
    <row r="66" spans="2:28" ht="16.5" x14ac:dyDescent="0.3">
      <c r="B66" s="76" t="s">
        <v>442</v>
      </c>
      <c r="C66" s="82">
        <f t="shared" ref="C66:G66" si="86">C41</f>
        <v>90.424266851989032</v>
      </c>
      <c r="D66" s="82"/>
      <c r="E66" s="82">
        <f t="shared" si="86"/>
        <v>118.58781050244636</v>
      </c>
      <c r="F66" s="82">
        <f t="shared" si="86"/>
        <v>86.785160642332059</v>
      </c>
      <c r="G66" s="82">
        <f t="shared" si="86"/>
        <v>99.765683824479282</v>
      </c>
      <c r="H66" s="76" t="s">
        <v>443</v>
      </c>
      <c r="I66" s="28"/>
      <c r="J66" s="78"/>
      <c r="L66" s="96">
        <v>1</v>
      </c>
      <c r="M66" s="96">
        <v>1.9</v>
      </c>
      <c r="N66" s="96">
        <v>1.4</v>
      </c>
      <c r="O66" s="96"/>
      <c r="T66" s="38" t="s">
        <v>239</v>
      </c>
      <c r="U66" s="41">
        <f>U63*(1+U64*(U65-20))</f>
        <v>1.9206249999999998</v>
      </c>
      <c r="V66" s="38" t="s">
        <v>221</v>
      </c>
    </row>
    <row r="67" spans="2:28" ht="16.5" x14ac:dyDescent="0.3">
      <c r="B67" s="76" t="s">
        <v>444</v>
      </c>
      <c r="C67" s="82">
        <f t="shared" ref="C67:G67" si="87">C17</f>
        <v>30</v>
      </c>
      <c r="D67" s="82"/>
      <c r="E67" s="82">
        <f t="shared" si="87"/>
        <v>25</v>
      </c>
      <c r="F67" s="82">
        <f t="shared" si="87"/>
        <v>30</v>
      </c>
      <c r="G67" s="82">
        <f t="shared" si="87"/>
        <v>30</v>
      </c>
      <c r="H67" s="76" t="s">
        <v>167</v>
      </c>
      <c r="I67" s="28"/>
      <c r="J67" s="76"/>
      <c r="L67" s="96">
        <v>1.2</v>
      </c>
      <c r="M67" s="96"/>
      <c r="N67" s="96">
        <v>1.04</v>
      </c>
      <c r="O67" s="96"/>
      <c r="T67" s="38" t="s">
        <v>445</v>
      </c>
      <c r="U67" s="48">
        <f>1/(U66/100000000)</f>
        <v>52066384.64041654</v>
      </c>
      <c r="V67" s="38" t="s">
        <v>108</v>
      </c>
    </row>
    <row r="68" spans="2:28" ht="16.5" x14ac:dyDescent="0.3">
      <c r="B68" s="76" t="s">
        <v>446</v>
      </c>
      <c r="C68" s="82">
        <f t="shared" ref="C68:G68" si="88">ROUNDUP((C63*C64*((C66*180/100-C67)/180))/2,0)</f>
        <v>245</v>
      </c>
      <c r="D68" s="82"/>
      <c r="E68" s="82">
        <f t="shared" si="88"/>
        <v>253</v>
      </c>
      <c r="F68" s="82">
        <f t="shared" si="88"/>
        <v>242</v>
      </c>
      <c r="G68" s="82">
        <f t="shared" si="88"/>
        <v>250</v>
      </c>
      <c r="H68" s="76" t="s">
        <v>418</v>
      </c>
      <c r="I68" s="28"/>
      <c r="J68" s="76"/>
      <c r="L68" s="96">
        <v>2</v>
      </c>
      <c r="M68" s="96">
        <v>1.1200000000000001</v>
      </c>
      <c r="N68" s="96">
        <v>0.75</v>
      </c>
      <c r="O68" s="96"/>
      <c r="T68" s="38" t="s">
        <v>447</v>
      </c>
      <c r="U68" s="35">
        <v>1</v>
      </c>
      <c r="V68" s="38" t="s">
        <v>448</v>
      </c>
    </row>
    <row r="69" spans="2:28" ht="16.5" x14ac:dyDescent="0.3">
      <c r="B69" s="76" t="s">
        <v>449</v>
      </c>
      <c r="C69" s="82">
        <f t="shared" ref="C69:G69" si="89">ROUNDUP((C63*C65*(1-(C66*180/100-C67)/180))/2,0)</f>
        <v>44</v>
      </c>
      <c r="D69" s="82"/>
      <c r="E69" s="82">
        <f t="shared" si="89"/>
        <v>-6</v>
      </c>
      <c r="F69" s="82">
        <f t="shared" si="89"/>
        <v>52</v>
      </c>
      <c r="G69" s="82">
        <f t="shared" si="89"/>
        <v>26</v>
      </c>
      <c r="H69" s="76" t="s">
        <v>418</v>
      </c>
      <c r="I69" s="28"/>
      <c r="J69" s="76"/>
      <c r="L69" s="96">
        <v>3</v>
      </c>
      <c r="M69" s="96">
        <v>0.71</v>
      </c>
      <c r="N69" s="96">
        <v>0.57999999999999996</v>
      </c>
      <c r="O69" s="96"/>
      <c r="T69" s="38" t="s">
        <v>373</v>
      </c>
      <c r="U69" s="52">
        <v>6126</v>
      </c>
      <c r="V69" s="38" t="s">
        <v>141</v>
      </c>
    </row>
    <row r="70" spans="2:28" ht="16.5" x14ac:dyDescent="0.3">
      <c r="B70" s="76" t="s">
        <v>450</v>
      </c>
      <c r="C70" s="93">
        <f t="shared" ref="C70:G70" si="90">ROUNDUP(((C63*C64*(((C66*180/100-C67)/180))+(C63*C65*(1-(C66*180/100-C67)/180))))/2,0)</f>
        <v>288</v>
      </c>
      <c r="D70" s="93"/>
      <c r="E70" s="93">
        <f t="shared" si="90"/>
        <v>247</v>
      </c>
      <c r="F70" s="93">
        <f t="shared" si="90"/>
        <v>294</v>
      </c>
      <c r="G70" s="93">
        <f t="shared" si="90"/>
        <v>275</v>
      </c>
      <c r="H70" s="76" t="s">
        <v>418</v>
      </c>
      <c r="I70" s="28"/>
      <c r="J70" s="76"/>
      <c r="L70" s="96">
        <v>5</v>
      </c>
      <c r="M70" s="96">
        <v>0.43</v>
      </c>
      <c r="N70" s="96">
        <v>0.36</v>
      </c>
      <c r="O70" s="96"/>
      <c r="T70" s="38" t="s">
        <v>451</v>
      </c>
      <c r="U70" s="52">
        <v>2</v>
      </c>
      <c r="V70" s="38" t="s">
        <v>141</v>
      </c>
    </row>
    <row r="71" spans="2:28" ht="16.5" x14ac:dyDescent="0.3">
      <c r="B71" s="76" t="s">
        <v>452</v>
      </c>
      <c r="C71" s="82">
        <f t="shared" ref="C71:G71" si="91">C62+C68</f>
        <v>345.17672959190315</v>
      </c>
      <c r="D71" s="82"/>
      <c r="E71" s="82">
        <f t="shared" si="91"/>
        <v>339.49060831326631</v>
      </c>
      <c r="F71" s="82">
        <f t="shared" si="91"/>
        <v>326.52240642084064</v>
      </c>
      <c r="G71" s="82">
        <f t="shared" si="91"/>
        <v>333.76067641173103</v>
      </c>
      <c r="H71" s="76" t="s">
        <v>418</v>
      </c>
      <c r="I71" s="28"/>
      <c r="J71" s="76"/>
      <c r="L71" s="96">
        <v>6</v>
      </c>
      <c r="M71" s="96"/>
      <c r="N71" s="96">
        <v>0.34</v>
      </c>
      <c r="O71" s="96">
        <v>0.62</v>
      </c>
      <c r="T71" s="38" t="s">
        <v>164</v>
      </c>
      <c r="U71" s="52">
        <v>60</v>
      </c>
      <c r="V71" s="38" t="s">
        <v>141</v>
      </c>
    </row>
    <row r="72" spans="2:28" ht="16.5" x14ac:dyDescent="0.3">
      <c r="B72" s="76" t="s">
        <v>453</v>
      </c>
      <c r="C72" s="82">
        <f t="shared" ref="C72:G72" si="92">C69+C60</f>
        <v>44</v>
      </c>
      <c r="D72" s="82"/>
      <c r="E72" s="82">
        <f t="shared" si="92"/>
        <v>-6</v>
      </c>
      <c r="F72" s="82">
        <f t="shared" si="92"/>
        <v>52</v>
      </c>
      <c r="G72" s="82">
        <f t="shared" si="92"/>
        <v>26</v>
      </c>
      <c r="H72" s="76" t="s">
        <v>418</v>
      </c>
      <c r="I72" s="28"/>
      <c r="J72" s="76"/>
      <c r="L72" s="96">
        <v>8</v>
      </c>
      <c r="M72" s="96">
        <v>0.3</v>
      </c>
      <c r="N72" s="96">
        <v>0.25</v>
      </c>
      <c r="O72" s="96"/>
      <c r="T72" s="38" t="s">
        <v>454</v>
      </c>
      <c r="U72" s="50">
        <f>U70*U71</f>
        <v>120</v>
      </c>
      <c r="V72" s="38" t="s">
        <v>405</v>
      </c>
    </row>
    <row r="73" spans="2:28" ht="16.5" x14ac:dyDescent="0.3">
      <c r="B73" s="76" t="s">
        <v>455</v>
      </c>
      <c r="C73" s="93">
        <f t="shared" ref="C73:G73" si="93">ROUNDUP((C53+C62+C70),0)</f>
        <v>390</v>
      </c>
      <c r="D73" s="93"/>
      <c r="E73" s="93">
        <f t="shared" si="93"/>
        <v>335</v>
      </c>
      <c r="F73" s="93">
        <f t="shared" si="93"/>
        <v>380</v>
      </c>
      <c r="G73" s="93">
        <f t="shared" si="93"/>
        <v>361</v>
      </c>
      <c r="H73" s="76" t="s">
        <v>418</v>
      </c>
      <c r="I73" s="28"/>
      <c r="J73" s="76"/>
      <c r="L73" s="96">
        <v>10</v>
      </c>
      <c r="M73" s="96"/>
      <c r="N73" s="96"/>
      <c r="O73" s="96">
        <v>0.45</v>
      </c>
      <c r="T73" s="38" t="s">
        <v>179</v>
      </c>
      <c r="U73" s="52">
        <v>850</v>
      </c>
      <c r="V73" s="58" t="s">
        <v>180</v>
      </c>
    </row>
    <row r="74" spans="2:28" ht="16.5" x14ac:dyDescent="0.3">
      <c r="B74" s="76" t="s">
        <v>456</v>
      </c>
      <c r="C74" s="97">
        <v>2</v>
      </c>
      <c r="D74" s="97"/>
      <c r="E74" s="97">
        <v>2</v>
      </c>
      <c r="F74" s="97">
        <v>2</v>
      </c>
      <c r="G74" s="97">
        <v>2</v>
      </c>
      <c r="H74" s="76"/>
      <c r="I74" s="28">
        <v>15</v>
      </c>
      <c r="J74" s="78" t="s">
        <v>457</v>
      </c>
      <c r="L74" s="96">
        <v>15</v>
      </c>
      <c r="M74" s="96"/>
      <c r="N74" s="96"/>
      <c r="O74" s="96">
        <v>0.4</v>
      </c>
      <c r="T74" s="38" t="s">
        <v>416</v>
      </c>
      <c r="U74" s="59">
        <f>U73/U72</f>
        <v>7.083333333333333</v>
      </c>
      <c r="V74" s="58" t="s">
        <v>180</v>
      </c>
    </row>
    <row r="75" spans="2:28" ht="16.5" x14ac:dyDescent="0.3">
      <c r="B75" s="76" t="s">
        <v>458</v>
      </c>
      <c r="C75" s="98">
        <f t="shared" ref="C75:G75" si="94">C73*C74</f>
        <v>780</v>
      </c>
      <c r="D75" s="98"/>
      <c r="E75" s="98">
        <f t="shared" si="94"/>
        <v>670</v>
      </c>
      <c r="F75" s="98">
        <f t="shared" si="94"/>
        <v>760</v>
      </c>
      <c r="G75" s="98">
        <f t="shared" si="94"/>
        <v>722</v>
      </c>
      <c r="H75" s="76" t="s">
        <v>459</v>
      </c>
      <c r="I75" s="28"/>
      <c r="J75" s="76"/>
      <c r="L75" s="96">
        <v>20</v>
      </c>
      <c r="M75" s="96"/>
      <c r="N75" s="96"/>
      <c r="O75" s="96">
        <v>0.35</v>
      </c>
      <c r="T75" s="38" t="s">
        <v>188</v>
      </c>
      <c r="U75" s="59">
        <f>U66/100000000*(U73^2)/(U72/1000000)*U69/1000</f>
        <v>708.39612265624987</v>
      </c>
      <c r="V75" s="58" t="s">
        <v>314</v>
      </c>
    </row>
    <row r="76" spans="2:28" ht="16.5" x14ac:dyDescent="0.3">
      <c r="B76" s="76" t="s">
        <v>460</v>
      </c>
      <c r="C76" s="99">
        <v>1950</v>
      </c>
      <c r="D76" s="99"/>
      <c r="E76" s="99">
        <v>1950</v>
      </c>
      <c r="F76" s="99">
        <v>1950</v>
      </c>
      <c r="G76" s="99">
        <v>1950</v>
      </c>
      <c r="H76" s="76" t="s">
        <v>418</v>
      </c>
      <c r="I76" s="28">
        <v>16</v>
      </c>
      <c r="J76" s="78" t="s">
        <v>370</v>
      </c>
      <c r="L76" s="96">
        <v>30</v>
      </c>
      <c r="M76" s="96"/>
      <c r="N76" s="96"/>
      <c r="O76" s="96">
        <v>0.28939999999999999</v>
      </c>
    </row>
    <row r="77" spans="2:28" ht="16.5" x14ac:dyDescent="0.3">
      <c r="B77" s="76" t="s">
        <v>461</v>
      </c>
      <c r="C77" s="98">
        <f t="shared" ref="C77:G77" si="95">ROUNDUP(C75/C76*100,0)</f>
        <v>40</v>
      </c>
      <c r="D77" s="98"/>
      <c r="E77" s="98">
        <f t="shared" si="95"/>
        <v>35</v>
      </c>
      <c r="F77" s="98">
        <f t="shared" si="95"/>
        <v>39</v>
      </c>
      <c r="G77" s="98">
        <f t="shared" si="95"/>
        <v>38</v>
      </c>
      <c r="H77" s="76" t="s">
        <v>99</v>
      </c>
      <c r="I77" s="28"/>
      <c r="J77" s="78" t="s">
        <v>462</v>
      </c>
      <c r="L77" s="96">
        <v>50</v>
      </c>
      <c r="M77" s="96"/>
      <c r="N77" s="96"/>
      <c r="O77" s="96">
        <v>0.224</v>
      </c>
    </row>
    <row r="78" spans="2:28" ht="16.5" x14ac:dyDescent="0.3">
      <c r="B78" s="76" t="s">
        <v>463</v>
      </c>
      <c r="C78" s="100">
        <v>6.4000000000000001E-2</v>
      </c>
      <c r="D78" s="100"/>
      <c r="E78" s="100">
        <v>6.4000000000000001E-2</v>
      </c>
      <c r="F78" s="100">
        <v>6.4000000000000001E-2</v>
      </c>
      <c r="G78" s="100">
        <v>6.4000000000000001E-2</v>
      </c>
      <c r="H78" s="76" t="s">
        <v>464</v>
      </c>
      <c r="I78" s="28">
        <v>17</v>
      </c>
      <c r="J78" s="101" t="s">
        <v>370</v>
      </c>
      <c r="L78" s="96">
        <v>100</v>
      </c>
      <c r="M78" s="96"/>
      <c r="N78" s="96"/>
      <c r="O78" s="96">
        <v>0.161</v>
      </c>
    </row>
    <row r="79" spans="2:28" ht="16.5" x14ac:dyDescent="0.3">
      <c r="B79" s="76" t="s">
        <v>465</v>
      </c>
      <c r="C79" s="100">
        <v>0.1</v>
      </c>
      <c r="D79" s="100"/>
      <c r="E79" s="100">
        <v>0.1</v>
      </c>
      <c r="F79" s="100">
        <v>0.1</v>
      </c>
      <c r="G79" s="100">
        <v>0.1</v>
      </c>
      <c r="H79" s="76" t="s">
        <v>466</v>
      </c>
      <c r="I79" s="28">
        <v>18</v>
      </c>
      <c r="J79" s="101" t="s">
        <v>370</v>
      </c>
      <c r="L79" s="96">
        <v>200</v>
      </c>
      <c r="M79" s="96"/>
      <c r="N79" s="96"/>
      <c r="O79" s="96">
        <v>7.7600000000000002E-2</v>
      </c>
    </row>
    <row r="80" spans="2:28" ht="16.5" x14ac:dyDescent="0.3">
      <c r="B80" s="76" t="s">
        <v>467</v>
      </c>
      <c r="C80" s="102">
        <f t="shared" ref="C80:G81" si="96">125-C78*C71</f>
        <v>102.90868930611819</v>
      </c>
      <c r="D80" s="102"/>
      <c r="E80" s="102">
        <f t="shared" si="96"/>
        <v>103.27260106795096</v>
      </c>
      <c r="F80" s="102">
        <f t="shared" si="96"/>
        <v>104.10256598906619</v>
      </c>
      <c r="G80" s="102">
        <f t="shared" si="96"/>
        <v>103.63931670964922</v>
      </c>
      <c r="H80" s="103" t="s">
        <v>468</v>
      </c>
      <c r="I80" s="28"/>
      <c r="J80" s="78" t="s">
        <v>469</v>
      </c>
      <c r="L80" s="96">
        <v>300</v>
      </c>
      <c r="M80" s="96"/>
      <c r="N80" s="96"/>
      <c r="O80" s="96">
        <v>5.2400000000000002E-2</v>
      </c>
    </row>
    <row r="81" spans="2:18" ht="16.5" x14ac:dyDescent="0.3">
      <c r="B81" s="76" t="s">
        <v>470</v>
      </c>
      <c r="C81" s="79">
        <f t="shared" si="96"/>
        <v>120.6</v>
      </c>
      <c r="D81" s="79"/>
      <c r="E81" s="79">
        <f t="shared" si="96"/>
        <v>125.6</v>
      </c>
      <c r="F81" s="79">
        <f t="shared" si="96"/>
        <v>119.8</v>
      </c>
      <c r="G81" s="79">
        <f t="shared" si="96"/>
        <v>122.4</v>
      </c>
      <c r="H81" s="103" t="s">
        <v>471</v>
      </c>
      <c r="I81" s="28"/>
      <c r="J81" s="76"/>
    </row>
    <row r="82" spans="2:18" ht="16.5" x14ac:dyDescent="0.3">
      <c r="B82" s="76" t="s">
        <v>472</v>
      </c>
      <c r="C82" s="79">
        <f t="shared" ref="C82:G83" si="97">C78*C71</f>
        <v>22.091310693881802</v>
      </c>
      <c r="D82" s="79"/>
      <c r="E82" s="79">
        <f t="shared" si="97"/>
        <v>21.727398932049045</v>
      </c>
      <c r="F82" s="79">
        <f t="shared" si="97"/>
        <v>20.8974340109338</v>
      </c>
      <c r="G82" s="79">
        <f t="shared" si="97"/>
        <v>21.360683290350785</v>
      </c>
      <c r="H82" s="103" t="s">
        <v>471</v>
      </c>
      <c r="I82" s="28"/>
      <c r="J82" s="76"/>
      <c r="L82" s="160" t="s">
        <v>473</v>
      </c>
      <c r="M82" s="160"/>
      <c r="N82" s="160"/>
      <c r="P82" s="160" t="s">
        <v>474</v>
      </c>
      <c r="Q82" s="160"/>
      <c r="R82" s="160"/>
    </row>
    <row r="83" spans="2:18" ht="16.5" x14ac:dyDescent="0.3">
      <c r="B83" s="76" t="s">
        <v>475</v>
      </c>
      <c r="C83" s="79">
        <f t="shared" si="97"/>
        <v>4.4000000000000004</v>
      </c>
      <c r="D83" s="79"/>
      <c r="E83" s="79">
        <f t="shared" si="97"/>
        <v>-0.60000000000000009</v>
      </c>
      <c r="F83" s="79">
        <f t="shared" si="97"/>
        <v>5.2</v>
      </c>
      <c r="G83" s="79">
        <f t="shared" si="97"/>
        <v>2.6</v>
      </c>
      <c r="H83" s="103" t="s">
        <v>468</v>
      </c>
      <c r="I83" s="28"/>
      <c r="J83" s="76"/>
      <c r="L83" s="104" t="s">
        <v>476</v>
      </c>
      <c r="M83" s="104" t="s">
        <v>477</v>
      </c>
      <c r="N83" s="104"/>
      <c r="P83" s="104" t="s">
        <v>478</v>
      </c>
      <c r="Q83" s="104" t="s">
        <v>479</v>
      </c>
      <c r="R83" s="104" t="s">
        <v>480</v>
      </c>
    </row>
    <row r="84" spans="2:18" ht="16.5" x14ac:dyDescent="0.3">
      <c r="B84" s="76" t="s">
        <v>481</v>
      </c>
      <c r="C84" s="100">
        <v>0.03</v>
      </c>
      <c r="D84" s="100"/>
      <c r="E84" s="100">
        <v>0.03</v>
      </c>
      <c r="F84" s="100">
        <v>0.03</v>
      </c>
      <c r="G84" s="100">
        <v>0.03</v>
      </c>
      <c r="H84" s="76" t="s">
        <v>466</v>
      </c>
      <c r="I84" s="28">
        <v>19</v>
      </c>
      <c r="J84" s="76" t="s">
        <v>370</v>
      </c>
      <c r="L84" s="26" t="s">
        <v>482</v>
      </c>
      <c r="M84" s="26">
        <v>183</v>
      </c>
      <c r="N84" s="26" t="s">
        <v>483</v>
      </c>
      <c r="P84" s="105" t="s">
        <v>484</v>
      </c>
      <c r="Q84" s="105" t="s">
        <v>485</v>
      </c>
      <c r="R84" s="106" t="s">
        <v>486</v>
      </c>
    </row>
    <row r="85" spans="2:18" ht="16.5" x14ac:dyDescent="0.3">
      <c r="B85" s="76" t="s">
        <v>487</v>
      </c>
      <c r="C85" s="100">
        <v>0.06</v>
      </c>
      <c r="D85" s="100"/>
      <c r="E85" s="100">
        <v>0.06</v>
      </c>
      <c r="F85" s="100">
        <v>0.06</v>
      </c>
      <c r="G85" s="100">
        <v>0.06</v>
      </c>
      <c r="H85" s="76" t="s">
        <v>466</v>
      </c>
      <c r="I85" s="28">
        <v>20</v>
      </c>
      <c r="J85" s="76" t="s">
        <v>488</v>
      </c>
      <c r="L85" s="26" t="s">
        <v>489</v>
      </c>
      <c r="M85" s="26">
        <v>75</v>
      </c>
      <c r="N85" s="26" t="s">
        <v>490</v>
      </c>
      <c r="P85" s="105" t="s">
        <v>491</v>
      </c>
      <c r="Q85" s="105" t="s">
        <v>492</v>
      </c>
      <c r="R85" s="106" t="s">
        <v>493</v>
      </c>
    </row>
    <row r="86" spans="2:18" ht="16.5" x14ac:dyDescent="0.3">
      <c r="B86" s="76" t="s">
        <v>494</v>
      </c>
      <c r="C86" s="107">
        <f t="shared" ref="C86:G87" si="98">C80-C84*C71</f>
        <v>92.553387418361098</v>
      </c>
      <c r="D86" s="107"/>
      <c r="E86" s="107">
        <f t="shared" si="98"/>
        <v>93.08788281855297</v>
      </c>
      <c r="F86" s="107">
        <f t="shared" si="98"/>
        <v>94.306893796440974</v>
      </c>
      <c r="G86" s="107">
        <f t="shared" si="98"/>
        <v>93.62649641729729</v>
      </c>
      <c r="H86" s="103" t="s">
        <v>471</v>
      </c>
      <c r="I86" s="28"/>
      <c r="J86" s="76" t="s">
        <v>469</v>
      </c>
      <c r="L86" s="26" t="s">
        <v>495</v>
      </c>
      <c r="M86" s="26">
        <v>9</v>
      </c>
      <c r="N86" s="26" t="s">
        <v>490</v>
      </c>
      <c r="P86" s="105" t="s">
        <v>496</v>
      </c>
      <c r="Q86" s="105" t="s">
        <v>497</v>
      </c>
      <c r="R86" s="106" t="s">
        <v>498</v>
      </c>
    </row>
    <row r="87" spans="2:18" ht="16.5" x14ac:dyDescent="0.3">
      <c r="B87" s="76" t="s">
        <v>499</v>
      </c>
      <c r="C87" s="79">
        <f t="shared" si="98"/>
        <v>117.96</v>
      </c>
      <c r="D87" s="79"/>
      <c r="E87" s="79">
        <f t="shared" si="98"/>
        <v>125.96</v>
      </c>
      <c r="F87" s="79">
        <f t="shared" si="98"/>
        <v>116.67999999999999</v>
      </c>
      <c r="G87" s="79">
        <f t="shared" si="98"/>
        <v>120.84</v>
      </c>
      <c r="H87" s="103" t="s">
        <v>471</v>
      </c>
      <c r="I87" s="28"/>
      <c r="J87" s="76"/>
      <c r="L87" s="26" t="s">
        <v>500</v>
      </c>
      <c r="M87" s="26">
        <v>6</v>
      </c>
      <c r="N87" s="26" t="s">
        <v>490</v>
      </c>
      <c r="P87" s="105" t="s">
        <v>501</v>
      </c>
      <c r="Q87" s="105" t="s">
        <v>502</v>
      </c>
      <c r="R87" s="106" t="s">
        <v>503</v>
      </c>
    </row>
    <row r="88" spans="2:18" ht="16.5" x14ac:dyDescent="0.3">
      <c r="B88" s="76" t="s">
        <v>504</v>
      </c>
      <c r="C88" s="79">
        <f t="shared" ref="C88:G89" si="99">C84*C71</f>
        <v>10.355301887757093</v>
      </c>
      <c r="D88" s="79"/>
      <c r="E88" s="79">
        <f t="shared" si="99"/>
        <v>10.184718249397989</v>
      </c>
      <c r="F88" s="79">
        <f t="shared" si="99"/>
        <v>9.7956721926252186</v>
      </c>
      <c r="G88" s="79">
        <f t="shared" si="99"/>
        <v>10.012820292351931</v>
      </c>
      <c r="H88" s="103" t="s">
        <v>468</v>
      </c>
      <c r="I88" s="28"/>
      <c r="J88" s="76"/>
      <c r="L88" s="26" t="s">
        <v>505</v>
      </c>
      <c r="M88" s="26">
        <v>12</v>
      </c>
      <c r="N88" s="26" t="s">
        <v>490</v>
      </c>
      <c r="P88" s="105" t="s">
        <v>506</v>
      </c>
      <c r="Q88" s="105" t="s">
        <v>507</v>
      </c>
      <c r="R88" s="106" t="s">
        <v>508</v>
      </c>
    </row>
    <row r="89" spans="2:18" ht="16.5" x14ac:dyDescent="0.3">
      <c r="B89" s="76" t="s">
        <v>509</v>
      </c>
      <c r="C89" s="79">
        <f t="shared" si="99"/>
        <v>2.6399999999999997</v>
      </c>
      <c r="D89" s="79"/>
      <c r="E89" s="79">
        <f t="shared" si="99"/>
        <v>-0.36</v>
      </c>
      <c r="F89" s="79">
        <f t="shared" si="99"/>
        <v>3.12</v>
      </c>
      <c r="G89" s="79">
        <f t="shared" si="99"/>
        <v>1.56</v>
      </c>
      <c r="H89" s="103" t="s">
        <v>468</v>
      </c>
      <c r="I89" s="28"/>
      <c r="J89" s="76"/>
      <c r="L89" s="26" t="s">
        <v>510</v>
      </c>
      <c r="M89" s="26">
        <v>78.540000000000006</v>
      </c>
      <c r="N89" s="26" t="s">
        <v>490</v>
      </c>
      <c r="P89" s="105" t="s">
        <v>511</v>
      </c>
      <c r="Q89" s="105" t="s">
        <v>512</v>
      </c>
      <c r="R89" s="106" t="s">
        <v>513</v>
      </c>
    </row>
    <row r="90" spans="2:18" ht="16.5" x14ac:dyDescent="0.3">
      <c r="B90" s="76" t="s">
        <v>514</v>
      </c>
      <c r="C90" s="79">
        <v>60</v>
      </c>
      <c r="D90" s="79"/>
      <c r="E90" s="79">
        <v>60</v>
      </c>
      <c r="F90" s="79">
        <v>60</v>
      </c>
      <c r="G90" s="79">
        <v>60</v>
      </c>
      <c r="H90" s="103" t="s">
        <v>468</v>
      </c>
      <c r="I90" s="28"/>
      <c r="J90" s="76" t="s">
        <v>515</v>
      </c>
    </row>
    <row r="91" spans="2:18" ht="16.5" x14ac:dyDescent="0.3">
      <c r="B91" s="76" t="s">
        <v>516</v>
      </c>
      <c r="C91" s="108">
        <v>8</v>
      </c>
      <c r="D91" s="108"/>
      <c r="E91" s="108">
        <v>8</v>
      </c>
      <c r="F91" s="108">
        <v>8</v>
      </c>
      <c r="G91" s="108">
        <v>8</v>
      </c>
      <c r="H91" s="103" t="s">
        <v>517</v>
      </c>
      <c r="I91" s="28"/>
      <c r="J91" s="76" t="s">
        <v>518</v>
      </c>
    </row>
    <row r="92" spans="2:18" ht="16.5" x14ac:dyDescent="0.3">
      <c r="B92" s="76" t="s">
        <v>519</v>
      </c>
      <c r="C92" s="109">
        <f t="shared" ref="C92:G92" si="100">C90-(C75/1000*860/C91/60)</f>
        <v>58.602499999999999</v>
      </c>
      <c r="D92" s="109"/>
      <c r="E92" s="109">
        <f t="shared" si="100"/>
        <v>58.799583333333331</v>
      </c>
      <c r="F92" s="109">
        <f t="shared" si="100"/>
        <v>58.638333333333335</v>
      </c>
      <c r="G92" s="109">
        <f t="shared" si="100"/>
        <v>58.706416666666669</v>
      </c>
      <c r="H92" s="103" t="s">
        <v>468</v>
      </c>
      <c r="I92" s="28"/>
      <c r="J92" s="76"/>
    </row>
  </sheetData>
  <mergeCells count="28">
    <mergeCell ref="E1:G2"/>
    <mergeCell ref="L29:N29"/>
    <mergeCell ref="L3:N3"/>
    <mergeCell ref="P3:R3"/>
    <mergeCell ref="T3:V3"/>
    <mergeCell ref="X3:Z3"/>
    <mergeCell ref="P10:R10"/>
    <mergeCell ref="X10:Z10"/>
    <mergeCell ref="P15:R15"/>
    <mergeCell ref="L16:N16"/>
    <mergeCell ref="X19:Z19"/>
    <mergeCell ref="P21:R21"/>
    <mergeCell ref="T22:V22"/>
    <mergeCell ref="X51:Z51"/>
    <mergeCell ref="L55:N55"/>
    <mergeCell ref="T61:V61"/>
    <mergeCell ref="Q32:R32"/>
    <mergeCell ref="X32:Z32"/>
    <mergeCell ref="X38:Z38"/>
    <mergeCell ref="L40:N40"/>
    <mergeCell ref="T41:V41"/>
    <mergeCell ref="X43:Z43"/>
    <mergeCell ref="L82:N82"/>
    <mergeCell ref="P82:R82"/>
    <mergeCell ref="P44:R44"/>
    <mergeCell ref="L49:N49"/>
    <mergeCell ref="P50:R50"/>
    <mergeCell ref="L61:N61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33"/>
  <sheetViews>
    <sheetView tabSelected="1" workbookViewId="0"/>
  </sheetViews>
  <sheetFormatPr defaultRowHeight="16.5" x14ac:dyDescent="0.3"/>
  <cols>
    <col min="1" max="1" width="9" style="1"/>
    <col min="2" max="2" width="25" style="1" bestFit="1" customWidth="1"/>
    <col min="3" max="3" width="62.75" style="1" customWidth="1"/>
    <col min="4" max="4" width="48.375" style="1" customWidth="1"/>
    <col min="5" max="16384" width="9" style="1"/>
  </cols>
  <sheetData>
    <row r="2" spans="2:4" ht="17.25" thickBot="1" x14ac:dyDescent="0.35"/>
    <row r="3" spans="2:4" ht="17.25" thickBot="1" x14ac:dyDescent="0.35">
      <c r="B3" s="2" t="s">
        <v>0</v>
      </c>
      <c r="C3" s="3" t="s">
        <v>621</v>
      </c>
      <c r="D3" s="3" t="s">
        <v>622</v>
      </c>
    </row>
    <row r="4" spans="2:4" ht="17.25" thickBot="1" x14ac:dyDescent="0.35">
      <c r="B4" s="4" t="s">
        <v>1</v>
      </c>
      <c r="C4" s="2" t="s">
        <v>623</v>
      </c>
      <c r="D4" s="2"/>
    </row>
    <row r="5" spans="2:4" x14ac:dyDescent="0.3">
      <c r="B5" s="5" t="s">
        <v>2</v>
      </c>
      <c r="C5" s="6" t="s">
        <v>640</v>
      </c>
      <c r="D5" s="6"/>
    </row>
    <row r="6" spans="2:4" x14ac:dyDescent="0.3">
      <c r="B6" s="5" t="s">
        <v>3</v>
      </c>
      <c r="C6" s="6" t="s">
        <v>624</v>
      </c>
      <c r="D6" s="6"/>
    </row>
    <row r="7" spans="2:4" x14ac:dyDescent="0.3">
      <c r="B7" s="5" t="s">
        <v>4</v>
      </c>
      <c r="C7" s="7" t="s">
        <v>5</v>
      </c>
      <c r="D7" s="7"/>
    </row>
    <row r="8" spans="2:4" x14ac:dyDescent="0.3">
      <c r="B8" s="5" t="s">
        <v>6</v>
      </c>
      <c r="C8" s="159" t="s">
        <v>625</v>
      </c>
      <c r="D8" s="8"/>
    </row>
    <row r="9" spans="2:4" x14ac:dyDescent="0.3">
      <c r="B9" s="5" t="s">
        <v>7</v>
      </c>
      <c r="C9" s="7" t="s">
        <v>8</v>
      </c>
      <c r="D9" s="7"/>
    </row>
    <row r="10" spans="2:4" x14ac:dyDescent="0.3">
      <c r="B10" s="5" t="s">
        <v>9</v>
      </c>
      <c r="C10" s="9" t="s">
        <v>521</v>
      </c>
      <c r="D10" s="9"/>
    </row>
    <row r="11" spans="2:4" x14ac:dyDescent="0.3">
      <c r="B11" s="5" t="s">
        <v>10</v>
      </c>
      <c r="C11" s="9" t="s">
        <v>11</v>
      </c>
      <c r="D11" s="9"/>
    </row>
    <row r="12" spans="2:4" x14ac:dyDescent="0.3">
      <c r="B12" s="5" t="s">
        <v>12</v>
      </c>
      <c r="C12" s="7" t="s">
        <v>13</v>
      </c>
      <c r="D12" s="7"/>
    </row>
    <row r="13" spans="2:4" ht="40.5" x14ac:dyDescent="0.3">
      <c r="B13" s="5" t="s">
        <v>14</v>
      </c>
      <c r="C13" s="13" t="s">
        <v>626</v>
      </c>
      <c r="D13" s="10"/>
    </row>
    <row r="14" spans="2:4" ht="40.5" x14ac:dyDescent="0.3">
      <c r="B14" s="5" t="s">
        <v>15</v>
      </c>
      <c r="C14" s="9" t="s">
        <v>627</v>
      </c>
      <c r="D14" s="11"/>
    </row>
    <row r="15" spans="2:4" x14ac:dyDescent="0.3">
      <c r="B15" s="5" t="s">
        <v>16</v>
      </c>
      <c r="C15" s="12" t="s">
        <v>17</v>
      </c>
      <c r="D15" s="9"/>
    </row>
    <row r="16" spans="2:4" x14ac:dyDescent="0.3">
      <c r="B16" s="5" t="s">
        <v>18</v>
      </c>
      <c r="C16" s="7" t="s">
        <v>19</v>
      </c>
      <c r="D16" s="9"/>
    </row>
    <row r="17" spans="2:4" ht="81" x14ac:dyDescent="0.3">
      <c r="B17" s="5" t="s">
        <v>20</v>
      </c>
      <c r="C17" s="13" t="s">
        <v>634</v>
      </c>
      <c r="D17" s="11"/>
    </row>
    <row r="18" spans="2:4" x14ac:dyDescent="0.3">
      <c r="B18" s="5" t="s">
        <v>21</v>
      </c>
      <c r="C18" s="9" t="s">
        <v>642</v>
      </c>
      <c r="D18" s="9" t="s">
        <v>641</v>
      </c>
    </row>
    <row r="19" spans="2:4" ht="27" x14ac:dyDescent="0.3">
      <c r="B19" s="5" t="s">
        <v>22</v>
      </c>
      <c r="C19" s="9" t="s">
        <v>643</v>
      </c>
      <c r="D19" s="11"/>
    </row>
    <row r="20" spans="2:4" x14ac:dyDescent="0.3">
      <c r="B20" s="5" t="s">
        <v>23</v>
      </c>
      <c r="C20" s="13" t="s">
        <v>24</v>
      </c>
      <c r="D20" s="11"/>
    </row>
    <row r="21" spans="2:4" x14ac:dyDescent="0.3">
      <c r="B21" s="14" t="s">
        <v>25</v>
      </c>
      <c r="C21" s="9"/>
      <c r="D21" s="11" t="s">
        <v>26</v>
      </c>
    </row>
    <row r="22" spans="2:4" x14ac:dyDescent="0.3">
      <c r="B22" s="5" t="s">
        <v>27</v>
      </c>
      <c r="C22" s="7"/>
      <c r="D22" s="7"/>
    </row>
    <row r="23" spans="2:4" x14ac:dyDescent="0.3">
      <c r="B23" s="5" t="s">
        <v>28</v>
      </c>
      <c r="C23" s="15" t="s">
        <v>628</v>
      </c>
      <c r="D23" s="16"/>
    </row>
    <row r="24" spans="2:4" x14ac:dyDescent="0.3">
      <c r="B24" s="5" t="s">
        <v>29</v>
      </c>
      <c r="C24" s="7" t="s">
        <v>30</v>
      </c>
      <c r="D24" s="5"/>
    </row>
    <row r="25" spans="2:4" x14ac:dyDescent="0.3">
      <c r="B25" s="5" t="s">
        <v>31</v>
      </c>
      <c r="C25" s="7" t="s">
        <v>630</v>
      </c>
      <c r="D25" s="5"/>
    </row>
    <row r="26" spans="2:4" x14ac:dyDescent="0.3">
      <c r="B26" s="5" t="s">
        <v>32</v>
      </c>
      <c r="C26" s="7" t="s">
        <v>629</v>
      </c>
      <c r="D26" s="17"/>
    </row>
    <row r="27" spans="2:4" x14ac:dyDescent="0.3">
      <c r="B27" s="18" t="s">
        <v>33</v>
      </c>
      <c r="C27" s="7" t="s">
        <v>631</v>
      </c>
      <c r="D27" s="5"/>
    </row>
    <row r="28" spans="2:4" x14ac:dyDescent="0.3">
      <c r="B28" s="18" t="s">
        <v>34</v>
      </c>
      <c r="C28" s="19" t="s">
        <v>632</v>
      </c>
      <c r="D28" s="18"/>
    </row>
    <row r="29" spans="2:4" x14ac:dyDescent="0.3">
      <c r="B29" s="5" t="s">
        <v>35</v>
      </c>
      <c r="C29" s="7" t="s">
        <v>36</v>
      </c>
      <c r="D29" s="7"/>
    </row>
    <row r="30" spans="2:4" x14ac:dyDescent="0.3">
      <c r="B30" s="18" t="s">
        <v>37</v>
      </c>
      <c r="C30" s="19" t="s">
        <v>633</v>
      </c>
      <c r="D30" s="18"/>
    </row>
    <row r="31" spans="2:4" x14ac:dyDescent="0.3">
      <c r="B31" s="18" t="s">
        <v>38</v>
      </c>
      <c r="C31" s="19" t="s">
        <v>39</v>
      </c>
      <c r="D31" s="18"/>
    </row>
    <row r="32" spans="2:4" x14ac:dyDescent="0.3">
      <c r="B32" s="18" t="s">
        <v>40</v>
      </c>
      <c r="C32" s="19" t="s">
        <v>39</v>
      </c>
      <c r="D32" s="18"/>
    </row>
    <row r="33" spans="2:4" ht="17.25" thickBot="1" x14ac:dyDescent="0.35">
      <c r="B33" s="20" t="s">
        <v>41</v>
      </c>
      <c r="C33" s="21" t="s">
        <v>644</v>
      </c>
      <c r="D33" s="20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60"/>
  <sheetViews>
    <sheetView topLeftCell="A13" workbookViewId="0">
      <selection activeCell="H34" sqref="H34"/>
    </sheetView>
  </sheetViews>
  <sheetFormatPr defaultRowHeight="16.5" x14ac:dyDescent="0.3"/>
  <cols>
    <col min="1" max="1" width="9" style="1"/>
    <col min="2" max="2" width="11.75" style="1" bestFit="1" customWidth="1"/>
    <col min="3" max="3" width="16.875" style="1" bestFit="1" customWidth="1"/>
    <col min="4" max="4" width="18.75" style="1" bestFit="1" customWidth="1"/>
    <col min="5" max="5" width="20.375" style="1" customWidth="1"/>
    <col min="6" max="6" width="8.5" style="1" bestFit="1" customWidth="1"/>
    <col min="7" max="16384" width="9" style="1"/>
  </cols>
  <sheetData>
    <row r="2" spans="2:6" ht="26.25" x14ac:dyDescent="0.3">
      <c r="B2" s="178" t="s">
        <v>522</v>
      </c>
      <c r="C2" s="179"/>
      <c r="D2" s="179"/>
      <c r="E2" s="179"/>
      <c r="F2" s="180"/>
    </row>
    <row r="3" spans="2:6" ht="20.25" x14ac:dyDescent="0.3">
      <c r="B3" s="181" t="s">
        <v>523</v>
      </c>
      <c r="C3" s="181"/>
      <c r="D3" s="182" t="s">
        <v>524</v>
      </c>
      <c r="E3" s="183"/>
      <c r="F3" s="184"/>
    </row>
    <row r="4" spans="2:6" ht="20.25" x14ac:dyDescent="0.3">
      <c r="B4" s="140" t="s">
        <v>525</v>
      </c>
      <c r="C4" s="141" t="s">
        <v>618</v>
      </c>
      <c r="D4" s="140" t="s">
        <v>526</v>
      </c>
      <c r="E4" s="185" t="s">
        <v>619</v>
      </c>
      <c r="F4" s="186"/>
    </row>
    <row r="5" spans="2:6" ht="20.25" x14ac:dyDescent="0.3">
      <c r="B5" s="142" t="s">
        <v>527</v>
      </c>
      <c r="C5" s="143"/>
      <c r="D5" s="140" t="s">
        <v>528</v>
      </c>
      <c r="E5" s="182" t="s">
        <v>620</v>
      </c>
      <c r="F5" s="184"/>
    </row>
    <row r="6" spans="2:6" ht="20.25" x14ac:dyDescent="0.3">
      <c r="B6" s="182" t="s">
        <v>529</v>
      </c>
      <c r="C6" s="183"/>
      <c r="D6" s="183"/>
      <c r="E6" s="183"/>
      <c r="F6" s="184"/>
    </row>
    <row r="7" spans="2:6" x14ac:dyDescent="0.3">
      <c r="B7" s="106">
        <v>1</v>
      </c>
      <c r="C7" s="33" t="s">
        <v>530</v>
      </c>
      <c r="D7" s="144" t="s">
        <v>530</v>
      </c>
      <c r="E7" s="145">
        <v>100</v>
      </c>
      <c r="F7" s="146" t="s">
        <v>531</v>
      </c>
    </row>
    <row r="8" spans="2:6" ht="16.5" hidden="1" customHeight="1" x14ac:dyDescent="0.3">
      <c r="B8" s="147"/>
      <c r="C8" s="147"/>
      <c r="D8" s="144" t="s">
        <v>532</v>
      </c>
      <c r="E8" s="145">
        <v>1</v>
      </c>
      <c r="F8" s="146" t="s">
        <v>533</v>
      </c>
    </row>
    <row r="9" spans="2:6" ht="20.25" hidden="1" customHeight="1" x14ac:dyDescent="0.3">
      <c r="B9" s="147"/>
      <c r="C9" s="147"/>
      <c r="D9" s="144" t="s">
        <v>534</v>
      </c>
      <c r="E9" s="145">
        <f>(10*10^6)/E8</f>
        <v>10000000</v>
      </c>
      <c r="F9" s="148"/>
    </row>
    <row r="10" spans="2:6" ht="16.5" hidden="1" customHeight="1" x14ac:dyDescent="0.3">
      <c r="B10" s="147"/>
      <c r="C10" s="147"/>
      <c r="D10" s="144" t="s">
        <v>535</v>
      </c>
      <c r="E10" s="145">
        <v>100000</v>
      </c>
      <c r="F10" s="148">
        <v>50000</v>
      </c>
    </row>
    <row r="11" spans="2:6" ht="16.5" hidden="1" customHeight="1" x14ac:dyDescent="0.3">
      <c r="B11" s="147"/>
      <c r="C11" s="147"/>
      <c r="D11" s="144" t="s">
        <v>536</v>
      </c>
      <c r="E11" s="145">
        <f>$E9/(E10/10)</f>
        <v>1000</v>
      </c>
      <c r="F11" s="148">
        <f>$E9/(F10/10)</f>
        <v>2000</v>
      </c>
    </row>
    <row r="12" spans="2:6" ht="16.5" hidden="1" customHeight="1" x14ac:dyDescent="0.3">
      <c r="B12" s="147"/>
      <c r="C12" s="147"/>
      <c r="D12" s="144" t="s">
        <v>537</v>
      </c>
      <c r="E12" s="145">
        <f>E11/2</f>
        <v>500</v>
      </c>
      <c r="F12" s="148">
        <f>F11/2</f>
        <v>1000</v>
      </c>
    </row>
    <row r="13" spans="2:6" ht="16.5" customHeight="1" x14ac:dyDescent="0.3">
      <c r="B13" s="168">
        <v>2</v>
      </c>
      <c r="C13" s="170" t="s">
        <v>538</v>
      </c>
      <c r="D13" s="144" t="s">
        <v>539</v>
      </c>
      <c r="E13" s="149">
        <v>150</v>
      </c>
      <c r="F13" s="36" t="s">
        <v>540</v>
      </c>
    </row>
    <row r="14" spans="2:6" x14ac:dyDescent="0.3">
      <c r="B14" s="172"/>
      <c r="C14" s="176"/>
      <c r="D14" s="144" t="s">
        <v>541</v>
      </c>
      <c r="E14" s="149">
        <v>15</v>
      </c>
      <c r="F14" s="36" t="s">
        <v>540</v>
      </c>
    </row>
    <row r="15" spans="2:6" x14ac:dyDescent="0.3">
      <c r="B15" s="168">
        <v>3</v>
      </c>
      <c r="C15" s="170" t="s">
        <v>542</v>
      </c>
      <c r="D15" s="144" t="s">
        <v>542</v>
      </c>
      <c r="E15" s="145">
        <v>440</v>
      </c>
      <c r="F15" s="36" t="s">
        <v>543</v>
      </c>
    </row>
    <row r="16" spans="2:6" x14ac:dyDescent="0.3">
      <c r="B16" s="169"/>
      <c r="C16" s="171"/>
      <c r="D16" s="148" t="s">
        <v>544</v>
      </c>
      <c r="E16" s="145">
        <v>763</v>
      </c>
      <c r="F16" s="36" t="s">
        <v>347</v>
      </c>
    </row>
    <row r="17" spans="2:7" x14ac:dyDescent="0.3">
      <c r="B17" s="169"/>
      <c r="C17" s="171"/>
      <c r="D17" s="148" t="s">
        <v>545</v>
      </c>
      <c r="E17" s="145">
        <v>400</v>
      </c>
      <c r="F17" s="36" t="s">
        <v>347</v>
      </c>
    </row>
    <row r="18" spans="2:7" x14ac:dyDescent="0.3">
      <c r="B18" s="172"/>
      <c r="C18" s="176"/>
      <c r="D18" s="148" t="s">
        <v>546</v>
      </c>
      <c r="E18" s="145">
        <v>350</v>
      </c>
      <c r="F18" s="36" t="s">
        <v>347</v>
      </c>
    </row>
    <row r="19" spans="2:7" x14ac:dyDescent="0.3">
      <c r="B19" s="168">
        <v>4</v>
      </c>
      <c r="C19" s="170" t="s">
        <v>547</v>
      </c>
      <c r="D19" s="144" t="s">
        <v>548</v>
      </c>
      <c r="E19" s="145">
        <v>400</v>
      </c>
      <c r="F19" s="36" t="s">
        <v>549</v>
      </c>
    </row>
    <row r="20" spans="2:7" x14ac:dyDescent="0.3">
      <c r="B20" s="172"/>
      <c r="C20" s="176"/>
      <c r="D20" s="148" t="s">
        <v>550</v>
      </c>
      <c r="E20" s="145">
        <v>400</v>
      </c>
      <c r="F20" s="36" t="s">
        <v>551</v>
      </c>
    </row>
    <row r="21" spans="2:7" x14ac:dyDescent="0.3">
      <c r="B21" s="168">
        <v>5</v>
      </c>
      <c r="C21" s="170" t="s">
        <v>552</v>
      </c>
      <c r="D21" s="150" t="s">
        <v>553</v>
      </c>
      <c r="E21" s="149">
        <v>6.8</v>
      </c>
      <c r="F21" s="151" t="s">
        <v>554</v>
      </c>
    </row>
    <row r="22" spans="2:7" x14ac:dyDescent="0.3">
      <c r="B22" s="169"/>
      <c r="C22" s="171"/>
      <c r="D22" s="150" t="s">
        <v>555</v>
      </c>
      <c r="E22" s="145">
        <v>5</v>
      </c>
      <c r="F22" s="151" t="s">
        <v>556</v>
      </c>
    </row>
    <row r="23" spans="2:7" ht="16.5" customHeight="1" x14ac:dyDescent="0.3">
      <c r="B23" s="169"/>
      <c r="C23" s="171"/>
      <c r="D23" s="150" t="s">
        <v>557</v>
      </c>
      <c r="E23" s="145">
        <v>300</v>
      </c>
      <c r="F23" s="151" t="s">
        <v>558</v>
      </c>
    </row>
    <row r="24" spans="2:7" x14ac:dyDescent="0.3">
      <c r="B24" s="169"/>
      <c r="C24" s="171"/>
      <c r="D24" s="150" t="s">
        <v>559</v>
      </c>
      <c r="E24" s="145">
        <v>400</v>
      </c>
      <c r="F24" s="151" t="s">
        <v>551</v>
      </c>
      <c r="G24" s="1" t="s">
        <v>635</v>
      </c>
    </row>
    <row r="25" spans="2:7" x14ac:dyDescent="0.3">
      <c r="B25" s="169"/>
      <c r="C25" s="171"/>
      <c r="D25" s="36" t="s">
        <v>560</v>
      </c>
      <c r="E25" s="145">
        <f>(3/(E21/E22))*E23</f>
        <v>661.76470588235304</v>
      </c>
      <c r="F25" s="151" t="s">
        <v>551</v>
      </c>
    </row>
    <row r="26" spans="2:7" x14ac:dyDescent="0.3">
      <c r="B26" s="169"/>
      <c r="C26" s="171"/>
      <c r="D26" s="36" t="s">
        <v>561</v>
      </c>
      <c r="E26" s="145">
        <f>E25*1.11</f>
        <v>734.55882352941194</v>
      </c>
      <c r="F26" s="151" t="s">
        <v>283</v>
      </c>
    </row>
    <row r="27" spans="2:7" x14ac:dyDescent="0.3">
      <c r="B27" s="172"/>
      <c r="C27" s="176"/>
      <c r="D27" s="36" t="s">
        <v>562</v>
      </c>
      <c r="E27" s="145">
        <v>600</v>
      </c>
      <c r="F27" s="151" t="s">
        <v>551</v>
      </c>
    </row>
    <row r="28" spans="2:7" ht="16.5" customHeight="1" x14ac:dyDescent="0.3">
      <c r="B28" s="168">
        <v>6</v>
      </c>
      <c r="C28" s="177" t="s">
        <v>563</v>
      </c>
      <c r="D28" s="36" t="s">
        <v>539</v>
      </c>
      <c r="E28" s="149">
        <v>150</v>
      </c>
      <c r="F28" s="151" t="s">
        <v>564</v>
      </c>
    </row>
    <row r="29" spans="2:7" ht="16.5" customHeight="1" x14ac:dyDescent="0.3">
      <c r="B29" s="172"/>
      <c r="C29" s="176"/>
      <c r="D29" s="36" t="s">
        <v>541</v>
      </c>
      <c r="E29" s="149">
        <v>15</v>
      </c>
      <c r="F29" s="151" t="s">
        <v>564</v>
      </c>
    </row>
    <row r="30" spans="2:7" x14ac:dyDescent="0.3">
      <c r="B30" s="168">
        <v>7</v>
      </c>
      <c r="C30" s="170" t="s">
        <v>565</v>
      </c>
      <c r="D30" s="36" t="s">
        <v>539</v>
      </c>
      <c r="E30" s="149">
        <v>150</v>
      </c>
      <c r="F30" s="151" t="s">
        <v>566</v>
      </c>
    </row>
    <row r="31" spans="2:7" x14ac:dyDescent="0.3">
      <c r="B31" s="172"/>
      <c r="C31" s="176"/>
      <c r="D31" s="36" t="s">
        <v>541</v>
      </c>
      <c r="E31" s="149">
        <v>15</v>
      </c>
      <c r="F31" s="151" t="s">
        <v>564</v>
      </c>
    </row>
    <row r="32" spans="2:7" x14ac:dyDescent="0.3">
      <c r="B32" s="168">
        <v>8</v>
      </c>
      <c r="C32" s="170" t="s">
        <v>567</v>
      </c>
      <c r="D32" s="36" t="s">
        <v>568</v>
      </c>
      <c r="E32" s="145"/>
      <c r="F32" s="151" t="s">
        <v>569</v>
      </c>
    </row>
    <row r="33" spans="2:7" x14ac:dyDescent="0.3">
      <c r="B33" s="172"/>
      <c r="C33" s="176"/>
      <c r="D33" s="36" t="s">
        <v>570</v>
      </c>
      <c r="E33" s="145"/>
      <c r="F33" s="151" t="s">
        <v>571</v>
      </c>
    </row>
    <row r="34" spans="2:7" x14ac:dyDescent="0.3">
      <c r="B34" s="168">
        <v>9</v>
      </c>
      <c r="C34" s="170" t="s">
        <v>572</v>
      </c>
      <c r="D34" s="36" t="s">
        <v>573</v>
      </c>
      <c r="E34" s="152">
        <v>10.5</v>
      </c>
      <c r="F34" s="151" t="s">
        <v>574</v>
      </c>
    </row>
    <row r="35" spans="2:7" x14ac:dyDescent="0.3">
      <c r="B35" s="169"/>
      <c r="C35" s="171"/>
      <c r="D35" s="36" t="s">
        <v>575</v>
      </c>
      <c r="E35" s="145">
        <v>2000</v>
      </c>
      <c r="F35" s="151" t="s">
        <v>576</v>
      </c>
    </row>
    <row r="36" spans="2:7" x14ac:dyDescent="0.3">
      <c r="B36" s="172"/>
      <c r="C36" s="176"/>
      <c r="D36" s="36" t="s">
        <v>577</v>
      </c>
      <c r="E36" s="145">
        <v>1800</v>
      </c>
      <c r="F36" s="151" t="s">
        <v>576</v>
      </c>
    </row>
    <row r="37" spans="2:7" x14ac:dyDescent="0.3">
      <c r="B37" s="106">
        <v>10</v>
      </c>
      <c r="C37" s="33" t="s">
        <v>578</v>
      </c>
      <c r="D37" s="36" t="s">
        <v>579</v>
      </c>
      <c r="E37" s="152">
        <v>3</v>
      </c>
      <c r="F37" s="151" t="s">
        <v>580</v>
      </c>
    </row>
    <row r="38" spans="2:7" x14ac:dyDescent="0.3">
      <c r="B38" s="168">
        <v>11</v>
      </c>
      <c r="C38" s="170" t="s">
        <v>581</v>
      </c>
      <c r="D38" s="36" t="s">
        <v>570</v>
      </c>
      <c r="E38" s="145">
        <v>10000</v>
      </c>
      <c r="F38" s="151" t="s">
        <v>571</v>
      </c>
      <c r="G38" s="1" t="s">
        <v>639</v>
      </c>
    </row>
    <row r="39" spans="2:7" ht="16.5" customHeight="1" x14ac:dyDescent="0.3">
      <c r="B39" s="169"/>
      <c r="C39" s="171"/>
      <c r="D39" s="36" t="s">
        <v>568</v>
      </c>
      <c r="E39" s="145"/>
      <c r="F39" s="151" t="s">
        <v>571</v>
      </c>
    </row>
    <row r="40" spans="2:7" x14ac:dyDescent="0.3">
      <c r="B40" s="169"/>
      <c r="C40" s="171"/>
      <c r="D40" s="36" t="s">
        <v>582</v>
      </c>
      <c r="E40" s="145">
        <v>50000</v>
      </c>
      <c r="F40" s="151" t="s">
        <v>571</v>
      </c>
    </row>
    <row r="41" spans="2:7" x14ac:dyDescent="0.3">
      <c r="B41" s="172"/>
      <c r="C41" s="176"/>
      <c r="D41" s="36" t="s">
        <v>583</v>
      </c>
      <c r="E41" s="145">
        <v>48000</v>
      </c>
      <c r="F41" s="151" t="s">
        <v>571</v>
      </c>
    </row>
    <row r="42" spans="2:7" x14ac:dyDescent="0.3">
      <c r="B42" s="168">
        <v>12</v>
      </c>
      <c r="C42" s="170" t="s">
        <v>584</v>
      </c>
      <c r="D42" s="36" t="s">
        <v>585</v>
      </c>
      <c r="E42" s="149">
        <v>1.5</v>
      </c>
      <c r="F42" s="151" t="s">
        <v>586</v>
      </c>
    </row>
    <row r="43" spans="2:7" hidden="1" x14ac:dyDescent="0.3">
      <c r="B43" s="169"/>
      <c r="C43" s="171"/>
      <c r="D43" s="148" t="s">
        <v>587</v>
      </c>
      <c r="E43" s="145">
        <f>(100*10^6)/E8</f>
        <v>100000000</v>
      </c>
      <c r="F43" s="36"/>
    </row>
    <row r="44" spans="2:7" x14ac:dyDescent="0.3">
      <c r="B44" s="168">
        <v>13</v>
      </c>
      <c r="C44" s="170" t="s">
        <v>588</v>
      </c>
      <c r="D44" s="36" t="s">
        <v>589</v>
      </c>
      <c r="E44" s="36" t="s">
        <v>590</v>
      </c>
      <c r="F44" s="153" t="s">
        <v>591</v>
      </c>
    </row>
    <row r="45" spans="2:7" x14ac:dyDescent="0.3">
      <c r="B45" s="169"/>
      <c r="C45" s="171"/>
      <c r="D45" s="36" t="s">
        <v>592</v>
      </c>
      <c r="E45" s="36" t="s">
        <v>593</v>
      </c>
      <c r="F45" s="153" t="s">
        <v>636</v>
      </c>
    </row>
    <row r="46" spans="2:7" x14ac:dyDescent="0.3">
      <c r="B46" s="169"/>
      <c r="C46" s="171"/>
      <c r="D46" s="36" t="s">
        <v>594</v>
      </c>
      <c r="E46" s="36" t="s">
        <v>595</v>
      </c>
      <c r="F46" s="153" t="s">
        <v>596</v>
      </c>
    </row>
    <row r="47" spans="2:7" x14ac:dyDescent="0.3">
      <c r="B47" s="169"/>
      <c r="C47" s="171"/>
      <c r="D47" s="36" t="s">
        <v>597</v>
      </c>
      <c r="E47" s="36" t="s">
        <v>598</v>
      </c>
      <c r="F47" s="153" t="s">
        <v>591</v>
      </c>
    </row>
    <row r="48" spans="2:7" x14ac:dyDescent="0.3">
      <c r="B48" s="169"/>
      <c r="C48" s="171"/>
      <c r="D48" s="36" t="s">
        <v>599</v>
      </c>
      <c r="E48" s="36" t="s">
        <v>600</v>
      </c>
      <c r="F48" s="153" t="s">
        <v>596</v>
      </c>
    </row>
    <row r="49" spans="2:6" x14ac:dyDescent="0.3">
      <c r="B49" s="169"/>
      <c r="C49" s="171"/>
      <c r="D49" s="36" t="s">
        <v>601</v>
      </c>
      <c r="E49" s="36" t="s">
        <v>602</v>
      </c>
      <c r="F49" s="153" t="s">
        <v>636</v>
      </c>
    </row>
    <row r="50" spans="2:6" x14ac:dyDescent="0.3">
      <c r="B50" s="169"/>
      <c r="C50" s="171"/>
      <c r="D50" s="36" t="s">
        <v>603</v>
      </c>
      <c r="E50" s="36" t="s">
        <v>604</v>
      </c>
      <c r="F50" s="153" t="s">
        <v>638</v>
      </c>
    </row>
    <row r="51" spans="2:6" ht="37.5" customHeight="1" x14ac:dyDescent="0.3">
      <c r="B51" s="169"/>
      <c r="C51" s="171"/>
      <c r="D51" s="36" t="s">
        <v>605</v>
      </c>
      <c r="E51" s="154" t="s">
        <v>606</v>
      </c>
      <c r="F51" s="153" t="s">
        <v>637</v>
      </c>
    </row>
    <row r="52" spans="2:6" x14ac:dyDescent="0.3">
      <c r="B52" s="169"/>
      <c r="C52" s="171"/>
      <c r="D52" s="36" t="s">
        <v>607</v>
      </c>
      <c r="E52" s="36" t="s">
        <v>608</v>
      </c>
      <c r="F52" s="153" t="s">
        <v>596</v>
      </c>
    </row>
    <row r="53" spans="2:6" x14ac:dyDescent="0.3">
      <c r="B53" s="169"/>
      <c r="C53" s="171"/>
      <c r="D53" s="36" t="s">
        <v>609</v>
      </c>
      <c r="E53" s="155" t="s">
        <v>610</v>
      </c>
      <c r="F53" s="153" t="s">
        <v>636</v>
      </c>
    </row>
    <row r="54" spans="2:6" x14ac:dyDescent="0.3">
      <c r="B54" s="169"/>
      <c r="C54" s="171"/>
      <c r="D54" s="36"/>
      <c r="E54" s="155" t="s">
        <v>562</v>
      </c>
      <c r="F54" s="153" t="s">
        <v>591</v>
      </c>
    </row>
    <row r="55" spans="2:6" x14ac:dyDescent="0.3">
      <c r="B55" s="169"/>
      <c r="C55" s="171"/>
      <c r="D55" s="36"/>
      <c r="E55" s="155" t="s">
        <v>611</v>
      </c>
      <c r="F55" s="153" t="s">
        <v>596</v>
      </c>
    </row>
    <row r="56" spans="2:6" x14ac:dyDescent="0.3">
      <c r="B56" s="172"/>
      <c r="C56" s="171"/>
      <c r="D56" s="36"/>
      <c r="E56" s="155" t="s">
        <v>612</v>
      </c>
      <c r="F56" s="153" t="s">
        <v>596</v>
      </c>
    </row>
    <row r="57" spans="2:6" x14ac:dyDescent="0.3">
      <c r="B57" s="106">
        <v>14</v>
      </c>
      <c r="C57" s="105" t="s">
        <v>613</v>
      </c>
      <c r="D57" s="173" t="s">
        <v>614</v>
      </c>
      <c r="E57" s="174"/>
      <c r="F57" s="175"/>
    </row>
    <row r="58" spans="2:6" x14ac:dyDescent="0.3">
      <c r="B58" s="106">
        <v>15</v>
      </c>
      <c r="C58" s="105" t="s">
        <v>615</v>
      </c>
      <c r="D58" s="173" t="s">
        <v>616</v>
      </c>
      <c r="E58" s="174"/>
      <c r="F58" s="175"/>
    </row>
    <row r="59" spans="2:6" x14ac:dyDescent="0.3">
      <c r="B59" s="156"/>
      <c r="C59" s="156"/>
      <c r="D59" s="156"/>
      <c r="E59" s="157"/>
      <c r="F59" s="156"/>
    </row>
    <row r="60" spans="2:6" ht="43.5" customHeight="1" x14ac:dyDescent="0.3">
      <c r="B60" s="158" t="s">
        <v>617</v>
      </c>
      <c r="C60" s="165"/>
      <c r="D60" s="166"/>
      <c r="E60" s="166"/>
      <c r="F60" s="167"/>
    </row>
  </sheetData>
  <mergeCells count="31">
    <mergeCell ref="B6:F6"/>
    <mergeCell ref="B2:F2"/>
    <mergeCell ref="B3:C3"/>
    <mergeCell ref="D3:F3"/>
    <mergeCell ref="E4:F4"/>
    <mergeCell ref="E5:F5"/>
    <mergeCell ref="B13:B14"/>
    <mergeCell ref="C13:C14"/>
    <mergeCell ref="B15:B18"/>
    <mergeCell ref="C15:C18"/>
    <mergeCell ref="B19:B20"/>
    <mergeCell ref="C19:C20"/>
    <mergeCell ref="B21:B27"/>
    <mergeCell ref="C21:C27"/>
    <mergeCell ref="B28:B29"/>
    <mergeCell ref="C28:C29"/>
    <mergeCell ref="B30:B31"/>
    <mergeCell ref="C30:C31"/>
    <mergeCell ref="B32:B33"/>
    <mergeCell ref="C32:C33"/>
    <mergeCell ref="B34:B36"/>
    <mergeCell ref="C34:C36"/>
    <mergeCell ref="B38:B41"/>
    <mergeCell ref="C38:C41"/>
    <mergeCell ref="C60:F60"/>
    <mergeCell ref="B42:B43"/>
    <mergeCell ref="C42:C43"/>
    <mergeCell ref="B44:B56"/>
    <mergeCell ref="C44:C56"/>
    <mergeCell ref="D57:F57"/>
    <mergeCell ref="D58:F58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직렬공진_PSPWM_150kW</vt:lpstr>
      <vt:lpstr>설계 결과표</vt:lpstr>
      <vt:lpstr>sw요청서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 kwon ahn</dc:creator>
  <cp:lastModifiedBy>young kwon ahn</cp:lastModifiedBy>
  <dcterms:created xsi:type="dcterms:W3CDTF">2021-03-12T06:32:17Z</dcterms:created>
  <dcterms:modified xsi:type="dcterms:W3CDTF">2021-08-04T02:01:35Z</dcterms:modified>
</cp:coreProperties>
</file>