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-144" windowWidth="13368" windowHeight="7404" tabRatio="821"/>
  </bookViews>
  <sheets>
    <sheet name="직렬공진_PSPWM" sheetId="43" r:id="rId1"/>
    <sheet name="설계결과표" sheetId="48" r:id="rId2"/>
    <sheet name="입력정류부" sheetId="45" r:id="rId3"/>
  </sheets>
  <calcPr calcId="145621"/>
</workbook>
</file>

<file path=xl/calcChain.xml><?xml version="1.0" encoding="utf-8"?>
<calcChain xmlns="http://schemas.openxmlformats.org/spreadsheetml/2006/main">
  <c r="J25" i="43" l="1"/>
  <c r="J26" i="43"/>
  <c r="C32" i="43" l="1"/>
  <c r="C18" i="43"/>
  <c r="C16" i="43"/>
  <c r="C22" i="43" s="1"/>
  <c r="C25" i="43" s="1"/>
  <c r="C10" i="43"/>
  <c r="C37" i="43" s="1"/>
  <c r="C39" i="43" s="1"/>
  <c r="C6" i="43"/>
  <c r="C8" i="43" s="1"/>
  <c r="C28" i="43" l="1"/>
  <c r="C21" i="43"/>
  <c r="C11" i="43"/>
  <c r="C23" i="43" l="1"/>
  <c r="C24" i="43"/>
  <c r="C43" i="43"/>
  <c r="C44" i="43" s="1"/>
  <c r="C45" i="43" s="1"/>
  <c r="C46" i="43" s="1"/>
  <c r="C30" i="43"/>
  <c r="C29" i="43"/>
  <c r="C34" i="43" l="1"/>
  <c r="C33" i="43"/>
  <c r="C26" i="43"/>
  <c r="C31" i="43" s="1"/>
  <c r="C41" i="43" s="1"/>
  <c r="D32" i="43" l="1"/>
  <c r="D18" i="43"/>
  <c r="D16" i="43"/>
  <c r="D22" i="43" s="1"/>
  <c r="D25" i="43" s="1"/>
  <c r="D10" i="43"/>
  <c r="D37" i="43" s="1"/>
  <c r="D39" i="43" s="1"/>
  <c r="D6" i="43"/>
  <c r="D8" i="43" s="1"/>
  <c r="D28" i="43" l="1"/>
  <c r="D21" i="43"/>
  <c r="D11" i="43"/>
  <c r="D24" i="43" l="1"/>
  <c r="D23" i="43"/>
  <c r="D29" i="43"/>
  <c r="D43" i="43"/>
  <c r="D44" i="43" s="1"/>
  <c r="D45" i="43" s="1"/>
  <c r="D46" i="43" s="1"/>
  <c r="D30" i="43"/>
  <c r="D26" i="43" l="1"/>
  <c r="D31" i="43" s="1"/>
  <c r="D41" i="43" s="1"/>
  <c r="D33" i="43"/>
  <c r="D34" i="43"/>
  <c r="V41" i="43" l="1"/>
  <c r="V35" i="43"/>
  <c r="V36" i="43"/>
  <c r="J41" i="45"/>
  <c r="D41" i="45"/>
  <c r="E41" i="45"/>
  <c r="C41" i="45"/>
  <c r="O41" i="45" s="1"/>
  <c r="R72" i="43"/>
  <c r="R74" i="43" s="1"/>
  <c r="R66" i="43"/>
  <c r="R67" i="43" s="1"/>
  <c r="R46" i="43"/>
  <c r="R47" i="43" s="1"/>
  <c r="R27" i="43"/>
  <c r="R28" i="43" s="1"/>
  <c r="R8" i="43"/>
  <c r="R9" i="43" s="1"/>
  <c r="V30" i="43"/>
  <c r="V26" i="43"/>
  <c r="V22" i="43"/>
  <c r="J47" i="45"/>
  <c r="F47" i="45"/>
  <c r="D47" i="45"/>
  <c r="E47" i="45" s="1"/>
  <c r="C47" i="45"/>
  <c r="O47" i="45"/>
  <c r="J46" i="45"/>
  <c r="D46" i="45"/>
  <c r="E46" i="45"/>
  <c r="C46" i="45"/>
  <c r="G46" i="45" s="1"/>
  <c r="O46" i="45"/>
  <c r="J45" i="45"/>
  <c r="D45" i="45"/>
  <c r="E45" i="45"/>
  <c r="C45" i="45"/>
  <c r="J44" i="45"/>
  <c r="F44" i="45"/>
  <c r="D44" i="45"/>
  <c r="E44" i="45" s="1"/>
  <c r="C44" i="45"/>
  <c r="O44" i="45"/>
  <c r="O43" i="45"/>
  <c r="J43" i="45"/>
  <c r="F43" i="45"/>
  <c r="D43" i="45"/>
  <c r="E43" i="45" s="1"/>
  <c r="C43" i="45"/>
  <c r="G43" i="45"/>
  <c r="J42" i="45"/>
  <c r="D42" i="45"/>
  <c r="E42" i="45" s="1"/>
  <c r="C42" i="45"/>
  <c r="O42" i="45"/>
  <c r="G42" i="45"/>
  <c r="J40" i="45"/>
  <c r="D40" i="45"/>
  <c r="E40" i="45"/>
  <c r="C40" i="45"/>
  <c r="F40" i="45" s="1"/>
  <c r="J39" i="45"/>
  <c r="F39" i="45"/>
  <c r="D39" i="45"/>
  <c r="E39" i="45"/>
  <c r="C39" i="45"/>
  <c r="O39" i="45"/>
  <c r="J38" i="45"/>
  <c r="D38" i="45"/>
  <c r="E38" i="45" s="1"/>
  <c r="C38" i="45"/>
  <c r="F38" i="45" s="1"/>
  <c r="J37" i="45"/>
  <c r="D37" i="45"/>
  <c r="E37" i="45"/>
  <c r="C37" i="45"/>
  <c r="G37" i="45"/>
  <c r="J36" i="45"/>
  <c r="D36" i="45"/>
  <c r="E36" i="45" s="1"/>
  <c r="C36" i="45"/>
  <c r="J35" i="45"/>
  <c r="F35" i="45"/>
  <c r="D35" i="45"/>
  <c r="E35" i="45"/>
  <c r="C35" i="45"/>
  <c r="O35" i="45"/>
  <c r="J34" i="45"/>
  <c r="F34" i="45"/>
  <c r="E34" i="45"/>
  <c r="D34" i="45"/>
  <c r="C34" i="45"/>
  <c r="O34" i="45" s="1"/>
  <c r="G34" i="45"/>
  <c r="J33" i="45"/>
  <c r="D33" i="45"/>
  <c r="E33" i="45"/>
  <c r="C33" i="45"/>
  <c r="G33" i="45"/>
  <c r="J32" i="45"/>
  <c r="D32" i="45"/>
  <c r="E32" i="45"/>
  <c r="C32" i="45"/>
  <c r="O32" i="45" s="1"/>
  <c r="J31" i="45"/>
  <c r="F31" i="45"/>
  <c r="D31" i="45"/>
  <c r="E31" i="45"/>
  <c r="C31" i="45"/>
  <c r="O31" i="45"/>
  <c r="J30" i="45"/>
  <c r="G30" i="45"/>
  <c r="D30" i="45"/>
  <c r="E30" i="45"/>
  <c r="C30" i="45"/>
  <c r="O30" i="45"/>
  <c r="J29" i="45"/>
  <c r="D29" i="45"/>
  <c r="E29" i="45"/>
  <c r="C29" i="45"/>
  <c r="O29" i="45" s="1"/>
  <c r="J28" i="45"/>
  <c r="D28" i="45"/>
  <c r="E28" i="45"/>
  <c r="C28" i="45"/>
  <c r="O28" i="45"/>
  <c r="J27" i="45"/>
  <c r="D27" i="45"/>
  <c r="E27" i="45" s="1"/>
  <c r="C27" i="45"/>
  <c r="F27" i="45" s="1"/>
  <c r="J26" i="45"/>
  <c r="D26" i="45"/>
  <c r="E26" i="45"/>
  <c r="C26" i="45"/>
  <c r="G26" i="45"/>
  <c r="J25" i="45"/>
  <c r="D25" i="45"/>
  <c r="E25" i="45" s="1"/>
  <c r="C25" i="45"/>
  <c r="J24" i="45"/>
  <c r="D24" i="45"/>
  <c r="E24" i="45"/>
  <c r="C24" i="45"/>
  <c r="F24" i="45" s="1"/>
  <c r="J23" i="45"/>
  <c r="F23" i="45"/>
  <c r="E23" i="45"/>
  <c r="D23" i="45"/>
  <c r="C23" i="45"/>
  <c r="O23" i="45"/>
  <c r="G23" i="45"/>
  <c r="J22" i="45"/>
  <c r="F22" i="45"/>
  <c r="D22" i="45"/>
  <c r="E22" i="45" s="1"/>
  <c r="C22" i="45"/>
  <c r="O22" i="45" s="1"/>
  <c r="G22" i="45"/>
  <c r="J21" i="45"/>
  <c r="D21" i="45"/>
  <c r="E21" i="45"/>
  <c r="C21" i="45"/>
  <c r="G21" i="45" s="1"/>
  <c r="J20" i="45"/>
  <c r="D20" i="45"/>
  <c r="E20" i="45"/>
  <c r="C20" i="45"/>
  <c r="G20" i="45" s="1"/>
  <c r="J19" i="45"/>
  <c r="F19" i="45"/>
  <c r="E19" i="45"/>
  <c r="D19" i="45"/>
  <c r="C19" i="45"/>
  <c r="O19" i="45" s="1"/>
  <c r="G19" i="45"/>
  <c r="J18" i="45"/>
  <c r="D18" i="45"/>
  <c r="E18" i="45" s="1"/>
  <c r="C18" i="45"/>
  <c r="F18" i="45" s="1"/>
  <c r="J17" i="45"/>
  <c r="D17" i="45"/>
  <c r="E17" i="45" s="1"/>
  <c r="C17" i="45"/>
  <c r="G17" i="45"/>
  <c r="J16" i="45"/>
  <c r="D16" i="45"/>
  <c r="E16" i="45"/>
  <c r="C16" i="45"/>
  <c r="G16" i="45" s="1"/>
  <c r="J15" i="45"/>
  <c r="D15" i="45"/>
  <c r="E15" i="45" s="1"/>
  <c r="C15" i="45"/>
  <c r="O15" i="45" s="1"/>
  <c r="J14" i="45"/>
  <c r="D14" i="45"/>
  <c r="E14" i="45"/>
  <c r="C14" i="45"/>
  <c r="F14" i="45" s="1"/>
  <c r="J13" i="45"/>
  <c r="D13" i="45"/>
  <c r="E13" i="45"/>
  <c r="C13" i="45"/>
  <c r="J12" i="45"/>
  <c r="D12" i="45"/>
  <c r="E12" i="45"/>
  <c r="C12" i="45"/>
  <c r="J11" i="45"/>
  <c r="F11" i="45"/>
  <c r="D11" i="45"/>
  <c r="E11" i="45" s="1"/>
  <c r="C11" i="45"/>
  <c r="O11" i="45" s="1"/>
  <c r="G11" i="45"/>
  <c r="J10" i="45"/>
  <c r="F10" i="45"/>
  <c r="D10" i="45"/>
  <c r="E10" i="45" s="1"/>
  <c r="C10" i="45"/>
  <c r="O10" i="45"/>
  <c r="G10" i="45"/>
  <c r="J9" i="45"/>
  <c r="D9" i="45"/>
  <c r="E9" i="45"/>
  <c r="C9" i="45"/>
  <c r="J8" i="45"/>
  <c r="F8" i="45"/>
  <c r="D8" i="45"/>
  <c r="E8" i="45"/>
  <c r="C8" i="45"/>
  <c r="G8" i="45" s="1"/>
  <c r="O8" i="45"/>
  <c r="J7" i="45"/>
  <c r="D7" i="45"/>
  <c r="E7" i="45"/>
  <c r="C7" i="45"/>
  <c r="O7" i="45" s="1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D4" i="45"/>
  <c r="E4" i="45"/>
  <c r="C4" i="45"/>
  <c r="N53" i="43"/>
  <c r="N56" i="43" s="1"/>
  <c r="N58" i="43" s="1"/>
  <c r="J59" i="43"/>
  <c r="D67" i="43"/>
  <c r="C67" i="43"/>
  <c r="J53" i="43"/>
  <c r="N48" i="43"/>
  <c r="J46" i="43"/>
  <c r="J47" i="43" s="1"/>
  <c r="J45" i="43"/>
  <c r="J36" i="43"/>
  <c r="J35" i="43"/>
  <c r="N34" i="43"/>
  <c r="N30" i="43"/>
  <c r="N26" i="43"/>
  <c r="J24" i="43"/>
  <c r="N11" i="43" s="1"/>
  <c r="N19" i="43"/>
  <c r="V15" i="43"/>
  <c r="V16" i="43" s="1"/>
  <c r="V17" i="43" s="1"/>
  <c r="V8" i="43"/>
  <c r="N8" i="43"/>
  <c r="J7" i="43"/>
  <c r="J9" i="43" s="1"/>
  <c r="J14" i="43" s="1"/>
  <c r="N12" i="43" s="1"/>
  <c r="F25" i="45"/>
  <c r="O25" i="45"/>
  <c r="F13" i="45"/>
  <c r="O13" i="45"/>
  <c r="F36" i="45"/>
  <c r="O36" i="45"/>
  <c r="F17" i="45"/>
  <c r="O17" i="45"/>
  <c r="G25" i="45"/>
  <c r="F28" i="45"/>
  <c r="F5" i="45"/>
  <c r="O5" i="45"/>
  <c r="G13" i="45"/>
  <c r="G28" i="45"/>
  <c r="G36" i="45"/>
  <c r="G45" i="45"/>
  <c r="O45" i="45"/>
  <c r="G31" i="45"/>
  <c r="G35" i="45"/>
  <c r="G39" i="45"/>
  <c r="G44" i="45"/>
  <c r="G47" i="45"/>
  <c r="F32" i="45"/>
  <c r="O12" i="45"/>
  <c r="F12" i="45"/>
  <c r="G12" i="45"/>
  <c r="F4" i="45"/>
  <c r="G4" i="45"/>
  <c r="G9" i="45"/>
  <c r="F9" i="45"/>
  <c r="O9" i="45"/>
  <c r="F7" i="45"/>
  <c r="G7" i="45"/>
  <c r="O4" i="45"/>
  <c r="F15" i="45"/>
  <c r="G15" i="45"/>
  <c r="F26" i="45"/>
  <c r="F33" i="45"/>
  <c r="F37" i="45"/>
  <c r="F42" i="45"/>
  <c r="F46" i="45"/>
  <c r="G41" i="45"/>
  <c r="O26" i="45"/>
  <c r="O33" i="45"/>
  <c r="O37" i="45"/>
  <c r="N35" i="43" l="1"/>
  <c r="R31" i="43"/>
  <c r="R34" i="43" s="1"/>
  <c r="R36" i="43" s="1"/>
  <c r="R39" i="43" s="1"/>
  <c r="N38" i="43"/>
  <c r="N39" i="43" s="1"/>
  <c r="N40" i="43" s="1"/>
  <c r="N41" i="43" s="1"/>
  <c r="N42" i="43" s="1"/>
  <c r="R75" i="43"/>
  <c r="J37" i="43"/>
  <c r="J38" i="43" s="1"/>
  <c r="R12" i="43"/>
  <c r="R15" i="43" s="1"/>
  <c r="R17" i="43" s="1"/>
  <c r="R20" i="43" s="1"/>
  <c r="F41" i="45"/>
  <c r="D54" i="43"/>
  <c r="D60" i="43" s="1"/>
  <c r="O14" i="45"/>
  <c r="O27" i="45"/>
  <c r="O38" i="45"/>
  <c r="O20" i="45"/>
  <c r="G29" i="45"/>
  <c r="G18" i="45"/>
  <c r="G24" i="45"/>
  <c r="O21" i="45"/>
  <c r="F20" i="45"/>
  <c r="G32" i="45"/>
  <c r="F29" i="45"/>
  <c r="O40" i="45"/>
  <c r="F21" i="45"/>
  <c r="F16" i="45"/>
  <c r="G40" i="45"/>
  <c r="G14" i="45"/>
  <c r="O16" i="45"/>
  <c r="O18" i="45"/>
  <c r="O24" i="45"/>
  <c r="G27" i="45"/>
  <c r="G38" i="45"/>
  <c r="R50" i="43"/>
  <c r="R53" i="43" s="1"/>
  <c r="R56" i="43" s="1"/>
  <c r="J27" i="43"/>
  <c r="N13" i="43"/>
  <c r="R38" i="43" l="1"/>
  <c r="R19" i="43"/>
  <c r="D53" i="43"/>
  <c r="D59" i="43"/>
  <c r="D62" i="43" s="1"/>
  <c r="R58" i="43"/>
  <c r="R59" i="43"/>
  <c r="C54" i="43"/>
  <c r="D50" i="43" l="1"/>
  <c r="C59" i="43"/>
  <c r="C62" i="43" s="1"/>
  <c r="C60" i="43"/>
  <c r="C53" i="43"/>
  <c r="C50" i="43"/>
  <c r="D63" i="43" l="1"/>
  <c r="D55" i="43"/>
  <c r="C55" i="43"/>
  <c r="C63" i="43"/>
  <c r="D69" i="43" l="1"/>
  <c r="D72" i="43" s="1"/>
  <c r="D68" i="43"/>
  <c r="D71" i="43" s="1"/>
  <c r="D70" i="43"/>
  <c r="D73" i="43" s="1"/>
  <c r="D75" i="43" s="1"/>
  <c r="C70" i="43"/>
  <c r="C73" i="43" s="1"/>
  <c r="C75" i="43" s="1"/>
  <c r="C69" i="43"/>
  <c r="C72" i="43" s="1"/>
  <c r="C68" i="43"/>
  <c r="C71" i="43" s="1"/>
  <c r="D89" i="43" l="1"/>
  <c r="D81" i="43"/>
  <c r="D87" i="43" s="1"/>
  <c r="D83" i="43"/>
  <c r="D77" i="43"/>
  <c r="D92" i="43"/>
  <c r="D82" i="43"/>
  <c r="D88" i="43"/>
  <c r="D80" i="43"/>
  <c r="D86" i="43" s="1"/>
  <c r="C83" i="43"/>
  <c r="C89" i="43"/>
  <c r="C81" i="43"/>
  <c r="C87" i="43" s="1"/>
  <c r="C77" i="43"/>
  <c r="C92" i="43"/>
  <c r="C88" i="43"/>
  <c r="C80" i="43"/>
  <c r="C86" i="43" s="1"/>
  <c r="C82" i="43"/>
</calcChain>
</file>

<file path=xl/sharedStrings.xml><?xml version="1.0" encoding="utf-8"?>
<sst xmlns="http://schemas.openxmlformats.org/spreadsheetml/2006/main" count="1085" uniqueCount="565">
  <si>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</si>
  <si>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</si>
  <si>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</si>
  <si>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</si>
  <si>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</si>
  <si>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</si>
  <si>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</si>
  <si>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</si>
  <si>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</si>
  <si>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</si>
  <si>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</si>
  <si>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</si>
  <si>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</si>
  <si>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</si>
  <si>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</si>
  <si>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</si>
  <si>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</si>
  <si>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</si>
  <si>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</si>
  <si>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</si>
  <si>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</si>
  <si>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</si>
  <si>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</si>
  <si>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</si>
  <si>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</si>
  <si>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</si>
  <si>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</si>
  <si>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</si>
  <si>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</si>
  <si>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</si>
  <si>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</si>
  <si>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</si>
  <si>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</si>
  <si>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</si>
  <si>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</si>
  <si>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</si>
  <si>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</si>
  <si>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</si>
  <si>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</si>
  <si>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</si>
  <si>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</si>
  <si>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</si>
  <si>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</si>
  <si>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</si>
  <si>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</si>
  <si>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</si>
  <si>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</si>
  <si>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</si>
  <si>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</si>
  <si>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</si>
  <si>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</si>
  <si>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</si>
  <si>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</si>
  <si>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</si>
  <si>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</si>
  <si>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</si>
  <si>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</si>
  <si>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</si>
  <si>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</si>
  <si>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</si>
  <si>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</si>
  <si>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</si>
  <si>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</si>
  <si>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</si>
  <si>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</si>
  <si>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</si>
  <si>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</si>
  <si>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</si>
  <si>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</si>
  <si>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</si>
  <si>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</si>
  <si>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</si>
  <si>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</si>
  <si>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</si>
  <si>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</si>
  <si>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</si>
  <si>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</si>
  <si>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</si>
  <si>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</si>
  <si>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</si>
  <si>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</si>
  <si>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</si>
  <si>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</si>
  <si>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</si>
  <si>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</si>
  <si>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</si>
  <si>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</si>
  <si>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</si>
  <si>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</si>
  <si>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</si>
  <si>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</si>
  <si>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</si>
  <si>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</si>
  <si>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</si>
  <si>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</si>
  <si>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</si>
  <si>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</si>
  <si>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</si>
  <si>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</si>
  <si>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</si>
  <si>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</si>
  <si>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</si>
  <si>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</si>
  <si>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</si>
  <si>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</si>
  <si>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</si>
  <si>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</si>
  <si>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</si>
  <si>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</si>
  <si>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</si>
  <si>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</si>
  <si>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</si>
  <si>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</si>
  <si>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</si>
  <si>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</si>
  <si>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</si>
  <si>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</si>
  <si>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</si>
  <si>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</si>
  <si>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</si>
  <si>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</si>
  <si>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</si>
  <si>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</si>
  <si>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</si>
  <si>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</si>
  <si>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</si>
  <si>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</si>
  <si>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</si>
  <si>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</si>
  <si>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</si>
  <si>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</si>
  <si>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</si>
  <si>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</si>
  <si>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</si>
  <si>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</si>
  <si>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</si>
  <si>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</si>
  <si>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</si>
  <si>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</si>
  <si>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</si>
  <si>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</si>
  <si>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</si>
  <si>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</si>
  <si>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</si>
  <si>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</si>
  <si>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</si>
  <si>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</si>
  <si>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</si>
  <si>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</si>
  <si>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</si>
  <si>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</si>
  <si>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</si>
  <si>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</si>
  <si>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</si>
  <si>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</si>
  <si>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</si>
  <si>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</si>
  <si>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</si>
  <si>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</si>
  <si>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</si>
  <si>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</si>
  <si>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</si>
  <si>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</si>
  <si>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</si>
  <si>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</si>
  <si>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</si>
  <si>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</si>
  <si>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</si>
  <si>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</si>
  <si>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</si>
  <si>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</si>
  <si>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</si>
  <si>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</si>
  <si>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</si>
  <si>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</si>
  <si>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</si>
  <si>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</si>
  <si>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</si>
  <si>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</si>
  <si>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</si>
  <si>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</si>
  <si>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</si>
  <si>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</si>
  <si>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</si>
  <si>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</si>
  <si>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</si>
  <si>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</si>
  <si>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</si>
  <si>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</si>
  <si>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</si>
  <si>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</si>
  <si>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</si>
  <si>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</si>
  <si>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</si>
  <si>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</si>
  <si>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</si>
  <si>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</si>
  <si>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</si>
  <si>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</si>
  <si>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</si>
  <si>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</si>
  <si>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</si>
  <si>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</si>
  <si>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</si>
  <si>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</si>
  <si>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</si>
  <si>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</si>
  <si>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</si>
  <si>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</si>
  <si>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</si>
  <si>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</si>
  <si>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</si>
  <si>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</si>
  <si>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</si>
  <si>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</si>
  <si>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</si>
  <si>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</si>
  <si>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</si>
  <si>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</si>
  <si>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</si>
  <si>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</si>
  <si>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</si>
  <si>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</si>
  <si>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</si>
  <si>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</si>
  <si>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</si>
  <si>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</si>
  <si>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</si>
  <si>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</si>
  <si>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</si>
  <si>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</si>
  <si>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</si>
  <si>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</si>
  <si>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</si>
  <si>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</si>
  <si>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</si>
  <si>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</si>
  <si>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</si>
  <si>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</si>
  <si>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</si>
  <si>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</si>
  <si>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</si>
  <si>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</si>
  <si>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</si>
  <si>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</si>
  <si>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</si>
  <si>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</si>
  <si>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</si>
  <si>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</si>
  <si>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</si>
  <si>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</si>
  <si>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</si>
  <si>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</si>
  <si>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</si>
  <si>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</si>
  <si>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</si>
  <si>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</si>
  <si>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</si>
  <si>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</si>
  <si>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</si>
  <si>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</si>
  <si>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</si>
  <si>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</si>
  <si>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</si>
  <si>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</si>
  <si>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</si>
  <si>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</si>
  <si>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</si>
  <si>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</si>
  <si>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</si>
  <si>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</si>
  <si>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</si>
  <si>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</si>
  <si>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</si>
  <si>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</si>
  <si>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</si>
  <si>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</si>
  <si>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</si>
  <si>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</si>
  <si>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</si>
  <si>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</si>
  <si>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</si>
  <si>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</si>
  <si>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</si>
  <si>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</si>
  <si>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</si>
  <si>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</si>
  <si>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</si>
  <si>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</si>
  <si>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</si>
  <si>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</si>
  <si>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</si>
  <si>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</si>
  <si>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</si>
  <si>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</si>
  <si>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</si>
  <si>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</si>
  <si>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</si>
  <si>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</si>
  <si>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</si>
  <si>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</si>
  <si>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</si>
  <si>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</si>
  <si>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</si>
  <si>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</si>
  <si>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</si>
  <si>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</si>
  <si>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</si>
  <si>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</si>
  <si>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</si>
  <si>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</si>
  <si>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</si>
  <si>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</si>
  <si>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</si>
  <si>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</si>
  <si>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</si>
  <si>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</si>
  <si>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</si>
  <si>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</si>
  <si>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</si>
  <si>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</si>
  <si>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</si>
  <si>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</si>
  <si>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</si>
  <si>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</si>
  <si>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</si>
  <si>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</si>
  <si>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</si>
  <si>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</si>
  <si>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</si>
  <si>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</si>
  <si>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</si>
  <si>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</si>
  <si>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</si>
  <si>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</si>
  <si>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</si>
  <si>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</si>
  <si>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</si>
  <si>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</si>
  <si>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</si>
  <si>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</si>
  <si>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</si>
  <si>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</si>
  <si>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</si>
  <si>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</si>
  <si>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</si>
  <si>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</si>
  <si>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</si>
  <si>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</si>
  <si>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</si>
  <si>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</si>
  <si>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</si>
  <si>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</si>
  <si>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</si>
  <si>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</si>
  <si>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</si>
  <si>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</si>
  <si>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</si>
  <si>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</si>
  <si>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</si>
  <si>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</si>
  <si>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</si>
  <si>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</si>
  <si>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</si>
  <si>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</si>
  <si>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</si>
  <si>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</si>
  <si>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</si>
  <si>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</si>
  <si>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</si>
  <si>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</si>
  <si>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</si>
  <si>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</si>
  <si>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</si>
  <si>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</si>
  <si>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</si>
  <si>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</si>
  <si>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</si>
  <si>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</si>
  <si>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</si>
  <si>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</si>
  <si>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</si>
  <si>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</si>
  <si>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</si>
  <si>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</si>
  <si>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</si>
  <si>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</si>
  <si>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</si>
  <si>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</si>
  <si>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</si>
  <si>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</si>
  <si>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</si>
  <si>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</si>
  <si>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</si>
  <si>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</si>
  <si>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</si>
  <si>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</si>
  <si>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</si>
  <si>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</si>
  <si>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</si>
  <si>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</si>
  <si>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</si>
  <si>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</si>
  <si>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</si>
  <si>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</si>
  <si>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</si>
  <si>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</si>
  <si>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</si>
  <si>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</si>
  <si>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</si>
  <si>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</si>
  <si>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</si>
  <si>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</si>
  <si>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</si>
  <si>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</si>
  <si>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</si>
  <si>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</si>
  <si>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</si>
  <si>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</si>
  <si>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</si>
  <si>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</si>
  <si>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</si>
  <si>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</si>
  <si>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</si>
  <si>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</si>
  <si>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</si>
  <si>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</si>
  <si>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</si>
  <si>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</si>
  <si>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</si>
  <si>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</si>
  <si>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</si>
  <si>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</si>
  <si>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</si>
  <si>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</si>
  <si>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</si>
  <si>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</si>
  <si>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</si>
  <si>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</si>
  <si>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</si>
  <si>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</si>
  <si>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</si>
  <si>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</si>
  <si>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</si>
  <si>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</si>
  <si>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</si>
  <si>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</si>
  <si>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</si>
  <si>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</si>
  <si>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</si>
  <si>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</si>
  <si>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</si>
  <si>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</si>
  <si>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</si>
  <si>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</si>
  <si>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</si>
  <si>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</si>
  <si>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</si>
  <si>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</si>
  <si>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</si>
  <si>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</si>
  <si>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</si>
  <si>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</si>
  <si>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</si>
  <si>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</si>
  <si>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</si>
  <si>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</si>
  <si>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</si>
  <si>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</si>
  <si>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</si>
  <si>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</si>
  <si>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</si>
  <si>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</si>
  <si>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</si>
  <si>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</si>
  <si>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</si>
  <si>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</si>
  <si>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</si>
  <si>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</si>
  <si>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</si>
  <si>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</si>
  <si>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</si>
  <si>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</si>
  <si>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</si>
  <si>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</si>
  <si>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</si>
  <si>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</si>
  <si>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7" type="noConversion"/>
  </si>
  <si>
    <t>60uH</t>
    <phoneticPr fontId="7" type="noConversion"/>
  </si>
  <si>
    <t xml:space="preserve">[PSIH-050HF-LO-01] </t>
    <phoneticPr fontId="2" type="noConversion"/>
  </si>
  <si>
    <t>LLL00005</t>
    <phoneticPr fontId="7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</si>
  <si>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</si>
  <si>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</si>
  <si>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</si>
  <si>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</si>
  <si>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7" type="noConversion"/>
  </si>
  <si>
    <t>LLL00060</t>
    <phoneticPr fontId="7" type="noConversion"/>
  </si>
  <si>
    <t>900uH</t>
    <phoneticPr fontId="7" type="noConversion"/>
  </si>
  <si>
    <t>LLL00012</t>
    <phoneticPr fontId="7" type="noConversion"/>
  </si>
  <si>
    <t>630uH</t>
    <phoneticPr fontId="7" type="noConversion"/>
  </si>
  <si>
    <t>LLL00013</t>
    <phoneticPr fontId="7" type="noConversion"/>
  </si>
  <si>
    <t>375uH</t>
    <phoneticPr fontId="7" type="noConversion"/>
  </si>
  <si>
    <t>LLL00051</t>
    <phoneticPr fontId="7" type="noConversion"/>
  </si>
  <si>
    <t>515uH</t>
    <phoneticPr fontId="7" type="noConversion"/>
  </si>
  <si>
    <t>FZ3600R12HP4</t>
    <phoneticPr fontId="2" type="noConversion"/>
  </si>
  <si>
    <t>고객사</t>
    <phoneticPr fontId="3" type="noConversion"/>
  </si>
  <si>
    <t>비고</t>
    <phoneticPr fontId="3" type="noConversion"/>
  </si>
  <si>
    <t>공정</t>
    <phoneticPr fontId="3" type="noConversion"/>
  </si>
  <si>
    <t>전력</t>
    <phoneticPr fontId="3" type="noConversion"/>
  </si>
  <si>
    <t>예상 동작 주파수</t>
    <phoneticPr fontId="3" type="noConversion"/>
  </si>
  <si>
    <t xml:space="preserve">DIODE </t>
    <phoneticPr fontId="3" type="noConversion"/>
  </si>
  <si>
    <t>인러쉬 충전 및 과전압보호</t>
    <phoneticPr fontId="3" type="noConversion"/>
  </si>
  <si>
    <t>DC 인덕터</t>
    <phoneticPr fontId="3" type="noConversion"/>
  </si>
  <si>
    <t>전류센싱 션트저항</t>
    <phoneticPr fontId="3" type="noConversion"/>
  </si>
  <si>
    <t>인버팅 소자(IGBT)</t>
    <phoneticPr fontId="3" type="noConversion"/>
  </si>
  <si>
    <t>DC LINK CAPACITOR</t>
    <phoneticPr fontId="3" type="noConversion"/>
  </si>
  <si>
    <t>전류센싱 C/T</t>
    <phoneticPr fontId="3" type="noConversion"/>
  </si>
  <si>
    <t>DC BLOCKING CAP</t>
    <phoneticPr fontId="3" type="noConversion"/>
  </si>
  <si>
    <t>사용안함</t>
    <phoneticPr fontId="3" type="noConversion"/>
  </si>
  <si>
    <t>M/T(Matching Transformer)</t>
    <phoneticPr fontId="3" type="noConversion"/>
  </si>
  <si>
    <t>공진 CAP</t>
    <phoneticPr fontId="3" type="noConversion"/>
  </si>
  <si>
    <t>공진 CAP 구조</t>
    <phoneticPr fontId="3" type="noConversion"/>
  </si>
  <si>
    <t>MAIN C/T</t>
    <phoneticPr fontId="2" type="noConversion"/>
  </si>
  <si>
    <t xml:space="preserve">코일 </t>
    <phoneticPr fontId="3" type="noConversion"/>
  </si>
  <si>
    <t>코일 연결 구조</t>
    <phoneticPr fontId="3" type="noConversion"/>
  </si>
  <si>
    <t>예상 Q값</t>
    <phoneticPr fontId="3" type="noConversion"/>
  </si>
  <si>
    <t>입력 DC전류</t>
    <phoneticPr fontId="3" type="noConversion"/>
  </si>
  <si>
    <t>공진전류(공진CAP,출력케이블)</t>
    <phoneticPr fontId="3" type="noConversion"/>
  </si>
  <si>
    <t>제어방식</t>
    <phoneticPr fontId="3" type="noConversion"/>
  </si>
  <si>
    <t>FUSE</t>
    <phoneticPr fontId="3" type="noConversion"/>
  </si>
  <si>
    <t>TAN(Phase MIN)</t>
    <phoneticPr fontId="2" type="noConversion"/>
  </si>
  <si>
    <t>인버터 출력전류</t>
    <phoneticPr fontId="3" type="noConversion"/>
  </si>
  <si>
    <t>입력 선전류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</si>
  <si>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</si>
  <si>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</si>
  <si>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ok</t>
    <phoneticPr fontId="2" type="noConversion"/>
  </si>
  <si>
    <t>12:1</t>
    <phoneticPr fontId="2" type="noConversion"/>
  </si>
  <si>
    <r>
      <t>22</t>
    </r>
    <r>
      <rPr>
        <sz val="11"/>
        <rFont val="맑은 고딕"/>
        <family val="3"/>
        <charset val="129"/>
      </rPr>
      <t>Ø 400mm</t>
    </r>
    <phoneticPr fontId="2" type="noConversion"/>
  </si>
  <si>
    <r>
      <t>12.5</t>
    </r>
    <r>
      <rPr>
        <sz val="11"/>
        <rFont val="맑은 고딕"/>
        <family val="3"/>
        <charset val="129"/>
      </rPr>
      <t>Ø 400mm</t>
    </r>
    <phoneticPr fontId="2" type="noConversion"/>
  </si>
  <si>
    <t>멕시코 1호기 사내시운전 데이터</t>
    <phoneticPr fontId="2" type="noConversion"/>
  </si>
  <si>
    <t>태산ENG_멕시코</t>
    <phoneticPr fontId="3" type="noConversion"/>
  </si>
  <si>
    <t>50kW</t>
    <phoneticPr fontId="3" type="noConversion"/>
  </si>
  <si>
    <t>12kHz</t>
    <phoneticPr fontId="3" type="noConversion"/>
  </si>
  <si>
    <t>MCCB</t>
    <phoneticPr fontId="3" type="noConversion"/>
  </si>
  <si>
    <t>ABS 103c 125A</t>
    <phoneticPr fontId="2" type="noConversion"/>
  </si>
  <si>
    <t>DDB6U215N16L</t>
    <phoneticPr fontId="3" type="noConversion"/>
  </si>
  <si>
    <t>120A</t>
    <phoneticPr fontId="3" type="noConversion"/>
  </si>
  <si>
    <t>INRUSH MC V6.1(PBA)</t>
  </si>
  <si>
    <t>PSIH-50XF-L1F-V1</t>
  </si>
  <si>
    <t>150A</t>
  </si>
  <si>
    <t>FF300R12KS4 (4EA)</t>
    <phoneticPr fontId="2" type="noConversion"/>
  </si>
  <si>
    <t>PSPWM</t>
  </si>
  <si>
    <t>IH CONTROL V66-10</t>
    <phoneticPr fontId="2" type="noConversion"/>
  </si>
  <si>
    <t>[SK-S-02] 150A, 50mV, ±1%</t>
    <phoneticPr fontId="3" type="noConversion"/>
  </si>
  <si>
    <t>[RFM 1.25-2000-20S] 8*1.25UF 2000Kvar 1250V 20KHZ</t>
    <phoneticPr fontId="2" type="noConversion"/>
  </si>
  <si>
    <t>1직렬 1병렬</t>
    <phoneticPr fontId="2" type="noConversion"/>
  </si>
  <si>
    <t>IH_GATE_DRIVER_V21_DUAL_R7_800A</t>
    <phoneticPr fontId="2" type="noConversion"/>
  </si>
  <si>
    <t>3uF * 12EA</t>
    <phoneticPr fontId="2" type="noConversion"/>
  </si>
  <si>
    <t>1. 권선비: 12 : 2/2 --&gt; 6:1
2. 권선사양: 1차 7.9Ø 동파이프 권선형, 2차 7.9Ø 동파이프 권선형
3. 코아 : UU100 6조 (중족 단면적 54cm2)</t>
    <phoneticPr fontId="2" type="noConversion"/>
  </si>
  <si>
    <t>1200uF(50uF *24EA) :DC LINK CAP Module (DD500943)</t>
    <phoneticPr fontId="2" type="noConversion"/>
  </si>
  <si>
    <t>리피트 장비로 기존 멕시코 장비와 동일
생산팀 자체 진행 예정</t>
    <phoneticPr fontId="2" type="noConversion"/>
  </si>
  <si>
    <t>1. 권선비: 9 : 3/3 --&gt; 3:1 1차 7,9턴 가능
2. 권선사양: 1차 7.9Ø 동파이프 권선형, 2차 7.9Ø 동파이프 권선형
3. 코아 : UU100 6조 (중족 단면적 54cm2)</t>
    <phoneticPr fontId="3" type="noConversion"/>
  </si>
  <si>
    <t>1차 8,10,12 턴 사용 가능구조
2차권선 2병렬 2턴 구조</t>
    <phoneticPr fontId="2" type="noConversion"/>
  </si>
  <si>
    <t>1차 7,9턴 사용 가능구조
2차 권선 2병렬 3턴구조</t>
    <phoneticPr fontId="2" type="noConversion"/>
  </si>
  <si>
    <t>SHOCK ABSORBER 열처리장치_50kW_15kHz(소려)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</si>
</sst>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0.0"/>
    <numFmt numFmtId="184" formatCode="0.000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1">
      <alignment vertical="center"/>
    </xf>
    <xf numFmtId="0" fontId="0" fillId="0" borderId="0" xfId="1" applyFont="1">
      <alignment vertical="center"/>
    </xf>
    <xf numFmtId="0" fontId="10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178" fontId="11" fillId="3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0" xfId="1" applyFont="1" applyAlignment="1">
      <alignment vertical="center"/>
    </xf>
    <xf numFmtId="0" fontId="1" fillId="0" borderId="0" xfId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10" fillId="5" borderId="1" xfId="0" applyNumberFormat="1" applyFont="1" applyFill="1" applyBorder="1" applyAlignment="1">
      <alignment vertical="center"/>
    </xf>
    <xf numFmtId="1" fontId="10" fillId="0" borderId="1" xfId="0" applyNumberFormat="1" applyFont="1" applyBorder="1" applyAlignment="1">
      <alignment vertical="center"/>
    </xf>
    <xf numFmtId="0" fontId="8" fillId="4" borderId="1" xfId="0" applyNumberFormat="1" applyFont="1" applyFill="1" applyBorder="1" applyAlignment="1">
      <alignment vertical="center"/>
    </xf>
    <xf numFmtId="0" fontId="11" fillId="4" borderId="1" xfId="0" applyNumberFormat="1" applyFont="1" applyFill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3" borderId="1" xfId="1" applyFont="1" applyFill="1" applyBorder="1" applyAlignment="1">
      <alignment vertical="center"/>
    </xf>
    <xf numFmtId="178" fontId="12" fillId="3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178" fontId="8" fillId="4" borderId="1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12" fillId="7" borderId="1" xfId="0" applyNumberFormat="1" applyFont="1" applyFill="1" applyBorder="1" applyAlignment="1">
      <alignment vertical="center"/>
    </xf>
    <xf numFmtId="0" fontId="12" fillId="3" borderId="1" xfId="1" applyFont="1" applyFill="1" applyBorder="1" applyAlignment="1">
      <alignment vertical="center"/>
    </xf>
    <xf numFmtId="182" fontId="12" fillId="3" borderId="1" xfId="0" applyNumberFormat="1" applyFont="1" applyFill="1" applyBorder="1" applyAlignment="1">
      <alignment vertical="center"/>
    </xf>
    <xf numFmtId="178" fontId="10" fillId="3" borderId="1" xfId="0" applyNumberFormat="1" applyFont="1" applyFill="1" applyBorder="1" applyAlignment="1">
      <alignment vertical="center"/>
    </xf>
    <xf numFmtId="0" fontId="11" fillId="0" borderId="1" xfId="0" applyFont="1" applyBorder="1"/>
    <xf numFmtId="0" fontId="11" fillId="4" borderId="1" xfId="0" applyFont="1" applyFill="1" applyBorder="1"/>
    <xf numFmtId="0" fontId="11" fillId="4" borderId="1" xfId="0" applyFont="1" applyFill="1" applyBorder="1" applyAlignment="1">
      <alignment horizontal="right"/>
    </xf>
    <xf numFmtId="0" fontId="12" fillId="0" borderId="1" xfId="0" applyFont="1" applyBorder="1"/>
    <xf numFmtId="178" fontId="12" fillId="3" borderId="1" xfId="0" applyNumberFormat="1" applyFont="1" applyFill="1" applyBorder="1"/>
    <xf numFmtId="0" fontId="11" fillId="0" borderId="1" xfId="0" applyFont="1" applyFill="1" applyBorder="1"/>
    <xf numFmtId="178" fontId="11" fillId="4" borderId="1" xfId="0" applyNumberFormat="1" applyFont="1" applyFill="1" applyBorder="1" applyAlignment="1">
      <alignment horizontal="right"/>
    </xf>
    <xf numFmtId="178" fontId="11" fillId="8" borderId="1" xfId="0" applyNumberFormat="1" applyFont="1" applyFill="1" applyBorder="1" applyAlignment="1">
      <alignment horizontal="right"/>
    </xf>
    <xf numFmtId="178" fontId="11" fillId="8" borderId="1" xfId="0" applyNumberFormat="1" applyFont="1" applyFill="1" applyBorder="1"/>
    <xf numFmtId="178" fontId="13" fillId="3" borderId="1" xfId="0" applyNumberFormat="1" applyFont="1" applyFill="1" applyBorder="1" applyAlignment="1">
      <alignment horizontal="right"/>
    </xf>
    <xf numFmtId="178" fontId="11" fillId="5" borderId="1" xfId="0" applyNumberFormat="1" applyFont="1" applyFill="1" applyBorder="1" applyAlignment="1">
      <alignment horizontal="right"/>
    </xf>
    <xf numFmtId="178" fontId="10" fillId="3" borderId="1" xfId="0" applyNumberFormat="1" applyFont="1" applyFill="1" applyBorder="1" applyAlignment="1">
      <alignment horizontal="right"/>
    </xf>
    <xf numFmtId="178" fontId="12" fillId="3" borderId="1" xfId="0" applyNumberFormat="1" applyFont="1" applyFill="1" applyBorder="1" applyAlignment="1">
      <alignment horizontal="right"/>
    </xf>
    <xf numFmtId="178" fontId="13" fillId="4" borderId="1" xfId="0" applyNumberFormat="1" applyFont="1" applyFill="1" applyBorder="1" applyAlignment="1">
      <alignment horizontal="right"/>
    </xf>
    <xf numFmtId="0" fontId="11" fillId="9" borderId="1" xfId="1" applyFont="1" applyFill="1" applyBorder="1">
      <alignment vertical="center"/>
    </xf>
    <xf numFmtId="0" fontId="11" fillId="0" borderId="0" xfId="1" applyFont="1">
      <alignment vertical="center"/>
    </xf>
    <xf numFmtId="0" fontId="11" fillId="0" borderId="1" xfId="1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12" fillId="0" borderId="1" xfId="1" applyFont="1" applyBorder="1">
      <alignment vertical="center"/>
    </xf>
    <xf numFmtId="0" fontId="13" fillId="0" borderId="1" xfId="1" applyFont="1" applyBorder="1">
      <alignment vertical="center"/>
    </xf>
    <xf numFmtId="0" fontId="13" fillId="0" borderId="1" xfId="1" applyFont="1" applyBorder="1" applyAlignment="1">
      <alignment vertical="center" wrapText="1"/>
    </xf>
    <xf numFmtId="0" fontId="13" fillId="0" borderId="1" xfId="0" applyFont="1" applyBorder="1"/>
    <xf numFmtId="0" fontId="11" fillId="5" borderId="1" xfId="0" applyFont="1" applyFill="1" applyBorder="1"/>
    <xf numFmtId="178" fontId="11" fillId="5" borderId="1" xfId="0" applyNumberFormat="1" applyFont="1" applyFill="1" applyBorder="1"/>
    <xf numFmtId="178" fontId="10" fillId="5" borderId="1" xfId="0" applyNumberFormat="1" applyFont="1" applyFill="1" applyBorder="1"/>
    <xf numFmtId="0" fontId="11" fillId="4" borderId="1" xfId="1" applyFont="1" applyFill="1" applyBorder="1">
      <alignment vertical="center"/>
    </xf>
    <xf numFmtId="0" fontId="14" fillId="0" borderId="0" xfId="1" applyFont="1">
      <alignment vertical="center"/>
    </xf>
    <xf numFmtId="0" fontId="8" fillId="0" borderId="1" xfId="0" applyFont="1" applyBorder="1" applyAlignment="1">
      <alignment horizontal="left" vertical="center"/>
    </xf>
    <xf numFmtId="0" fontId="11" fillId="3" borderId="1" xfId="1" applyFont="1" applyFill="1" applyBorder="1">
      <alignment vertical="center"/>
    </xf>
    <xf numFmtId="0" fontId="12" fillId="7" borderId="1" xfId="1" applyFont="1" applyFill="1" applyBorder="1">
      <alignment vertical="center"/>
    </xf>
    <xf numFmtId="0" fontId="12" fillId="7" borderId="1" xfId="1" quotePrefix="1" applyFont="1" applyFill="1" applyBorder="1" applyAlignment="1">
      <alignment vertical="center"/>
    </xf>
    <xf numFmtId="0" fontId="12" fillId="7" borderId="1" xfId="0" applyFont="1" applyFill="1" applyBorder="1"/>
    <xf numFmtId="176" fontId="11" fillId="4" borderId="1" xfId="0" applyNumberFormat="1" applyFont="1" applyFill="1" applyBorder="1"/>
    <xf numFmtId="0" fontId="11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15" fillId="5" borderId="7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1" fillId="6" borderId="1" xfId="1" applyFont="1" applyFill="1" applyBorder="1">
      <alignment vertical="center"/>
    </xf>
    <xf numFmtId="0" fontId="12" fillId="3" borderId="1" xfId="1" applyFont="1" applyFill="1" applyBorder="1">
      <alignment vertical="center"/>
    </xf>
    <xf numFmtId="0" fontId="11" fillId="6" borderId="1" xfId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/>
    </xf>
    <xf numFmtId="180" fontId="11" fillId="5" borderId="12" xfId="0" applyNumberFormat="1" applyFont="1" applyFill="1" applyBorder="1" applyAlignment="1">
      <alignment horizontal="left" vertical="center"/>
    </xf>
    <xf numFmtId="181" fontId="11" fillId="5" borderId="12" xfId="0" applyNumberFormat="1" applyFont="1" applyFill="1" applyBorder="1" applyAlignment="1">
      <alignment horizontal="left" vertical="center"/>
    </xf>
    <xf numFmtId="179" fontId="11" fillId="5" borderId="12" xfId="0" applyNumberFormat="1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9" borderId="15" xfId="0" applyFont="1" applyFill="1" applyBorder="1" applyAlignment="1">
      <alignment horizontal="center" vertical="center"/>
    </xf>
    <xf numFmtId="180" fontId="11" fillId="5" borderId="16" xfId="0" applyNumberFormat="1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/>
    </xf>
    <xf numFmtId="181" fontId="11" fillId="5" borderId="16" xfId="0" applyNumberFormat="1" applyFont="1" applyFill="1" applyBorder="1" applyAlignment="1">
      <alignment horizontal="left" vertical="center"/>
    </xf>
    <xf numFmtId="179" fontId="11" fillId="5" borderId="16" xfId="0" applyNumberFormat="1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9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/>
    </xf>
    <xf numFmtId="180" fontId="11" fillId="5" borderId="20" xfId="0" applyNumberFormat="1" applyFont="1" applyFill="1" applyBorder="1" applyAlignment="1">
      <alignment horizontal="left" vertical="center"/>
    </xf>
    <xf numFmtId="181" fontId="11" fillId="5" borderId="20" xfId="0" applyNumberFormat="1" applyFont="1" applyFill="1" applyBorder="1" applyAlignment="1">
      <alignment horizontal="left" vertical="center"/>
    </xf>
    <xf numFmtId="179" fontId="11" fillId="5" borderId="20" xfId="0" applyNumberFormat="1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2" fontId="11" fillId="4" borderId="1" xfId="1" applyNumberFormat="1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182" fontId="11" fillId="4" borderId="1" xfId="0" applyNumberFormat="1" applyFont="1" applyFill="1" applyBorder="1" applyAlignment="1">
      <alignment vertical="center"/>
    </xf>
    <xf numFmtId="0" fontId="11" fillId="9" borderId="3" xfId="1" applyFont="1" applyFill="1" applyBorder="1">
      <alignment vertical="center"/>
    </xf>
    <xf numFmtId="183" fontId="11" fillId="4" borderId="1" xfId="1" applyNumberFormat="1" applyFont="1" applyFill="1" applyBorder="1" applyAlignment="1">
      <alignment horizontal="right" vertical="center"/>
    </xf>
    <xf numFmtId="2" fontId="11" fillId="5" borderId="1" xfId="1" applyNumberFormat="1" applyFont="1" applyFill="1" applyBorder="1" applyAlignment="1">
      <alignment horizontal="right" vertical="center"/>
    </xf>
    <xf numFmtId="183" fontId="11" fillId="8" borderId="1" xfId="1" applyNumberFormat="1" applyFont="1" applyFill="1" applyBorder="1" applyAlignment="1">
      <alignment horizontal="right" vertical="center"/>
    </xf>
    <xf numFmtId="183" fontId="11" fillId="5" borderId="1" xfId="1" applyNumberFormat="1" applyFont="1" applyFill="1" applyBorder="1" applyAlignment="1">
      <alignment horizontal="right" vertical="center"/>
    </xf>
    <xf numFmtId="183" fontId="11" fillId="0" borderId="1" xfId="1" applyNumberFormat="1" applyFont="1" applyBorder="1" applyAlignment="1">
      <alignment horizontal="right" vertical="center"/>
    </xf>
    <xf numFmtId="2" fontId="11" fillId="4" borderId="1" xfId="1" applyNumberFormat="1" applyFont="1" applyFill="1" applyBorder="1" applyAlignment="1">
      <alignment horizontal="right" vertical="center"/>
    </xf>
    <xf numFmtId="2" fontId="11" fillId="3" borderId="1" xfId="1" applyNumberFormat="1" applyFont="1" applyFill="1" applyBorder="1" applyAlignment="1">
      <alignment horizontal="right" vertical="center"/>
    </xf>
    <xf numFmtId="184" fontId="9" fillId="5" borderId="1" xfId="1" applyNumberFormat="1" applyFont="1" applyFill="1" applyBorder="1" applyAlignment="1">
      <alignment horizontal="right" vertical="center"/>
    </xf>
    <xf numFmtId="183" fontId="12" fillId="3" borderId="1" xfId="1" applyNumberFormat="1" applyFont="1" applyFill="1" applyBorder="1" applyAlignment="1">
      <alignment horizontal="right" vertical="center"/>
    </xf>
    <xf numFmtId="183" fontId="11" fillId="3" borderId="1" xfId="1" applyNumberFormat="1" applyFont="1" applyFill="1" applyBorder="1" applyAlignment="1">
      <alignment horizontal="right" vertical="center"/>
    </xf>
    <xf numFmtId="2" fontId="11" fillId="9" borderId="1" xfId="1" applyNumberFormat="1" applyFont="1" applyFill="1" applyBorder="1" applyAlignment="1">
      <alignment horizontal="right" vertical="center"/>
    </xf>
    <xf numFmtId="183" fontId="11" fillId="9" borderId="1" xfId="1" applyNumberFormat="1" applyFont="1" applyFill="1" applyBorder="1" applyAlignment="1">
      <alignment horizontal="right" vertical="center"/>
    </xf>
    <xf numFmtId="183" fontId="11" fillId="5" borderId="1" xfId="1" applyNumberFormat="1" applyFont="1" applyFill="1" applyBorder="1">
      <alignment vertical="center"/>
    </xf>
    <xf numFmtId="0" fontId="11" fillId="0" borderId="3" xfId="1" applyFont="1" applyBorder="1">
      <alignment vertical="center"/>
    </xf>
    <xf numFmtId="22" fontId="15" fillId="5" borderId="6" xfId="0" applyNumberFormat="1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0" fillId="0" borderId="0" xfId="1" applyFont="1" applyAlignment="1">
      <alignment vertical="center"/>
    </xf>
    <xf numFmtId="183" fontId="11" fillId="4" borderId="4" xfId="1" applyNumberFormat="1" applyFont="1" applyFill="1" applyBorder="1" applyAlignment="1">
      <alignment horizontal="right" vertical="center"/>
    </xf>
    <xf numFmtId="2" fontId="11" fillId="5" borderId="4" xfId="1" applyNumberFormat="1" applyFont="1" applyFill="1" applyBorder="1" applyAlignment="1">
      <alignment horizontal="right" vertical="center"/>
    </xf>
    <xf numFmtId="183" fontId="11" fillId="8" borderId="4" xfId="1" applyNumberFormat="1" applyFont="1" applyFill="1" applyBorder="1" applyAlignment="1">
      <alignment horizontal="right" vertical="center"/>
    </xf>
    <xf numFmtId="183" fontId="11" fillId="5" borderId="4" xfId="1" applyNumberFormat="1" applyFont="1" applyFill="1" applyBorder="1" applyAlignment="1">
      <alignment horizontal="right" vertical="center"/>
    </xf>
    <xf numFmtId="20" fontId="11" fillId="0" borderId="0" xfId="1" quotePrefix="1" applyNumberFormat="1" applyFont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5" fillId="5" borderId="6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23" xfId="1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/>
    </xf>
    <xf numFmtId="0" fontId="11" fillId="6" borderId="1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</cellXfs>
  <cellStyles count="3">
    <cellStyle name="쉼표 [0] 2" xfId="2"/>
    <cellStyle name="표준" xfId="0" builtinId="0"/>
    <cellStyle name="표준_20080312_동작점설계_해송_150M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1557705</xdr:colOff>
      <xdr:row>19</xdr:row>
      <xdr:rowOff>58555</xdr:rowOff>
    </xdr:from>
    <xdr:to>
      <xdr:col>20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1695356</xdr:colOff>
      <xdr:row>19</xdr:row>
      <xdr:rowOff>55621</xdr:rowOff>
    </xdr:from>
    <xdr:to>
      <xdr:col>20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1557705</xdr:colOff>
      <xdr:row>23</xdr:row>
      <xdr:rowOff>56203</xdr:rowOff>
    </xdr:from>
    <xdr:to>
      <xdr:col>20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1690298</xdr:colOff>
      <xdr:row>23</xdr:row>
      <xdr:rowOff>54429</xdr:rowOff>
    </xdr:from>
    <xdr:to>
      <xdr:col>20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1819409</xdr:colOff>
      <xdr:row>23</xdr:row>
      <xdr:rowOff>53245</xdr:rowOff>
    </xdr:from>
    <xdr:to>
      <xdr:col>20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1950107</xdr:colOff>
      <xdr:row>23</xdr:row>
      <xdr:rowOff>54428</xdr:rowOff>
    </xdr:from>
    <xdr:to>
      <xdr:col>20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1553159</xdr:colOff>
      <xdr:row>27</xdr:row>
      <xdr:rowOff>23664</xdr:rowOff>
    </xdr:from>
    <xdr:to>
      <xdr:col>20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1668030</xdr:colOff>
      <xdr:row>27</xdr:row>
      <xdr:rowOff>23230</xdr:rowOff>
    </xdr:from>
    <xdr:to>
      <xdr:col>20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1664555</xdr:colOff>
      <xdr:row>27</xdr:row>
      <xdr:rowOff>120160</xdr:rowOff>
    </xdr:from>
    <xdr:to>
      <xdr:col>20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20</xdr:col>
      <xdr:colOff>1556525</xdr:colOff>
      <xdr:row>27</xdr:row>
      <xdr:rowOff>124239</xdr:rowOff>
    </xdr:from>
    <xdr:to>
      <xdr:col>20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2"/>
  <sheetViews>
    <sheetView tabSelected="1" zoomScale="80" zoomScaleNormal="80" workbookViewId="0">
      <selection activeCell="G23" sqref="G23"/>
    </sheetView>
  </sheetViews>
  <sheetFormatPr defaultColWidth="8.8984375" defaultRowHeight="14.4" x14ac:dyDescent="0.25"/>
  <cols>
    <col min="1" max="1" width="8.8984375" style="1"/>
    <col min="2" max="2" width="40.796875" style="1" customWidth="1"/>
    <col min="3" max="3" width="14" style="1" customWidth="1"/>
    <col min="4" max="4" width="13.5" style="1" customWidth="1"/>
    <col min="5" max="5" width="6.296875" style="1" customWidth="1"/>
    <col min="6" max="6" width="8.19921875" style="1" bestFit="1" customWidth="1"/>
    <col min="7" max="7" width="67.296875" style="1" customWidth="1"/>
    <col min="8" max="8" width="4" style="1" customWidth="1"/>
    <col min="9" max="9" width="19.09765625" style="1" customWidth="1"/>
    <col min="10" max="11" width="12.796875" style="1" bestFit="1" customWidth="1"/>
    <col min="12" max="12" width="12.09765625" style="1" bestFit="1" customWidth="1"/>
    <col min="13" max="13" width="20.8984375" style="1" bestFit="1" customWidth="1"/>
    <col min="14" max="14" width="10.09765625" style="1" bestFit="1" customWidth="1"/>
    <col min="15" max="15" width="8.8984375" style="1"/>
    <col min="16" max="16" width="4.3984375" style="1" customWidth="1"/>
    <col min="17" max="17" width="17.59765625" style="1" bestFit="1" customWidth="1"/>
    <col min="18" max="18" width="8.8984375" style="1"/>
    <col min="19" max="19" width="10.796875" style="1" bestFit="1" customWidth="1"/>
    <col min="20" max="20" width="4.59765625" style="1" customWidth="1"/>
    <col min="21" max="21" width="30.69921875" style="1" customWidth="1"/>
    <col min="22" max="22" width="9" style="1" bestFit="1" customWidth="1"/>
    <col min="23" max="23" width="7" style="1" customWidth="1"/>
    <col min="24" max="16384" width="8.8984375" style="1"/>
  </cols>
  <sheetData>
    <row r="1" spans="2:24" ht="42.6" customHeight="1" x14ac:dyDescent="0.25">
      <c r="B1" s="58" t="s">
        <v>289</v>
      </c>
      <c r="C1" s="152" t="s">
        <v>539</v>
      </c>
      <c r="D1" s="152"/>
    </row>
    <row r="2" spans="2:24" ht="17.399999999999999" x14ac:dyDescent="0.25">
      <c r="B2" s="46" t="s">
        <v>215</v>
      </c>
      <c r="C2" s="137" t="s">
        <v>538</v>
      </c>
      <c r="D2" s="137" t="s">
        <v>537</v>
      </c>
      <c r="E2" s="47"/>
      <c r="F2" s="47" t="s">
        <v>272</v>
      </c>
      <c r="G2" s="47" t="s">
        <v>220</v>
      </c>
    </row>
    <row r="3" spans="2:24" ht="17.399999999999999" x14ac:dyDescent="0.25">
      <c r="B3" s="48" t="s">
        <v>18</v>
      </c>
      <c r="C3" s="132">
        <v>15.4</v>
      </c>
      <c r="D3" s="114">
        <v>25.3</v>
      </c>
      <c r="E3" s="48" t="s">
        <v>1</v>
      </c>
      <c r="F3" s="49">
        <v>1</v>
      </c>
      <c r="G3" s="50" t="s">
        <v>218</v>
      </c>
      <c r="I3" s="151" t="s">
        <v>257</v>
      </c>
      <c r="J3" s="151"/>
      <c r="K3" s="151"/>
      <c r="L3" s="13"/>
      <c r="M3" s="150" t="s">
        <v>216</v>
      </c>
      <c r="N3" s="150"/>
      <c r="O3" s="150"/>
      <c r="P3" s="13"/>
      <c r="Q3" s="150" t="s">
        <v>463</v>
      </c>
      <c r="R3" s="150"/>
      <c r="S3" s="150"/>
      <c r="T3" s="13"/>
      <c r="U3" s="151" t="s">
        <v>237</v>
      </c>
      <c r="V3" s="151"/>
      <c r="W3" s="151"/>
      <c r="X3" s="14"/>
    </row>
    <row r="4" spans="2:24" ht="17.399999999999999" x14ac:dyDescent="0.25">
      <c r="B4" s="48" t="s">
        <v>474</v>
      </c>
      <c r="C4" s="132">
        <v>473</v>
      </c>
      <c r="D4" s="114">
        <v>473</v>
      </c>
      <c r="E4" s="48" t="s">
        <v>0</v>
      </c>
      <c r="F4" s="49">
        <v>2</v>
      </c>
      <c r="G4" s="50" t="s">
        <v>219</v>
      </c>
      <c r="I4" s="5" t="s">
        <v>10</v>
      </c>
      <c r="J4" s="7"/>
      <c r="K4" s="5" t="s">
        <v>11</v>
      </c>
      <c r="L4" s="13"/>
      <c r="M4" s="5" t="s">
        <v>20</v>
      </c>
      <c r="N4" s="7">
        <v>400</v>
      </c>
      <c r="O4" s="5" t="s">
        <v>0</v>
      </c>
      <c r="P4" s="13"/>
      <c r="Q4" s="5" t="s">
        <v>187</v>
      </c>
      <c r="R4" s="3" t="s">
        <v>188</v>
      </c>
      <c r="S4" s="3"/>
      <c r="T4" s="13"/>
      <c r="U4" s="6" t="s">
        <v>105</v>
      </c>
      <c r="V4" s="7">
        <v>33.700000000000003</v>
      </c>
      <c r="W4" s="6" t="s">
        <v>15</v>
      </c>
      <c r="X4" s="131" t="s">
        <v>534</v>
      </c>
    </row>
    <row r="5" spans="2:24" ht="17.399999999999999" x14ac:dyDescent="0.25">
      <c r="B5" s="48" t="s">
        <v>73</v>
      </c>
      <c r="C5" s="133">
        <v>0.9</v>
      </c>
      <c r="D5" s="115">
        <v>0.9</v>
      </c>
      <c r="E5" s="48"/>
      <c r="F5" s="49"/>
      <c r="G5" s="48" t="s">
        <v>453</v>
      </c>
      <c r="I5" s="5" t="s">
        <v>12</v>
      </c>
      <c r="J5" s="7">
        <v>3100</v>
      </c>
      <c r="K5" s="5" t="s">
        <v>13</v>
      </c>
      <c r="L5" s="13"/>
      <c r="M5" s="5" t="s">
        <v>440</v>
      </c>
      <c r="N5" s="7">
        <v>0.45</v>
      </c>
      <c r="O5" s="5" t="s">
        <v>19</v>
      </c>
      <c r="P5" s="13"/>
      <c r="Q5" s="12" t="s">
        <v>189</v>
      </c>
      <c r="R5" s="15">
        <v>1.75</v>
      </c>
      <c r="S5" s="12" t="s">
        <v>190</v>
      </c>
      <c r="T5" s="13"/>
      <c r="U5" s="6" t="s">
        <v>106</v>
      </c>
      <c r="V5" s="7">
        <v>4000</v>
      </c>
      <c r="W5" s="6" t="s">
        <v>2</v>
      </c>
      <c r="X5" s="14"/>
    </row>
    <row r="6" spans="2:24" ht="17.399999999999999" x14ac:dyDescent="0.25">
      <c r="B6" s="48" t="s">
        <v>64</v>
      </c>
      <c r="C6" s="134">
        <f t="shared" ref="C6" si="0">ROUND(C3*1000/(C4*0.9)/(3^0.5)/C5,1)</f>
        <v>23.2</v>
      </c>
      <c r="D6" s="116">
        <f t="shared" ref="D6" si="1">ROUND(D3*1000/(D4*0.9)/(3^0.5)/D5,1)</f>
        <v>38.1</v>
      </c>
      <c r="E6" s="48" t="s">
        <v>2</v>
      </c>
      <c r="F6" s="49"/>
      <c r="G6" s="48" t="s">
        <v>269</v>
      </c>
      <c r="I6" s="5" t="s">
        <v>14</v>
      </c>
      <c r="J6" s="7">
        <v>2000</v>
      </c>
      <c r="K6" s="5" t="s">
        <v>13</v>
      </c>
      <c r="L6" s="13"/>
      <c r="M6" s="5" t="s">
        <v>21</v>
      </c>
      <c r="N6" s="7">
        <v>54</v>
      </c>
      <c r="O6" s="5" t="s">
        <v>22</v>
      </c>
      <c r="P6" s="13"/>
      <c r="Q6" s="12" t="s">
        <v>191</v>
      </c>
      <c r="R6" s="16">
        <v>3.8999999999999998E-3</v>
      </c>
      <c r="S6" s="12" t="s">
        <v>192</v>
      </c>
      <c r="T6" s="13"/>
      <c r="U6" s="6" t="s">
        <v>107</v>
      </c>
      <c r="V6" s="7">
        <v>7200</v>
      </c>
      <c r="W6" s="6" t="s">
        <v>27</v>
      </c>
      <c r="X6" s="14"/>
    </row>
    <row r="7" spans="2:24" ht="17.399999999999999" x14ac:dyDescent="0.25">
      <c r="B7" s="48" t="s">
        <v>51</v>
      </c>
      <c r="C7" s="135">
        <v>2</v>
      </c>
      <c r="D7" s="117">
        <v>2</v>
      </c>
      <c r="E7" s="48" t="s">
        <v>74</v>
      </c>
      <c r="F7" s="49"/>
      <c r="G7" s="48"/>
      <c r="I7" s="5" t="s">
        <v>96</v>
      </c>
      <c r="J7" s="8">
        <f>(J5*J4)*(J5*J4)/(101.6*(4.5*J5+10*J6))</f>
        <v>0</v>
      </c>
      <c r="K7" s="5" t="s">
        <v>15</v>
      </c>
      <c r="L7" s="13"/>
      <c r="M7" s="5" t="s">
        <v>23</v>
      </c>
      <c r="N7" s="7">
        <v>10000</v>
      </c>
      <c r="O7" s="5" t="s">
        <v>24</v>
      </c>
      <c r="P7" s="13"/>
      <c r="Q7" s="12" t="s">
        <v>193</v>
      </c>
      <c r="R7" s="17">
        <v>45</v>
      </c>
      <c r="S7" s="12" t="s">
        <v>48</v>
      </c>
      <c r="T7" s="13"/>
      <c r="U7" s="6" t="s">
        <v>261</v>
      </c>
      <c r="V7" s="7">
        <v>580</v>
      </c>
      <c r="W7" s="6" t="s">
        <v>0</v>
      </c>
      <c r="X7" s="14"/>
    </row>
    <row r="8" spans="2:24" ht="17.399999999999999" x14ac:dyDescent="0.25">
      <c r="B8" s="127" t="s">
        <v>65</v>
      </c>
      <c r="C8" s="117">
        <f t="shared" ref="C8" si="2">ROUND(C6/C7,0)</f>
        <v>12</v>
      </c>
      <c r="D8" s="117">
        <f t="shared" ref="D8" si="3">ROUND(D6/D7,0)</f>
        <v>19</v>
      </c>
      <c r="E8" s="48" t="s">
        <v>3</v>
      </c>
      <c r="F8" s="49"/>
      <c r="G8" s="48"/>
      <c r="I8" s="5" t="s">
        <v>97</v>
      </c>
      <c r="J8" s="7">
        <v>70</v>
      </c>
      <c r="K8" s="5" t="s">
        <v>7</v>
      </c>
      <c r="L8" s="13"/>
      <c r="M8" s="5" t="s">
        <v>25</v>
      </c>
      <c r="N8" s="25">
        <f>(5000*N4)/(N5*N6*N7)</f>
        <v>8.2304526748971192</v>
      </c>
      <c r="O8" s="5" t="s">
        <v>217</v>
      </c>
      <c r="P8" s="13"/>
      <c r="Q8" s="12" t="s">
        <v>194</v>
      </c>
      <c r="R8" s="16">
        <f>R5*(1+R6*(R7-20))</f>
        <v>1.9206249999999998</v>
      </c>
      <c r="S8" s="12" t="s">
        <v>190</v>
      </c>
      <c r="T8" s="13"/>
      <c r="U8" s="6" t="s">
        <v>260</v>
      </c>
      <c r="V8" s="25">
        <f>SQRT(V7^2+V4*V5^2/V6)</f>
        <v>641.31808713686598</v>
      </c>
      <c r="W8" s="6" t="s">
        <v>0</v>
      </c>
      <c r="X8" s="14"/>
    </row>
    <row r="9" spans="2:24" ht="17.399999999999999" x14ac:dyDescent="0.25">
      <c r="B9" s="127"/>
      <c r="C9" s="118"/>
      <c r="D9" s="118"/>
      <c r="E9" s="48"/>
      <c r="F9" s="49"/>
      <c r="G9" s="48"/>
      <c r="I9" s="5" t="s">
        <v>94</v>
      </c>
      <c r="J9" s="8">
        <f>J7*J8/100</f>
        <v>0</v>
      </c>
      <c r="K9" s="5" t="s">
        <v>15</v>
      </c>
      <c r="L9" s="13"/>
      <c r="M9" s="13"/>
      <c r="N9" s="13"/>
      <c r="O9" s="13"/>
      <c r="P9" s="13"/>
      <c r="Q9" s="12" t="s">
        <v>195</v>
      </c>
      <c r="R9" s="18">
        <f>1/(R8/100000000)</f>
        <v>52066384.64041654</v>
      </c>
      <c r="S9" s="12" t="s">
        <v>196</v>
      </c>
      <c r="T9" s="13"/>
      <c r="U9" s="13"/>
      <c r="V9" s="13"/>
      <c r="W9" s="13"/>
      <c r="X9" s="14"/>
    </row>
    <row r="10" spans="2:24" ht="17.399999999999999" x14ac:dyDescent="0.25">
      <c r="B10" s="127" t="s">
        <v>16</v>
      </c>
      <c r="C10" s="116">
        <f t="shared" ref="C10" si="4">ROUND(C4*2^0.5*0.93,1)</f>
        <v>622.1</v>
      </c>
      <c r="D10" s="116">
        <f>ROUND(D4*2^0.5*0.93,1)</f>
        <v>622.1</v>
      </c>
      <c r="E10" s="48" t="s">
        <v>0</v>
      </c>
      <c r="F10" s="49"/>
      <c r="G10" s="48" t="s">
        <v>268</v>
      </c>
      <c r="I10" s="6" t="s">
        <v>93</v>
      </c>
      <c r="J10" s="7">
        <v>0.1</v>
      </c>
      <c r="K10" s="5" t="s">
        <v>15</v>
      </c>
      <c r="L10" s="13"/>
      <c r="M10" s="150" t="s">
        <v>476</v>
      </c>
      <c r="N10" s="150"/>
      <c r="O10" s="150"/>
      <c r="P10" s="13"/>
      <c r="Q10" s="12" t="s">
        <v>197</v>
      </c>
      <c r="R10" s="3">
        <v>1</v>
      </c>
      <c r="S10" s="12" t="s">
        <v>198</v>
      </c>
      <c r="T10" s="13"/>
      <c r="U10" s="151" t="s">
        <v>248</v>
      </c>
      <c r="V10" s="151"/>
      <c r="W10" s="151"/>
      <c r="X10" s="14"/>
    </row>
    <row r="11" spans="2:24" ht="17.399999999999999" x14ac:dyDescent="0.25">
      <c r="B11" s="127" t="s">
        <v>17</v>
      </c>
      <c r="C11" s="116">
        <f t="shared" ref="C11" si="5">ROUND(C3*1000/C10,1)</f>
        <v>24.8</v>
      </c>
      <c r="D11" s="116">
        <f t="shared" ref="D11" si="6">ROUND(D3*1000/D10,1)</f>
        <v>40.700000000000003</v>
      </c>
      <c r="E11" s="48" t="s">
        <v>2</v>
      </c>
      <c r="F11" s="49"/>
      <c r="G11" s="48" t="s">
        <v>270</v>
      </c>
      <c r="I11" s="6" t="s">
        <v>258</v>
      </c>
      <c r="J11" s="7">
        <v>6</v>
      </c>
      <c r="K11" s="5" t="s">
        <v>42</v>
      </c>
      <c r="L11" s="136" t="s">
        <v>536</v>
      </c>
      <c r="M11" s="5" t="s">
        <v>26</v>
      </c>
      <c r="N11" s="7">
        <f>J24</f>
        <v>10</v>
      </c>
      <c r="O11" s="5" t="s">
        <v>27</v>
      </c>
      <c r="P11" s="13"/>
      <c r="Q11" s="12" t="s">
        <v>37</v>
      </c>
      <c r="R11" s="19">
        <v>1000</v>
      </c>
      <c r="S11" s="12" t="s">
        <v>199</v>
      </c>
      <c r="T11" s="13"/>
      <c r="U11" s="5" t="s">
        <v>107</v>
      </c>
      <c r="V11" s="7">
        <v>7200</v>
      </c>
      <c r="W11" s="5" t="s">
        <v>27</v>
      </c>
      <c r="X11" s="131" t="s">
        <v>534</v>
      </c>
    </row>
    <row r="12" spans="2:24" ht="17.399999999999999" x14ac:dyDescent="0.25">
      <c r="B12" s="127"/>
      <c r="C12" s="118"/>
      <c r="D12" s="118"/>
      <c r="E12" s="48"/>
      <c r="F12" s="49"/>
      <c r="G12" s="48"/>
      <c r="I12" s="6" t="s">
        <v>95</v>
      </c>
      <c r="J12" s="7">
        <v>1</v>
      </c>
      <c r="K12" s="5" t="s">
        <v>66</v>
      </c>
      <c r="L12" s="13"/>
      <c r="M12" s="5" t="s">
        <v>28</v>
      </c>
      <c r="N12" s="112">
        <f>J14</f>
        <v>0.1</v>
      </c>
      <c r="O12" s="5" t="s">
        <v>15</v>
      </c>
      <c r="P12" s="13"/>
      <c r="Q12" s="12" t="s">
        <v>229</v>
      </c>
      <c r="R12" s="31">
        <f>503.3*SQRT((R8/100000000)/(R10*R11))*1000</f>
        <v>2.205709020034714</v>
      </c>
      <c r="S12" s="12" t="s">
        <v>200</v>
      </c>
      <c r="T12" s="13"/>
      <c r="U12" s="5" t="s">
        <v>109</v>
      </c>
      <c r="V12" s="7">
        <v>580</v>
      </c>
      <c r="W12" s="5" t="s">
        <v>0</v>
      </c>
      <c r="X12" s="14"/>
    </row>
    <row r="13" spans="2:24" ht="17.399999999999999" x14ac:dyDescent="0.25">
      <c r="B13" s="113" t="s">
        <v>214</v>
      </c>
      <c r="C13" s="118"/>
      <c r="D13" s="118"/>
      <c r="E13" s="48"/>
      <c r="F13" s="49"/>
      <c r="G13" s="48"/>
      <c r="I13" s="6" t="s">
        <v>98</v>
      </c>
      <c r="J13" s="20">
        <v>1</v>
      </c>
      <c r="K13" s="5" t="s">
        <v>67</v>
      </c>
      <c r="L13" s="13"/>
      <c r="M13" s="5" t="s">
        <v>29</v>
      </c>
      <c r="N13" s="25">
        <f>1/(2*3.14*SQRT((N11/1000000)*(N12/1000000)))</f>
        <v>159235.66878980887</v>
      </c>
      <c r="O13" s="5" t="s">
        <v>30</v>
      </c>
      <c r="P13" s="13"/>
      <c r="Q13" s="12" t="s">
        <v>230</v>
      </c>
      <c r="R13" s="26">
        <v>6126</v>
      </c>
      <c r="S13" s="12" t="s">
        <v>200</v>
      </c>
      <c r="T13" s="13"/>
      <c r="U13" s="5" t="s">
        <v>106</v>
      </c>
      <c r="V13" s="7">
        <v>4000</v>
      </c>
      <c r="W13" s="5" t="s">
        <v>2</v>
      </c>
      <c r="X13" s="14"/>
    </row>
    <row r="14" spans="2:24" ht="17.399999999999999" x14ac:dyDescent="0.25">
      <c r="B14" s="127" t="s">
        <v>75</v>
      </c>
      <c r="C14" s="110">
        <v>24.6</v>
      </c>
      <c r="D14" s="110">
        <v>22.2</v>
      </c>
      <c r="E14" s="48" t="s">
        <v>15</v>
      </c>
      <c r="F14" s="49">
        <v>3</v>
      </c>
      <c r="G14" s="50" t="s">
        <v>266</v>
      </c>
      <c r="I14" s="6" t="s">
        <v>259</v>
      </c>
      <c r="J14" s="30">
        <f>J9/J12*J13*J11^2+J10</f>
        <v>0.1</v>
      </c>
      <c r="K14" s="5" t="s">
        <v>15</v>
      </c>
      <c r="L14" s="13"/>
      <c r="M14" s="13"/>
      <c r="N14" s="13"/>
      <c r="O14" s="13"/>
      <c r="P14" s="13"/>
      <c r="Q14" s="12" t="s">
        <v>256</v>
      </c>
      <c r="R14" s="26">
        <v>2</v>
      </c>
      <c r="S14" s="12" t="s">
        <v>200</v>
      </c>
      <c r="T14" s="13"/>
      <c r="U14" s="5" t="s">
        <v>111</v>
      </c>
      <c r="V14" s="7">
        <v>3000</v>
      </c>
      <c r="W14" s="5" t="s">
        <v>24</v>
      </c>
      <c r="X14" s="14"/>
    </row>
    <row r="15" spans="2:24" ht="17.399999999999999" x14ac:dyDescent="0.25">
      <c r="B15" s="127" t="s">
        <v>76</v>
      </c>
      <c r="C15" s="114">
        <v>10</v>
      </c>
      <c r="D15" s="114">
        <v>10</v>
      </c>
      <c r="E15" s="48" t="s">
        <v>27</v>
      </c>
      <c r="F15" s="49">
        <v>4</v>
      </c>
      <c r="G15" s="50" t="s">
        <v>271</v>
      </c>
      <c r="H15" s="2"/>
      <c r="I15" s="13"/>
      <c r="J15" s="13"/>
      <c r="K15" s="13"/>
      <c r="L15" s="13"/>
      <c r="M15" s="150" t="s">
        <v>223</v>
      </c>
      <c r="N15" s="150"/>
      <c r="O15" s="150"/>
      <c r="P15" s="13"/>
      <c r="Q15" s="12" t="s">
        <v>254</v>
      </c>
      <c r="R15" s="27">
        <f>MIN(R12,R14)</f>
        <v>2</v>
      </c>
      <c r="S15" s="12" t="s">
        <v>200</v>
      </c>
      <c r="T15" s="13"/>
      <c r="U15" s="5" t="s">
        <v>112</v>
      </c>
      <c r="V15" s="8">
        <f>(1.414*V13*0.421)/(2*3.14159*V14*V12*2*V11*0.000001)*2*100</f>
        <v>3.0250339310291485</v>
      </c>
      <c r="W15" s="5" t="s">
        <v>7</v>
      </c>
      <c r="X15" s="14"/>
    </row>
    <row r="16" spans="2:24" ht="17.399999999999999" x14ac:dyDescent="0.25">
      <c r="B16" s="127" t="s">
        <v>77</v>
      </c>
      <c r="C16" s="116">
        <f t="shared" ref="C16" si="7">1000/(2*PI()*(C14*C15)^0.5)</f>
        <v>10.147348548431328</v>
      </c>
      <c r="D16" s="116">
        <f t="shared" ref="D16" si="8">1000/(2*PI()*(D14*D15)^0.5)</f>
        <v>10.681780377336899</v>
      </c>
      <c r="E16" s="48" t="s">
        <v>4</v>
      </c>
      <c r="F16" s="49"/>
      <c r="G16" s="48" t="s">
        <v>222</v>
      </c>
      <c r="I16" s="151" t="s">
        <v>201</v>
      </c>
      <c r="J16" s="151"/>
      <c r="K16" s="151"/>
      <c r="L16" s="13"/>
      <c r="M16" s="5" t="s">
        <v>31</v>
      </c>
      <c r="N16" s="7">
        <v>40</v>
      </c>
      <c r="O16" s="5" t="s">
        <v>32</v>
      </c>
      <c r="P16" s="13"/>
      <c r="Q16" s="12" t="s">
        <v>252</v>
      </c>
      <c r="R16" s="26">
        <v>60</v>
      </c>
      <c r="S16" s="12" t="s">
        <v>200</v>
      </c>
      <c r="T16" s="13"/>
      <c r="U16" s="5" t="s">
        <v>108</v>
      </c>
      <c r="V16" s="25">
        <f>V12*V15/100</f>
        <v>17.545196799969062</v>
      </c>
      <c r="W16" s="5" t="s">
        <v>0</v>
      </c>
      <c r="X16" s="14"/>
    </row>
    <row r="17" spans="2:24" ht="17.399999999999999" x14ac:dyDescent="0.25">
      <c r="B17" s="127" t="s">
        <v>78</v>
      </c>
      <c r="C17" s="114">
        <v>40</v>
      </c>
      <c r="D17" s="114">
        <v>40</v>
      </c>
      <c r="E17" s="48" t="s">
        <v>79</v>
      </c>
      <c r="F17" s="49">
        <v>6</v>
      </c>
      <c r="G17" s="50" t="s">
        <v>249</v>
      </c>
      <c r="I17" s="21" t="s">
        <v>206</v>
      </c>
      <c r="J17" s="22">
        <v>10</v>
      </c>
      <c r="K17" s="21" t="s">
        <v>27</v>
      </c>
      <c r="L17" s="13" t="s">
        <v>535</v>
      </c>
      <c r="M17" s="5" t="s">
        <v>33</v>
      </c>
      <c r="N17" s="7">
        <v>17.34</v>
      </c>
      <c r="O17" s="5" t="s">
        <v>4</v>
      </c>
      <c r="P17" s="13"/>
      <c r="Q17" s="12" t="s">
        <v>251</v>
      </c>
      <c r="R17" s="27">
        <f>R15*R16</f>
        <v>120</v>
      </c>
      <c r="S17" s="12" t="s">
        <v>226</v>
      </c>
      <c r="T17" s="13"/>
      <c r="U17" s="5" t="s">
        <v>110</v>
      </c>
      <c r="V17" s="25">
        <f>2*3.14159*V14*V11*0.000001*V16</f>
        <v>2381.1759999999999</v>
      </c>
      <c r="W17" s="5" t="s">
        <v>2</v>
      </c>
      <c r="X17" s="14"/>
    </row>
    <row r="18" spans="2:24" ht="17.399999999999999" x14ac:dyDescent="0.25">
      <c r="B18" s="127" t="s">
        <v>530</v>
      </c>
      <c r="C18" s="117">
        <f t="shared" ref="C18" si="9">ROUNDUP(TAN(PI()*C17/180),3)</f>
        <v>0.84</v>
      </c>
      <c r="D18" s="117">
        <f t="shared" ref="D18" si="10">ROUNDUP(TAN(PI()*D17/180),3)</f>
        <v>0.84</v>
      </c>
      <c r="E18" s="48"/>
      <c r="F18" s="49"/>
      <c r="G18" s="48"/>
      <c r="I18" s="21" t="s">
        <v>202</v>
      </c>
      <c r="J18" s="22">
        <v>8</v>
      </c>
      <c r="K18" s="21" t="s">
        <v>209</v>
      </c>
      <c r="L18" s="13"/>
      <c r="M18" s="5" t="s">
        <v>34</v>
      </c>
      <c r="N18" s="7">
        <v>1396</v>
      </c>
      <c r="O18" s="5" t="s">
        <v>2</v>
      </c>
      <c r="P18" s="13"/>
      <c r="Q18" s="12" t="s">
        <v>231</v>
      </c>
      <c r="R18" s="26">
        <v>850</v>
      </c>
      <c r="S18" s="4" t="s">
        <v>227</v>
      </c>
      <c r="T18" s="13"/>
      <c r="U18" s="13"/>
      <c r="V18" s="13"/>
      <c r="W18" s="13"/>
      <c r="X18" s="14"/>
    </row>
    <row r="19" spans="2:24" ht="17.399999999999999" x14ac:dyDescent="0.25">
      <c r="B19" s="127"/>
      <c r="C19" s="118"/>
      <c r="D19" s="118"/>
      <c r="E19" s="48"/>
      <c r="F19" s="49"/>
      <c r="G19" s="48"/>
      <c r="I19" s="21" t="s">
        <v>204</v>
      </c>
      <c r="J19" s="22">
        <v>1250</v>
      </c>
      <c r="K19" s="21" t="s">
        <v>0</v>
      </c>
      <c r="L19" s="13"/>
      <c r="M19" s="5" t="s">
        <v>35</v>
      </c>
      <c r="N19" s="25">
        <f>(N18)/(2*3.14*N17*1000*(N16/1000000))</f>
        <v>320.49162864846198</v>
      </c>
      <c r="O19" s="5" t="s">
        <v>0</v>
      </c>
      <c r="P19" s="13"/>
      <c r="Q19" s="12" t="s">
        <v>466</v>
      </c>
      <c r="R19" s="28">
        <f>R18/R17</f>
        <v>7.083333333333333</v>
      </c>
      <c r="S19" s="4" t="s">
        <v>227</v>
      </c>
      <c r="T19" s="13"/>
      <c r="U19" s="151" t="s">
        <v>461</v>
      </c>
      <c r="V19" s="151"/>
      <c r="W19" s="151"/>
      <c r="X19" s="14"/>
    </row>
    <row r="20" spans="2:24" ht="17.399999999999999" x14ac:dyDescent="0.25">
      <c r="B20" s="127" t="s">
        <v>41</v>
      </c>
      <c r="C20" s="119">
        <v>1.7</v>
      </c>
      <c r="D20" s="119">
        <v>2.5299999999999998</v>
      </c>
      <c r="E20" s="48"/>
      <c r="F20" s="49">
        <v>5</v>
      </c>
      <c r="G20" s="50" t="s">
        <v>267</v>
      </c>
      <c r="I20" s="21" t="s">
        <v>205</v>
      </c>
      <c r="J20" s="22">
        <v>1600</v>
      </c>
      <c r="K20" s="21" t="s">
        <v>2</v>
      </c>
      <c r="L20" s="13"/>
      <c r="M20" s="13"/>
      <c r="N20" s="13"/>
      <c r="O20" s="13"/>
      <c r="P20" s="13"/>
      <c r="Q20" s="12" t="s">
        <v>232</v>
      </c>
      <c r="R20" s="28">
        <f>R8/100000000*(R18^2)/(R17/1000000)*R13/1000</f>
        <v>708.39612265624987</v>
      </c>
      <c r="S20" s="4" t="s">
        <v>228</v>
      </c>
      <c r="T20" s="13"/>
      <c r="U20" s="80" t="s">
        <v>455</v>
      </c>
      <c r="V20" s="48">
        <v>0.9133</v>
      </c>
      <c r="W20" s="48" t="s">
        <v>454</v>
      </c>
      <c r="X20" s="14"/>
    </row>
    <row r="21" spans="2:24" ht="17.399999999999999" x14ac:dyDescent="0.25">
      <c r="B21" s="127" t="s">
        <v>80</v>
      </c>
      <c r="C21" s="120">
        <f t="shared" ref="C21" si="11">C16*((C18/C20)+(((C18/C20)^2+4)^0.5))/2</f>
        <v>12.959441057716223</v>
      </c>
      <c r="D21" s="120">
        <f t="shared" ref="D21" si="12">D16*((D18/D20)+(((D18/D20)^2+4)^0.5))/2</f>
        <v>12.601227613715666</v>
      </c>
      <c r="E21" s="48" t="s">
        <v>4</v>
      </c>
      <c r="F21" s="49"/>
      <c r="G21" s="51" t="s">
        <v>247</v>
      </c>
      <c r="I21" s="21" t="s">
        <v>203</v>
      </c>
      <c r="J21" s="22">
        <v>8</v>
      </c>
      <c r="K21" s="21" t="s">
        <v>209</v>
      </c>
      <c r="L21" s="13"/>
      <c r="M21" s="150" t="s">
        <v>224</v>
      </c>
      <c r="N21" s="150"/>
      <c r="O21" s="150"/>
      <c r="P21" s="13"/>
      <c r="Q21" s="13"/>
      <c r="R21" s="13"/>
      <c r="S21" s="13"/>
      <c r="T21" s="13"/>
      <c r="U21" s="21" t="s">
        <v>456</v>
      </c>
      <c r="V21" s="57">
        <v>3</v>
      </c>
      <c r="W21" s="48" t="s">
        <v>304</v>
      </c>
      <c r="X21" s="14"/>
    </row>
    <row r="22" spans="2:24" ht="17.399999999999999" x14ac:dyDescent="0.25">
      <c r="B22" s="127" t="s">
        <v>284</v>
      </c>
      <c r="C22" s="117">
        <f t="shared" ref="C22" si="13">2*PI()*C16*C14</f>
        <v>1568.438714135812</v>
      </c>
      <c r="D22" s="117">
        <f t="shared" ref="D22" si="14">2*PI()*D16*D14</f>
        <v>1489.9664425751339</v>
      </c>
      <c r="E22" s="48" t="s">
        <v>82</v>
      </c>
      <c r="F22" s="49"/>
      <c r="G22" s="48"/>
      <c r="I22" s="21" t="s">
        <v>210</v>
      </c>
      <c r="J22" s="22">
        <v>1</v>
      </c>
      <c r="K22" s="21" t="s">
        <v>67</v>
      </c>
      <c r="L22" s="13"/>
      <c r="M22" s="6" t="s">
        <v>151</v>
      </c>
      <c r="N22" s="7">
        <v>500</v>
      </c>
      <c r="O22" s="5" t="s">
        <v>152</v>
      </c>
      <c r="P22" s="13"/>
      <c r="Q22" s="150" t="s">
        <v>464</v>
      </c>
      <c r="R22" s="150"/>
      <c r="S22" s="150"/>
      <c r="T22" s="13"/>
      <c r="U22" s="21" t="s">
        <v>457</v>
      </c>
      <c r="V22" s="79">
        <f>V20*V21</f>
        <v>2.7399</v>
      </c>
      <c r="W22" s="48" t="s">
        <v>454</v>
      </c>
      <c r="X22" s="14"/>
    </row>
    <row r="23" spans="2:24" ht="17.399999999999999" x14ac:dyDescent="0.25">
      <c r="B23" s="127" t="s">
        <v>81</v>
      </c>
      <c r="C23" s="117">
        <f t="shared" ref="C23" si="15">2*PI()*C21*C14</f>
        <v>2003.0936132203205</v>
      </c>
      <c r="D23" s="117">
        <f t="shared" ref="D23" si="16">2*PI()*D21*D14</f>
        <v>1757.7038299273117</v>
      </c>
      <c r="E23" s="48" t="s">
        <v>82</v>
      </c>
      <c r="F23" s="49"/>
      <c r="G23" s="48"/>
      <c r="I23" s="21" t="s">
        <v>211</v>
      </c>
      <c r="J23" s="22">
        <v>1</v>
      </c>
      <c r="K23" s="21" t="s">
        <v>66</v>
      </c>
      <c r="L23" s="13"/>
      <c r="M23" s="6" t="s">
        <v>262</v>
      </c>
      <c r="N23" s="7">
        <v>2.2000000000000002</v>
      </c>
      <c r="O23" s="5" t="s">
        <v>153</v>
      </c>
      <c r="P23" s="13"/>
      <c r="Q23" s="5" t="s">
        <v>187</v>
      </c>
      <c r="R23" s="3" t="s">
        <v>188</v>
      </c>
      <c r="S23" s="3"/>
      <c r="T23" s="13"/>
      <c r="U23" s="21"/>
      <c r="V23" s="48"/>
      <c r="W23" s="48"/>
      <c r="X23" s="14"/>
    </row>
    <row r="24" spans="2:24" ht="17.399999999999999" x14ac:dyDescent="0.25">
      <c r="B24" s="127" t="s">
        <v>83</v>
      </c>
      <c r="C24" s="117">
        <f t="shared" ref="C24" si="17">1000000/(2*PI()*C21*C15)</f>
        <v>1228.1003662355668</v>
      </c>
      <c r="D24" s="117">
        <f t="shared" ref="D24" si="18">1000000/(2*PI()*D21*D15)</f>
        <v>1263.011414210667</v>
      </c>
      <c r="E24" s="48" t="s">
        <v>82</v>
      </c>
      <c r="F24" s="49"/>
      <c r="G24" s="48"/>
      <c r="I24" s="21" t="s">
        <v>238</v>
      </c>
      <c r="J24" s="29">
        <f>J17*(J21/J18)*J23/J22</f>
        <v>10</v>
      </c>
      <c r="K24" s="21" t="s">
        <v>27</v>
      </c>
      <c r="L24" s="13"/>
      <c r="M24" s="6" t="s">
        <v>156</v>
      </c>
      <c r="N24" s="7">
        <v>22</v>
      </c>
      <c r="O24" s="5" t="s">
        <v>157</v>
      </c>
      <c r="P24" s="13"/>
      <c r="Q24" s="12" t="s">
        <v>189</v>
      </c>
      <c r="R24" s="15">
        <v>1.75</v>
      </c>
      <c r="S24" s="12" t="s">
        <v>190</v>
      </c>
      <c r="T24" s="13"/>
      <c r="U24" s="80" t="s">
        <v>458</v>
      </c>
      <c r="V24" s="48">
        <v>0.48</v>
      </c>
      <c r="W24" s="48" t="s">
        <v>454</v>
      </c>
      <c r="X24" s="14"/>
    </row>
    <row r="25" spans="2:24" ht="17.399999999999999" x14ac:dyDescent="0.25">
      <c r="B25" s="127" t="s">
        <v>68</v>
      </c>
      <c r="C25" s="121">
        <f t="shared" ref="C25" si="19">C22/C20</f>
        <v>922.61100831518354</v>
      </c>
      <c r="D25" s="121">
        <f t="shared" ref="D25" si="20">D22/D20</f>
        <v>588.91954251981576</v>
      </c>
      <c r="E25" s="48" t="s">
        <v>82</v>
      </c>
      <c r="F25" s="49"/>
      <c r="G25" s="48"/>
      <c r="I25" s="21" t="s">
        <v>207</v>
      </c>
      <c r="J25" s="23">
        <f>J19*J22</f>
        <v>1250</v>
      </c>
      <c r="K25" s="21" t="s">
        <v>0</v>
      </c>
      <c r="L25" s="13"/>
      <c r="M25" s="6" t="s">
        <v>160</v>
      </c>
      <c r="N25" s="7">
        <v>4</v>
      </c>
      <c r="O25" s="5"/>
      <c r="P25" s="13"/>
      <c r="Q25" s="12" t="s">
        <v>191</v>
      </c>
      <c r="R25" s="16">
        <v>3.8999999999999998E-3</v>
      </c>
      <c r="S25" s="12" t="s">
        <v>192</v>
      </c>
      <c r="T25" s="13"/>
      <c r="U25" s="21" t="s">
        <v>459</v>
      </c>
      <c r="V25" s="57">
        <v>5</v>
      </c>
      <c r="W25" s="48" t="s">
        <v>304</v>
      </c>
      <c r="X25" s="14"/>
    </row>
    <row r="26" spans="2:24" ht="17.399999999999999" x14ac:dyDescent="0.25">
      <c r="B26" s="127" t="s">
        <v>84</v>
      </c>
      <c r="C26" s="117">
        <f t="shared" ref="C26" si="21">(C25^2+(C23-C24)^2)^0.5</f>
        <v>1204.9172608674553</v>
      </c>
      <c r="D26" s="117">
        <f t="shared" ref="D26" si="22">(D25^2+(D23-D24)^2)^0.5</f>
        <v>769.12080567965313</v>
      </c>
      <c r="E26" s="48" t="s">
        <v>82</v>
      </c>
      <c r="F26" s="49"/>
      <c r="G26" s="48"/>
      <c r="I26" s="21" t="s">
        <v>208</v>
      </c>
      <c r="J26" s="23">
        <f>J20*(J21/J18)*J23</f>
        <v>1600</v>
      </c>
      <c r="K26" s="21" t="s">
        <v>2</v>
      </c>
      <c r="L26" s="13"/>
      <c r="M26" s="6" t="s">
        <v>163</v>
      </c>
      <c r="N26" s="8">
        <f>N23*N24*N25*2</f>
        <v>387.20000000000005</v>
      </c>
      <c r="O26" s="5" t="s">
        <v>153</v>
      </c>
      <c r="P26" s="13"/>
      <c r="Q26" s="12" t="s">
        <v>193</v>
      </c>
      <c r="R26" s="17">
        <v>45</v>
      </c>
      <c r="S26" s="12" t="s">
        <v>48</v>
      </c>
      <c r="T26" s="13"/>
      <c r="U26" s="21" t="s">
        <v>460</v>
      </c>
      <c r="V26" s="79">
        <f>V24*V25</f>
        <v>2.4</v>
      </c>
      <c r="W26" s="48" t="s">
        <v>454</v>
      </c>
      <c r="X26" s="14"/>
    </row>
    <row r="27" spans="2:24" ht="17.399999999999999" x14ac:dyDescent="0.25">
      <c r="B27" s="127"/>
      <c r="C27" s="118"/>
      <c r="D27" s="118"/>
      <c r="E27" s="48"/>
      <c r="F27" s="49"/>
      <c r="G27" s="48"/>
      <c r="I27" s="21" t="s">
        <v>47</v>
      </c>
      <c r="J27" s="23">
        <f>J25*J26/1000</f>
        <v>2000</v>
      </c>
      <c r="K27" s="21" t="s">
        <v>47</v>
      </c>
      <c r="L27" s="13"/>
      <c r="M27" s="6" t="s">
        <v>166</v>
      </c>
      <c r="N27" s="7">
        <v>1.5</v>
      </c>
      <c r="O27" s="5" t="s">
        <v>167</v>
      </c>
      <c r="P27" s="13"/>
      <c r="Q27" s="12" t="s">
        <v>194</v>
      </c>
      <c r="R27" s="16">
        <f>R24*(1+R25*(R26-20))</f>
        <v>1.9206249999999998</v>
      </c>
      <c r="S27" s="12" t="s">
        <v>190</v>
      </c>
      <c r="T27" s="13"/>
      <c r="U27" s="21"/>
      <c r="V27" s="48"/>
      <c r="W27" s="48"/>
      <c r="X27" s="14"/>
    </row>
    <row r="28" spans="2:24" ht="17.399999999999999" x14ac:dyDescent="0.25">
      <c r="B28" s="127" t="s">
        <v>104</v>
      </c>
      <c r="C28" s="122">
        <f t="shared" ref="C28" si="23">(C3*1000000/C25)^0.5</f>
        <v>129.19658798899528</v>
      </c>
      <c r="D28" s="122">
        <f t="shared" ref="D28" si="24">(D3*1000000/D25)^0.5</f>
        <v>207.26800992481807</v>
      </c>
      <c r="E28" s="48" t="s">
        <v>2</v>
      </c>
      <c r="F28" s="49"/>
      <c r="G28" s="51" t="s">
        <v>246</v>
      </c>
      <c r="I28" s="13"/>
      <c r="J28" s="13"/>
      <c r="K28" s="13"/>
      <c r="L28" s="13"/>
      <c r="M28" s="6" t="s">
        <v>168</v>
      </c>
      <c r="N28" s="7">
        <v>250</v>
      </c>
      <c r="O28" s="5" t="s">
        <v>169</v>
      </c>
      <c r="P28" s="13"/>
      <c r="Q28" s="12" t="s">
        <v>195</v>
      </c>
      <c r="R28" s="18">
        <f>1/(R27/100000000)</f>
        <v>52066384.64041654</v>
      </c>
      <c r="S28" s="12" t="s">
        <v>196</v>
      </c>
      <c r="T28" s="13"/>
      <c r="U28" s="80" t="s">
        <v>458</v>
      </c>
      <c r="V28" s="48">
        <v>0.4133</v>
      </c>
      <c r="W28" s="48" t="s">
        <v>454</v>
      </c>
      <c r="X28" s="14"/>
    </row>
    <row r="29" spans="2:24" ht="17.399999999999999" x14ac:dyDescent="0.25">
      <c r="B29" s="127" t="s">
        <v>102</v>
      </c>
      <c r="C29" s="117">
        <f t="shared" ref="C29" si="25">C28*C25/1000</f>
        <v>119.19819431540827</v>
      </c>
      <c r="D29" s="117">
        <f t="shared" ref="D29" si="26">D28*D25/1000</f>
        <v>122.06418158391649</v>
      </c>
      <c r="E29" s="48" t="s">
        <v>0</v>
      </c>
      <c r="F29" s="49"/>
      <c r="G29" s="48"/>
      <c r="I29" s="151" t="s">
        <v>212</v>
      </c>
      <c r="J29" s="151"/>
      <c r="K29" s="151"/>
      <c r="L29" s="13"/>
      <c r="M29" s="6" t="s">
        <v>170</v>
      </c>
      <c r="N29" s="7">
        <v>1</v>
      </c>
      <c r="O29" s="5" t="s">
        <v>171</v>
      </c>
      <c r="P29" s="13"/>
      <c r="Q29" s="12" t="s">
        <v>197</v>
      </c>
      <c r="R29" s="3">
        <v>1</v>
      </c>
      <c r="S29" s="12" t="s">
        <v>198</v>
      </c>
      <c r="T29" s="13"/>
      <c r="U29" s="21" t="s">
        <v>459</v>
      </c>
      <c r="V29" s="57">
        <v>6</v>
      </c>
      <c r="W29" s="48" t="s">
        <v>304</v>
      </c>
      <c r="X29" s="14"/>
    </row>
    <row r="30" spans="2:24" ht="17.399999999999999" x14ac:dyDescent="0.25">
      <c r="B30" s="127" t="s">
        <v>285</v>
      </c>
      <c r="C30" s="123">
        <f t="shared" ref="C30" si="27">C28/(2*3.14159*C21*1000*C15/1000000)</f>
        <v>158.66651104553918</v>
      </c>
      <c r="D30" s="123">
        <f t="shared" ref="D30" si="28">D28/(2*3.14159*D21*1000*D15/1000000)</f>
        <v>261.78208345364141</v>
      </c>
      <c r="E30" s="48" t="s">
        <v>0</v>
      </c>
      <c r="F30" s="49"/>
      <c r="G30" s="51" t="s">
        <v>71</v>
      </c>
      <c r="I30" s="6" t="s">
        <v>37</v>
      </c>
      <c r="J30" s="7">
        <v>19970</v>
      </c>
      <c r="K30" s="6" t="s">
        <v>24</v>
      </c>
      <c r="L30" s="13"/>
      <c r="M30" s="6" t="s">
        <v>172</v>
      </c>
      <c r="N30" s="8">
        <f>N28*N29</f>
        <v>250</v>
      </c>
      <c r="O30" s="5" t="s">
        <v>169</v>
      </c>
      <c r="P30" s="13"/>
      <c r="Q30" s="12" t="s">
        <v>37</v>
      </c>
      <c r="R30" s="19">
        <v>1000</v>
      </c>
      <c r="S30" s="12" t="s">
        <v>199</v>
      </c>
      <c r="T30" s="13"/>
      <c r="U30" s="21" t="s">
        <v>460</v>
      </c>
      <c r="V30" s="79">
        <f>V28*V29</f>
        <v>2.4798</v>
      </c>
      <c r="W30" s="48" t="s">
        <v>454</v>
      </c>
      <c r="X30" s="14"/>
    </row>
    <row r="31" spans="2:24" ht="17.399999999999999" x14ac:dyDescent="0.25">
      <c r="B31" s="127" t="s">
        <v>103</v>
      </c>
      <c r="C31" s="117">
        <f t="shared" ref="C31" si="29">C28*C26/1000</f>
        <v>155.67119891312137</v>
      </c>
      <c r="D31" s="117">
        <f t="shared" ref="D31" si="30">D28*D26/1000</f>
        <v>159.41413878499444</v>
      </c>
      <c r="E31" s="48" t="s">
        <v>0</v>
      </c>
      <c r="F31" s="49"/>
      <c r="G31" s="48"/>
      <c r="I31" s="6" t="s">
        <v>52</v>
      </c>
      <c r="J31" s="7">
        <v>50</v>
      </c>
      <c r="K31" s="6" t="s">
        <v>27</v>
      </c>
      <c r="L31" s="13"/>
      <c r="M31" s="5"/>
      <c r="N31" s="5"/>
      <c r="O31" s="5"/>
      <c r="P31" s="13"/>
      <c r="Q31" s="12" t="s">
        <v>229</v>
      </c>
      <c r="R31" s="31">
        <f>503.3*SQRT((R27/100000000)/(R29*R30))*1000</f>
        <v>2.205709020034714</v>
      </c>
      <c r="S31" s="12" t="s">
        <v>200</v>
      </c>
      <c r="T31" s="13"/>
      <c r="U31" s="13"/>
      <c r="V31" s="13"/>
      <c r="W31" s="13"/>
      <c r="X31" s="14"/>
    </row>
    <row r="32" spans="2:24" ht="17.399999999999999" x14ac:dyDescent="0.25">
      <c r="B32" s="127" t="s">
        <v>101</v>
      </c>
      <c r="C32" s="117">
        <f t="shared" ref="C32" si="31">ROUNDUP(COS(PI()*C17/180),3)</f>
        <v>0.76700000000000002</v>
      </c>
      <c r="D32" s="117">
        <f t="shared" ref="D32" si="32">ROUNDUP(COS(PI()*D17/180),3)</f>
        <v>0.76700000000000002</v>
      </c>
      <c r="E32" s="48"/>
      <c r="F32" s="49"/>
      <c r="G32" s="48"/>
      <c r="I32" s="6" t="s">
        <v>53</v>
      </c>
      <c r="J32" s="7">
        <v>1864</v>
      </c>
      <c r="K32" s="6" t="s">
        <v>2</v>
      </c>
      <c r="L32" s="13"/>
      <c r="M32" s="9" t="s">
        <v>173</v>
      </c>
      <c r="N32" s="154" t="s">
        <v>174</v>
      </c>
      <c r="O32" s="154"/>
      <c r="P32" s="13"/>
      <c r="Q32" s="12" t="s">
        <v>230</v>
      </c>
      <c r="R32" s="26">
        <v>6126</v>
      </c>
      <c r="S32" s="12" t="s">
        <v>200</v>
      </c>
      <c r="T32" s="13"/>
      <c r="U32" s="150" t="s">
        <v>468</v>
      </c>
      <c r="V32" s="150"/>
      <c r="W32" s="150"/>
      <c r="X32" s="14"/>
    </row>
    <row r="33" spans="2:24" ht="17.399999999999999" x14ac:dyDescent="0.25">
      <c r="B33" s="127" t="s">
        <v>100</v>
      </c>
      <c r="C33" s="124">
        <f t="shared" ref="C33" si="33">C30/(C25*C28/1000)</f>
        <v>1.3311150555325904</v>
      </c>
      <c r="D33" s="124">
        <f t="shared" ref="D33" si="34">D30/(D25*D28/1000)</f>
        <v>2.1446265403718932</v>
      </c>
      <c r="E33" s="48"/>
      <c r="F33" s="49"/>
      <c r="G33" s="51" t="s">
        <v>243</v>
      </c>
      <c r="I33" s="6" t="s">
        <v>54</v>
      </c>
      <c r="J33" s="7">
        <v>754</v>
      </c>
      <c r="K33" s="6" t="s">
        <v>1</v>
      </c>
      <c r="L33" s="13"/>
      <c r="M33" s="6" t="s">
        <v>175</v>
      </c>
      <c r="N33" s="7">
        <v>30</v>
      </c>
      <c r="O33" s="5" t="s">
        <v>176</v>
      </c>
      <c r="P33" s="13"/>
      <c r="Q33" s="12" t="s">
        <v>255</v>
      </c>
      <c r="R33" s="26">
        <v>2</v>
      </c>
      <c r="S33" s="12" t="s">
        <v>200</v>
      </c>
      <c r="T33" s="13"/>
      <c r="U33" s="5" t="s">
        <v>469</v>
      </c>
      <c r="V33" s="7">
        <v>440</v>
      </c>
      <c r="W33" s="5" t="s">
        <v>0</v>
      </c>
      <c r="X33" s="14"/>
    </row>
    <row r="34" spans="2:24" ht="17.399999999999999" x14ac:dyDescent="0.25">
      <c r="B34" s="127" t="s">
        <v>286</v>
      </c>
      <c r="C34" s="122">
        <f t="shared" ref="C34" si="35">C30+C28*C18*C25/1000</f>
        <v>258.7929942704821</v>
      </c>
      <c r="D34" s="122">
        <f t="shared" ref="D34" si="36">D30+D28*D18*D25/1000</f>
        <v>364.31599598413123</v>
      </c>
      <c r="E34" s="48" t="s">
        <v>0</v>
      </c>
      <c r="F34" s="49"/>
      <c r="G34" s="51" t="s">
        <v>242</v>
      </c>
      <c r="I34" s="6" t="s">
        <v>263</v>
      </c>
      <c r="J34" s="7">
        <v>5</v>
      </c>
      <c r="K34" s="6" t="s">
        <v>42</v>
      </c>
      <c r="L34" s="13"/>
      <c r="M34" s="6" t="s">
        <v>177</v>
      </c>
      <c r="N34" s="10">
        <f>N28*SQRT(2)*SIN(N33*PI()/180)</f>
        <v>176.77669529663686</v>
      </c>
      <c r="O34" s="5" t="s">
        <v>178</v>
      </c>
      <c r="P34" s="13"/>
      <c r="Q34" s="12" t="s">
        <v>254</v>
      </c>
      <c r="R34" s="27">
        <f>MIN(R31,R33)</f>
        <v>2</v>
      </c>
      <c r="S34" s="12" t="s">
        <v>200</v>
      </c>
      <c r="T34" s="13"/>
      <c r="U34" s="5" t="s">
        <v>64</v>
      </c>
      <c r="V34" s="7">
        <v>567</v>
      </c>
      <c r="W34" s="5" t="s">
        <v>2</v>
      </c>
      <c r="X34" s="14"/>
    </row>
    <row r="35" spans="2:24" ht="17.399999999999999" x14ac:dyDescent="0.25">
      <c r="B35" s="127"/>
      <c r="C35" s="118"/>
      <c r="D35" s="118"/>
      <c r="E35" s="48"/>
      <c r="F35" s="49"/>
      <c r="G35" s="48"/>
      <c r="I35" s="6" t="s">
        <v>55</v>
      </c>
      <c r="J35" s="8">
        <f>(J32*J34)/(2*3.1415*J30*(J31/1000000))</f>
        <v>1485.5962122397345</v>
      </c>
      <c r="K35" s="6" t="s">
        <v>56</v>
      </c>
      <c r="L35" s="13"/>
      <c r="M35" s="6" t="s">
        <v>179</v>
      </c>
      <c r="N35" s="24">
        <f>N22*N26/N34</f>
        <v>1095.1669827017251</v>
      </c>
      <c r="O35" s="5" t="s">
        <v>180</v>
      </c>
      <c r="P35" s="13"/>
      <c r="Q35" s="12" t="s">
        <v>233</v>
      </c>
      <c r="R35" s="26">
        <v>30</v>
      </c>
      <c r="S35" s="12" t="s">
        <v>200</v>
      </c>
      <c r="T35" s="13"/>
      <c r="U35" s="5" t="s">
        <v>472</v>
      </c>
      <c r="V35" s="25">
        <f>V33</f>
        <v>440</v>
      </c>
      <c r="W35" s="5" t="s">
        <v>470</v>
      </c>
      <c r="X35" s="14"/>
    </row>
    <row r="36" spans="2:24" ht="17.399999999999999" x14ac:dyDescent="0.25">
      <c r="B36" s="127" t="s">
        <v>85</v>
      </c>
      <c r="C36" s="117">
        <v>1</v>
      </c>
      <c r="D36" s="117">
        <v>1</v>
      </c>
      <c r="E36" s="48"/>
      <c r="F36" s="49"/>
      <c r="G36" s="48" t="s">
        <v>86</v>
      </c>
      <c r="I36" s="6" t="s">
        <v>57</v>
      </c>
      <c r="J36" s="8">
        <f>J32*J34</f>
        <v>9320</v>
      </c>
      <c r="K36" s="6"/>
      <c r="L36" s="13"/>
      <c r="M36" s="5"/>
      <c r="N36" s="5"/>
      <c r="O36" s="5"/>
      <c r="P36" s="13"/>
      <c r="Q36" s="12" t="s">
        <v>253</v>
      </c>
      <c r="R36" s="27">
        <f>(PI()*(R35/2)^2)-(PI()*(R35/2-R34)^2)</f>
        <v>175.92918860102839</v>
      </c>
      <c r="S36" s="12" t="s">
        <v>226</v>
      </c>
      <c r="T36" s="13"/>
      <c r="U36" s="5" t="s">
        <v>473</v>
      </c>
      <c r="V36" s="25">
        <f>V34*1.25</f>
        <v>708.75</v>
      </c>
      <c r="W36" s="5" t="s">
        <v>471</v>
      </c>
      <c r="X36" s="14"/>
    </row>
    <row r="37" spans="2:24" ht="17.399999999999999" x14ac:dyDescent="0.25">
      <c r="B37" s="127" t="s">
        <v>287</v>
      </c>
      <c r="C37" s="117">
        <f t="shared" ref="C37" si="37">C10/C36*4/PI()/2^0.5</f>
        <v>560.08678028133568</v>
      </c>
      <c r="D37" s="117">
        <f t="shared" ref="D37" si="38">D10/D36*4/PI()/2^0.5</f>
        <v>560.08678028133568</v>
      </c>
      <c r="E37" s="48" t="s">
        <v>0</v>
      </c>
      <c r="F37" s="49"/>
      <c r="G37" s="48" t="s">
        <v>221</v>
      </c>
      <c r="I37" s="6" t="s">
        <v>47</v>
      </c>
      <c r="J37" s="8">
        <f>J35*J36/1000</f>
        <v>13845.756698074327</v>
      </c>
      <c r="K37" s="6" t="s">
        <v>47</v>
      </c>
      <c r="L37" s="13"/>
      <c r="M37" s="9" t="s">
        <v>181</v>
      </c>
      <c r="N37" s="6"/>
      <c r="O37" s="6"/>
      <c r="P37" s="13"/>
      <c r="Q37" s="12" t="s">
        <v>231</v>
      </c>
      <c r="R37" s="26">
        <v>850</v>
      </c>
      <c r="S37" s="4" t="s">
        <v>227</v>
      </c>
      <c r="T37" s="13"/>
      <c r="U37" s="13"/>
      <c r="V37" s="13"/>
      <c r="W37" s="13"/>
      <c r="X37" s="14"/>
    </row>
    <row r="38" spans="2:24" ht="17.399999999999999" x14ac:dyDescent="0.25">
      <c r="B38" s="127" t="s">
        <v>87</v>
      </c>
      <c r="C38" s="119">
        <v>3</v>
      </c>
      <c r="D38" s="119">
        <v>3</v>
      </c>
      <c r="E38" s="48" t="s">
        <v>42</v>
      </c>
      <c r="F38" s="49"/>
      <c r="G38" s="48" t="s">
        <v>244</v>
      </c>
      <c r="I38" s="6" t="s">
        <v>41</v>
      </c>
      <c r="J38" s="25">
        <f>J37/J33</f>
        <v>18.363072543865155</v>
      </c>
      <c r="K38" s="6"/>
      <c r="L38" s="13"/>
      <c r="M38" s="6" t="s">
        <v>182</v>
      </c>
      <c r="N38" s="10">
        <f>N22*N26/N27/1000</f>
        <v>129.06666666666669</v>
      </c>
      <c r="O38" s="5" t="s">
        <v>178</v>
      </c>
      <c r="P38" s="13"/>
      <c r="Q38" s="12" t="s">
        <v>466</v>
      </c>
      <c r="R38" s="28">
        <f>R37/R36</f>
        <v>4.8314893438611097</v>
      </c>
      <c r="S38" s="4" t="s">
        <v>227</v>
      </c>
      <c r="T38" s="13"/>
      <c r="U38" s="150" t="s">
        <v>475</v>
      </c>
      <c r="V38" s="150"/>
      <c r="W38" s="150"/>
      <c r="X38" s="14"/>
    </row>
    <row r="39" spans="2:24" ht="17.399999999999999" x14ac:dyDescent="0.25">
      <c r="B39" s="127" t="s">
        <v>88</v>
      </c>
      <c r="C39" s="117">
        <f t="shared" ref="C39" si="39">ROUND(C37/C38,1)</f>
        <v>186.7</v>
      </c>
      <c r="D39" s="117">
        <f t="shared" ref="D39" si="40">ROUND(D37/D38,1)</f>
        <v>186.7</v>
      </c>
      <c r="E39" s="48" t="s">
        <v>0</v>
      </c>
      <c r="F39" s="49"/>
      <c r="G39" s="48" t="s">
        <v>288</v>
      </c>
      <c r="I39" s="13"/>
      <c r="J39" s="13"/>
      <c r="K39" s="13"/>
      <c r="L39" s="13"/>
      <c r="M39" s="6" t="s">
        <v>183</v>
      </c>
      <c r="N39" s="10">
        <f>N38/SIN(N33*PI()/180)/SQRT(2)</f>
        <v>182.52783045028752</v>
      </c>
      <c r="O39" s="5" t="s">
        <v>169</v>
      </c>
      <c r="P39" s="13"/>
      <c r="Q39" s="12" t="s">
        <v>232</v>
      </c>
      <c r="R39" s="28">
        <f>R27/100000000*(R37^2)/(R36/1000000)*R32/1000</f>
        <v>483.19176251946334</v>
      </c>
      <c r="S39" s="4" t="s">
        <v>228</v>
      </c>
      <c r="T39" s="13"/>
      <c r="U39" s="5" t="s">
        <v>26</v>
      </c>
      <c r="V39" s="7">
        <v>7200</v>
      </c>
      <c r="W39" s="5" t="s">
        <v>27</v>
      </c>
      <c r="X39" s="131" t="s">
        <v>533</v>
      </c>
    </row>
    <row r="40" spans="2:24" ht="17.399999999999999" x14ac:dyDescent="0.25">
      <c r="B40" s="127"/>
      <c r="C40" s="118"/>
      <c r="D40" s="118"/>
      <c r="E40" s="48"/>
      <c r="F40" s="49"/>
      <c r="G40" s="48"/>
      <c r="I40" s="151" t="s">
        <v>213</v>
      </c>
      <c r="J40" s="151"/>
      <c r="K40" s="151"/>
      <c r="L40" s="13"/>
      <c r="M40" s="6" t="s">
        <v>172</v>
      </c>
      <c r="N40" s="24">
        <f>N39*N29</f>
        <v>182.52783045028752</v>
      </c>
      <c r="O40" s="5" t="s">
        <v>169</v>
      </c>
      <c r="P40" s="13"/>
      <c r="Q40" s="13"/>
      <c r="R40" s="13"/>
      <c r="S40" s="13"/>
      <c r="T40" s="13"/>
      <c r="U40" s="5" t="s">
        <v>28</v>
      </c>
      <c r="V40" s="7">
        <v>375</v>
      </c>
      <c r="W40" s="5" t="s">
        <v>15</v>
      </c>
      <c r="X40" s="14"/>
    </row>
    <row r="41" spans="2:24" ht="17.399999999999999" x14ac:dyDescent="0.25">
      <c r="B41" s="127" t="s">
        <v>72</v>
      </c>
      <c r="C41" s="125">
        <f t="shared" ref="C41" si="41">C31/C39*100</f>
        <v>83.380395775640807</v>
      </c>
      <c r="D41" s="125">
        <f t="shared" ref="D41" si="42">D31/D39*100</f>
        <v>85.385184137651009</v>
      </c>
      <c r="E41" s="48" t="s">
        <v>7</v>
      </c>
      <c r="F41" s="49"/>
      <c r="G41" s="52" t="s">
        <v>250</v>
      </c>
      <c r="I41" s="21" t="s">
        <v>18</v>
      </c>
      <c r="J41" s="22">
        <v>40</v>
      </c>
      <c r="K41" s="21" t="s">
        <v>239</v>
      </c>
      <c r="L41" s="13"/>
      <c r="M41" s="6" t="s">
        <v>184</v>
      </c>
      <c r="N41" s="10">
        <f>N40/N30*100</f>
        <v>73.011132180115013</v>
      </c>
      <c r="O41" s="11" t="s">
        <v>185</v>
      </c>
      <c r="P41" s="13"/>
      <c r="Q41" s="150" t="s">
        <v>465</v>
      </c>
      <c r="R41" s="150"/>
      <c r="S41" s="150"/>
      <c r="T41" s="13"/>
      <c r="U41" s="5" t="s">
        <v>29</v>
      </c>
      <c r="V41" s="25">
        <f>1/(2*3.14*SQRT((V39/1000000)*(V40/1000000)))</f>
        <v>96.90774195066632</v>
      </c>
      <c r="W41" s="5" t="s">
        <v>30</v>
      </c>
      <c r="X41" s="14"/>
    </row>
    <row r="42" spans="2:24" ht="17.399999999999999" x14ac:dyDescent="0.25">
      <c r="B42" s="127"/>
      <c r="C42" s="118"/>
      <c r="D42" s="118"/>
      <c r="E42" s="48"/>
      <c r="F42" s="49"/>
      <c r="G42" s="48"/>
      <c r="I42" s="21" t="s">
        <v>99</v>
      </c>
      <c r="J42" s="22">
        <v>127</v>
      </c>
      <c r="K42" s="21" t="s">
        <v>2</v>
      </c>
      <c r="L42" s="13"/>
      <c r="M42" s="6" t="s">
        <v>186</v>
      </c>
      <c r="N42" s="10">
        <f>N41*N41/100</f>
        <v>53.306254222222258</v>
      </c>
      <c r="O42" s="11" t="s">
        <v>185</v>
      </c>
      <c r="P42" s="13"/>
      <c r="Q42" s="5" t="s">
        <v>187</v>
      </c>
      <c r="R42" s="3" t="s">
        <v>188</v>
      </c>
      <c r="S42" s="3"/>
      <c r="T42" s="13"/>
      <c r="U42" s="13"/>
      <c r="V42" s="13"/>
      <c r="W42" s="13"/>
      <c r="X42" s="14"/>
    </row>
    <row r="43" spans="2:24" ht="17.399999999999999" x14ac:dyDescent="0.25">
      <c r="B43" s="127" t="s">
        <v>89</v>
      </c>
      <c r="C43" s="123">
        <f t="shared" ref="C43" si="43">C28/C38</f>
        <v>43.06552932966509</v>
      </c>
      <c r="D43" s="123">
        <f t="shared" ref="D43" si="44">D28/D38</f>
        <v>69.089336641606025</v>
      </c>
      <c r="E43" s="48" t="s">
        <v>2</v>
      </c>
      <c r="F43" s="49"/>
      <c r="G43" s="51" t="s">
        <v>245</v>
      </c>
      <c r="I43" s="21" t="s">
        <v>44</v>
      </c>
      <c r="J43" s="22">
        <v>401</v>
      </c>
      <c r="K43" s="21" t="s">
        <v>0</v>
      </c>
      <c r="L43" s="13"/>
      <c r="M43" s="13"/>
      <c r="N43" s="13"/>
      <c r="O43" s="13"/>
      <c r="P43" s="13"/>
      <c r="Q43" s="12" t="s">
        <v>189</v>
      </c>
      <c r="R43" s="15">
        <v>1.75</v>
      </c>
      <c r="S43" s="12" t="s">
        <v>190</v>
      </c>
      <c r="T43" s="13"/>
      <c r="U43" s="13"/>
      <c r="V43" s="13"/>
      <c r="W43" s="13"/>
      <c r="X43" s="14"/>
    </row>
    <row r="44" spans="2:24" ht="17.399999999999999" x14ac:dyDescent="0.25">
      <c r="B44" s="127" t="s">
        <v>90</v>
      </c>
      <c r="C44" s="117">
        <f t="shared" ref="C44" si="45">ROUND(C43*2^0.5*2/PI(),0)</f>
        <v>39</v>
      </c>
      <c r="D44" s="117">
        <f t="shared" ref="D44" si="46">ROUND(D43*2^0.5*2/PI(),0)</f>
        <v>62</v>
      </c>
      <c r="E44" s="48" t="s">
        <v>2</v>
      </c>
      <c r="F44" s="49"/>
      <c r="G44" s="48"/>
      <c r="I44" s="21" t="s">
        <v>441</v>
      </c>
      <c r="J44" s="22">
        <v>1</v>
      </c>
      <c r="K44" s="21"/>
      <c r="L44" s="13"/>
      <c r="M44" s="150" t="s">
        <v>225</v>
      </c>
      <c r="N44" s="150"/>
      <c r="O44" s="150"/>
      <c r="P44" s="13"/>
      <c r="Q44" s="12" t="s">
        <v>191</v>
      </c>
      <c r="R44" s="16">
        <v>3.8999999999999998E-3</v>
      </c>
      <c r="S44" s="12" t="s">
        <v>192</v>
      </c>
      <c r="T44" s="13"/>
      <c r="U44" s="13"/>
      <c r="V44" s="13"/>
      <c r="W44" s="13"/>
      <c r="X44" s="14"/>
    </row>
    <row r="45" spans="2:24" ht="17.399999999999999" x14ac:dyDescent="0.25">
      <c r="B45" s="127" t="s">
        <v>91</v>
      </c>
      <c r="C45" s="117">
        <f t="shared" ref="C45" si="47">C44/C36</f>
        <v>39</v>
      </c>
      <c r="D45" s="117">
        <f t="shared" ref="D45" si="48">D44/D36</f>
        <v>62</v>
      </c>
      <c r="E45" s="48" t="s">
        <v>2</v>
      </c>
      <c r="F45" s="49"/>
      <c r="G45" s="48"/>
      <c r="I45" s="21" t="s">
        <v>56</v>
      </c>
      <c r="J45" s="23">
        <f>J43*0.9/J44</f>
        <v>360.90000000000003</v>
      </c>
      <c r="K45" s="21" t="s">
        <v>0</v>
      </c>
      <c r="L45" s="13"/>
      <c r="M45" s="6" t="s">
        <v>154</v>
      </c>
      <c r="N45" s="7">
        <v>387.2</v>
      </c>
      <c r="O45" s="6" t="s">
        <v>155</v>
      </c>
      <c r="P45" s="13"/>
      <c r="Q45" s="12" t="s">
        <v>193</v>
      </c>
      <c r="R45" s="17">
        <v>45</v>
      </c>
      <c r="S45" s="12" t="s">
        <v>48</v>
      </c>
      <c r="T45" s="13"/>
      <c r="U45" s="13"/>
      <c r="V45" s="13"/>
      <c r="W45" s="13"/>
      <c r="X45" s="14"/>
    </row>
    <row r="46" spans="2:24" ht="17.399999999999999" x14ac:dyDescent="0.25">
      <c r="B46" s="127" t="s">
        <v>92</v>
      </c>
      <c r="C46" s="126">
        <f t="shared" ref="C46" si="49">ROUND(C45/C11,3)</f>
        <v>1.573</v>
      </c>
      <c r="D46" s="126">
        <f t="shared" ref="D46" si="50">ROUND(D45/D11,3)</f>
        <v>1.5229999999999999</v>
      </c>
      <c r="E46" s="48"/>
      <c r="F46" s="49"/>
      <c r="G46" s="48"/>
      <c r="I46" s="21" t="s">
        <v>240</v>
      </c>
      <c r="J46" s="23">
        <f>(J41*1000)/(J42*J43*0.9/J44)</f>
        <v>0.87270886650390644</v>
      </c>
      <c r="K46" s="21"/>
      <c r="L46" s="13"/>
      <c r="M46" s="6" t="s">
        <v>158</v>
      </c>
      <c r="N46" s="7">
        <v>500</v>
      </c>
      <c r="O46" s="6" t="s">
        <v>159</v>
      </c>
      <c r="P46" s="13"/>
      <c r="Q46" s="12" t="s">
        <v>194</v>
      </c>
      <c r="R46" s="16">
        <f>R43*(1+R44*(R45-20))</f>
        <v>1.9206249999999998</v>
      </c>
      <c r="S46" s="12" t="s">
        <v>190</v>
      </c>
      <c r="T46" s="13"/>
      <c r="U46" s="13"/>
      <c r="V46" s="13"/>
      <c r="W46" s="13"/>
      <c r="X46" s="14"/>
    </row>
    <row r="47" spans="2:24" ht="17.399999999999999" x14ac:dyDescent="0.25">
      <c r="B47" s="47"/>
      <c r="C47" s="47"/>
      <c r="D47" s="47"/>
      <c r="E47" s="47"/>
      <c r="F47" s="47"/>
      <c r="G47" s="47"/>
      <c r="I47" s="21" t="s">
        <v>241</v>
      </c>
      <c r="J47" s="62">
        <f>DEGREES(ACOS(J46))</f>
        <v>29.225030363895115</v>
      </c>
      <c r="K47" s="21"/>
      <c r="L47" s="13"/>
      <c r="M47" s="6" t="s">
        <v>161</v>
      </c>
      <c r="N47" s="7">
        <v>100</v>
      </c>
      <c r="O47" s="6" t="s">
        <v>162</v>
      </c>
      <c r="P47" s="13"/>
      <c r="Q47" s="12" t="s">
        <v>195</v>
      </c>
      <c r="R47" s="18">
        <f>1/(R46/100000000)</f>
        <v>52066384.64041654</v>
      </c>
      <c r="S47" s="12" t="s">
        <v>196</v>
      </c>
      <c r="T47" s="13"/>
      <c r="U47" s="13"/>
      <c r="V47" s="13"/>
      <c r="W47" s="13"/>
      <c r="X47" s="14"/>
    </row>
    <row r="48" spans="2:24" ht="17.399999999999999" x14ac:dyDescent="0.25">
      <c r="B48" s="46" t="s">
        <v>290</v>
      </c>
      <c r="C48" s="47" t="s">
        <v>504</v>
      </c>
      <c r="D48" s="47"/>
      <c r="E48" s="47"/>
      <c r="F48" s="47"/>
      <c r="G48" s="47"/>
      <c r="I48" s="13"/>
      <c r="J48" s="13"/>
      <c r="K48" s="13"/>
      <c r="L48" s="13"/>
      <c r="M48" s="6" t="s">
        <v>164</v>
      </c>
      <c r="N48" s="25">
        <f>N45*N46/N47</f>
        <v>1936</v>
      </c>
      <c r="O48" s="6" t="s">
        <v>165</v>
      </c>
      <c r="P48" s="13"/>
      <c r="Q48" s="12" t="s">
        <v>197</v>
      </c>
      <c r="R48" s="3">
        <v>1</v>
      </c>
      <c r="S48" s="12" t="s">
        <v>198</v>
      </c>
      <c r="T48" s="13"/>
      <c r="U48" s="13"/>
      <c r="V48" s="13"/>
      <c r="W48" s="13"/>
      <c r="X48" s="14"/>
    </row>
    <row r="49" spans="2:24" ht="17.399999999999999" x14ac:dyDescent="0.4">
      <c r="B49" s="32" t="s">
        <v>274</v>
      </c>
      <c r="C49" s="34">
        <v>1</v>
      </c>
      <c r="D49" s="34">
        <v>1</v>
      </c>
      <c r="E49" s="32" t="s">
        <v>49</v>
      </c>
      <c r="F49" s="49">
        <v>6</v>
      </c>
      <c r="G49" s="35" t="s">
        <v>278</v>
      </c>
      <c r="I49" s="151" t="s">
        <v>265</v>
      </c>
      <c r="J49" s="151"/>
      <c r="K49" s="151"/>
      <c r="L49" s="13"/>
      <c r="M49" s="13"/>
      <c r="N49" s="13"/>
      <c r="O49" s="13"/>
      <c r="P49" s="13"/>
      <c r="Q49" s="12" t="s">
        <v>37</v>
      </c>
      <c r="R49" s="19">
        <v>10000</v>
      </c>
      <c r="S49" s="12" t="s">
        <v>199</v>
      </c>
      <c r="T49" s="13"/>
      <c r="U49" s="13"/>
      <c r="V49" s="13"/>
      <c r="W49" s="13" t="s">
        <v>234</v>
      </c>
      <c r="X49" s="14"/>
    </row>
    <row r="50" spans="2:24" ht="17.399999999999999" x14ac:dyDescent="0.4">
      <c r="B50" s="32" t="s">
        <v>113</v>
      </c>
      <c r="C50" s="55">
        <f t="shared" ref="C50:D50" si="51">C43/C49</f>
        <v>43.06552932966509</v>
      </c>
      <c r="D50" s="55">
        <f t="shared" si="51"/>
        <v>69.089336641606025</v>
      </c>
      <c r="E50" s="32" t="s">
        <v>2</v>
      </c>
      <c r="F50" s="49"/>
      <c r="G50" s="32" t="s">
        <v>277</v>
      </c>
      <c r="I50" s="32" t="s">
        <v>36</v>
      </c>
      <c r="J50" s="33">
        <v>200</v>
      </c>
      <c r="K50" s="32" t="s">
        <v>13</v>
      </c>
      <c r="L50" s="13"/>
      <c r="M50" s="150" t="s">
        <v>305</v>
      </c>
      <c r="N50" s="150"/>
      <c r="O50" s="150"/>
      <c r="P50" s="13"/>
      <c r="Q50" s="12" t="s">
        <v>229</v>
      </c>
      <c r="R50" s="31">
        <f>503.3*SQRT((R46/100000000)/(R48*R49))*1000</f>
        <v>0.69750643588876649</v>
      </c>
      <c r="S50" s="12" t="s">
        <v>200</v>
      </c>
      <c r="T50" s="13"/>
      <c r="U50" s="13"/>
      <c r="V50" s="13"/>
      <c r="W50" s="13"/>
      <c r="X50" s="14"/>
    </row>
    <row r="51" spans="2:24" ht="17.399999999999999" x14ac:dyDescent="0.4">
      <c r="B51" s="32" t="s">
        <v>8</v>
      </c>
      <c r="C51" s="38">
        <v>27</v>
      </c>
      <c r="D51" s="38">
        <v>27</v>
      </c>
      <c r="E51" s="32" t="s">
        <v>45</v>
      </c>
      <c r="F51" s="49">
        <v>7</v>
      </c>
      <c r="G51" s="35" t="s">
        <v>116</v>
      </c>
      <c r="I51" s="32" t="s">
        <v>38</v>
      </c>
      <c r="J51" s="33">
        <v>3</v>
      </c>
      <c r="K51" s="32" t="s">
        <v>13</v>
      </c>
      <c r="L51" s="13"/>
      <c r="M51" s="21" t="s">
        <v>295</v>
      </c>
      <c r="N51" s="22">
        <v>15.4</v>
      </c>
      <c r="O51" s="21" t="s">
        <v>13</v>
      </c>
      <c r="P51" s="13"/>
      <c r="Q51" s="12" t="s">
        <v>230</v>
      </c>
      <c r="R51" s="26">
        <v>16000</v>
      </c>
      <c r="S51" s="12" t="s">
        <v>200</v>
      </c>
      <c r="T51" s="13"/>
      <c r="U51" s="13"/>
      <c r="V51" s="13"/>
      <c r="W51" s="13"/>
      <c r="X51" s="14"/>
    </row>
    <row r="52" spans="2:24" ht="17.399999999999999" x14ac:dyDescent="0.4">
      <c r="B52" s="32" t="s">
        <v>117</v>
      </c>
      <c r="C52" s="38">
        <v>25</v>
      </c>
      <c r="D52" s="38">
        <v>25</v>
      </c>
      <c r="E52" s="32" t="s">
        <v>0</v>
      </c>
      <c r="F52" s="49">
        <v>8</v>
      </c>
      <c r="G52" s="35" t="s">
        <v>118</v>
      </c>
      <c r="I52" s="32" t="s">
        <v>39</v>
      </c>
      <c r="J52" s="33">
        <v>300</v>
      </c>
      <c r="K52" s="32" t="s">
        <v>13</v>
      </c>
      <c r="L52" s="13"/>
      <c r="M52" s="21" t="s">
        <v>296</v>
      </c>
      <c r="N52" s="22">
        <v>2</v>
      </c>
      <c r="O52" s="21" t="s">
        <v>13</v>
      </c>
      <c r="P52" s="13"/>
      <c r="Q52" s="12" t="s">
        <v>255</v>
      </c>
      <c r="R52" s="26">
        <v>2</v>
      </c>
      <c r="S52" s="12" t="s">
        <v>200</v>
      </c>
      <c r="T52" s="13"/>
      <c r="U52" s="13"/>
      <c r="V52" s="13"/>
      <c r="W52" s="13"/>
      <c r="X52" s="14"/>
    </row>
    <row r="53" spans="2:24" ht="17.399999999999999" x14ac:dyDescent="0.4">
      <c r="B53" s="32" t="s">
        <v>9</v>
      </c>
      <c r="C53" s="42">
        <f t="shared" ref="C53:D53" si="52">C52*C51/1000000*C54*1000</f>
        <v>8.7476227139584513</v>
      </c>
      <c r="D53" s="42">
        <f t="shared" si="52"/>
        <v>8.5058286392580751</v>
      </c>
      <c r="E53" s="32" t="s">
        <v>6</v>
      </c>
      <c r="F53" s="49"/>
      <c r="G53" s="32"/>
      <c r="I53" s="32" t="s">
        <v>75</v>
      </c>
      <c r="J53" s="63">
        <f>12.5*(J51/10)*(J52/10)/(J50/10)</f>
        <v>5.625</v>
      </c>
      <c r="K53" s="32" t="s">
        <v>40</v>
      </c>
      <c r="L53" s="13"/>
      <c r="M53" s="21" t="s">
        <v>298</v>
      </c>
      <c r="N53" s="23">
        <f>N51+N52*2</f>
        <v>19.399999999999999</v>
      </c>
      <c r="O53" s="21" t="s">
        <v>13</v>
      </c>
      <c r="P53" s="13"/>
      <c r="Q53" s="12" t="s">
        <v>254</v>
      </c>
      <c r="R53" s="27">
        <f>MIN(R50,R52)</f>
        <v>0.69750643588876649</v>
      </c>
      <c r="S53" s="12" t="s">
        <v>200</v>
      </c>
      <c r="T53" s="13"/>
      <c r="U53" s="13"/>
      <c r="V53" s="13"/>
      <c r="W53" s="13"/>
      <c r="X53" s="14"/>
    </row>
    <row r="54" spans="2:24" ht="18" customHeight="1" x14ac:dyDescent="0.4">
      <c r="B54" s="32" t="s">
        <v>115</v>
      </c>
      <c r="C54" s="55">
        <f t="shared" ref="C54:D54" si="53">C21</f>
        <v>12.959441057716223</v>
      </c>
      <c r="D54" s="55">
        <f t="shared" si="53"/>
        <v>12.601227613715666</v>
      </c>
      <c r="E54" s="32" t="s">
        <v>4</v>
      </c>
      <c r="F54" s="49"/>
      <c r="G54" s="32" t="s">
        <v>114</v>
      </c>
      <c r="M54" s="59" t="s">
        <v>299</v>
      </c>
      <c r="N54" s="60">
        <v>8.8539999999999992E-12</v>
      </c>
      <c r="O54" s="48"/>
      <c r="Q54" s="12" t="s">
        <v>235</v>
      </c>
      <c r="R54" s="26">
        <v>30</v>
      </c>
      <c r="S54" s="12" t="s">
        <v>200</v>
      </c>
    </row>
    <row r="55" spans="2:24" ht="17.399999999999999" x14ac:dyDescent="0.4">
      <c r="B55" s="32" t="s">
        <v>273</v>
      </c>
      <c r="C55" s="41">
        <f t="shared" ref="C55:D55" si="54">C50*1.414</f>
        <v>60.894658472146432</v>
      </c>
      <c r="D55" s="41">
        <f t="shared" si="54"/>
        <v>97.692322011230914</v>
      </c>
      <c r="E55" s="32" t="s">
        <v>2</v>
      </c>
      <c r="F55" s="49"/>
      <c r="G55" s="32" t="s">
        <v>279</v>
      </c>
      <c r="I55" s="151" t="s">
        <v>291</v>
      </c>
      <c r="J55" s="151"/>
      <c r="K55" s="151"/>
      <c r="M55" s="59" t="s">
        <v>300</v>
      </c>
      <c r="N55" s="57">
        <v>2.1</v>
      </c>
      <c r="O55" s="48" t="s">
        <v>294</v>
      </c>
      <c r="Q55" s="12" t="s">
        <v>236</v>
      </c>
      <c r="R55" s="26">
        <v>2</v>
      </c>
      <c r="S55" s="12" t="s">
        <v>200</v>
      </c>
    </row>
    <row r="56" spans="2:24" ht="17.399999999999999" x14ac:dyDescent="0.4">
      <c r="B56" s="32" t="s">
        <v>119</v>
      </c>
      <c r="C56" s="38">
        <v>580</v>
      </c>
      <c r="D56" s="38">
        <v>680</v>
      </c>
      <c r="E56" s="32" t="s">
        <v>5</v>
      </c>
      <c r="F56" s="49">
        <v>9</v>
      </c>
      <c r="G56" s="35" t="s">
        <v>120</v>
      </c>
      <c r="I56" s="32" t="s">
        <v>292</v>
      </c>
      <c r="J56" s="33">
        <v>3000</v>
      </c>
      <c r="K56" s="32" t="s">
        <v>50</v>
      </c>
      <c r="M56" s="48" t="s">
        <v>301</v>
      </c>
      <c r="N56" s="60">
        <f>2*PI()*N54*N55/(LN(N53/N51))*1000000000</f>
        <v>0.50594615125588516</v>
      </c>
      <c r="O56" s="48" t="s">
        <v>293</v>
      </c>
      <c r="Q56" s="12" t="s">
        <v>251</v>
      </c>
      <c r="R56" s="27">
        <f>(R54*R55)-((R54-2*R53)*(R55-2*R53))</f>
        <v>42.694350984456051</v>
      </c>
      <c r="S56" s="12" t="s">
        <v>226</v>
      </c>
    </row>
    <row r="57" spans="2:24" ht="17.399999999999999" x14ac:dyDescent="0.4">
      <c r="B57" s="32" t="s">
        <v>121</v>
      </c>
      <c r="C57" s="42">
        <v>0</v>
      </c>
      <c r="D57" s="42">
        <v>0</v>
      </c>
      <c r="E57" s="32" t="s">
        <v>5</v>
      </c>
      <c r="F57" s="49"/>
      <c r="G57" s="32"/>
      <c r="I57" s="32" t="s">
        <v>297</v>
      </c>
      <c r="J57" s="33">
        <v>1</v>
      </c>
      <c r="K57" s="32" t="s">
        <v>13</v>
      </c>
      <c r="M57" s="48" t="s">
        <v>302</v>
      </c>
      <c r="N57" s="57">
        <v>10</v>
      </c>
      <c r="O57" s="48" t="s">
        <v>304</v>
      </c>
      <c r="Q57" s="12" t="s">
        <v>231</v>
      </c>
      <c r="R57" s="26">
        <v>750</v>
      </c>
      <c r="S57" s="4" t="s">
        <v>227</v>
      </c>
    </row>
    <row r="58" spans="2:24" ht="17.399999999999999" x14ac:dyDescent="0.4">
      <c r="B58" s="32" t="s">
        <v>122</v>
      </c>
      <c r="C58" s="42">
        <v>0</v>
      </c>
      <c r="D58" s="42">
        <v>0</v>
      </c>
      <c r="E58" s="32" t="s">
        <v>5</v>
      </c>
      <c r="F58" s="49"/>
      <c r="G58" s="32"/>
      <c r="I58" s="32" t="s">
        <v>300</v>
      </c>
      <c r="J58" s="33">
        <v>2.1</v>
      </c>
      <c r="K58" s="32" t="s">
        <v>294</v>
      </c>
      <c r="L58" s="2"/>
      <c r="M58" s="48" t="s">
        <v>303</v>
      </c>
      <c r="N58" s="61">
        <f>N56*N57</f>
        <v>5.0594615125588511</v>
      </c>
      <c r="O58" s="48" t="s">
        <v>293</v>
      </c>
      <c r="Q58" s="12" t="s">
        <v>466</v>
      </c>
      <c r="R58" s="28">
        <f>R57/R56</f>
        <v>17.566726808262207</v>
      </c>
      <c r="S58" s="4" t="s">
        <v>227</v>
      </c>
    </row>
    <row r="59" spans="2:24" ht="17.399999999999999" x14ac:dyDescent="0.4">
      <c r="B59" s="32" t="s">
        <v>123</v>
      </c>
      <c r="C59" s="39">
        <f t="shared" ref="C59:D59" si="55">C56*C54+C57*C54</f>
        <v>7516.4758134754093</v>
      </c>
      <c r="D59" s="39">
        <f t="shared" si="55"/>
        <v>8568.8347773266523</v>
      </c>
      <c r="E59" s="32" t="s">
        <v>6</v>
      </c>
      <c r="F59" s="49"/>
      <c r="G59" s="32"/>
      <c r="I59" s="32" t="s">
        <v>76</v>
      </c>
      <c r="J59" s="63">
        <f>8.854/1000000000000*J58*(J56/1000000)/(J57/1000)*1000000000</f>
        <v>5.5780200000000002E-2</v>
      </c>
      <c r="K59" s="32" t="s">
        <v>293</v>
      </c>
      <c r="Q59" s="12" t="s">
        <v>232</v>
      </c>
      <c r="R59" s="28">
        <f>R46/100000000*(R57^2)/(R56/1000000)*R51/1000</f>
        <v>4048.6913611342306</v>
      </c>
      <c r="S59" s="4" t="s">
        <v>228</v>
      </c>
    </row>
    <row r="60" spans="2:24" ht="17.399999999999999" x14ac:dyDescent="0.4">
      <c r="B60" s="32" t="s">
        <v>124</v>
      </c>
      <c r="C60" s="42">
        <f t="shared" ref="C60:D60" si="56">C54*C58</f>
        <v>0</v>
      </c>
      <c r="D60" s="42">
        <f t="shared" si="56"/>
        <v>0</v>
      </c>
      <c r="E60" s="32" t="s">
        <v>6</v>
      </c>
      <c r="F60" s="49"/>
      <c r="G60" s="32"/>
    </row>
    <row r="61" spans="2:24" ht="17.399999999999999" x14ac:dyDescent="0.4">
      <c r="B61" s="32" t="s">
        <v>125</v>
      </c>
      <c r="C61" s="38">
        <v>100</v>
      </c>
      <c r="D61" s="38">
        <v>100</v>
      </c>
      <c r="E61" s="32" t="s">
        <v>7</v>
      </c>
      <c r="F61" s="49">
        <v>10</v>
      </c>
      <c r="G61" s="35" t="s">
        <v>126</v>
      </c>
      <c r="I61" s="153" t="s">
        <v>442</v>
      </c>
      <c r="J61" s="153"/>
      <c r="K61" s="153"/>
      <c r="L61"/>
      <c r="Q61" s="150" t="s">
        <v>462</v>
      </c>
      <c r="R61" s="150"/>
      <c r="S61" s="150"/>
    </row>
    <row r="62" spans="2:24" ht="17.399999999999999" x14ac:dyDescent="0.4">
      <c r="B62" s="32" t="s">
        <v>127</v>
      </c>
      <c r="C62" s="43">
        <f t="shared" ref="C62:D62" si="57">C59*C61/100</f>
        <v>7516.4758134754093</v>
      </c>
      <c r="D62" s="43">
        <f t="shared" si="57"/>
        <v>8568.8347773266523</v>
      </c>
      <c r="E62" s="32" t="s">
        <v>6</v>
      </c>
      <c r="F62" s="49"/>
      <c r="G62" s="32"/>
      <c r="I62" s="76"/>
      <c r="J62" s="77" t="s">
        <v>434</v>
      </c>
      <c r="K62" s="77" t="s">
        <v>435</v>
      </c>
      <c r="L62" s="77" t="s">
        <v>436</v>
      </c>
      <c r="Q62" s="5" t="s">
        <v>187</v>
      </c>
      <c r="R62" s="3" t="s">
        <v>188</v>
      </c>
      <c r="S62" s="3"/>
    </row>
    <row r="63" spans="2:24" ht="17.399999999999999" x14ac:dyDescent="0.4">
      <c r="B63" s="32" t="s">
        <v>128</v>
      </c>
      <c r="C63" s="41">
        <f t="shared" ref="C63:D63" si="58">C50*0.9</f>
        <v>38.758976396698579</v>
      </c>
      <c r="D63" s="41">
        <f t="shared" si="58"/>
        <v>62.180402977445425</v>
      </c>
      <c r="E63" s="32" t="s">
        <v>2</v>
      </c>
      <c r="F63" s="49"/>
      <c r="G63" s="32"/>
      <c r="I63" s="77" t="s">
        <v>433</v>
      </c>
      <c r="J63" s="77" t="s">
        <v>439</v>
      </c>
      <c r="K63" s="77" t="s">
        <v>437</v>
      </c>
      <c r="L63" s="77" t="s">
        <v>438</v>
      </c>
      <c r="Q63" s="12" t="s">
        <v>189</v>
      </c>
      <c r="R63" s="15">
        <v>1.75</v>
      </c>
      <c r="S63" s="12" t="s">
        <v>190</v>
      </c>
    </row>
    <row r="64" spans="2:24" ht="17.399999999999999" x14ac:dyDescent="0.4">
      <c r="B64" s="32" t="s">
        <v>129</v>
      </c>
      <c r="C64" s="38">
        <v>1.7</v>
      </c>
      <c r="D64" s="38">
        <v>1.85</v>
      </c>
      <c r="E64" s="32" t="s">
        <v>44</v>
      </c>
      <c r="F64" s="49">
        <v>11</v>
      </c>
      <c r="G64" s="35" t="s">
        <v>130</v>
      </c>
      <c r="I64" s="75">
        <v>0.5</v>
      </c>
      <c r="J64" s="75"/>
      <c r="K64" s="75">
        <v>2.5</v>
      </c>
      <c r="L64" s="75"/>
      <c r="Q64" s="12" t="s">
        <v>191</v>
      </c>
      <c r="R64" s="16">
        <v>3.8999999999999998E-3</v>
      </c>
      <c r="S64" s="12" t="s">
        <v>192</v>
      </c>
    </row>
    <row r="65" spans="2:19" ht="17.399999999999999" x14ac:dyDescent="0.4">
      <c r="B65" s="32" t="s">
        <v>131</v>
      </c>
      <c r="C65" s="38">
        <v>1.7</v>
      </c>
      <c r="D65" s="38">
        <v>1.7</v>
      </c>
      <c r="E65" s="32" t="s">
        <v>44</v>
      </c>
      <c r="F65" s="49">
        <v>12</v>
      </c>
      <c r="G65" s="35" t="s">
        <v>132</v>
      </c>
      <c r="I65" s="75">
        <v>0.8</v>
      </c>
      <c r="J65" s="75"/>
      <c r="K65" s="75">
        <v>1.42</v>
      </c>
      <c r="L65" s="75"/>
      <c r="Q65" s="12" t="s">
        <v>193</v>
      </c>
      <c r="R65" s="17">
        <v>45</v>
      </c>
      <c r="S65" s="12" t="s">
        <v>48</v>
      </c>
    </row>
    <row r="66" spans="2:19" ht="17.399999999999999" x14ac:dyDescent="0.4">
      <c r="B66" s="32" t="s">
        <v>72</v>
      </c>
      <c r="C66" s="42">
        <v>100</v>
      </c>
      <c r="D66" s="42">
        <v>100</v>
      </c>
      <c r="E66" s="32" t="s">
        <v>7</v>
      </c>
      <c r="F66" s="49"/>
      <c r="G66" s="35"/>
      <c r="I66" s="75">
        <v>1</v>
      </c>
      <c r="J66" s="75">
        <v>2</v>
      </c>
      <c r="K66" s="75">
        <v>1.4</v>
      </c>
      <c r="L66" s="75"/>
      <c r="Q66" s="12" t="s">
        <v>194</v>
      </c>
      <c r="R66" s="16">
        <f>R63*(1+R64*(R65-20))</f>
        <v>1.9206249999999998</v>
      </c>
      <c r="S66" s="12" t="s">
        <v>190</v>
      </c>
    </row>
    <row r="67" spans="2:19" ht="17.399999999999999" x14ac:dyDescent="0.4">
      <c r="B67" s="32" t="s">
        <v>133</v>
      </c>
      <c r="C67" s="42">
        <f t="shared" ref="C67:D67" si="59">C17</f>
        <v>40</v>
      </c>
      <c r="D67" s="42">
        <f t="shared" si="59"/>
        <v>40</v>
      </c>
      <c r="E67" s="32" t="s">
        <v>79</v>
      </c>
      <c r="F67" s="49"/>
      <c r="G67" s="32"/>
      <c r="I67" s="75">
        <v>1.2</v>
      </c>
      <c r="J67" s="75"/>
      <c r="K67" s="75">
        <v>1.04</v>
      </c>
      <c r="L67" s="75"/>
      <c r="Q67" s="12" t="s">
        <v>195</v>
      </c>
      <c r="R67" s="18">
        <f>1/(R66/100000000)</f>
        <v>52066384.64041654</v>
      </c>
      <c r="S67" s="12" t="s">
        <v>196</v>
      </c>
    </row>
    <row r="68" spans="2:19" ht="17.399999999999999" x14ac:dyDescent="0.4">
      <c r="B68" s="32" t="s">
        <v>134</v>
      </c>
      <c r="C68" s="42">
        <f t="shared" ref="C68:D68" si="60">ROUNDUP((C63*C64*((C66*180/100-C67)/180))/2,0)</f>
        <v>26</v>
      </c>
      <c r="D68" s="42">
        <f t="shared" si="60"/>
        <v>45</v>
      </c>
      <c r="E68" s="32" t="s">
        <v>6</v>
      </c>
      <c r="F68" s="49"/>
      <c r="G68" s="32"/>
      <c r="I68" s="75">
        <v>2</v>
      </c>
      <c r="J68" s="75">
        <v>1.1200000000000001</v>
      </c>
      <c r="K68" s="75">
        <v>0.75</v>
      </c>
      <c r="L68" s="75"/>
      <c r="Q68" s="12" t="s">
        <v>197</v>
      </c>
      <c r="R68" s="3">
        <v>1</v>
      </c>
      <c r="S68" s="12" t="s">
        <v>198</v>
      </c>
    </row>
    <row r="69" spans="2:19" ht="17.399999999999999" x14ac:dyDescent="0.4">
      <c r="B69" s="32" t="s">
        <v>135</v>
      </c>
      <c r="C69" s="42">
        <f t="shared" ref="C69:D69" si="61">ROUNDUP((C63*C65*(1-(C66*180/100-C67)/180))/2,0)</f>
        <v>8</v>
      </c>
      <c r="D69" s="42">
        <f t="shared" si="61"/>
        <v>12</v>
      </c>
      <c r="E69" s="32" t="s">
        <v>6</v>
      </c>
      <c r="F69" s="49"/>
      <c r="G69" s="32"/>
      <c r="I69" s="75">
        <v>3</v>
      </c>
      <c r="J69" s="75">
        <v>0.71</v>
      </c>
      <c r="K69" s="75">
        <v>0.57999999999999996</v>
      </c>
      <c r="L69" s="75"/>
      <c r="Q69" s="12" t="s">
        <v>230</v>
      </c>
      <c r="R69" s="26">
        <v>6126</v>
      </c>
      <c r="S69" s="12" t="s">
        <v>200</v>
      </c>
    </row>
    <row r="70" spans="2:19" ht="17.399999999999999" x14ac:dyDescent="0.4">
      <c r="B70" s="32" t="s">
        <v>69</v>
      </c>
      <c r="C70" s="43">
        <f t="shared" ref="C70:D70" si="62">ROUNDUP(((C63*C64*(((C66*180/100-C67)/180))+(C63*C65*(1-(C66*180/100-C67)/180))))/2,0)</f>
        <v>33</v>
      </c>
      <c r="D70" s="43">
        <f t="shared" si="62"/>
        <v>57</v>
      </c>
      <c r="E70" s="32" t="s">
        <v>6</v>
      </c>
      <c r="F70" s="49"/>
      <c r="G70" s="32"/>
      <c r="I70" s="75">
        <v>5</v>
      </c>
      <c r="J70" s="75">
        <v>0.43</v>
      </c>
      <c r="K70" s="75">
        <v>0.36</v>
      </c>
      <c r="L70" s="75"/>
      <c r="Q70" s="12" t="s">
        <v>256</v>
      </c>
      <c r="R70" s="26">
        <v>2</v>
      </c>
      <c r="S70" s="12" t="s">
        <v>200</v>
      </c>
    </row>
    <row r="71" spans="2:19" ht="17.399999999999999" x14ac:dyDescent="0.4">
      <c r="B71" s="32" t="s">
        <v>275</v>
      </c>
      <c r="C71" s="42">
        <f t="shared" ref="C71:D71" si="63">C62+C68</f>
        <v>7542.4758134754093</v>
      </c>
      <c r="D71" s="42">
        <f t="shared" si="63"/>
        <v>8613.8347773266523</v>
      </c>
      <c r="E71" s="32" t="s">
        <v>6</v>
      </c>
      <c r="F71" s="49"/>
      <c r="G71" s="32"/>
      <c r="I71" s="75">
        <v>6</v>
      </c>
      <c r="J71" s="75"/>
      <c r="K71" s="75">
        <v>0.34</v>
      </c>
      <c r="L71" s="75">
        <v>0.62</v>
      </c>
      <c r="Q71" s="12" t="s">
        <v>252</v>
      </c>
      <c r="R71" s="26">
        <v>60</v>
      </c>
      <c r="S71" s="12" t="s">
        <v>200</v>
      </c>
    </row>
    <row r="72" spans="2:19" ht="17.399999999999999" x14ac:dyDescent="0.4">
      <c r="B72" s="32" t="s">
        <v>276</v>
      </c>
      <c r="C72" s="42">
        <f t="shared" ref="C72:D72" si="64">C69+C60</f>
        <v>8</v>
      </c>
      <c r="D72" s="42">
        <f t="shared" si="64"/>
        <v>12</v>
      </c>
      <c r="E72" s="32" t="s">
        <v>6</v>
      </c>
      <c r="F72" s="49"/>
      <c r="G72" s="32"/>
      <c r="I72" s="75">
        <v>8</v>
      </c>
      <c r="J72" s="75">
        <v>0.3</v>
      </c>
      <c r="K72" s="75">
        <v>0.25</v>
      </c>
      <c r="L72" s="75"/>
      <c r="Q72" s="12" t="s">
        <v>251</v>
      </c>
      <c r="R72" s="27">
        <f>R70*R71</f>
        <v>120</v>
      </c>
      <c r="S72" s="12" t="s">
        <v>226</v>
      </c>
    </row>
    <row r="73" spans="2:19" ht="17.399999999999999" x14ac:dyDescent="0.4">
      <c r="B73" s="32" t="s">
        <v>283</v>
      </c>
      <c r="C73" s="43">
        <f t="shared" ref="C73:D73" si="65">ROUNDUP((C53+C62+C70),0)</f>
        <v>7559</v>
      </c>
      <c r="D73" s="43">
        <f t="shared" si="65"/>
        <v>8635</v>
      </c>
      <c r="E73" s="32" t="s">
        <v>6</v>
      </c>
      <c r="F73" s="49"/>
      <c r="G73" s="32"/>
      <c r="I73" s="75">
        <v>10</v>
      </c>
      <c r="J73" s="75"/>
      <c r="K73" s="75"/>
      <c r="L73" s="75">
        <v>0.45</v>
      </c>
      <c r="Q73" s="12" t="s">
        <v>231</v>
      </c>
      <c r="R73" s="26">
        <v>850</v>
      </c>
      <c r="S73" s="4" t="s">
        <v>227</v>
      </c>
    </row>
    <row r="74" spans="2:19" ht="17.399999999999999" x14ac:dyDescent="0.4">
      <c r="B74" s="32" t="s">
        <v>136</v>
      </c>
      <c r="C74" s="38">
        <v>1</v>
      </c>
      <c r="D74" s="38">
        <v>1</v>
      </c>
      <c r="E74" s="32"/>
      <c r="F74" s="49">
        <v>13</v>
      </c>
      <c r="G74" s="35" t="s">
        <v>282</v>
      </c>
      <c r="I74" s="75">
        <v>15</v>
      </c>
      <c r="J74" s="75"/>
      <c r="K74" s="75"/>
      <c r="L74" s="75">
        <v>0.4</v>
      </c>
      <c r="Q74" s="12" t="s">
        <v>466</v>
      </c>
      <c r="R74" s="28">
        <f>R73/R72</f>
        <v>7.083333333333333</v>
      </c>
      <c r="S74" s="4" t="s">
        <v>227</v>
      </c>
    </row>
    <row r="75" spans="2:19" ht="17.399999999999999" x14ac:dyDescent="0.4">
      <c r="B75" s="32" t="s">
        <v>70</v>
      </c>
      <c r="C75" s="44">
        <f t="shared" ref="C75:D75" si="66">C73*C74</f>
        <v>7559</v>
      </c>
      <c r="D75" s="44">
        <f t="shared" si="66"/>
        <v>8635</v>
      </c>
      <c r="E75" s="32" t="s">
        <v>46</v>
      </c>
      <c r="F75" s="49"/>
      <c r="G75" s="32"/>
      <c r="I75" s="75">
        <v>20</v>
      </c>
      <c r="J75" s="75"/>
      <c r="K75" s="75"/>
      <c r="L75" s="75">
        <v>0.35</v>
      </c>
      <c r="Q75" s="12" t="s">
        <v>232</v>
      </c>
      <c r="R75" s="28">
        <f>R66/100000000*(R73^2)/(R72/1000000)*R69/1000</f>
        <v>708.39612265624987</v>
      </c>
      <c r="S75" s="4" t="s">
        <v>228</v>
      </c>
    </row>
    <row r="76" spans="2:19" ht="17.399999999999999" x14ac:dyDescent="0.4">
      <c r="B76" s="32" t="s">
        <v>43</v>
      </c>
      <c r="C76" s="45">
        <v>19000</v>
      </c>
      <c r="D76" s="45">
        <v>19000</v>
      </c>
      <c r="E76" s="32" t="s">
        <v>6</v>
      </c>
      <c r="F76" s="49">
        <v>14</v>
      </c>
      <c r="G76" s="35" t="s">
        <v>116</v>
      </c>
      <c r="I76" s="75">
        <v>30</v>
      </c>
      <c r="J76" s="75"/>
      <c r="K76" s="75"/>
      <c r="L76" s="75">
        <v>0.28939999999999999</v>
      </c>
    </row>
    <row r="77" spans="2:19" ht="17.399999999999999" x14ac:dyDescent="0.4">
      <c r="B77" s="32" t="s">
        <v>280</v>
      </c>
      <c r="C77" s="44">
        <f t="shared" ref="C77:D77" si="67">ROUNDUP(C75/C76*100,0)</f>
        <v>40</v>
      </c>
      <c r="D77" s="44">
        <f t="shared" si="67"/>
        <v>46</v>
      </c>
      <c r="E77" s="32" t="s">
        <v>7</v>
      </c>
      <c r="F77" s="49"/>
      <c r="G77" s="35" t="s">
        <v>281</v>
      </c>
      <c r="I77" s="75">
        <v>50</v>
      </c>
      <c r="J77" s="75"/>
      <c r="K77" s="75"/>
      <c r="L77" s="75">
        <v>0.224</v>
      </c>
    </row>
    <row r="78" spans="2:19" ht="17.399999999999999" x14ac:dyDescent="0.4">
      <c r="B78" s="32" t="s">
        <v>137</v>
      </c>
      <c r="C78" s="64">
        <v>8.0000000000000002E-3</v>
      </c>
      <c r="D78" s="64">
        <v>8.0000000000000002E-3</v>
      </c>
      <c r="E78" s="32" t="s">
        <v>58</v>
      </c>
      <c r="F78" s="49">
        <v>15</v>
      </c>
      <c r="G78" s="53" t="s">
        <v>116</v>
      </c>
      <c r="I78" s="75">
        <v>100</v>
      </c>
      <c r="J78" s="75"/>
      <c r="K78" s="75"/>
      <c r="L78" s="75">
        <v>0.161</v>
      </c>
    </row>
    <row r="79" spans="2:19" ht="17.399999999999999" x14ac:dyDescent="0.4">
      <c r="B79" s="32" t="s">
        <v>264</v>
      </c>
      <c r="C79" s="64">
        <v>1.35E-2</v>
      </c>
      <c r="D79" s="64">
        <v>1.35E-2</v>
      </c>
      <c r="E79" s="32" t="s">
        <v>58</v>
      </c>
      <c r="F79" s="49">
        <v>16</v>
      </c>
      <c r="G79" s="53" t="s">
        <v>116</v>
      </c>
      <c r="I79" s="75">
        <v>200</v>
      </c>
      <c r="J79" s="75"/>
      <c r="K79" s="75"/>
      <c r="L79" s="75">
        <v>7.7600000000000002E-2</v>
      </c>
    </row>
    <row r="80" spans="2:19" ht="17.399999999999999" x14ac:dyDescent="0.4">
      <c r="B80" s="32" t="s">
        <v>138</v>
      </c>
      <c r="C80" s="36">
        <f t="shared" ref="C80:D80" si="68">125-C78*C71</f>
        <v>64.660193492196726</v>
      </c>
      <c r="D80" s="36">
        <f t="shared" si="68"/>
        <v>56.089321781386786</v>
      </c>
      <c r="E80" s="37" t="s">
        <v>59</v>
      </c>
      <c r="F80" s="49"/>
      <c r="G80" s="35" t="s">
        <v>139</v>
      </c>
      <c r="I80" s="75">
        <v>300</v>
      </c>
      <c r="J80" s="75"/>
      <c r="K80" s="75"/>
      <c r="L80" s="75">
        <v>5.2400000000000002E-2</v>
      </c>
    </row>
    <row r="81" spans="2:15" ht="17.399999999999999" x14ac:dyDescent="0.4">
      <c r="B81" s="32" t="s">
        <v>140</v>
      </c>
      <c r="C81" s="55">
        <f t="shared" ref="C81:D81" si="69">125-C79*C72</f>
        <v>124.892</v>
      </c>
      <c r="D81" s="55">
        <f t="shared" si="69"/>
        <v>124.83799999999999</v>
      </c>
      <c r="E81" s="37" t="s">
        <v>59</v>
      </c>
      <c r="F81" s="49"/>
      <c r="G81" s="32"/>
    </row>
    <row r="82" spans="2:15" ht="17.399999999999999" x14ac:dyDescent="0.4">
      <c r="B82" s="32" t="s">
        <v>141</v>
      </c>
      <c r="C82" s="55">
        <f t="shared" ref="C82:D82" si="70">C78*C71</f>
        <v>60.339806507803274</v>
      </c>
      <c r="D82" s="55">
        <f t="shared" si="70"/>
        <v>68.910678218613214</v>
      </c>
      <c r="E82" s="37" t="s">
        <v>59</v>
      </c>
      <c r="F82" s="49"/>
      <c r="G82" s="32"/>
      <c r="I82" s="153" t="s">
        <v>446</v>
      </c>
      <c r="J82" s="153"/>
      <c r="K82" s="153"/>
      <c r="M82" s="153" t="s">
        <v>482</v>
      </c>
      <c r="N82" s="153"/>
      <c r="O82" s="153"/>
    </row>
    <row r="83" spans="2:15" ht="17.399999999999999" x14ac:dyDescent="0.4">
      <c r="B83" s="32" t="s">
        <v>142</v>
      </c>
      <c r="C83" s="55">
        <f t="shared" ref="C83:D83" si="71">C79*C72</f>
        <v>0.108</v>
      </c>
      <c r="D83" s="55">
        <f t="shared" si="71"/>
        <v>0.16200000000000001</v>
      </c>
      <c r="E83" s="37" t="s">
        <v>59</v>
      </c>
      <c r="F83" s="49"/>
      <c r="G83" s="32"/>
      <c r="I83" s="78" t="s">
        <v>445</v>
      </c>
      <c r="J83" s="78" t="s">
        <v>452</v>
      </c>
      <c r="K83" s="78"/>
      <c r="M83" s="78" t="s">
        <v>483</v>
      </c>
      <c r="N83" s="78" t="s">
        <v>484</v>
      </c>
      <c r="O83" s="78" t="s">
        <v>485</v>
      </c>
    </row>
    <row r="84" spans="2:15" ht="17.399999999999999" x14ac:dyDescent="0.4">
      <c r="B84" s="32" t="s">
        <v>143</v>
      </c>
      <c r="C84" s="64">
        <v>0.03</v>
      </c>
      <c r="D84" s="64">
        <v>0.03</v>
      </c>
      <c r="E84" s="32" t="s">
        <v>58</v>
      </c>
      <c r="F84" s="49">
        <v>17</v>
      </c>
      <c r="G84" s="32" t="s">
        <v>116</v>
      </c>
      <c r="I84" s="48" t="s">
        <v>443</v>
      </c>
      <c r="J84" s="48">
        <v>183</v>
      </c>
      <c r="K84" s="48" t="s">
        <v>447</v>
      </c>
      <c r="M84" s="65" t="s">
        <v>486</v>
      </c>
      <c r="N84" s="65" t="s">
        <v>487</v>
      </c>
      <c r="O84" s="111" t="s">
        <v>488</v>
      </c>
    </row>
    <row r="85" spans="2:15" ht="17.399999999999999" x14ac:dyDescent="0.4">
      <c r="B85" s="32" t="s">
        <v>144</v>
      </c>
      <c r="C85" s="64">
        <v>0.06</v>
      </c>
      <c r="D85" s="64">
        <v>0.06</v>
      </c>
      <c r="E85" s="32" t="s">
        <v>58</v>
      </c>
      <c r="F85" s="49">
        <v>18</v>
      </c>
      <c r="G85" s="32" t="s">
        <v>116</v>
      </c>
      <c r="I85" s="48" t="s">
        <v>444</v>
      </c>
      <c r="J85" s="48">
        <v>75</v>
      </c>
      <c r="K85" s="48" t="s">
        <v>447</v>
      </c>
      <c r="M85" s="65" t="s">
        <v>489</v>
      </c>
      <c r="N85" s="65" t="s">
        <v>490</v>
      </c>
      <c r="O85" s="111" t="s">
        <v>495</v>
      </c>
    </row>
    <row r="86" spans="2:15" ht="17.399999999999999" x14ac:dyDescent="0.4">
      <c r="B86" s="32" t="s">
        <v>145</v>
      </c>
      <c r="C86" s="56">
        <f t="shared" ref="C86:D86" si="72">C80-C84*C71</f>
        <v>-161.61408091206553</v>
      </c>
      <c r="D86" s="56">
        <f t="shared" si="72"/>
        <v>-202.32572153841278</v>
      </c>
      <c r="E86" s="37" t="s">
        <v>59</v>
      </c>
      <c r="F86" s="49"/>
      <c r="G86" s="32" t="s">
        <v>139</v>
      </c>
      <c r="I86" s="48" t="s">
        <v>448</v>
      </c>
      <c r="J86" s="48">
        <v>9</v>
      </c>
      <c r="K86" s="48" t="s">
        <v>447</v>
      </c>
      <c r="M86" s="65" t="s">
        <v>491</v>
      </c>
      <c r="N86" s="65" t="s">
        <v>496</v>
      </c>
      <c r="O86" s="111" t="s">
        <v>497</v>
      </c>
    </row>
    <row r="87" spans="2:15" ht="17.399999999999999" x14ac:dyDescent="0.4">
      <c r="B87" s="32" t="s">
        <v>146</v>
      </c>
      <c r="C87" s="55">
        <f t="shared" ref="C87:D87" si="73">C81-C85*C72</f>
        <v>124.41199999999999</v>
      </c>
      <c r="D87" s="55">
        <f t="shared" si="73"/>
        <v>124.11799999999999</v>
      </c>
      <c r="E87" s="37" t="s">
        <v>59</v>
      </c>
      <c r="F87" s="49"/>
      <c r="G87" s="32"/>
      <c r="I87" s="48" t="s">
        <v>449</v>
      </c>
      <c r="J87" s="48">
        <v>6</v>
      </c>
      <c r="K87" s="48" t="s">
        <v>447</v>
      </c>
      <c r="M87" s="65" t="s">
        <v>492</v>
      </c>
      <c r="N87" s="65" t="s">
        <v>498</v>
      </c>
      <c r="O87" s="111" t="s">
        <v>499</v>
      </c>
    </row>
    <row r="88" spans="2:15" ht="17.399999999999999" x14ac:dyDescent="0.4">
      <c r="B88" s="32" t="s">
        <v>147</v>
      </c>
      <c r="C88" s="55">
        <f t="shared" ref="C88:D88" si="74">C84*C71</f>
        <v>226.27427440426226</v>
      </c>
      <c r="D88" s="55">
        <f t="shared" si="74"/>
        <v>258.41504331979957</v>
      </c>
      <c r="E88" s="37" t="s">
        <v>59</v>
      </c>
      <c r="F88" s="49"/>
      <c r="G88" s="32"/>
      <c r="I88" s="48" t="s">
        <v>450</v>
      </c>
      <c r="J88" s="48">
        <v>12</v>
      </c>
      <c r="K88" s="48" t="s">
        <v>447</v>
      </c>
      <c r="M88" s="65" t="s">
        <v>493</v>
      </c>
      <c r="N88" s="65" t="s">
        <v>500</v>
      </c>
      <c r="O88" s="111" t="s">
        <v>501</v>
      </c>
    </row>
    <row r="89" spans="2:15" ht="17.399999999999999" x14ac:dyDescent="0.4">
      <c r="B89" s="32" t="s">
        <v>148</v>
      </c>
      <c r="C89" s="55">
        <f t="shared" ref="C89:D89" si="75">C85*C72</f>
        <v>0.48</v>
      </c>
      <c r="D89" s="55">
        <f t="shared" si="75"/>
        <v>0.72</v>
      </c>
      <c r="E89" s="37" t="s">
        <v>59</v>
      </c>
      <c r="F89" s="49"/>
      <c r="G89" s="32"/>
      <c r="I89" s="48" t="s">
        <v>451</v>
      </c>
      <c r="J89" s="48">
        <v>78.540000000000006</v>
      </c>
      <c r="K89" s="48" t="s">
        <v>447</v>
      </c>
      <c r="M89" s="65" t="s">
        <v>494</v>
      </c>
      <c r="N89" s="65" t="s">
        <v>502</v>
      </c>
      <c r="O89" s="111" t="s">
        <v>503</v>
      </c>
    </row>
    <row r="90" spans="2:15" ht="17.399999999999999" x14ac:dyDescent="0.4">
      <c r="B90" s="32" t="s">
        <v>60</v>
      </c>
      <c r="C90" s="55">
        <v>60</v>
      </c>
      <c r="D90" s="55">
        <v>60</v>
      </c>
      <c r="E90" s="37" t="s">
        <v>59</v>
      </c>
      <c r="F90" s="49"/>
      <c r="G90" s="32" t="s">
        <v>149</v>
      </c>
    </row>
    <row r="91" spans="2:15" ht="17.399999999999999" x14ac:dyDescent="0.4">
      <c r="B91" s="32" t="s">
        <v>61</v>
      </c>
      <c r="C91" s="54">
        <v>8</v>
      </c>
      <c r="D91" s="54">
        <v>8</v>
      </c>
      <c r="E91" s="37" t="s">
        <v>62</v>
      </c>
      <c r="F91" s="49"/>
      <c r="G91" s="32" t="s">
        <v>150</v>
      </c>
    </row>
    <row r="92" spans="2:15" ht="17.399999999999999" x14ac:dyDescent="0.4">
      <c r="B92" s="32" t="s">
        <v>63</v>
      </c>
      <c r="C92" s="40">
        <f t="shared" ref="C92:D92" si="76">C90-(C75/1000*860/C91/60)</f>
        <v>46.456791666666668</v>
      </c>
      <c r="D92" s="40">
        <f t="shared" si="76"/>
        <v>44.528958333333335</v>
      </c>
      <c r="E92" s="37" t="s">
        <v>59</v>
      </c>
      <c r="F92" s="49"/>
      <c r="G92" s="32"/>
    </row>
  </sheetData>
  <mergeCells count="26">
    <mergeCell ref="C1:D1"/>
    <mergeCell ref="M44:O44"/>
    <mergeCell ref="M82:O82"/>
    <mergeCell ref="Q22:S22"/>
    <mergeCell ref="Q41:S41"/>
    <mergeCell ref="Q61:S61"/>
    <mergeCell ref="N32:O32"/>
    <mergeCell ref="M50:O50"/>
    <mergeCell ref="I61:K61"/>
    <mergeCell ref="I82:K82"/>
    <mergeCell ref="I55:K55"/>
    <mergeCell ref="I49:K49"/>
    <mergeCell ref="I40:K40"/>
    <mergeCell ref="U38:W38"/>
    <mergeCell ref="I16:K16"/>
    <mergeCell ref="I3:K3"/>
    <mergeCell ref="M3:O3"/>
    <mergeCell ref="Q3:S3"/>
    <mergeCell ref="U19:W19"/>
    <mergeCell ref="U3:W3"/>
    <mergeCell ref="M10:O10"/>
    <mergeCell ref="U10:W10"/>
    <mergeCell ref="M15:O15"/>
    <mergeCell ref="U32:W32"/>
    <mergeCell ref="M21:O21"/>
    <mergeCell ref="I29:K29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opLeftCell="A7" workbookViewId="0">
      <selection activeCell="G16" sqref="G16"/>
    </sheetView>
  </sheetViews>
  <sheetFormatPr defaultRowHeight="14.4" x14ac:dyDescent="0.25"/>
  <cols>
    <col min="2" max="2" width="22.19921875" bestFit="1" customWidth="1"/>
    <col min="3" max="3" width="40.8984375" bestFit="1" customWidth="1"/>
    <col min="4" max="4" width="42" customWidth="1"/>
  </cols>
  <sheetData>
    <row r="1" spans="2:4" ht="15" thickBot="1" x14ac:dyDescent="0.3"/>
    <row r="2" spans="2:4" ht="16.2" thickBot="1" x14ac:dyDescent="0.3">
      <c r="B2" s="66" t="s">
        <v>505</v>
      </c>
      <c r="C2" s="67" t="s">
        <v>540</v>
      </c>
      <c r="D2" s="67" t="s">
        <v>506</v>
      </c>
    </row>
    <row r="3" spans="2:4" ht="16.2" thickBot="1" x14ac:dyDescent="0.3">
      <c r="B3" s="68" t="s">
        <v>507</v>
      </c>
      <c r="C3" s="66" t="s">
        <v>564</v>
      </c>
      <c r="D3" s="66"/>
    </row>
    <row r="4" spans="2:4" ht="15.6" x14ac:dyDescent="0.25">
      <c r="B4" s="146" t="s">
        <v>508</v>
      </c>
      <c r="C4" s="70" t="s">
        <v>541</v>
      </c>
      <c r="D4" s="70"/>
    </row>
    <row r="5" spans="2:4" ht="15.6" x14ac:dyDescent="0.25">
      <c r="B5" s="146" t="s">
        <v>509</v>
      </c>
      <c r="C5" s="70" t="s">
        <v>542</v>
      </c>
      <c r="D5" s="70"/>
    </row>
    <row r="6" spans="2:4" ht="15.6" x14ac:dyDescent="0.25">
      <c r="B6" s="146" t="s">
        <v>543</v>
      </c>
      <c r="C6" s="71" t="s">
        <v>544</v>
      </c>
      <c r="D6" s="71"/>
    </row>
    <row r="7" spans="2:4" ht="15.6" x14ac:dyDescent="0.25">
      <c r="B7" s="146" t="s">
        <v>529</v>
      </c>
      <c r="C7" s="71" t="s">
        <v>546</v>
      </c>
      <c r="D7" s="71"/>
    </row>
    <row r="8" spans="2:4" ht="15.6" x14ac:dyDescent="0.25">
      <c r="B8" s="146" t="s">
        <v>510</v>
      </c>
      <c r="C8" s="71" t="s">
        <v>545</v>
      </c>
      <c r="D8" s="71"/>
    </row>
    <row r="9" spans="2:4" ht="15.6" x14ac:dyDescent="0.25">
      <c r="B9" s="146" t="s">
        <v>511</v>
      </c>
      <c r="C9" s="138" t="s">
        <v>547</v>
      </c>
      <c r="D9" s="138"/>
    </row>
    <row r="10" spans="2:4" ht="15.6" x14ac:dyDescent="0.25">
      <c r="B10" s="146" t="s">
        <v>512</v>
      </c>
      <c r="C10" s="140" t="s">
        <v>548</v>
      </c>
      <c r="D10" s="72"/>
    </row>
    <row r="11" spans="2:4" ht="15.6" x14ac:dyDescent="0.25">
      <c r="B11" s="146" t="s">
        <v>513</v>
      </c>
      <c r="C11" s="139" t="s">
        <v>549</v>
      </c>
      <c r="D11" s="71"/>
    </row>
    <row r="12" spans="2:4" ht="15.6" x14ac:dyDescent="0.25">
      <c r="B12" s="146" t="s">
        <v>514</v>
      </c>
      <c r="C12" s="141" t="s">
        <v>550</v>
      </c>
      <c r="D12" s="71"/>
    </row>
    <row r="13" spans="2:4" ht="31.2" x14ac:dyDescent="0.25">
      <c r="B13" s="146" t="s">
        <v>515</v>
      </c>
      <c r="C13" s="72" t="s">
        <v>559</v>
      </c>
      <c r="D13" s="72"/>
    </row>
    <row r="14" spans="2:4" ht="15.6" x14ac:dyDescent="0.25">
      <c r="B14" s="146" t="s">
        <v>516</v>
      </c>
      <c r="C14" s="128" t="s">
        <v>553</v>
      </c>
      <c r="D14" s="72"/>
    </row>
    <row r="15" spans="2:4" ht="15.6" x14ac:dyDescent="0.25">
      <c r="B15" s="146" t="s">
        <v>517</v>
      </c>
      <c r="C15" s="143" t="s">
        <v>557</v>
      </c>
      <c r="D15" s="72"/>
    </row>
    <row r="16" spans="2:4" ht="62.4" x14ac:dyDescent="0.25">
      <c r="B16" s="146" t="s">
        <v>519</v>
      </c>
      <c r="C16" s="145" t="s">
        <v>561</v>
      </c>
      <c r="D16" s="144" t="s">
        <v>563</v>
      </c>
    </row>
    <row r="17" spans="2:4" ht="31.2" x14ac:dyDescent="0.25">
      <c r="B17" s="146" t="s">
        <v>520</v>
      </c>
      <c r="C17" s="145" t="s">
        <v>554</v>
      </c>
      <c r="D17" s="145"/>
    </row>
    <row r="18" spans="2:4" ht="15.6" x14ac:dyDescent="0.25">
      <c r="B18" s="146" t="s">
        <v>521</v>
      </c>
      <c r="C18" s="145" t="s">
        <v>555</v>
      </c>
      <c r="D18" s="145"/>
    </row>
    <row r="19" spans="2:4" ht="62.4" x14ac:dyDescent="0.25">
      <c r="B19" s="146" t="s">
        <v>522</v>
      </c>
      <c r="C19" s="144" t="s">
        <v>558</v>
      </c>
      <c r="D19" s="144" t="s">
        <v>562</v>
      </c>
    </row>
    <row r="20" spans="2:4" ht="15.6" x14ac:dyDescent="0.25">
      <c r="B20" s="147" t="s">
        <v>523</v>
      </c>
      <c r="C20" s="155" t="s">
        <v>560</v>
      </c>
      <c r="D20" s="130"/>
    </row>
    <row r="21" spans="2:4" ht="15.6" x14ac:dyDescent="0.25">
      <c r="B21" s="146" t="s">
        <v>524</v>
      </c>
      <c r="C21" s="156"/>
      <c r="D21" s="129"/>
    </row>
    <row r="22" spans="2:4" ht="15.6" x14ac:dyDescent="0.25">
      <c r="B22" s="146" t="s">
        <v>525</v>
      </c>
      <c r="C22" s="156"/>
      <c r="D22" s="69"/>
    </row>
    <row r="23" spans="2:4" ht="15.6" x14ac:dyDescent="0.25">
      <c r="B23" s="146" t="s">
        <v>532</v>
      </c>
      <c r="C23" s="156"/>
      <c r="D23" s="69"/>
    </row>
    <row r="24" spans="2:4" ht="15.6" x14ac:dyDescent="0.25">
      <c r="B24" s="146" t="s">
        <v>526</v>
      </c>
      <c r="C24" s="156"/>
      <c r="D24" s="69"/>
    </row>
    <row r="25" spans="2:4" ht="15.6" x14ac:dyDescent="0.25">
      <c r="B25" s="146" t="s">
        <v>531</v>
      </c>
      <c r="C25" s="156"/>
      <c r="D25" s="69"/>
    </row>
    <row r="26" spans="2:4" ht="15.6" x14ac:dyDescent="0.25">
      <c r="B26" s="148" t="s">
        <v>527</v>
      </c>
      <c r="C26" s="156"/>
      <c r="D26" s="69"/>
    </row>
    <row r="27" spans="2:4" ht="15.6" x14ac:dyDescent="0.25">
      <c r="B27" s="148" t="s">
        <v>477</v>
      </c>
      <c r="C27" s="157"/>
      <c r="D27" s="73"/>
    </row>
    <row r="28" spans="2:4" ht="15.6" x14ac:dyDescent="0.25">
      <c r="B28" s="146" t="s">
        <v>528</v>
      </c>
      <c r="C28" s="142" t="s">
        <v>551</v>
      </c>
      <c r="D28" s="71"/>
    </row>
    <row r="29" spans="2:4" ht="15.6" x14ac:dyDescent="0.25">
      <c r="B29" s="148" t="s">
        <v>478</v>
      </c>
      <c r="C29" s="73" t="s">
        <v>552</v>
      </c>
      <c r="D29" s="73"/>
    </row>
    <row r="30" spans="2:4" ht="15.6" x14ac:dyDescent="0.25">
      <c r="B30" s="148" t="s">
        <v>480</v>
      </c>
      <c r="C30" s="73" t="s">
        <v>518</v>
      </c>
      <c r="D30" s="73"/>
    </row>
    <row r="31" spans="2:4" ht="15.6" x14ac:dyDescent="0.25">
      <c r="B31" s="148" t="s">
        <v>481</v>
      </c>
      <c r="C31" s="73" t="s">
        <v>518</v>
      </c>
      <c r="D31" s="73"/>
    </row>
    <row r="32" spans="2:4" ht="16.2" thickBot="1" x14ac:dyDescent="0.3">
      <c r="B32" s="149" t="s">
        <v>479</v>
      </c>
      <c r="C32" s="74" t="s">
        <v>556</v>
      </c>
      <c r="D32" s="74"/>
    </row>
  </sheetData>
  <mergeCells count="1">
    <mergeCell ref="C20:C27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B35" sqref="B35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170" t="s">
        <v>306</v>
      </c>
      <c r="B2" s="160" t="s">
        <v>307</v>
      </c>
      <c r="C2" s="160" t="s">
        <v>308</v>
      </c>
      <c r="D2" s="160" t="s">
        <v>309</v>
      </c>
      <c r="E2" s="160" t="s">
        <v>310</v>
      </c>
      <c r="F2" s="162" t="s">
        <v>311</v>
      </c>
      <c r="G2" s="164" t="s">
        <v>312</v>
      </c>
      <c r="H2" s="160" t="s">
        <v>313</v>
      </c>
      <c r="I2" s="164" t="s">
        <v>314</v>
      </c>
      <c r="J2" s="172" t="s">
        <v>315</v>
      </c>
      <c r="K2" s="160" t="s">
        <v>316</v>
      </c>
      <c r="L2" s="162" t="s">
        <v>317</v>
      </c>
      <c r="M2" s="160" t="s">
        <v>318</v>
      </c>
      <c r="N2" s="160" t="s">
        <v>319</v>
      </c>
      <c r="O2" s="162" t="s">
        <v>320</v>
      </c>
      <c r="P2" s="160" t="s">
        <v>321</v>
      </c>
      <c r="Q2" s="160" t="s">
        <v>322</v>
      </c>
      <c r="R2" s="160"/>
      <c r="S2" s="164" t="s">
        <v>323</v>
      </c>
      <c r="T2" s="166" t="s">
        <v>324</v>
      </c>
      <c r="U2" s="168" t="s">
        <v>325</v>
      </c>
      <c r="V2" s="168" t="s">
        <v>326</v>
      </c>
    </row>
    <row r="3" spans="1:22" ht="18" thickBot="1" x14ac:dyDescent="0.3">
      <c r="A3" s="171"/>
      <c r="B3" s="161"/>
      <c r="C3" s="161"/>
      <c r="D3" s="161"/>
      <c r="E3" s="161"/>
      <c r="F3" s="163"/>
      <c r="G3" s="165"/>
      <c r="H3" s="161"/>
      <c r="I3" s="165"/>
      <c r="J3" s="173"/>
      <c r="K3" s="161"/>
      <c r="L3" s="163"/>
      <c r="M3" s="161"/>
      <c r="N3" s="161"/>
      <c r="O3" s="163"/>
      <c r="P3" s="161"/>
      <c r="Q3" s="81" t="s">
        <v>327</v>
      </c>
      <c r="R3" s="81" t="s">
        <v>328</v>
      </c>
      <c r="S3" s="165"/>
      <c r="T3" s="167"/>
      <c r="U3" s="169"/>
      <c r="V3" s="169"/>
    </row>
    <row r="4" spans="1:22" ht="18" thickTop="1" x14ac:dyDescent="0.4">
      <c r="A4" s="82">
        <v>20</v>
      </c>
      <c r="B4" s="83">
        <v>220</v>
      </c>
      <c r="C4" s="84">
        <f t="shared" ref="C4:C47" si="0">ROUNDUP(A4/(B4*0.9)/3^0.5*1000/0.9,0)</f>
        <v>65</v>
      </c>
      <c r="D4" s="84">
        <f t="shared" ref="D4:D47" si="1">ROUNDUP(B4*2^0.5*0.93,0)</f>
        <v>290</v>
      </c>
      <c r="E4" s="84">
        <f t="shared" ref="E4:E47" si="2">ROUNDUP(A4*1000/D4,0)</f>
        <v>69</v>
      </c>
      <c r="F4" s="85">
        <f t="shared" ref="F4:F47" si="3">30.8*100*C4/(1000*10)</f>
        <v>20.02</v>
      </c>
      <c r="G4" s="86">
        <f t="shared" ref="G4:G47" si="4">C4/(H4*I4)</f>
        <v>1.8571428571428572</v>
      </c>
      <c r="H4" s="83">
        <v>35</v>
      </c>
      <c r="I4" s="83">
        <v>1</v>
      </c>
      <c r="J4" s="83">
        <f t="shared" ref="J4:J47" si="5">L4*0.052</f>
        <v>3.9</v>
      </c>
      <c r="K4" s="83">
        <v>16</v>
      </c>
      <c r="L4" s="83">
        <v>75</v>
      </c>
      <c r="M4" s="83" t="s">
        <v>329</v>
      </c>
      <c r="N4" s="83" t="s">
        <v>330</v>
      </c>
      <c r="O4" s="87">
        <f t="shared" ref="O4:O47" si="6">SUM(C4*1.25)</f>
        <v>81.25</v>
      </c>
      <c r="P4" s="83" t="s">
        <v>331</v>
      </c>
      <c r="Q4" s="83" t="s">
        <v>332</v>
      </c>
      <c r="R4" s="83"/>
      <c r="S4" s="88" t="s">
        <v>333</v>
      </c>
      <c r="T4" s="88" t="s">
        <v>334</v>
      </c>
      <c r="U4" s="83" t="s">
        <v>335</v>
      </c>
      <c r="V4" s="89" t="s">
        <v>336</v>
      </c>
    </row>
    <row r="5" spans="1:22" ht="17.399999999999999" x14ac:dyDescent="0.4">
      <c r="A5" s="82">
        <v>20</v>
      </c>
      <c r="B5" s="83">
        <v>380</v>
      </c>
      <c r="C5" s="84">
        <f t="shared" si="0"/>
        <v>38</v>
      </c>
      <c r="D5" s="84">
        <f t="shared" si="1"/>
        <v>500</v>
      </c>
      <c r="E5" s="84">
        <f t="shared" si="2"/>
        <v>40</v>
      </c>
      <c r="F5" s="85">
        <f t="shared" si="3"/>
        <v>11.704000000000001</v>
      </c>
      <c r="G5" s="86">
        <f t="shared" si="4"/>
        <v>1.52</v>
      </c>
      <c r="H5" s="83">
        <v>25</v>
      </c>
      <c r="I5" s="83">
        <v>1</v>
      </c>
      <c r="J5" s="83">
        <f t="shared" si="5"/>
        <v>2.6</v>
      </c>
      <c r="K5" s="83">
        <v>16</v>
      </c>
      <c r="L5" s="83">
        <v>50</v>
      </c>
      <c r="M5" s="83" t="s">
        <v>337</v>
      </c>
      <c r="N5" s="83" t="s">
        <v>338</v>
      </c>
      <c r="O5" s="87">
        <f t="shared" si="6"/>
        <v>47.5</v>
      </c>
      <c r="P5" s="83" t="s">
        <v>339</v>
      </c>
      <c r="Q5" s="83" t="s">
        <v>332</v>
      </c>
      <c r="R5" s="83"/>
      <c r="S5" s="88" t="s">
        <v>333</v>
      </c>
      <c r="T5" s="88" t="s">
        <v>331</v>
      </c>
      <c r="U5" s="83" t="s">
        <v>340</v>
      </c>
      <c r="V5" s="89" t="s">
        <v>336</v>
      </c>
    </row>
    <row r="6" spans="1:22" ht="17.399999999999999" x14ac:dyDescent="0.4">
      <c r="A6" s="82">
        <v>20</v>
      </c>
      <c r="B6" s="83">
        <v>440</v>
      </c>
      <c r="C6" s="84">
        <f t="shared" si="0"/>
        <v>33</v>
      </c>
      <c r="D6" s="84">
        <f t="shared" si="1"/>
        <v>579</v>
      </c>
      <c r="E6" s="84">
        <f t="shared" si="2"/>
        <v>35</v>
      </c>
      <c r="F6" s="85">
        <f t="shared" si="3"/>
        <v>10.164</v>
      </c>
      <c r="G6" s="86">
        <f t="shared" si="4"/>
        <v>1.32</v>
      </c>
      <c r="H6" s="83">
        <v>25</v>
      </c>
      <c r="I6" s="83">
        <v>1</v>
      </c>
      <c r="J6" s="83">
        <f t="shared" si="5"/>
        <v>2.6</v>
      </c>
      <c r="K6" s="83">
        <v>16</v>
      </c>
      <c r="L6" s="83">
        <v>50</v>
      </c>
      <c r="M6" s="83" t="s">
        <v>337</v>
      </c>
      <c r="N6" s="83" t="s">
        <v>338</v>
      </c>
      <c r="O6" s="87">
        <f t="shared" si="6"/>
        <v>41.25</v>
      </c>
      <c r="P6" s="83" t="s">
        <v>339</v>
      </c>
      <c r="Q6" s="83" t="s">
        <v>332</v>
      </c>
      <c r="R6" s="83"/>
      <c r="S6" s="88" t="s">
        <v>333</v>
      </c>
      <c r="T6" s="88" t="s">
        <v>331</v>
      </c>
      <c r="U6" s="83" t="s">
        <v>340</v>
      </c>
      <c r="V6" s="89" t="s">
        <v>336</v>
      </c>
    </row>
    <row r="7" spans="1:22" ht="17.399999999999999" x14ac:dyDescent="0.4">
      <c r="A7" s="82">
        <v>30</v>
      </c>
      <c r="B7" s="83">
        <v>220</v>
      </c>
      <c r="C7" s="84">
        <f t="shared" si="0"/>
        <v>98</v>
      </c>
      <c r="D7" s="84">
        <f t="shared" si="1"/>
        <v>290</v>
      </c>
      <c r="E7" s="84">
        <f t="shared" si="2"/>
        <v>104</v>
      </c>
      <c r="F7" s="85">
        <f t="shared" si="3"/>
        <v>30.184000000000001</v>
      </c>
      <c r="G7" s="86">
        <f t="shared" si="4"/>
        <v>1.96</v>
      </c>
      <c r="H7" s="83">
        <v>50</v>
      </c>
      <c r="I7" s="83">
        <v>1</v>
      </c>
      <c r="J7" s="83">
        <f t="shared" si="5"/>
        <v>6.5</v>
      </c>
      <c r="K7" s="83">
        <v>16</v>
      </c>
      <c r="L7" s="83">
        <v>125</v>
      </c>
      <c r="M7" s="83" t="s">
        <v>341</v>
      </c>
      <c r="N7" s="83" t="s">
        <v>342</v>
      </c>
      <c r="O7" s="87">
        <f t="shared" si="6"/>
        <v>122.5</v>
      </c>
      <c r="P7" s="83" t="s">
        <v>343</v>
      </c>
      <c r="Q7" s="83" t="s">
        <v>332</v>
      </c>
      <c r="R7" s="90" t="s">
        <v>336</v>
      </c>
      <c r="S7" s="88" t="s">
        <v>333</v>
      </c>
      <c r="T7" s="88" t="s">
        <v>344</v>
      </c>
      <c r="U7" s="83" t="s">
        <v>340</v>
      </c>
      <c r="V7" s="89" t="s">
        <v>336</v>
      </c>
    </row>
    <row r="8" spans="1:22" ht="17.399999999999999" x14ac:dyDescent="0.4">
      <c r="A8" s="82">
        <v>30</v>
      </c>
      <c r="B8" s="83">
        <v>380</v>
      </c>
      <c r="C8" s="84">
        <f t="shared" si="0"/>
        <v>57</v>
      </c>
      <c r="D8" s="84">
        <f t="shared" si="1"/>
        <v>500</v>
      </c>
      <c r="E8" s="84">
        <f t="shared" si="2"/>
        <v>60</v>
      </c>
      <c r="F8" s="85">
        <f t="shared" si="3"/>
        <v>17.556000000000001</v>
      </c>
      <c r="G8" s="86">
        <f t="shared" si="4"/>
        <v>1.6285714285714286</v>
      </c>
      <c r="H8" s="83">
        <v>35</v>
      </c>
      <c r="I8" s="83">
        <v>1</v>
      </c>
      <c r="J8" s="83">
        <f t="shared" si="5"/>
        <v>3.9</v>
      </c>
      <c r="K8" s="83">
        <v>16</v>
      </c>
      <c r="L8" s="83">
        <v>75</v>
      </c>
      <c r="M8" s="83" t="s">
        <v>329</v>
      </c>
      <c r="N8" s="83" t="s">
        <v>330</v>
      </c>
      <c r="O8" s="87">
        <f t="shared" si="6"/>
        <v>71.25</v>
      </c>
      <c r="P8" s="83" t="s">
        <v>331</v>
      </c>
      <c r="Q8" s="83" t="s">
        <v>332</v>
      </c>
      <c r="R8" s="90" t="s">
        <v>336</v>
      </c>
      <c r="S8" s="88" t="s">
        <v>333</v>
      </c>
      <c r="T8" s="88" t="s">
        <v>331</v>
      </c>
      <c r="U8" s="83" t="s">
        <v>340</v>
      </c>
      <c r="V8" s="89" t="s">
        <v>336</v>
      </c>
    </row>
    <row r="9" spans="1:22" ht="17.399999999999999" x14ac:dyDescent="0.4">
      <c r="A9" s="82">
        <v>30</v>
      </c>
      <c r="B9" s="83">
        <v>440</v>
      </c>
      <c r="C9" s="84">
        <f t="shared" si="0"/>
        <v>49</v>
      </c>
      <c r="D9" s="84">
        <f t="shared" si="1"/>
        <v>579</v>
      </c>
      <c r="E9" s="84">
        <f t="shared" si="2"/>
        <v>52</v>
      </c>
      <c r="F9" s="85">
        <f t="shared" si="3"/>
        <v>15.092000000000001</v>
      </c>
      <c r="G9" s="86">
        <f t="shared" si="4"/>
        <v>1.4</v>
      </c>
      <c r="H9" s="83">
        <v>35</v>
      </c>
      <c r="I9" s="83">
        <v>1</v>
      </c>
      <c r="J9" s="83">
        <f t="shared" si="5"/>
        <v>3.9</v>
      </c>
      <c r="K9" s="83">
        <v>16</v>
      </c>
      <c r="L9" s="83">
        <v>75</v>
      </c>
      <c r="M9" s="83" t="s">
        <v>329</v>
      </c>
      <c r="N9" s="83" t="s">
        <v>330</v>
      </c>
      <c r="O9" s="87">
        <f t="shared" si="6"/>
        <v>61.25</v>
      </c>
      <c r="P9" s="83" t="s">
        <v>331</v>
      </c>
      <c r="Q9" s="83" t="s">
        <v>332</v>
      </c>
      <c r="R9" s="90" t="s">
        <v>336</v>
      </c>
      <c r="S9" s="88" t="s">
        <v>333</v>
      </c>
      <c r="T9" s="88" t="s">
        <v>331</v>
      </c>
      <c r="U9" s="83" t="s">
        <v>340</v>
      </c>
      <c r="V9" s="89" t="s">
        <v>336</v>
      </c>
    </row>
    <row r="10" spans="1:22" ht="17.399999999999999" x14ac:dyDescent="0.4">
      <c r="A10" s="82">
        <v>50</v>
      </c>
      <c r="B10" s="83">
        <v>220</v>
      </c>
      <c r="C10" s="84">
        <f t="shared" si="0"/>
        <v>162</v>
      </c>
      <c r="D10" s="84">
        <f t="shared" si="1"/>
        <v>290</v>
      </c>
      <c r="E10" s="84">
        <f t="shared" si="2"/>
        <v>173</v>
      </c>
      <c r="F10" s="85">
        <f t="shared" si="3"/>
        <v>49.896000000000001</v>
      </c>
      <c r="G10" s="86">
        <f t="shared" si="4"/>
        <v>2.3142857142857145</v>
      </c>
      <c r="H10" s="83">
        <v>70</v>
      </c>
      <c r="I10" s="83">
        <v>1</v>
      </c>
      <c r="J10" s="83">
        <f t="shared" si="5"/>
        <v>10.4</v>
      </c>
      <c r="K10" s="83">
        <v>16</v>
      </c>
      <c r="L10" s="83">
        <v>200</v>
      </c>
      <c r="M10" s="83" t="s">
        <v>345</v>
      </c>
      <c r="N10" s="83" t="s">
        <v>346</v>
      </c>
      <c r="O10" s="87">
        <f t="shared" si="6"/>
        <v>202.5</v>
      </c>
      <c r="P10" s="83" t="s">
        <v>347</v>
      </c>
      <c r="Q10" s="83" t="s">
        <v>348</v>
      </c>
      <c r="R10" s="90" t="s">
        <v>336</v>
      </c>
      <c r="S10" s="88" t="s">
        <v>349</v>
      </c>
      <c r="T10" s="88" t="s">
        <v>350</v>
      </c>
      <c r="U10" s="158" t="s">
        <v>351</v>
      </c>
      <c r="V10" s="159"/>
    </row>
    <row r="11" spans="1:22" ht="17.399999999999999" x14ac:dyDescent="0.4">
      <c r="A11" s="82">
        <v>50</v>
      </c>
      <c r="B11" s="83">
        <v>380</v>
      </c>
      <c r="C11" s="84">
        <f t="shared" si="0"/>
        <v>94</v>
      </c>
      <c r="D11" s="84">
        <f t="shared" si="1"/>
        <v>500</v>
      </c>
      <c r="E11" s="84">
        <f t="shared" si="2"/>
        <v>100</v>
      </c>
      <c r="F11" s="85">
        <f t="shared" si="3"/>
        <v>28.952000000000002</v>
      </c>
      <c r="G11" s="86">
        <f t="shared" si="4"/>
        <v>1.3428571428571427</v>
      </c>
      <c r="H11" s="83">
        <v>70</v>
      </c>
      <c r="I11" s="83">
        <v>1</v>
      </c>
      <c r="J11" s="83">
        <f t="shared" si="5"/>
        <v>6.5</v>
      </c>
      <c r="K11" s="83">
        <v>16</v>
      </c>
      <c r="L11" s="83">
        <v>125</v>
      </c>
      <c r="M11" s="83" t="s">
        <v>352</v>
      </c>
      <c r="N11" s="83" t="s">
        <v>342</v>
      </c>
      <c r="O11" s="87">
        <f t="shared" si="6"/>
        <v>117.5</v>
      </c>
      <c r="P11" s="83" t="s">
        <v>343</v>
      </c>
      <c r="Q11" s="83" t="s">
        <v>332</v>
      </c>
      <c r="R11" s="90" t="s">
        <v>336</v>
      </c>
      <c r="S11" s="88" t="s">
        <v>333</v>
      </c>
      <c r="T11" s="88" t="s">
        <v>344</v>
      </c>
      <c r="U11" s="83" t="s">
        <v>340</v>
      </c>
      <c r="V11" s="89" t="s">
        <v>336</v>
      </c>
    </row>
    <row r="12" spans="1:22" ht="17.399999999999999" x14ac:dyDescent="0.4">
      <c r="A12" s="82">
        <v>50</v>
      </c>
      <c r="B12" s="83">
        <v>440</v>
      </c>
      <c r="C12" s="84">
        <f t="shared" si="0"/>
        <v>81</v>
      </c>
      <c r="D12" s="84">
        <f t="shared" si="1"/>
        <v>579</v>
      </c>
      <c r="E12" s="84">
        <f t="shared" si="2"/>
        <v>87</v>
      </c>
      <c r="F12" s="85">
        <f t="shared" si="3"/>
        <v>24.948</v>
      </c>
      <c r="G12" s="86">
        <f t="shared" si="4"/>
        <v>1.1571428571428573</v>
      </c>
      <c r="H12" s="83">
        <v>70</v>
      </c>
      <c r="I12" s="83">
        <v>1</v>
      </c>
      <c r="J12" s="83">
        <f t="shared" si="5"/>
        <v>5.2</v>
      </c>
      <c r="K12" s="83">
        <v>16</v>
      </c>
      <c r="L12" s="83">
        <v>100</v>
      </c>
      <c r="M12" s="83" t="s">
        <v>352</v>
      </c>
      <c r="N12" s="83" t="s">
        <v>342</v>
      </c>
      <c r="O12" s="87">
        <f t="shared" si="6"/>
        <v>101.25</v>
      </c>
      <c r="P12" s="83" t="s">
        <v>343</v>
      </c>
      <c r="Q12" s="83" t="s">
        <v>332</v>
      </c>
      <c r="R12" s="90" t="s">
        <v>336</v>
      </c>
      <c r="S12" s="88" t="s">
        <v>333</v>
      </c>
      <c r="T12" s="88" t="s">
        <v>344</v>
      </c>
      <c r="U12" s="83" t="s">
        <v>340</v>
      </c>
      <c r="V12" s="89" t="s">
        <v>336</v>
      </c>
    </row>
    <row r="13" spans="1:22" ht="17.399999999999999" x14ac:dyDescent="0.4">
      <c r="A13" s="82">
        <v>75</v>
      </c>
      <c r="B13" s="83">
        <v>220</v>
      </c>
      <c r="C13" s="84">
        <f t="shared" si="0"/>
        <v>243</v>
      </c>
      <c r="D13" s="84">
        <f t="shared" si="1"/>
        <v>290</v>
      </c>
      <c r="E13" s="84">
        <f t="shared" si="2"/>
        <v>259</v>
      </c>
      <c r="F13" s="85">
        <f t="shared" si="3"/>
        <v>74.843999999999994</v>
      </c>
      <c r="G13" s="86">
        <f t="shared" si="4"/>
        <v>1.7357142857142858</v>
      </c>
      <c r="H13" s="83">
        <v>70</v>
      </c>
      <c r="I13" s="83">
        <v>2</v>
      </c>
      <c r="J13" s="83">
        <f t="shared" si="5"/>
        <v>15.6</v>
      </c>
      <c r="K13" s="83">
        <v>16</v>
      </c>
      <c r="L13" s="83">
        <v>300</v>
      </c>
      <c r="M13" s="83" t="s">
        <v>353</v>
      </c>
      <c r="N13" s="83" t="s">
        <v>354</v>
      </c>
      <c r="O13" s="87">
        <f t="shared" si="6"/>
        <v>303.75</v>
      </c>
      <c r="P13" s="83" t="s">
        <v>355</v>
      </c>
      <c r="Q13" s="83" t="s">
        <v>348</v>
      </c>
      <c r="R13" s="90" t="s">
        <v>336</v>
      </c>
      <c r="S13" s="88" t="s">
        <v>356</v>
      </c>
      <c r="T13" s="88" t="s">
        <v>355</v>
      </c>
      <c r="U13" s="158" t="s">
        <v>351</v>
      </c>
      <c r="V13" s="159"/>
    </row>
    <row r="14" spans="1:22" ht="17.399999999999999" x14ac:dyDescent="0.4">
      <c r="A14" s="82">
        <v>75</v>
      </c>
      <c r="B14" s="83">
        <v>380</v>
      </c>
      <c r="C14" s="84">
        <f t="shared" si="0"/>
        <v>141</v>
      </c>
      <c r="D14" s="84">
        <f t="shared" si="1"/>
        <v>500</v>
      </c>
      <c r="E14" s="84">
        <f t="shared" si="2"/>
        <v>150</v>
      </c>
      <c r="F14" s="85">
        <f t="shared" si="3"/>
        <v>43.427999999999997</v>
      </c>
      <c r="G14" s="86">
        <f t="shared" si="4"/>
        <v>2.0142857142857142</v>
      </c>
      <c r="H14" s="83">
        <v>70</v>
      </c>
      <c r="I14" s="83">
        <v>1</v>
      </c>
      <c r="J14" s="83">
        <f t="shared" si="5"/>
        <v>9.1</v>
      </c>
      <c r="K14" s="83">
        <v>16</v>
      </c>
      <c r="L14" s="83">
        <v>175</v>
      </c>
      <c r="M14" s="83" t="s">
        <v>345</v>
      </c>
      <c r="N14" s="83" t="s">
        <v>346</v>
      </c>
      <c r="O14" s="87">
        <f t="shared" si="6"/>
        <v>176.25</v>
      </c>
      <c r="P14" s="83" t="s">
        <v>347</v>
      </c>
      <c r="Q14" s="83" t="s">
        <v>348</v>
      </c>
      <c r="R14" s="90" t="s">
        <v>336</v>
      </c>
      <c r="S14" s="88" t="s">
        <v>356</v>
      </c>
      <c r="T14" s="88" t="s">
        <v>347</v>
      </c>
      <c r="U14" s="158" t="s">
        <v>351</v>
      </c>
      <c r="V14" s="159"/>
    </row>
    <row r="15" spans="1:22" ht="17.399999999999999" x14ac:dyDescent="0.4">
      <c r="A15" s="82">
        <v>75</v>
      </c>
      <c r="B15" s="83">
        <v>440</v>
      </c>
      <c r="C15" s="84">
        <f t="shared" si="0"/>
        <v>122</v>
      </c>
      <c r="D15" s="84">
        <f t="shared" si="1"/>
        <v>579</v>
      </c>
      <c r="E15" s="84">
        <f t="shared" si="2"/>
        <v>130</v>
      </c>
      <c r="F15" s="85">
        <f t="shared" si="3"/>
        <v>37.576000000000001</v>
      </c>
      <c r="G15" s="86">
        <f t="shared" si="4"/>
        <v>1.7428571428571429</v>
      </c>
      <c r="H15" s="83">
        <v>70</v>
      </c>
      <c r="I15" s="83">
        <v>1</v>
      </c>
      <c r="J15" s="83">
        <f t="shared" si="5"/>
        <v>7.8</v>
      </c>
      <c r="K15" s="83">
        <v>16</v>
      </c>
      <c r="L15" s="83">
        <v>150</v>
      </c>
      <c r="M15" s="83" t="s">
        <v>345</v>
      </c>
      <c r="N15" s="83" t="s">
        <v>346</v>
      </c>
      <c r="O15" s="87">
        <f t="shared" si="6"/>
        <v>152.5</v>
      </c>
      <c r="P15" s="83" t="s">
        <v>347</v>
      </c>
      <c r="Q15" s="83" t="s">
        <v>348</v>
      </c>
      <c r="R15" s="90" t="s">
        <v>336</v>
      </c>
      <c r="S15" s="88" t="s">
        <v>356</v>
      </c>
      <c r="T15" s="88" t="s">
        <v>347</v>
      </c>
      <c r="U15" s="158" t="s">
        <v>351</v>
      </c>
      <c r="V15" s="159"/>
    </row>
    <row r="16" spans="1:22" ht="17.399999999999999" x14ac:dyDescent="0.4">
      <c r="A16" s="82">
        <v>100</v>
      </c>
      <c r="B16" s="83">
        <v>380</v>
      </c>
      <c r="C16" s="84">
        <f t="shared" si="0"/>
        <v>188</v>
      </c>
      <c r="D16" s="84">
        <f t="shared" si="1"/>
        <v>500</v>
      </c>
      <c r="E16" s="84">
        <f t="shared" si="2"/>
        <v>200</v>
      </c>
      <c r="F16" s="85">
        <f t="shared" si="3"/>
        <v>57.904000000000003</v>
      </c>
      <c r="G16" s="86">
        <f t="shared" si="4"/>
        <v>1.9789473684210526</v>
      </c>
      <c r="H16" s="83">
        <v>95</v>
      </c>
      <c r="I16" s="83">
        <v>1</v>
      </c>
      <c r="J16" s="83">
        <f t="shared" si="5"/>
        <v>10.4</v>
      </c>
      <c r="K16" s="83">
        <v>16</v>
      </c>
      <c r="L16" s="83">
        <v>200</v>
      </c>
      <c r="M16" s="83" t="s">
        <v>345</v>
      </c>
      <c r="N16" s="83" t="s">
        <v>357</v>
      </c>
      <c r="O16" s="87">
        <f t="shared" si="6"/>
        <v>235</v>
      </c>
      <c r="P16" s="83" t="s">
        <v>358</v>
      </c>
      <c r="Q16" s="83" t="s">
        <v>348</v>
      </c>
      <c r="R16" s="90" t="s">
        <v>336</v>
      </c>
      <c r="S16" s="88" t="s">
        <v>356</v>
      </c>
      <c r="T16" s="88" t="s">
        <v>355</v>
      </c>
      <c r="U16" s="158" t="s">
        <v>351</v>
      </c>
      <c r="V16" s="159"/>
    </row>
    <row r="17" spans="1:22" ht="17.399999999999999" x14ac:dyDescent="0.4">
      <c r="A17" s="82">
        <v>100</v>
      </c>
      <c r="B17" s="83">
        <v>440</v>
      </c>
      <c r="C17" s="84">
        <f t="shared" si="0"/>
        <v>162</v>
      </c>
      <c r="D17" s="84">
        <f t="shared" si="1"/>
        <v>579</v>
      </c>
      <c r="E17" s="84">
        <f t="shared" si="2"/>
        <v>173</v>
      </c>
      <c r="F17" s="85">
        <f t="shared" si="3"/>
        <v>49.896000000000001</v>
      </c>
      <c r="G17" s="86">
        <f t="shared" si="4"/>
        <v>1.7052631578947368</v>
      </c>
      <c r="H17" s="83">
        <v>95</v>
      </c>
      <c r="I17" s="83">
        <v>1</v>
      </c>
      <c r="J17" s="83">
        <f t="shared" si="5"/>
        <v>10.4</v>
      </c>
      <c r="K17" s="83">
        <v>16</v>
      </c>
      <c r="L17" s="83">
        <v>200</v>
      </c>
      <c r="M17" s="83" t="s">
        <v>345</v>
      </c>
      <c r="N17" s="83" t="s">
        <v>357</v>
      </c>
      <c r="O17" s="87">
        <f t="shared" si="6"/>
        <v>202.5</v>
      </c>
      <c r="P17" s="83" t="s">
        <v>358</v>
      </c>
      <c r="Q17" s="83" t="s">
        <v>348</v>
      </c>
      <c r="R17" s="90" t="s">
        <v>336</v>
      </c>
      <c r="S17" s="88" t="s">
        <v>356</v>
      </c>
      <c r="T17" s="88" t="s">
        <v>355</v>
      </c>
      <c r="U17" s="158" t="s">
        <v>351</v>
      </c>
      <c r="V17" s="159"/>
    </row>
    <row r="18" spans="1:22" ht="17.399999999999999" x14ac:dyDescent="0.4">
      <c r="A18" s="82">
        <v>125</v>
      </c>
      <c r="B18" s="83">
        <v>380</v>
      </c>
      <c r="C18" s="84">
        <f t="shared" si="0"/>
        <v>235</v>
      </c>
      <c r="D18" s="84">
        <f t="shared" si="1"/>
        <v>500</v>
      </c>
      <c r="E18" s="84">
        <f t="shared" si="2"/>
        <v>250</v>
      </c>
      <c r="F18" s="85">
        <f t="shared" si="3"/>
        <v>72.38</v>
      </c>
      <c r="G18" s="86">
        <f t="shared" si="4"/>
        <v>1.6785714285714286</v>
      </c>
      <c r="H18" s="83">
        <v>70</v>
      </c>
      <c r="I18" s="83">
        <v>2</v>
      </c>
      <c r="J18" s="83">
        <f t="shared" si="5"/>
        <v>13</v>
      </c>
      <c r="K18" s="83">
        <v>16</v>
      </c>
      <c r="L18" s="83">
        <v>250</v>
      </c>
      <c r="M18" s="83" t="s">
        <v>353</v>
      </c>
      <c r="N18" s="83" t="s">
        <v>354</v>
      </c>
      <c r="O18" s="87">
        <f t="shared" si="6"/>
        <v>293.75</v>
      </c>
      <c r="P18" s="83" t="s">
        <v>355</v>
      </c>
      <c r="Q18" s="83" t="s">
        <v>348</v>
      </c>
      <c r="R18" s="90" t="s">
        <v>336</v>
      </c>
      <c r="S18" s="88" t="s">
        <v>359</v>
      </c>
      <c r="T18" s="88" t="s">
        <v>355</v>
      </c>
      <c r="U18" s="158" t="s">
        <v>351</v>
      </c>
      <c r="V18" s="159"/>
    </row>
    <row r="19" spans="1:22" ht="17.399999999999999" x14ac:dyDescent="0.4">
      <c r="A19" s="82">
        <v>125</v>
      </c>
      <c r="B19" s="83">
        <v>440</v>
      </c>
      <c r="C19" s="84">
        <f t="shared" si="0"/>
        <v>203</v>
      </c>
      <c r="D19" s="84">
        <f t="shared" si="1"/>
        <v>579</v>
      </c>
      <c r="E19" s="84">
        <f t="shared" si="2"/>
        <v>216</v>
      </c>
      <c r="F19" s="85">
        <f t="shared" si="3"/>
        <v>62.524000000000001</v>
      </c>
      <c r="G19" s="86">
        <f t="shared" si="4"/>
        <v>1.45</v>
      </c>
      <c r="H19" s="83">
        <v>70</v>
      </c>
      <c r="I19" s="83">
        <v>2</v>
      </c>
      <c r="J19" s="83">
        <f t="shared" si="5"/>
        <v>13</v>
      </c>
      <c r="K19" s="83">
        <v>16</v>
      </c>
      <c r="L19" s="83">
        <v>250</v>
      </c>
      <c r="M19" s="83" t="s">
        <v>360</v>
      </c>
      <c r="N19" s="83" t="s">
        <v>357</v>
      </c>
      <c r="O19" s="87">
        <f t="shared" si="6"/>
        <v>253.75</v>
      </c>
      <c r="P19" s="83" t="s">
        <v>355</v>
      </c>
      <c r="Q19" s="83" t="s">
        <v>348</v>
      </c>
      <c r="R19" s="90" t="s">
        <v>336</v>
      </c>
      <c r="S19" s="88" t="s">
        <v>359</v>
      </c>
      <c r="T19" s="88" t="s">
        <v>355</v>
      </c>
      <c r="U19" s="158" t="s">
        <v>351</v>
      </c>
      <c r="V19" s="159"/>
    </row>
    <row r="20" spans="1:22" ht="17.399999999999999" x14ac:dyDescent="0.4">
      <c r="A20" s="82">
        <v>150</v>
      </c>
      <c r="B20" s="83">
        <v>380</v>
      </c>
      <c r="C20" s="84">
        <f t="shared" si="0"/>
        <v>282</v>
      </c>
      <c r="D20" s="84">
        <f t="shared" si="1"/>
        <v>500</v>
      </c>
      <c r="E20" s="84">
        <f t="shared" si="2"/>
        <v>300</v>
      </c>
      <c r="F20" s="85">
        <f t="shared" si="3"/>
        <v>86.855999999999995</v>
      </c>
      <c r="G20" s="86">
        <f t="shared" si="4"/>
        <v>2.0142857142857142</v>
      </c>
      <c r="H20" s="83">
        <v>70</v>
      </c>
      <c r="I20" s="83">
        <v>2</v>
      </c>
      <c r="J20" s="83">
        <f t="shared" si="5"/>
        <v>15.6</v>
      </c>
      <c r="K20" s="83">
        <v>25</v>
      </c>
      <c r="L20" s="83">
        <v>300</v>
      </c>
      <c r="M20" s="83" t="s">
        <v>353</v>
      </c>
      <c r="N20" s="83" t="s">
        <v>354</v>
      </c>
      <c r="O20" s="87">
        <f t="shared" si="6"/>
        <v>352.5</v>
      </c>
      <c r="P20" s="83" t="s">
        <v>361</v>
      </c>
      <c r="Q20" s="83" t="s">
        <v>348</v>
      </c>
      <c r="R20" s="90" t="s">
        <v>336</v>
      </c>
      <c r="S20" s="88" t="s">
        <v>359</v>
      </c>
      <c r="T20" s="88" t="s">
        <v>361</v>
      </c>
      <c r="U20" s="158" t="s">
        <v>351</v>
      </c>
      <c r="V20" s="159"/>
    </row>
    <row r="21" spans="1:22" ht="17.399999999999999" x14ac:dyDescent="0.4">
      <c r="A21" s="82">
        <v>150</v>
      </c>
      <c r="B21" s="83">
        <v>440</v>
      </c>
      <c r="C21" s="84">
        <f t="shared" si="0"/>
        <v>243</v>
      </c>
      <c r="D21" s="84">
        <f t="shared" si="1"/>
        <v>579</v>
      </c>
      <c r="E21" s="84">
        <f t="shared" si="2"/>
        <v>260</v>
      </c>
      <c r="F21" s="85">
        <f t="shared" si="3"/>
        <v>74.843999999999994</v>
      </c>
      <c r="G21" s="86">
        <f t="shared" si="4"/>
        <v>1.7357142857142858</v>
      </c>
      <c r="H21" s="83">
        <v>70</v>
      </c>
      <c r="I21" s="83">
        <v>2</v>
      </c>
      <c r="J21" s="83">
        <f t="shared" si="5"/>
        <v>15.6</v>
      </c>
      <c r="K21" s="83">
        <v>25</v>
      </c>
      <c r="L21" s="83">
        <v>300</v>
      </c>
      <c r="M21" s="83" t="s">
        <v>353</v>
      </c>
      <c r="N21" s="83" t="s">
        <v>354</v>
      </c>
      <c r="O21" s="87">
        <f t="shared" si="6"/>
        <v>303.75</v>
      </c>
      <c r="P21" s="83" t="s">
        <v>355</v>
      </c>
      <c r="Q21" s="83" t="s">
        <v>348</v>
      </c>
      <c r="R21" s="90" t="s">
        <v>336</v>
      </c>
      <c r="S21" s="88" t="s">
        <v>359</v>
      </c>
      <c r="T21" s="88" t="s">
        <v>361</v>
      </c>
      <c r="U21" s="158" t="s">
        <v>351</v>
      </c>
      <c r="V21" s="159"/>
    </row>
    <row r="22" spans="1:22" ht="17.399999999999999" x14ac:dyDescent="0.4">
      <c r="A22" s="82">
        <v>200</v>
      </c>
      <c r="B22" s="83">
        <v>380</v>
      </c>
      <c r="C22" s="84">
        <f t="shared" si="0"/>
        <v>376</v>
      </c>
      <c r="D22" s="84">
        <f t="shared" si="1"/>
        <v>500</v>
      </c>
      <c r="E22" s="84">
        <f t="shared" si="2"/>
        <v>400</v>
      </c>
      <c r="F22" s="85">
        <f t="shared" si="3"/>
        <v>115.80800000000001</v>
      </c>
      <c r="G22" s="86">
        <f t="shared" si="4"/>
        <v>1.9789473684210526</v>
      </c>
      <c r="H22" s="83">
        <v>95</v>
      </c>
      <c r="I22" s="83">
        <v>2</v>
      </c>
      <c r="J22" s="83">
        <f t="shared" si="5"/>
        <v>20.8</v>
      </c>
      <c r="K22" s="83">
        <v>25</v>
      </c>
      <c r="L22" s="83">
        <v>400</v>
      </c>
      <c r="M22" s="83" t="s">
        <v>362</v>
      </c>
      <c r="N22" s="83" t="s">
        <v>354</v>
      </c>
      <c r="O22" s="87">
        <f t="shared" si="6"/>
        <v>470</v>
      </c>
      <c r="P22" s="83" t="s">
        <v>363</v>
      </c>
      <c r="Q22" s="83" t="s">
        <v>364</v>
      </c>
      <c r="R22" s="90" t="s">
        <v>336</v>
      </c>
      <c r="S22" s="88" t="s">
        <v>359</v>
      </c>
      <c r="T22" s="88" t="s">
        <v>363</v>
      </c>
      <c r="U22" s="158" t="s">
        <v>351</v>
      </c>
      <c r="V22" s="159"/>
    </row>
    <row r="23" spans="1:22" ht="17.399999999999999" x14ac:dyDescent="0.4">
      <c r="A23" s="82">
        <v>200</v>
      </c>
      <c r="B23" s="83">
        <v>440</v>
      </c>
      <c r="C23" s="84">
        <f t="shared" si="0"/>
        <v>324</v>
      </c>
      <c r="D23" s="84">
        <f t="shared" si="1"/>
        <v>579</v>
      </c>
      <c r="E23" s="84">
        <f t="shared" si="2"/>
        <v>346</v>
      </c>
      <c r="F23" s="85">
        <f t="shared" si="3"/>
        <v>99.792000000000002</v>
      </c>
      <c r="G23" s="86">
        <f t="shared" si="4"/>
        <v>1.7052631578947368</v>
      </c>
      <c r="H23" s="83">
        <v>95</v>
      </c>
      <c r="I23" s="83">
        <v>2</v>
      </c>
      <c r="J23" s="83">
        <f t="shared" si="5"/>
        <v>20.8</v>
      </c>
      <c r="K23" s="83">
        <v>25</v>
      </c>
      <c r="L23" s="83">
        <v>400</v>
      </c>
      <c r="M23" s="83" t="s">
        <v>362</v>
      </c>
      <c r="N23" s="83" t="s">
        <v>354</v>
      </c>
      <c r="O23" s="87">
        <f t="shared" si="6"/>
        <v>405</v>
      </c>
      <c r="P23" s="83" t="s">
        <v>361</v>
      </c>
      <c r="Q23" s="83" t="s">
        <v>364</v>
      </c>
      <c r="R23" s="90" t="s">
        <v>336</v>
      </c>
      <c r="S23" s="88" t="s">
        <v>359</v>
      </c>
      <c r="T23" s="88" t="s">
        <v>363</v>
      </c>
      <c r="U23" s="158" t="s">
        <v>351</v>
      </c>
      <c r="V23" s="159"/>
    </row>
    <row r="24" spans="1:22" ht="17.399999999999999" x14ac:dyDescent="0.4">
      <c r="A24" s="82">
        <v>250</v>
      </c>
      <c r="B24" s="83">
        <v>380</v>
      </c>
      <c r="C24" s="84">
        <f t="shared" si="0"/>
        <v>469</v>
      </c>
      <c r="D24" s="84">
        <f t="shared" si="1"/>
        <v>500</v>
      </c>
      <c r="E24" s="84">
        <f t="shared" si="2"/>
        <v>500</v>
      </c>
      <c r="F24" s="85">
        <f t="shared" si="3"/>
        <v>144.452</v>
      </c>
      <c r="G24" s="86">
        <f t="shared" si="4"/>
        <v>1.9541666666666666</v>
      </c>
      <c r="H24" s="83">
        <v>120</v>
      </c>
      <c r="I24" s="83">
        <v>2</v>
      </c>
      <c r="J24" s="83">
        <f t="shared" si="5"/>
        <v>26</v>
      </c>
      <c r="K24" s="83">
        <v>35</v>
      </c>
      <c r="L24" s="83">
        <v>500</v>
      </c>
      <c r="M24" s="83" t="s">
        <v>365</v>
      </c>
      <c r="N24" s="83" t="s">
        <v>366</v>
      </c>
      <c r="O24" s="87">
        <f t="shared" si="6"/>
        <v>586.25</v>
      </c>
      <c r="P24" s="83" t="s">
        <v>367</v>
      </c>
      <c r="Q24" s="83" t="s">
        <v>364</v>
      </c>
      <c r="R24" s="90" t="s">
        <v>336</v>
      </c>
      <c r="S24" s="88" t="s">
        <v>368</v>
      </c>
      <c r="T24" s="88" t="s">
        <v>367</v>
      </c>
      <c r="U24" s="158" t="s">
        <v>351</v>
      </c>
      <c r="V24" s="159"/>
    </row>
    <row r="25" spans="1:22" ht="17.399999999999999" x14ac:dyDescent="0.4">
      <c r="A25" s="82">
        <v>250</v>
      </c>
      <c r="B25" s="83">
        <v>440</v>
      </c>
      <c r="C25" s="84">
        <f t="shared" si="0"/>
        <v>405</v>
      </c>
      <c r="D25" s="84">
        <f t="shared" si="1"/>
        <v>579</v>
      </c>
      <c r="E25" s="84">
        <f t="shared" si="2"/>
        <v>432</v>
      </c>
      <c r="F25" s="85">
        <f t="shared" si="3"/>
        <v>124.74</v>
      </c>
      <c r="G25" s="86">
        <f t="shared" si="4"/>
        <v>1.6875</v>
      </c>
      <c r="H25" s="83">
        <v>120</v>
      </c>
      <c r="I25" s="83">
        <v>2</v>
      </c>
      <c r="J25" s="83">
        <f t="shared" si="5"/>
        <v>26</v>
      </c>
      <c r="K25" s="83">
        <v>35</v>
      </c>
      <c r="L25" s="83">
        <v>500</v>
      </c>
      <c r="M25" s="83" t="s">
        <v>362</v>
      </c>
      <c r="N25" s="83" t="s">
        <v>369</v>
      </c>
      <c r="O25" s="87">
        <f t="shared" si="6"/>
        <v>506.25</v>
      </c>
      <c r="P25" s="83" t="s">
        <v>363</v>
      </c>
      <c r="Q25" s="83" t="s">
        <v>364</v>
      </c>
      <c r="R25" s="90" t="s">
        <v>336</v>
      </c>
      <c r="S25" s="88" t="s">
        <v>368</v>
      </c>
      <c r="T25" s="88" t="s">
        <v>367</v>
      </c>
      <c r="U25" s="158" t="s">
        <v>351</v>
      </c>
      <c r="V25" s="159"/>
    </row>
    <row r="26" spans="1:22" ht="17.399999999999999" x14ac:dyDescent="0.4">
      <c r="A26" s="82">
        <v>300</v>
      </c>
      <c r="B26" s="83">
        <v>380</v>
      </c>
      <c r="C26" s="84">
        <f t="shared" si="0"/>
        <v>563</v>
      </c>
      <c r="D26" s="84">
        <f t="shared" si="1"/>
        <v>500</v>
      </c>
      <c r="E26" s="84">
        <f t="shared" si="2"/>
        <v>600</v>
      </c>
      <c r="F26" s="85">
        <f t="shared" si="3"/>
        <v>173.404</v>
      </c>
      <c r="G26" s="86">
        <f t="shared" si="4"/>
        <v>1.8766666666666667</v>
      </c>
      <c r="H26" s="83">
        <v>150</v>
      </c>
      <c r="I26" s="83">
        <v>2</v>
      </c>
      <c r="J26" s="83">
        <f t="shared" si="5"/>
        <v>32.76</v>
      </c>
      <c r="K26" s="83">
        <v>35</v>
      </c>
      <c r="L26" s="83">
        <v>630</v>
      </c>
      <c r="M26" s="83" t="s">
        <v>370</v>
      </c>
      <c r="N26" s="83" t="s">
        <v>366</v>
      </c>
      <c r="O26" s="87">
        <f t="shared" si="6"/>
        <v>703.75</v>
      </c>
      <c r="P26" s="83" t="s">
        <v>371</v>
      </c>
      <c r="Q26" s="83" t="s">
        <v>364</v>
      </c>
      <c r="R26" s="90" t="s">
        <v>336</v>
      </c>
      <c r="S26" s="88" t="s">
        <v>368</v>
      </c>
      <c r="T26" s="88" t="s">
        <v>371</v>
      </c>
      <c r="U26" s="158" t="s">
        <v>351</v>
      </c>
      <c r="V26" s="159"/>
    </row>
    <row r="27" spans="1:22" ht="17.399999999999999" x14ac:dyDescent="0.4">
      <c r="A27" s="82">
        <v>300</v>
      </c>
      <c r="B27" s="83">
        <v>440</v>
      </c>
      <c r="C27" s="84">
        <f t="shared" si="0"/>
        <v>486</v>
      </c>
      <c r="D27" s="84">
        <f t="shared" si="1"/>
        <v>579</v>
      </c>
      <c r="E27" s="84">
        <f t="shared" si="2"/>
        <v>519</v>
      </c>
      <c r="F27" s="85">
        <f t="shared" si="3"/>
        <v>149.68799999999999</v>
      </c>
      <c r="G27" s="86">
        <f t="shared" si="4"/>
        <v>1.62</v>
      </c>
      <c r="H27" s="83">
        <v>150</v>
      </c>
      <c r="I27" s="83">
        <v>2</v>
      </c>
      <c r="J27" s="83">
        <f t="shared" si="5"/>
        <v>32.76</v>
      </c>
      <c r="K27" s="83">
        <v>35</v>
      </c>
      <c r="L27" s="83">
        <v>630</v>
      </c>
      <c r="M27" s="83" t="s">
        <v>370</v>
      </c>
      <c r="N27" s="83" t="s">
        <v>366</v>
      </c>
      <c r="O27" s="87">
        <f t="shared" si="6"/>
        <v>607.5</v>
      </c>
      <c r="P27" s="83" t="s">
        <v>367</v>
      </c>
      <c r="Q27" s="83" t="s">
        <v>364</v>
      </c>
      <c r="R27" s="90" t="s">
        <v>336</v>
      </c>
      <c r="S27" s="88" t="s">
        <v>368</v>
      </c>
      <c r="T27" s="88" t="s">
        <v>371</v>
      </c>
      <c r="U27" s="158" t="s">
        <v>351</v>
      </c>
      <c r="V27" s="159"/>
    </row>
    <row r="28" spans="1:22" ht="17.399999999999999" x14ac:dyDescent="0.4">
      <c r="A28" s="82">
        <v>350</v>
      </c>
      <c r="B28" s="83">
        <v>440</v>
      </c>
      <c r="C28" s="84">
        <f t="shared" si="0"/>
        <v>567</v>
      </c>
      <c r="D28" s="84">
        <f t="shared" si="1"/>
        <v>579</v>
      </c>
      <c r="E28" s="84">
        <f t="shared" si="2"/>
        <v>605</v>
      </c>
      <c r="F28" s="85">
        <f t="shared" si="3"/>
        <v>174.636</v>
      </c>
      <c r="G28" s="86">
        <f t="shared" si="4"/>
        <v>1.89</v>
      </c>
      <c r="H28" s="83">
        <v>150</v>
      </c>
      <c r="I28" s="83">
        <v>2</v>
      </c>
      <c r="J28" s="83">
        <f t="shared" si="5"/>
        <v>36.4</v>
      </c>
      <c r="K28" s="83">
        <v>50</v>
      </c>
      <c r="L28" s="83">
        <v>700</v>
      </c>
      <c r="M28" s="83" t="s">
        <v>372</v>
      </c>
      <c r="N28" s="83" t="s">
        <v>373</v>
      </c>
      <c r="O28" s="87">
        <f t="shared" si="6"/>
        <v>708.75</v>
      </c>
      <c r="P28" s="83" t="s">
        <v>371</v>
      </c>
      <c r="Q28" s="83" t="s">
        <v>364</v>
      </c>
      <c r="R28" s="90" t="s">
        <v>336</v>
      </c>
      <c r="S28" s="88" t="s">
        <v>368</v>
      </c>
      <c r="T28" s="88" t="s">
        <v>371</v>
      </c>
      <c r="U28" s="158" t="s">
        <v>351</v>
      </c>
      <c r="V28" s="159"/>
    </row>
    <row r="29" spans="1:22" ht="17.399999999999999" x14ac:dyDescent="0.4">
      <c r="A29" s="82">
        <v>400</v>
      </c>
      <c r="B29" s="83">
        <v>440</v>
      </c>
      <c r="C29" s="84">
        <f t="shared" si="0"/>
        <v>648</v>
      </c>
      <c r="D29" s="84">
        <f t="shared" si="1"/>
        <v>579</v>
      </c>
      <c r="E29" s="84">
        <f t="shared" si="2"/>
        <v>691</v>
      </c>
      <c r="F29" s="85">
        <f t="shared" si="3"/>
        <v>199.584</v>
      </c>
      <c r="G29" s="86">
        <f t="shared" si="4"/>
        <v>2.16</v>
      </c>
      <c r="H29" s="83">
        <v>150</v>
      </c>
      <c r="I29" s="83">
        <v>2</v>
      </c>
      <c r="J29" s="83">
        <f t="shared" si="5"/>
        <v>41.6</v>
      </c>
      <c r="K29" s="83">
        <v>50</v>
      </c>
      <c r="L29" s="83">
        <v>800</v>
      </c>
      <c r="M29" s="83" t="s">
        <v>372</v>
      </c>
      <c r="N29" s="83" t="s">
        <v>373</v>
      </c>
      <c r="O29" s="87">
        <f t="shared" si="6"/>
        <v>810</v>
      </c>
      <c r="P29" s="83" t="s">
        <v>371</v>
      </c>
      <c r="Q29" s="83" t="s">
        <v>374</v>
      </c>
      <c r="R29" s="90" t="s">
        <v>336</v>
      </c>
      <c r="S29" s="88" t="s">
        <v>368</v>
      </c>
      <c r="T29" s="88" t="s">
        <v>375</v>
      </c>
      <c r="U29" s="158" t="s">
        <v>351</v>
      </c>
      <c r="V29" s="159"/>
    </row>
    <row r="30" spans="1:22" ht="17.399999999999999" x14ac:dyDescent="0.4">
      <c r="A30" s="82">
        <v>450</v>
      </c>
      <c r="B30" s="83">
        <v>440</v>
      </c>
      <c r="C30" s="84">
        <f t="shared" si="0"/>
        <v>729</v>
      </c>
      <c r="D30" s="84">
        <f t="shared" si="1"/>
        <v>579</v>
      </c>
      <c r="E30" s="84">
        <f t="shared" si="2"/>
        <v>778</v>
      </c>
      <c r="F30" s="85"/>
      <c r="G30" s="86">
        <f t="shared" si="4"/>
        <v>1.9702702702702704</v>
      </c>
      <c r="H30" s="83">
        <v>185</v>
      </c>
      <c r="I30" s="83">
        <v>2</v>
      </c>
      <c r="J30" s="83">
        <f t="shared" si="5"/>
        <v>41.6</v>
      </c>
      <c r="K30" s="83">
        <v>50</v>
      </c>
      <c r="L30" s="83">
        <v>800</v>
      </c>
      <c r="M30" s="83" t="s">
        <v>372</v>
      </c>
      <c r="N30" s="83" t="s">
        <v>376</v>
      </c>
      <c r="O30" s="87">
        <f t="shared" si="6"/>
        <v>911.25</v>
      </c>
      <c r="P30" s="83" t="s">
        <v>377</v>
      </c>
      <c r="Q30" s="83" t="s">
        <v>374</v>
      </c>
      <c r="R30" s="90" t="s">
        <v>336</v>
      </c>
      <c r="S30" s="88" t="s">
        <v>368</v>
      </c>
      <c r="T30" s="88" t="s">
        <v>375</v>
      </c>
      <c r="U30" s="158" t="s">
        <v>351</v>
      </c>
      <c r="V30" s="159"/>
    </row>
    <row r="31" spans="1:22" ht="17.399999999999999" x14ac:dyDescent="0.4">
      <c r="A31" s="82">
        <v>500</v>
      </c>
      <c r="B31" s="83">
        <v>440</v>
      </c>
      <c r="C31" s="84">
        <f t="shared" si="0"/>
        <v>810</v>
      </c>
      <c r="D31" s="84">
        <f t="shared" si="1"/>
        <v>579</v>
      </c>
      <c r="E31" s="84">
        <f t="shared" si="2"/>
        <v>864</v>
      </c>
      <c r="F31" s="85">
        <f t="shared" si="3"/>
        <v>249.48</v>
      </c>
      <c r="G31" s="86">
        <f t="shared" si="4"/>
        <v>2.189189189189189</v>
      </c>
      <c r="H31" s="83">
        <v>185</v>
      </c>
      <c r="I31" s="83">
        <v>2</v>
      </c>
      <c r="J31" s="83">
        <f t="shared" si="5"/>
        <v>52</v>
      </c>
      <c r="K31" s="83">
        <v>70</v>
      </c>
      <c r="L31" s="83">
        <v>1000</v>
      </c>
      <c r="M31" s="83" t="s">
        <v>378</v>
      </c>
      <c r="N31" s="83" t="s">
        <v>379</v>
      </c>
      <c r="O31" s="87">
        <f t="shared" si="6"/>
        <v>1012.5</v>
      </c>
      <c r="P31" s="83" t="s">
        <v>375</v>
      </c>
      <c r="Q31" s="83" t="s">
        <v>374</v>
      </c>
      <c r="R31" s="90" t="s">
        <v>336</v>
      </c>
      <c r="S31" s="88" t="s">
        <v>380</v>
      </c>
      <c r="T31" s="88" t="s">
        <v>381</v>
      </c>
      <c r="U31" s="158" t="s">
        <v>351</v>
      </c>
      <c r="V31" s="159"/>
    </row>
    <row r="32" spans="1:22" ht="17.399999999999999" x14ac:dyDescent="0.4">
      <c r="A32" s="82">
        <v>600</v>
      </c>
      <c r="B32" s="83">
        <v>460</v>
      </c>
      <c r="C32" s="84">
        <f t="shared" si="0"/>
        <v>930</v>
      </c>
      <c r="D32" s="84">
        <f t="shared" si="1"/>
        <v>606</v>
      </c>
      <c r="E32" s="84">
        <f t="shared" si="2"/>
        <v>991</v>
      </c>
      <c r="F32" s="85">
        <f t="shared" si="3"/>
        <v>286.44</v>
      </c>
      <c r="G32" s="86">
        <f t="shared" si="4"/>
        <v>1.6756756756756757</v>
      </c>
      <c r="H32" s="83">
        <v>185</v>
      </c>
      <c r="I32" s="83">
        <v>3</v>
      </c>
      <c r="J32" s="83">
        <f t="shared" si="5"/>
        <v>62.4</v>
      </c>
      <c r="K32" s="83">
        <v>70</v>
      </c>
      <c r="L32" s="83">
        <v>1200</v>
      </c>
      <c r="M32" s="83" t="s">
        <v>382</v>
      </c>
      <c r="N32" s="83" t="s">
        <v>379</v>
      </c>
      <c r="O32" s="87">
        <f t="shared" si="6"/>
        <v>1162.5</v>
      </c>
      <c r="P32" s="83" t="s">
        <v>383</v>
      </c>
      <c r="Q32" s="83" t="s">
        <v>374</v>
      </c>
      <c r="R32" s="90" t="s">
        <v>336</v>
      </c>
      <c r="S32" s="88" t="s">
        <v>384</v>
      </c>
      <c r="T32" s="88" t="s">
        <v>381</v>
      </c>
      <c r="U32" s="83" t="s">
        <v>385</v>
      </c>
      <c r="V32" s="91" t="s">
        <v>386</v>
      </c>
    </row>
    <row r="33" spans="1:22" ht="17.399999999999999" x14ac:dyDescent="0.4">
      <c r="A33" s="82">
        <v>700</v>
      </c>
      <c r="B33" s="83">
        <v>460</v>
      </c>
      <c r="C33" s="84">
        <f t="shared" si="0"/>
        <v>1085</v>
      </c>
      <c r="D33" s="84">
        <f t="shared" si="1"/>
        <v>606</v>
      </c>
      <c r="E33" s="84">
        <f t="shared" si="2"/>
        <v>1156</v>
      </c>
      <c r="F33" s="85">
        <f t="shared" si="3"/>
        <v>334.18</v>
      </c>
      <c r="G33" s="86">
        <f t="shared" si="4"/>
        <v>1.4662162162162162</v>
      </c>
      <c r="H33" s="83">
        <v>185</v>
      </c>
      <c r="I33" s="83">
        <v>4</v>
      </c>
      <c r="J33" s="83">
        <f t="shared" si="5"/>
        <v>65</v>
      </c>
      <c r="K33" s="83">
        <v>70</v>
      </c>
      <c r="L33" s="83">
        <v>1250</v>
      </c>
      <c r="M33" s="83" t="s">
        <v>387</v>
      </c>
      <c r="N33" s="83" t="s">
        <v>388</v>
      </c>
      <c r="O33" s="87">
        <f t="shared" si="6"/>
        <v>1356.25</v>
      </c>
      <c r="P33" s="90" t="s">
        <v>389</v>
      </c>
      <c r="Q33" s="83" t="s">
        <v>390</v>
      </c>
      <c r="R33" s="90" t="s">
        <v>389</v>
      </c>
      <c r="S33" s="88" t="s">
        <v>391</v>
      </c>
      <c r="T33" s="88" t="s">
        <v>392</v>
      </c>
      <c r="U33" s="83" t="s">
        <v>393</v>
      </c>
      <c r="V33" s="91" t="s">
        <v>394</v>
      </c>
    </row>
    <row r="34" spans="1:22" ht="17.399999999999999" x14ac:dyDescent="0.4">
      <c r="A34" s="82">
        <v>750</v>
      </c>
      <c r="B34" s="83">
        <v>460</v>
      </c>
      <c r="C34" s="84">
        <f t="shared" si="0"/>
        <v>1163</v>
      </c>
      <c r="D34" s="84">
        <f t="shared" si="1"/>
        <v>606</v>
      </c>
      <c r="E34" s="84">
        <f t="shared" si="2"/>
        <v>1238</v>
      </c>
      <c r="F34" s="85">
        <f t="shared" si="3"/>
        <v>358.20400000000001</v>
      </c>
      <c r="G34" s="86">
        <f t="shared" si="4"/>
        <v>1.5716216216216217</v>
      </c>
      <c r="H34" s="83">
        <v>185</v>
      </c>
      <c r="I34" s="83">
        <v>4</v>
      </c>
      <c r="J34" s="83">
        <f t="shared" si="5"/>
        <v>65</v>
      </c>
      <c r="K34" s="83">
        <v>70</v>
      </c>
      <c r="L34" s="83">
        <v>1250</v>
      </c>
      <c r="M34" s="83" t="s">
        <v>387</v>
      </c>
      <c r="N34" s="83" t="s">
        <v>388</v>
      </c>
      <c r="O34" s="87">
        <f t="shared" si="6"/>
        <v>1453.75</v>
      </c>
      <c r="P34" s="90" t="s">
        <v>389</v>
      </c>
      <c r="Q34" s="83" t="s">
        <v>390</v>
      </c>
      <c r="R34" s="90" t="s">
        <v>389</v>
      </c>
      <c r="S34" s="88" t="s">
        <v>391</v>
      </c>
      <c r="T34" s="88" t="s">
        <v>395</v>
      </c>
      <c r="U34" s="83" t="s">
        <v>393</v>
      </c>
      <c r="V34" s="91" t="s">
        <v>394</v>
      </c>
    </row>
    <row r="35" spans="1:22" ht="17.399999999999999" x14ac:dyDescent="0.4">
      <c r="A35" s="82">
        <v>800</v>
      </c>
      <c r="B35" s="83">
        <v>460</v>
      </c>
      <c r="C35" s="84">
        <f t="shared" si="0"/>
        <v>1240</v>
      </c>
      <c r="D35" s="84">
        <f t="shared" si="1"/>
        <v>606</v>
      </c>
      <c r="E35" s="84">
        <f t="shared" si="2"/>
        <v>1321</v>
      </c>
      <c r="F35" s="85">
        <f t="shared" si="3"/>
        <v>381.92</v>
      </c>
      <c r="G35" s="86">
        <f t="shared" si="4"/>
        <v>1.6756756756756757</v>
      </c>
      <c r="H35" s="83">
        <v>185</v>
      </c>
      <c r="I35" s="83">
        <v>4</v>
      </c>
      <c r="J35" s="83">
        <f t="shared" si="5"/>
        <v>83.2</v>
      </c>
      <c r="K35" s="83">
        <v>95</v>
      </c>
      <c r="L35" s="83">
        <v>1600</v>
      </c>
      <c r="M35" s="83" t="s">
        <v>396</v>
      </c>
      <c r="N35" s="83" t="s">
        <v>397</v>
      </c>
      <c r="O35" s="87">
        <f t="shared" si="6"/>
        <v>1550</v>
      </c>
      <c r="P35" s="90" t="s">
        <v>389</v>
      </c>
      <c r="Q35" s="83" t="s">
        <v>390</v>
      </c>
      <c r="R35" s="90" t="s">
        <v>389</v>
      </c>
      <c r="S35" s="88" t="s">
        <v>391</v>
      </c>
      <c r="T35" s="88" t="s">
        <v>395</v>
      </c>
      <c r="U35" s="83" t="s">
        <v>393</v>
      </c>
      <c r="V35" s="91" t="s">
        <v>394</v>
      </c>
    </row>
    <row r="36" spans="1:22" ht="17.399999999999999" x14ac:dyDescent="0.4">
      <c r="A36" s="82">
        <v>1000</v>
      </c>
      <c r="B36" s="83">
        <v>460</v>
      </c>
      <c r="C36" s="84">
        <f t="shared" si="0"/>
        <v>1550</v>
      </c>
      <c r="D36" s="84">
        <f t="shared" si="1"/>
        <v>606</v>
      </c>
      <c r="E36" s="84">
        <f t="shared" si="2"/>
        <v>1651</v>
      </c>
      <c r="F36" s="85">
        <f t="shared" si="3"/>
        <v>477.4</v>
      </c>
      <c r="G36" s="86">
        <f t="shared" si="4"/>
        <v>1.6145833333333333</v>
      </c>
      <c r="H36" s="83">
        <v>240</v>
      </c>
      <c r="I36" s="83">
        <v>4</v>
      </c>
      <c r="J36" s="83">
        <f t="shared" si="5"/>
        <v>104</v>
      </c>
      <c r="K36" s="83">
        <v>120</v>
      </c>
      <c r="L36" s="83">
        <v>2000</v>
      </c>
      <c r="M36" s="83" t="s">
        <v>398</v>
      </c>
      <c r="N36" s="83" t="s">
        <v>399</v>
      </c>
      <c r="O36" s="87">
        <f t="shared" si="6"/>
        <v>1937.5</v>
      </c>
      <c r="P36" s="90" t="s">
        <v>389</v>
      </c>
      <c r="Q36" s="83" t="s">
        <v>400</v>
      </c>
      <c r="R36" s="83" t="s">
        <v>401</v>
      </c>
      <c r="S36" s="88" t="s">
        <v>391</v>
      </c>
      <c r="T36" s="88" t="s">
        <v>402</v>
      </c>
      <c r="U36" s="83" t="s">
        <v>393</v>
      </c>
      <c r="V36" s="91" t="s">
        <v>394</v>
      </c>
    </row>
    <row r="37" spans="1:22" ht="17.399999999999999" x14ac:dyDescent="0.4">
      <c r="A37" s="82">
        <v>1200</v>
      </c>
      <c r="B37" s="83">
        <v>460</v>
      </c>
      <c r="C37" s="84">
        <f t="shared" si="0"/>
        <v>1860</v>
      </c>
      <c r="D37" s="84">
        <f t="shared" si="1"/>
        <v>606</v>
      </c>
      <c r="E37" s="84">
        <f t="shared" si="2"/>
        <v>1981</v>
      </c>
      <c r="F37" s="85">
        <f t="shared" si="3"/>
        <v>572.88</v>
      </c>
      <c r="G37" s="86">
        <f t="shared" si="4"/>
        <v>1.55</v>
      </c>
      <c r="H37" s="83">
        <v>300</v>
      </c>
      <c r="I37" s="83">
        <v>4</v>
      </c>
      <c r="J37" s="83">
        <f t="shared" si="5"/>
        <v>130</v>
      </c>
      <c r="K37" s="83">
        <v>150</v>
      </c>
      <c r="L37" s="83">
        <v>2500</v>
      </c>
      <c r="M37" s="83" t="s">
        <v>403</v>
      </c>
      <c r="N37" s="83" t="s">
        <v>404</v>
      </c>
      <c r="O37" s="87">
        <f t="shared" si="6"/>
        <v>2325</v>
      </c>
      <c r="P37" s="90" t="s">
        <v>389</v>
      </c>
      <c r="Q37" s="83"/>
      <c r="R37" s="83" t="s">
        <v>401</v>
      </c>
      <c r="S37" s="88" t="s">
        <v>391</v>
      </c>
      <c r="T37" s="88" t="s">
        <v>402</v>
      </c>
      <c r="U37" s="83" t="s">
        <v>393</v>
      </c>
      <c r="V37" s="91" t="s">
        <v>405</v>
      </c>
    </row>
    <row r="38" spans="1:22" ht="17.399999999999999" x14ac:dyDescent="0.4">
      <c r="A38" s="82">
        <v>1250</v>
      </c>
      <c r="B38" s="83">
        <v>460</v>
      </c>
      <c r="C38" s="84">
        <f t="shared" si="0"/>
        <v>1937</v>
      </c>
      <c r="D38" s="84">
        <f t="shared" si="1"/>
        <v>606</v>
      </c>
      <c r="E38" s="84">
        <f t="shared" si="2"/>
        <v>2063</v>
      </c>
      <c r="F38" s="85">
        <f t="shared" si="3"/>
        <v>596.596</v>
      </c>
      <c r="G38" s="86">
        <f t="shared" si="4"/>
        <v>1.6141666666666667</v>
      </c>
      <c r="H38" s="83">
        <v>300</v>
      </c>
      <c r="I38" s="83">
        <v>4</v>
      </c>
      <c r="J38" s="83">
        <f t="shared" si="5"/>
        <v>130</v>
      </c>
      <c r="K38" s="83">
        <v>150</v>
      </c>
      <c r="L38" s="83">
        <v>2500</v>
      </c>
      <c r="M38" s="83" t="s">
        <v>406</v>
      </c>
      <c r="N38" s="83" t="s">
        <v>407</v>
      </c>
      <c r="O38" s="87">
        <f t="shared" si="6"/>
        <v>2421.25</v>
      </c>
      <c r="P38" s="90" t="s">
        <v>408</v>
      </c>
      <c r="Q38" s="83"/>
      <c r="R38" s="83" t="s">
        <v>409</v>
      </c>
      <c r="S38" s="88" t="s">
        <v>410</v>
      </c>
      <c r="T38" s="88" t="s">
        <v>411</v>
      </c>
      <c r="U38" s="83" t="s">
        <v>412</v>
      </c>
      <c r="V38" s="91" t="s">
        <v>405</v>
      </c>
    </row>
    <row r="39" spans="1:22" ht="17.399999999999999" x14ac:dyDescent="0.4">
      <c r="A39" s="82">
        <v>1500</v>
      </c>
      <c r="B39" s="83">
        <v>460</v>
      </c>
      <c r="C39" s="84">
        <f t="shared" si="0"/>
        <v>2325</v>
      </c>
      <c r="D39" s="84">
        <f t="shared" si="1"/>
        <v>606</v>
      </c>
      <c r="E39" s="84">
        <f t="shared" si="2"/>
        <v>2476</v>
      </c>
      <c r="F39" s="85">
        <f t="shared" si="3"/>
        <v>716.1</v>
      </c>
      <c r="G39" s="86">
        <f t="shared" si="4"/>
        <v>1.55</v>
      </c>
      <c r="H39" s="83">
        <v>300</v>
      </c>
      <c r="I39" s="83">
        <v>5</v>
      </c>
      <c r="J39" s="83">
        <f t="shared" si="5"/>
        <v>130</v>
      </c>
      <c r="K39" s="83">
        <v>150</v>
      </c>
      <c r="L39" s="83">
        <v>2500</v>
      </c>
      <c r="M39" s="83" t="s">
        <v>406</v>
      </c>
      <c r="N39" s="83" t="s">
        <v>407</v>
      </c>
      <c r="O39" s="87">
        <f t="shared" si="6"/>
        <v>2906.25</v>
      </c>
      <c r="P39" s="90" t="s">
        <v>408</v>
      </c>
      <c r="Q39" s="83" t="s">
        <v>413</v>
      </c>
      <c r="R39" s="83" t="s">
        <v>409</v>
      </c>
      <c r="S39" s="88" t="s">
        <v>410</v>
      </c>
      <c r="T39" s="88" t="s">
        <v>414</v>
      </c>
      <c r="U39" s="83" t="s">
        <v>393</v>
      </c>
      <c r="V39" s="91" t="s">
        <v>415</v>
      </c>
    </row>
    <row r="40" spans="1:22" ht="17.399999999999999" x14ac:dyDescent="0.4">
      <c r="A40" s="82">
        <v>1500</v>
      </c>
      <c r="B40" s="83">
        <v>650</v>
      </c>
      <c r="C40" s="84">
        <f t="shared" si="0"/>
        <v>1645</v>
      </c>
      <c r="D40" s="84">
        <f t="shared" si="1"/>
        <v>855</v>
      </c>
      <c r="E40" s="84">
        <f t="shared" si="2"/>
        <v>1755</v>
      </c>
      <c r="F40" s="85">
        <f t="shared" si="3"/>
        <v>506.66</v>
      </c>
      <c r="G40" s="86">
        <f t="shared" si="4"/>
        <v>1.7135416666666667</v>
      </c>
      <c r="H40" s="83">
        <v>240</v>
      </c>
      <c r="I40" s="83">
        <v>4</v>
      </c>
      <c r="J40" s="83">
        <f t="shared" si="5"/>
        <v>104</v>
      </c>
      <c r="K40" s="83">
        <v>120</v>
      </c>
      <c r="L40" s="83">
        <v>2000</v>
      </c>
      <c r="M40" s="83" t="s">
        <v>398</v>
      </c>
      <c r="N40" s="83" t="s">
        <v>399</v>
      </c>
      <c r="O40" s="87">
        <f t="shared" si="6"/>
        <v>2056.25</v>
      </c>
      <c r="P40" s="90" t="s">
        <v>389</v>
      </c>
      <c r="Q40" s="83"/>
      <c r="R40" s="83" t="s">
        <v>401</v>
      </c>
      <c r="S40" s="88" t="s">
        <v>391</v>
      </c>
      <c r="T40" s="88" t="s">
        <v>402</v>
      </c>
      <c r="U40" s="83" t="s">
        <v>393</v>
      </c>
      <c r="V40" s="91" t="s">
        <v>415</v>
      </c>
    </row>
    <row r="41" spans="1:22" ht="17.399999999999999" x14ac:dyDescent="0.4">
      <c r="A41" s="82">
        <v>1600</v>
      </c>
      <c r="B41" s="83">
        <v>690</v>
      </c>
      <c r="C41" s="84">
        <f>ROUNDUP(A41/(B41*0.9)/3^0.5*1000/0.9,0)</f>
        <v>1653</v>
      </c>
      <c r="D41" s="84">
        <f>ROUNDUP(B41*2^0.5*0.93,0)</f>
        <v>908</v>
      </c>
      <c r="E41" s="84">
        <f>ROUNDUP(A41*1000/D41,0)</f>
        <v>1763</v>
      </c>
      <c r="F41" s="85">
        <f>30.8*100*C41/(1000*10)</f>
        <v>509.12400000000002</v>
      </c>
      <c r="G41" s="86">
        <f>C41/(H41*I41)</f>
        <v>1.721875</v>
      </c>
      <c r="H41" s="83">
        <v>240</v>
      </c>
      <c r="I41" s="83">
        <v>4</v>
      </c>
      <c r="J41" s="83">
        <f>L41*0.052</f>
        <v>104</v>
      </c>
      <c r="K41" s="83">
        <v>120</v>
      </c>
      <c r="L41" s="83">
        <v>2000</v>
      </c>
      <c r="M41" s="83" t="s">
        <v>398</v>
      </c>
      <c r="N41" s="83" t="s">
        <v>399</v>
      </c>
      <c r="O41" s="87">
        <f>SUM(C41*1.25)</f>
        <v>2066.25</v>
      </c>
      <c r="P41" s="90" t="s">
        <v>336</v>
      </c>
      <c r="Q41" s="83"/>
      <c r="R41" s="83" t="s">
        <v>401</v>
      </c>
      <c r="S41" s="88" t="s">
        <v>391</v>
      </c>
      <c r="T41" s="88" t="s">
        <v>402</v>
      </c>
      <c r="U41" s="83" t="s">
        <v>385</v>
      </c>
      <c r="V41" s="91" t="s">
        <v>467</v>
      </c>
    </row>
    <row r="42" spans="1:22" ht="17.399999999999999" x14ac:dyDescent="0.4">
      <c r="A42" s="82">
        <v>2000</v>
      </c>
      <c r="B42" s="83">
        <v>460</v>
      </c>
      <c r="C42" s="84">
        <f t="shared" si="0"/>
        <v>3100</v>
      </c>
      <c r="D42" s="84">
        <f t="shared" si="1"/>
        <v>606</v>
      </c>
      <c r="E42" s="84">
        <f t="shared" si="2"/>
        <v>3301</v>
      </c>
      <c r="F42" s="85">
        <f t="shared" si="3"/>
        <v>954.8</v>
      </c>
      <c r="G42" s="86">
        <f t="shared" si="4"/>
        <v>1.2916666666666667</v>
      </c>
      <c r="H42" s="83">
        <v>400</v>
      </c>
      <c r="I42" s="83">
        <v>6</v>
      </c>
      <c r="J42" s="83">
        <f t="shared" si="5"/>
        <v>166.4</v>
      </c>
      <c r="K42" s="83">
        <v>185</v>
      </c>
      <c r="L42" s="83">
        <v>3200</v>
      </c>
      <c r="M42" s="83" t="s">
        <v>416</v>
      </c>
      <c r="N42" s="83" t="s">
        <v>417</v>
      </c>
      <c r="O42" s="87">
        <f t="shared" si="6"/>
        <v>3875</v>
      </c>
      <c r="P42" s="90" t="s">
        <v>389</v>
      </c>
      <c r="Q42" s="83" t="s">
        <v>418</v>
      </c>
      <c r="R42" s="83" t="s">
        <v>419</v>
      </c>
      <c r="S42" s="88" t="s">
        <v>391</v>
      </c>
      <c r="T42" s="88" t="s">
        <v>420</v>
      </c>
      <c r="U42" s="83" t="s">
        <v>393</v>
      </c>
      <c r="V42" s="91" t="s">
        <v>421</v>
      </c>
    </row>
    <row r="43" spans="1:22" ht="17.399999999999999" x14ac:dyDescent="0.4">
      <c r="A43" s="82">
        <v>2000</v>
      </c>
      <c r="B43" s="83">
        <v>650</v>
      </c>
      <c r="C43" s="84">
        <f t="shared" si="0"/>
        <v>2194</v>
      </c>
      <c r="D43" s="84">
        <f t="shared" si="1"/>
        <v>855</v>
      </c>
      <c r="E43" s="84">
        <f t="shared" si="2"/>
        <v>2340</v>
      </c>
      <c r="F43" s="85">
        <f t="shared" si="3"/>
        <v>675.75199999999995</v>
      </c>
      <c r="G43" s="86">
        <f t="shared" si="4"/>
        <v>1.4626666666666666</v>
      </c>
      <c r="H43" s="83">
        <v>300</v>
      </c>
      <c r="I43" s="83">
        <v>5</v>
      </c>
      <c r="J43" s="83">
        <f t="shared" si="5"/>
        <v>130</v>
      </c>
      <c r="K43" s="83">
        <v>150</v>
      </c>
      <c r="L43" s="83">
        <v>2500</v>
      </c>
      <c r="M43" s="83" t="s">
        <v>403</v>
      </c>
      <c r="N43" s="83" t="s">
        <v>404</v>
      </c>
      <c r="O43" s="87">
        <f t="shared" si="6"/>
        <v>2742.5</v>
      </c>
      <c r="P43" s="90" t="s">
        <v>389</v>
      </c>
      <c r="Q43" s="83" t="s">
        <v>422</v>
      </c>
      <c r="R43" s="83" t="s">
        <v>401</v>
      </c>
      <c r="S43" s="88" t="s">
        <v>391</v>
      </c>
      <c r="T43" s="88" t="s">
        <v>414</v>
      </c>
      <c r="U43" s="83" t="s">
        <v>393</v>
      </c>
      <c r="V43" s="91" t="s">
        <v>415</v>
      </c>
    </row>
    <row r="44" spans="1:22" ht="17.399999999999999" x14ac:dyDescent="0.4">
      <c r="A44" s="82">
        <v>2500</v>
      </c>
      <c r="B44" s="83">
        <v>460</v>
      </c>
      <c r="C44" s="84">
        <f t="shared" si="0"/>
        <v>3874</v>
      </c>
      <c r="D44" s="84">
        <f t="shared" si="1"/>
        <v>606</v>
      </c>
      <c r="E44" s="84">
        <f t="shared" si="2"/>
        <v>4126</v>
      </c>
      <c r="F44" s="85">
        <f t="shared" si="3"/>
        <v>1193.192</v>
      </c>
      <c r="G44" s="86">
        <f t="shared" si="4"/>
        <v>1.6141666666666667</v>
      </c>
      <c r="H44" s="83">
        <v>400</v>
      </c>
      <c r="I44" s="83">
        <v>6</v>
      </c>
      <c r="J44" s="83">
        <f t="shared" si="5"/>
        <v>208</v>
      </c>
      <c r="K44" s="83">
        <v>240</v>
      </c>
      <c r="L44" s="83">
        <v>4000</v>
      </c>
      <c r="M44" s="83" t="s">
        <v>423</v>
      </c>
      <c r="N44" s="83" t="s">
        <v>417</v>
      </c>
      <c r="O44" s="87">
        <f t="shared" si="6"/>
        <v>4842.5</v>
      </c>
      <c r="P44" s="90" t="s">
        <v>389</v>
      </c>
      <c r="Q44" s="83" t="s">
        <v>418</v>
      </c>
      <c r="R44" s="83" t="s">
        <v>419</v>
      </c>
      <c r="S44" s="88" t="s">
        <v>391</v>
      </c>
      <c r="T44" s="88" t="s">
        <v>424</v>
      </c>
      <c r="U44" s="83" t="s">
        <v>393</v>
      </c>
      <c r="V44" s="91" t="s">
        <v>421</v>
      </c>
    </row>
    <row r="45" spans="1:22" ht="17.399999999999999" x14ac:dyDescent="0.4">
      <c r="A45" s="92">
        <v>2500</v>
      </c>
      <c r="B45" s="83">
        <v>650</v>
      </c>
      <c r="C45" s="84">
        <f t="shared" si="0"/>
        <v>2742</v>
      </c>
      <c r="D45" s="84">
        <f t="shared" si="1"/>
        <v>855</v>
      </c>
      <c r="E45" s="84">
        <f t="shared" si="2"/>
        <v>2924</v>
      </c>
      <c r="F45" s="93"/>
      <c r="G45" s="86">
        <f t="shared" si="4"/>
        <v>1.1425000000000001</v>
      </c>
      <c r="H45" s="83">
        <v>400</v>
      </c>
      <c r="I45" s="83">
        <v>6</v>
      </c>
      <c r="J45" s="83">
        <f t="shared" si="5"/>
        <v>166.4</v>
      </c>
      <c r="K45" s="83">
        <v>185</v>
      </c>
      <c r="L45" s="83">
        <v>3200</v>
      </c>
      <c r="M45" s="83" t="s">
        <v>416</v>
      </c>
      <c r="N45" s="83" t="s">
        <v>417</v>
      </c>
      <c r="O45" s="87">
        <f t="shared" si="6"/>
        <v>3427.5</v>
      </c>
      <c r="P45" s="90" t="s">
        <v>389</v>
      </c>
      <c r="Q45" s="83" t="s">
        <v>418</v>
      </c>
      <c r="R45" s="83" t="s">
        <v>419</v>
      </c>
      <c r="S45" s="88" t="s">
        <v>391</v>
      </c>
      <c r="T45" s="88" t="s">
        <v>420</v>
      </c>
      <c r="U45" s="83" t="s">
        <v>393</v>
      </c>
      <c r="V45" s="91" t="s">
        <v>421</v>
      </c>
    </row>
    <row r="46" spans="1:22" ht="17.399999999999999" x14ac:dyDescent="0.4">
      <c r="A46" s="92">
        <v>3000</v>
      </c>
      <c r="B46" s="94">
        <v>460</v>
      </c>
      <c r="C46" s="95">
        <f>ROUNDUP(A46/(B46*0.9)/3^0.5*1000/0.9,0)</f>
        <v>4649</v>
      </c>
      <c r="D46" s="95">
        <f t="shared" si="1"/>
        <v>606</v>
      </c>
      <c r="E46" s="95">
        <f t="shared" si="2"/>
        <v>4951</v>
      </c>
      <c r="F46" s="93">
        <f>30.8*100*C46/(1000*10)</f>
        <v>1431.8920000000001</v>
      </c>
      <c r="G46" s="96">
        <f t="shared" si="4"/>
        <v>1.5496666666666667</v>
      </c>
      <c r="H46" s="94">
        <v>500</v>
      </c>
      <c r="I46" s="94">
        <v>6</v>
      </c>
      <c r="J46" s="94">
        <f t="shared" si="5"/>
        <v>208</v>
      </c>
      <c r="K46" s="94">
        <v>240</v>
      </c>
      <c r="L46" s="94">
        <v>4000</v>
      </c>
      <c r="M46" s="94" t="s">
        <v>423</v>
      </c>
      <c r="N46" s="94" t="s">
        <v>417</v>
      </c>
      <c r="O46" s="97">
        <f t="shared" si="6"/>
        <v>5811.25</v>
      </c>
      <c r="P46" s="98" t="s">
        <v>389</v>
      </c>
      <c r="Q46" s="94" t="s">
        <v>418</v>
      </c>
      <c r="R46" s="94" t="s">
        <v>419</v>
      </c>
      <c r="S46" s="88" t="s">
        <v>391</v>
      </c>
      <c r="T46" s="99" t="s">
        <v>425</v>
      </c>
      <c r="U46" s="94" t="s">
        <v>412</v>
      </c>
      <c r="V46" s="100" t="s">
        <v>426</v>
      </c>
    </row>
    <row r="47" spans="1:22" ht="18" thickBot="1" x14ac:dyDescent="0.45">
      <c r="A47" s="101">
        <v>3000</v>
      </c>
      <c r="B47" s="102">
        <v>650</v>
      </c>
      <c r="C47" s="103">
        <f t="shared" si="0"/>
        <v>3290</v>
      </c>
      <c r="D47" s="103">
        <f t="shared" si="1"/>
        <v>855</v>
      </c>
      <c r="E47" s="103">
        <f t="shared" si="2"/>
        <v>3509</v>
      </c>
      <c r="F47" s="104">
        <f t="shared" si="3"/>
        <v>1013.32</v>
      </c>
      <c r="G47" s="105">
        <f t="shared" si="4"/>
        <v>1.3708333333333333</v>
      </c>
      <c r="H47" s="102">
        <v>400</v>
      </c>
      <c r="I47" s="102">
        <v>6</v>
      </c>
      <c r="J47" s="102">
        <f t="shared" si="5"/>
        <v>166.4</v>
      </c>
      <c r="K47" s="102">
        <v>185</v>
      </c>
      <c r="L47" s="102">
        <v>3200</v>
      </c>
      <c r="M47" s="102" t="s">
        <v>427</v>
      </c>
      <c r="N47" s="102" t="s">
        <v>428</v>
      </c>
      <c r="O47" s="106">
        <f t="shared" si="6"/>
        <v>4112.5</v>
      </c>
      <c r="P47" s="107" t="s">
        <v>429</v>
      </c>
      <c r="Q47" s="102" t="s">
        <v>418</v>
      </c>
      <c r="R47" s="102" t="s">
        <v>430</v>
      </c>
      <c r="S47" s="108" t="s">
        <v>431</v>
      </c>
      <c r="T47" s="102" t="s">
        <v>432</v>
      </c>
      <c r="U47" s="102" t="s">
        <v>385</v>
      </c>
      <c r="V47" s="109" t="s">
        <v>426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직렬공진_PSPWM</vt:lpstr>
      <vt:lpstr>설계결과표</vt:lpstr>
      <vt:lpstr>입력정류부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2020-07-28T05:16:33Z</cp:lastPrinted>
  <dcterms:created xsi:type="dcterms:W3CDTF">2002-10-01T05:20:05Z</dcterms:created>
  <dcterms:modified xsi:type="dcterms:W3CDTF">2021-09-06T05:50:31Z</dcterms:modified>
</cp:coreProperties>
</file>