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2312" tabRatio="821" activeTab="3"/>
  </bookViews>
  <sheets>
    <sheet name="직병렬공진 동작점설계" sheetId="35" r:id="rId1"/>
    <sheet name="직렬 인덕터 설계" sheetId="30" r:id="rId2"/>
    <sheet name="설계 결과표" sheetId="44" r:id="rId3"/>
    <sheet name="SW 요청자료" sheetId="45" r:id="rId4"/>
    <sheet name="시운전데이터 및 매칭확인" sheetId="43" r:id="rId5"/>
    <sheet name="입력정류부" sheetId="40" r:id="rId6"/>
    <sheet name="IGBT 발열량 계산" sheetId="41" r:id="rId7"/>
    <sheet name="DC 인덕터 설계" sheetId="39" r:id="rId8"/>
    <sheet name="동작점설계_기초자료" sheetId="38" r:id="rId9"/>
  </sheets>
  <calcPr calcId="145621"/>
</workbook>
</file>

<file path=xl/calcChain.xml><?xml version="1.0" encoding="utf-8"?>
<calcChain xmlns="http://schemas.openxmlformats.org/spreadsheetml/2006/main">
  <c r="K15" i="35" l="1"/>
  <c r="S44" i="35"/>
  <c r="R44" i="35"/>
  <c r="Q44" i="35"/>
  <c r="P44" i="35"/>
  <c r="O44" i="35"/>
  <c r="N44" i="35"/>
  <c r="M44" i="35"/>
  <c r="L44" i="35"/>
  <c r="S37" i="35"/>
  <c r="R37" i="35"/>
  <c r="Q37" i="35"/>
  <c r="P37" i="35"/>
  <c r="O37" i="35"/>
  <c r="N37" i="35"/>
  <c r="M37" i="35"/>
  <c r="L37" i="35"/>
  <c r="S16" i="35"/>
  <c r="S18" i="35" s="1"/>
  <c r="S21" i="35" s="1"/>
  <c r="R16" i="35"/>
  <c r="R18" i="35" s="1"/>
  <c r="R21" i="35" s="1"/>
  <c r="Q16" i="35"/>
  <c r="Q18" i="35" s="1"/>
  <c r="Q21" i="35" s="1"/>
  <c r="P16" i="35"/>
  <c r="P18" i="35" s="1"/>
  <c r="P21" i="35" s="1"/>
  <c r="O16" i="35"/>
  <c r="O18" i="35" s="1"/>
  <c r="O21" i="35" s="1"/>
  <c r="N16" i="35"/>
  <c r="N18" i="35" s="1"/>
  <c r="N21" i="35" s="1"/>
  <c r="M16" i="35"/>
  <c r="M18" i="35" s="1"/>
  <c r="M21" i="35" s="1"/>
  <c r="L16" i="35"/>
  <c r="L18" i="35" s="1"/>
  <c r="L21" i="35" s="1"/>
  <c r="S10" i="35"/>
  <c r="R10" i="35"/>
  <c r="Q10" i="35"/>
  <c r="P10" i="35"/>
  <c r="O10" i="35"/>
  <c r="N10" i="35"/>
  <c r="M10" i="35"/>
  <c r="L10" i="35"/>
  <c r="S6" i="35"/>
  <c r="S8" i="35" s="1"/>
  <c r="R6" i="35"/>
  <c r="R8" i="35" s="1"/>
  <c r="Q6" i="35"/>
  <c r="Q8" i="35" s="1"/>
  <c r="P6" i="35"/>
  <c r="P8" i="35" s="1"/>
  <c r="O6" i="35"/>
  <c r="O8" i="35" s="1"/>
  <c r="N6" i="35"/>
  <c r="N8" i="35" s="1"/>
  <c r="M6" i="35"/>
  <c r="M8" i="35" s="1"/>
  <c r="L6" i="35"/>
  <c r="L8" i="35" s="1"/>
  <c r="G7" i="30"/>
  <c r="G8" i="30" s="1"/>
  <c r="G10" i="30" s="1"/>
  <c r="E43" i="45"/>
  <c r="E26" i="45"/>
  <c r="E25" i="45"/>
  <c r="E9" i="45"/>
  <c r="F11" i="45" s="1"/>
  <c r="F12" i="45" s="1"/>
  <c r="S41" i="35" l="1"/>
  <c r="S26" i="35" s="1"/>
  <c r="M41" i="35"/>
  <c r="M26" i="35" s="1"/>
  <c r="N41" i="35"/>
  <c r="N26" i="35" s="1"/>
  <c r="O41" i="35"/>
  <c r="O26" i="35" s="1"/>
  <c r="P41" i="35"/>
  <c r="P26" i="35" s="1"/>
  <c r="Q41" i="35"/>
  <c r="Q26" i="35" s="1"/>
  <c r="R41" i="35"/>
  <c r="R26" i="35" s="1"/>
  <c r="L41" i="35"/>
  <c r="L26" i="35" s="1"/>
  <c r="N23" i="35"/>
  <c r="N24" i="35" s="1"/>
  <c r="N22" i="35"/>
  <c r="M23" i="35"/>
  <c r="M24" i="35" s="1"/>
  <c r="M22" i="35"/>
  <c r="O23" i="35"/>
  <c r="O24" i="35" s="1"/>
  <c r="O22" i="35"/>
  <c r="P23" i="35"/>
  <c r="P24" i="35" s="1"/>
  <c r="P22" i="35"/>
  <c r="Q23" i="35"/>
  <c r="Q24" i="35" s="1"/>
  <c r="Q22" i="35"/>
  <c r="R23" i="35"/>
  <c r="R24" i="35" s="1"/>
  <c r="R22" i="35"/>
  <c r="L23" i="35"/>
  <c r="L24" i="35" s="1"/>
  <c r="L22" i="35"/>
  <c r="S23" i="35"/>
  <c r="S24" i="35" s="1"/>
  <c r="S22" i="35"/>
  <c r="Q11" i="35"/>
  <c r="L11" i="35"/>
  <c r="R11" i="35"/>
  <c r="M11" i="35"/>
  <c r="N11" i="35"/>
  <c r="O11" i="35"/>
  <c r="P11" i="35"/>
  <c r="S11" i="35"/>
  <c r="E11" i="45"/>
  <c r="E12" i="45" s="1"/>
  <c r="S28" i="35" l="1"/>
  <c r="S25" i="35"/>
  <c r="Q25" i="35"/>
  <c r="Q28" i="35"/>
  <c r="L28" i="35"/>
  <c r="L25" i="35"/>
  <c r="O28" i="35"/>
  <c r="O25" i="35"/>
  <c r="P28" i="35"/>
  <c r="P25" i="35"/>
  <c r="N28" i="35"/>
  <c r="N25" i="35"/>
  <c r="R25" i="35"/>
  <c r="R28" i="35"/>
  <c r="M28" i="35"/>
  <c r="M25" i="35"/>
  <c r="M48" i="35" l="1"/>
  <c r="M49" i="35" s="1"/>
  <c r="M50" i="35" s="1"/>
  <c r="M51" i="35" s="1"/>
  <c r="M32" i="35"/>
  <c r="M36" i="35" s="1"/>
  <c r="M30" i="35"/>
  <c r="M29" i="35"/>
  <c r="R29" i="35"/>
  <c r="R48" i="35"/>
  <c r="R49" i="35" s="1"/>
  <c r="R50" i="35" s="1"/>
  <c r="R51" i="35" s="1"/>
  <c r="R30" i="35"/>
  <c r="R32" i="35"/>
  <c r="N48" i="35"/>
  <c r="N49" i="35" s="1"/>
  <c r="N50" i="35" s="1"/>
  <c r="N51" i="35" s="1"/>
  <c r="N32" i="35"/>
  <c r="N36" i="35" s="1"/>
  <c r="N30" i="35"/>
  <c r="N29" i="35"/>
  <c r="O48" i="35"/>
  <c r="O49" i="35" s="1"/>
  <c r="O50" i="35" s="1"/>
  <c r="O51" i="35" s="1"/>
  <c r="O32" i="35"/>
  <c r="O36" i="35" s="1"/>
  <c r="O30" i="35"/>
  <c r="O29" i="35"/>
  <c r="L48" i="35"/>
  <c r="L49" i="35" s="1"/>
  <c r="L50" i="35" s="1"/>
  <c r="L51" i="35" s="1"/>
  <c r="L32" i="35"/>
  <c r="L36" i="35" s="1"/>
  <c r="L30" i="35"/>
  <c r="L29" i="35"/>
  <c r="L31" i="35" s="1"/>
  <c r="Q32" i="35"/>
  <c r="Q48" i="35"/>
  <c r="Q49" i="35" s="1"/>
  <c r="Q50" i="35" s="1"/>
  <c r="Q51" i="35" s="1"/>
  <c r="Q29" i="35"/>
  <c r="Q30" i="35"/>
  <c r="P48" i="35"/>
  <c r="P49" i="35" s="1"/>
  <c r="P50" i="35" s="1"/>
  <c r="P51" i="35" s="1"/>
  <c r="P32" i="35"/>
  <c r="P36" i="35" s="1"/>
  <c r="P30" i="35"/>
  <c r="P29" i="35"/>
  <c r="S48" i="35"/>
  <c r="S49" i="35" s="1"/>
  <c r="S50" i="35" s="1"/>
  <c r="S51" i="35" s="1"/>
  <c r="S32" i="35"/>
  <c r="S36" i="35" s="1"/>
  <c r="S30" i="35"/>
  <c r="S29" i="35"/>
  <c r="J44" i="35"/>
  <c r="J37" i="35"/>
  <c r="J16" i="35"/>
  <c r="J18" i="35" s="1"/>
  <c r="J21" i="35" s="1"/>
  <c r="J10" i="35"/>
  <c r="J11" i="35" s="1"/>
  <c r="J6" i="35"/>
  <c r="J8" i="35" s="1"/>
  <c r="H44" i="35"/>
  <c r="H37" i="35"/>
  <c r="H16" i="35"/>
  <c r="H18" i="35" s="1"/>
  <c r="H21" i="35" s="1"/>
  <c r="H22" i="35" s="1"/>
  <c r="H10" i="35"/>
  <c r="H11" i="35" s="1"/>
  <c r="H6" i="35"/>
  <c r="H8" i="35" s="1"/>
  <c r="G44" i="35"/>
  <c r="G37" i="35"/>
  <c r="G16" i="35"/>
  <c r="G18" i="35" s="1"/>
  <c r="G21" i="35" s="1"/>
  <c r="G10" i="35"/>
  <c r="G11" i="35" s="1"/>
  <c r="G6" i="35"/>
  <c r="G8" i="35" s="1"/>
  <c r="M31" i="35" l="1"/>
  <c r="P45" i="35"/>
  <c r="R31" i="35"/>
  <c r="N45" i="35"/>
  <c r="O31" i="35"/>
  <c r="S31" i="35"/>
  <c r="O35" i="35"/>
  <c r="O38" i="35" s="1"/>
  <c r="N35" i="35"/>
  <c r="N38" i="35" s="1"/>
  <c r="P35" i="35"/>
  <c r="P38" i="35" s="1"/>
  <c r="S35" i="35"/>
  <c r="S38" i="35" s="1"/>
  <c r="Q34" i="35"/>
  <c r="Q33" i="35"/>
  <c r="Q43" i="35" s="1"/>
  <c r="Q46" i="35" s="1"/>
  <c r="S45" i="35"/>
  <c r="L34" i="35"/>
  <c r="L33" i="35"/>
  <c r="L43" i="35" s="1"/>
  <c r="L46" i="35" s="1"/>
  <c r="O45" i="35"/>
  <c r="R34" i="35"/>
  <c r="R33" i="35"/>
  <c r="R43" i="35" s="1"/>
  <c r="R46" i="35" s="1"/>
  <c r="M34" i="35"/>
  <c r="M33" i="35"/>
  <c r="M43" i="35" s="1"/>
  <c r="M46" i="35" s="1"/>
  <c r="Q36" i="35"/>
  <c r="L35" i="35"/>
  <c r="L38" i="35" s="1"/>
  <c r="M35" i="35"/>
  <c r="M38" i="35" s="1"/>
  <c r="P31" i="35"/>
  <c r="Q31" i="35"/>
  <c r="L45" i="35"/>
  <c r="N31" i="35"/>
  <c r="R36" i="35"/>
  <c r="M45" i="35"/>
  <c r="P34" i="35"/>
  <c r="P33" i="35"/>
  <c r="P43" i="35" s="1"/>
  <c r="P46" i="35" s="1"/>
  <c r="N34" i="35"/>
  <c r="N33" i="35"/>
  <c r="N43" i="35" s="1"/>
  <c r="N46" i="35" s="1"/>
  <c r="S34" i="35"/>
  <c r="S33" i="35"/>
  <c r="S43" i="35" s="1"/>
  <c r="S46" i="35" s="1"/>
  <c r="O34" i="35"/>
  <c r="O33" i="35"/>
  <c r="O43" i="35" s="1"/>
  <c r="O46" i="35" s="1"/>
  <c r="Q45" i="35"/>
  <c r="R45" i="35"/>
  <c r="J41" i="35"/>
  <c r="J26" i="35" s="1"/>
  <c r="J22" i="35"/>
  <c r="J23" i="35"/>
  <c r="J24" i="35" s="1"/>
  <c r="H23" i="35"/>
  <c r="H24" i="35" s="1"/>
  <c r="H41" i="35"/>
  <c r="H26" i="35" s="1"/>
  <c r="G23" i="35"/>
  <c r="G24" i="35" s="1"/>
  <c r="G22" i="35"/>
  <c r="G41" i="35"/>
  <c r="G26" i="35" s="1"/>
  <c r="D72" i="35"/>
  <c r="E72" i="35"/>
  <c r="F72" i="35"/>
  <c r="I72" i="35"/>
  <c r="C72" i="35"/>
  <c r="R35" i="35" l="1"/>
  <c r="R38" i="35" s="1"/>
  <c r="Q35" i="35"/>
  <c r="Q38" i="35" s="1"/>
  <c r="J25" i="35"/>
  <c r="J28" i="35"/>
  <c r="H28" i="35"/>
  <c r="H25" i="35"/>
  <c r="G28" i="35"/>
  <c r="G25" i="35"/>
  <c r="AB29" i="43"/>
  <c r="X29" i="43"/>
  <c r="J29" i="43"/>
  <c r="Z29" i="43" s="1"/>
  <c r="AB28" i="43"/>
  <c r="X28" i="43"/>
  <c r="K28" i="43"/>
  <c r="R28" i="43" s="1"/>
  <c r="J28" i="43"/>
  <c r="Z28" i="43" s="1"/>
  <c r="AB27" i="43"/>
  <c r="X27" i="43"/>
  <c r="L27" i="43"/>
  <c r="K27" i="43"/>
  <c r="T27" i="43" s="1"/>
  <c r="J27" i="43"/>
  <c r="Z27" i="43" s="1"/>
  <c r="AB26" i="43"/>
  <c r="Z26" i="43"/>
  <c r="X26" i="43"/>
  <c r="Q26" i="43"/>
  <c r="M26" i="43"/>
  <c r="L26" i="43"/>
  <c r="K26" i="43"/>
  <c r="T26" i="43" s="1"/>
  <c r="J26" i="43"/>
  <c r="AB25" i="43"/>
  <c r="X25" i="43"/>
  <c r="R25" i="43"/>
  <c r="O25" i="43"/>
  <c r="AA25" i="43" s="1"/>
  <c r="M25" i="43"/>
  <c r="L25" i="43"/>
  <c r="K25" i="43"/>
  <c r="T25" i="43" s="1"/>
  <c r="J25" i="43"/>
  <c r="Z25" i="43" s="1"/>
  <c r="AB24" i="43"/>
  <c r="X24" i="43"/>
  <c r="J24" i="43"/>
  <c r="K24" i="43" s="1"/>
  <c r="AB23" i="43"/>
  <c r="Z23" i="43"/>
  <c r="X23" i="43"/>
  <c r="Q23" i="43"/>
  <c r="K23" i="43"/>
  <c r="Y23" i="43" s="1"/>
  <c r="J23" i="43"/>
  <c r="AB22" i="43"/>
  <c r="Z22" i="43"/>
  <c r="Y22" i="43"/>
  <c r="X22" i="43"/>
  <c r="R22" i="43"/>
  <c r="Q22" i="43"/>
  <c r="L22" i="43"/>
  <c r="K22" i="43"/>
  <c r="O22" i="43" s="1"/>
  <c r="J22" i="43"/>
  <c r="AB21" i="43"/>
  <c r="X21" i="43"/>
  <c r="J21" i="43"/>
  <c r="Z21" i="43" s="1"/>
  <c r="AB20" i="43"/>
  <c r="X20" i="43"/>
  <c r="K20" i="43"/>
  <c r="R20" i="43" s="1"/>
  <c r="J20" i="43"/>
  <c r="Z20" i="43" s="1"/>
  <c r="AB19" i="43"/>
  <c r="X19" i="43"/>
  <c r="L19" i="43"/>
  <c r="K19" i="43"/>
  <c r="T19" i="43" s="1"/>
  <c r="J19" i="43"/>
  <c r="Z19" i="43" s="1"/>
  <c r="AB18" i="43"/>
  <c r="Z18" i="43"/>
  <c r="X18" i="43"/>
  <c r="Q18" i="43"/>
  <c r="M18" i="43"/>
  <c r="L18" i="43"/>
  <c r="K18" i="43"/>
  <c r="T18" i="43" s="1"/>
  <c r="J18" i="43"/>
  <c r="AB17" i="43"/>
  <c r="X17" i="43"/>
  <c r="R17" i="43"/>
  <c r="O17" i="43"/>
  <c r="AA17" i="43" s="1"/>
  <c r="M17" i="43"/>
  <c r="K17" i="43"/>
  <c r="L17" i="43" s="1"/>
  <c r="J17" i="43"/>
  <c r="Z17" i="43" s="1"/>
  <c r="AB16" i="43"/>
  <c r="X16" i="43"/>
  <c r="J16" i="43"/>
  <c r="K16" i="43" s="1"/>
  <c r="AB15" i="43"/>
  <c r="Z15" i="43"/>
  <c r="Y15" i="43"/>
  <c r="X15" i="43"/>
  <c r="Q15" i="43"/>
  <c r="K15" i="43"/>
  <c r="O15" i="43" s="1"/>
  <c r="J15" i="43"/>
  <c r="AB14" i="43"/>
  <c r="Z14" i="43"/>
  <c r="X14" i="43"/>
  <c r="Q14" i="43"/>
  <c r="J14" i="43"/>
  <c r="K14" i="43" s="1"/>
  <c r="AB13" i="43"/>
  <c r="X13" i="43"/>
  <c r="J13" i="43"/>
  <c r="Z13" i="43" s="1"/>
  <c r="AB12" i="43"/>
  <c r="X12" i="43"/>
  <c r="T12" i="43"/>
  <c r="K12" i="43"/>
  <c r="R12" i="43" s="1"/>
  <c r="J12" i="43"/>
  <c r="Z12" i="43" s="1"/>
  <c r="AB11" i="43"/>
  <c r="X11" i="43"/>
  <c r="L11" i="43"/>
  <c r="K11" i="43"/>
  <c r="T11" i="43" s="1"/>
  <c r="J11" i="43"/>
  <c r="Z11" i="43" s="1"/>
  <c r="AB10" i="43"/>
  <c r="Z10" i="43"/>
  <c r="X10" i="43"/>
  <c r="Q10" i="43"/>
  <c r="J10" i="43"/>
  <c r="K10" i="43" s="1"/>
  <c r="AB9" i="43"/>
  <c r="X9" i="43"/>
  <c r="R9" i="43"/>
  <c r="O9" i="43"/>
  <c r="AA9" i="43" s="1"/>
  <c r="M9" i="43"/>
  <c r="K9" i="43"/>
  <c r="L9" i="43" s="1"/>
  <c r="J9" i="43"/>
  <c r="Z9" i="43" s="1"/>
  <c r="AB8" i="43"/>
  <c r="X8" i="43"/>
  <c r="J8" i="43"/>
  <c r="K8" i="43" s="1"/>
  <c r="AB7" i="43"/>
  <c r="Z7" i="43"/>
  <c r="Y7" i="43"/>
  <c r="X7" i="43"/>
  <c r="Q7" i="43"/>
  <c r="K7" i="43"/>
  <c r="O7" i="43" s="1"/>
  <c r="J7" i="43"/>
  <c r="AB6" i="43"/>
  <c r="Z6" i="43"/>
  <c r="X6" i="43"/>
  <c r="Q6" i="43"/>
  <c r="J6" i="43"/>
  <c r="K6" i="43" s="1"/>
  <c r="AB5" i="43"/>
  <c r="X5" i="43"/>
  <c r="J5" i="43"/>
  <c r="Z5" i="43" s="1"/>
  <c r="AB4" i="43"/>
  <c r="X4" i="43"/>
  <c r="J4" i="43"/>
  <c r="Z4" i="43" s="1"/>
  <c r="AB3" i="43"/>
  <c r="X3" i="43"/>
  <c r="K3" i="43"/>
  <c r="R3" i="43" s="1"/>
  <c r="J3" i="43"/>
  <c r="Z3" i="43" s="1"/>
  <c r="J29" i="35" l="1"/>
  <c r="J32" i="35"/>
  <c r="J30" i="35"/>
  <c r="J48" i="35"/>
  <c r="J49" i="35" s="1"/>
  <c r="J50" i="35" s="1"/>
  <c r="J51" i="35" s="1"/>
  <c r="H30" i="35"/>
  <c r="H29" i="35"/>
  <c r="H31" i="35" s="1"/>
  <c r="H48" i="35"/>
  <c r="H49" i="35" s="1"/>
  <c r="H50" i="35" s="1"/>
  <c r="H51" i="35" s="1"/>
  <c r="H32" i="35"/>
  <c r="G30" i="35"/>
  <c r="G29" i="35"/>
  <c r="G48" i="35"/>
  <c r="G49" i="35" s="1"/>
  <c r="G50" i="35" s="1"/>
  <c r="G51" i="35" s="1"/>
  <c r="G32" i="35"/>
  <c r="Y14" i="43"/>
  <c r="O14" i="43"/>
  <c r="M14" i="43"/>
  <c r="L14" i="43"/>
  <c r="R14" i="43"/>
  <c r="T14" i="43"/>
  <c r="P22" i="43"/>
  <c r="AA22" i="43"/>
  <c r="M8" i="43"/>
  <c r="Y8" i="43"/>
  <c r="L8" i="43"/>
  <c r="T8" i="43"/>
  <c r="R8" i="43"/>
  <c r="O8" i="43"/>
  <c r="S11" i="43"/>
  <c r="U11" i="43"/>
  <c r="O16" i="43"/>
  <c r="M16" i="43"/>
  <c r="L16" i="43"/>
  <c r="T16" i="43"/>
  <c r="Y16" i="43"/>
  <c r="R16" i="43"/>
  <c r="Y6" i="43"/>
  <c r="O6" i="43"/>
  <c r="L6" i="43"/>
  <c r="R6" i="43"/>
  <c r="M6" i="43"/>
  <c r="T6" i="43"/>
  <c r="U25" i="43"/>
  <c r="S25" i="43"/>
  <c r="U26" i="43"/>
  <c r="S26" i="43"/>
  <c r="S27" i="43"/>
  <c r="U27" i="43"/>
  <c r="O24" i="43"/>
  <c r="M24" i="43"/>
  <c r="L24" i="43"/>
  <c r="T24" i="43"/>
  <c r="R24" i="43"/>
  <c r="Y24" i="43"/>
  <c r="P7" i="43"/>
  <c r="AA7" i="43"/>
  <c r="L10" i="43"/>
  <c r="T10" i="43"/>
  <c r="R10" i="43"/>
  <c r="M10" i="43"/>
  <c r="Y10" i="43"/>
  <c r="O10" i="43"/>
  <c r="P15" i="43"/>
  <c r="AA15" i="43"/>
  <c r="U18" i="43"/>
  <c r="S18" i="43"/>
  <c r="S19" i="43"/>
  <c r="U19" i="43"/>
  <c r="L3" i="43"/>
  <c r="M3" i="43"/>
  <c r="K5" i="43"/>
  <c r="R7" i="43"/>
  <c r="Q8" i="43"/>
  <c r="Z8" i="43"/>
  <c r="P9" i="43"/>
  <c r="Y9" i="43"/>
  <c r="M11" i="43"/>
  <c r="L12" i="43"/>
  <c r="S12" i="43" s="1"/>
  <c r="U12" i="43"/>
  <c r="K13" i="43"/>
  <c r="R15" i="43"/>
  <c r="Q16" i="43"/>
  <c r="Z16" i="43"/>
  <c r="P17" i="43"/>
  <c r="Y17" i="43"/>
  <c r="O18" i="43"/>
  <c r="M19" i="43"/>
  <c r="L20" i="43"/>
  <c r="K21" i="43"/>
  <c r="R23" i="43"/>
  <c r="Q24" i="43"/>
  <c r="Z24" i="43"/>
  <c r="P25" i="43"/>
  <c r="Y25" i="43"/>
  <c r="O26" i="43"/>
  <c r="M27" i="43"/>
  <c r="L28" i="43"/>
  <c r="K29" i="43"/>
  <c r="T28" i="43"/>
  <c r="O3" i="43"/>
  <c r="Q9" i="43"/>
  <c r="O11" i="43"/>
  <c r="M12" i="43"/>
  <c r="Q17" i="43"/>
  <c r="Y18" i="43"/>
  <c r="O19" i="43"/>
  <c r="M20" i="43"/>
  <c r="T22" i="43"/>
  <c r="Q25" i="43"/>
  <c r="Y26" i="43"/>
  <c r="O27" i="43"/>
  <c r="M28" i="43"/>
  <c r="T3" i="43"/>
  <c r="Y3" i="43"/>
  <c r="T7" i="43"/>
  <c r="Y11" i="43"/>
  <c r="O12" i="43"/>
  <c r="T15" i="43"/>
  <c r="Y19" i="43"/>
  <c r="O20" i="43"/>
  <c r="T23" i="43"/>
  <c r="Y27" i="43"/>
  <c r="O28" i="43"/>
  <c r="K4" i="43"/>
  <c r="Q3" i="43"/>
  <c r="L7" i="43"/>
  <c r="Q11" i="43"/>
  <c r="Y12" i="43"/>
  <c r="L15" i="43"/>
  <c r="R18" i="43"/>
  <c r="Q19" i="43"/>
  <c r="Y20" i="43"/>
  <c r="M22" i="43"/>
  <c r="L23" i="43"/>
  <c r="R26" i="43"/>
  <c r="Q27" i="43"/>
  <c r="Y28" i="43"/>
  <c r="Q4" i="43"/>
  <c r="M7" i="43"/>
  <c r="T9" i="43"/>
  <c r="R11" i="43"/>
  <c r="Q12" i="43"/>
  <c r="M15" i="43"/>
  <c r="T17" i="43"/>
  <c r="R19" i="43"/>
  <c r="Q20" i="43"/>
  <c r="M23" i="43"/>
  <c r="R27" i="43"/>
  <c r="Q28" i="43"/>
  <c r="Q29" i="43"/>
  <c r="T20" i="43"/>
  <c r="Q5" i="43"/>
  <c r="Q13" i="43"/>
  <c r="Q21" i="43"/>
  <c r="O23" i="43"/>
  <c r="J45" i="35" l="1"/>
  <c r="J31" i="35"/>
  <c r="J34" i="35"/>
  <c r="J33" i="35"/>
  <c r="J43" i="35" s="1"/>
  <c r="J46" i="35" s="1"/>
  <c r="J36" i="35"/>
  <c r="H45" i="35"/>
  <c r="G45" i="35"/>
  <c r="H34" i="35"/>
  <c r="H33" i="35"/>
  <c r="H43" i="35" s="1"/>
  <c r="H46" i="35" s="1"/>
  <c r="H36" i="35"/>
  <c r="G34" i="35"/>
  <c r="G33" i="35"/>
  <c r="G43" i="35" s="1"/>
  <c r="G46" i="35" s="1"/>
  <c r="G36" i="35"/>
  <c r="G31" i="35"/>
  <c r="P8" i="43"/>
  <c r="AA8" i="43"/>
  <c r="U7" i="43"/>
  <c r="V7" i="43" s="1"/>
  <c r="S7" i="43"/>
  <c r="AA19" i="43"/>
  <c r="P19" i="43"/>
  <c r="V19" i="43" s="1"/>
  <c r="R29" i="43"/>
  <c r="Y29" i="43"/>
  <c r="O29" i="43"/>
  <c r="AA29" i="43" s="1"/>
  <c r="M29" i="43"/>
  <c r="L29" i="43"/>
  <c r="T29" i="43"/>
  <c r="U10" i="43"/>
  <c r="S10" i="43"/>
  <c r="U6" i="43"/>
  <c r="S6" i="43"/>
  <c r="U16" i="43"/>
  <c r="S16" i="43"/>
  <c r="U8" i="43"/>
  <c r="V8" i="43" s="1"/>
  <c r="S8" i="43"/>
  <c r="U22" i="43"/>
  <c r="V22" i="43" s="1"/>
  <c r="S22" i="43"/>
  <c r="U24" i="43"/>
  <c r="V24" i="43" s="1"/>
  <c r="S24" i="43"/>
  <c r="P23" i="43"/>
  <c r="AA23" i="43"/>
  <c r="V25" i="43"/>
  <c r="S3" i="43"/>
  <c r="U3" i="43"/>
  <c r="V3" i="43" s="1"/>
  <c r="R21" i="43"/>
  <c r="Y21" i="43"/>
  <c r="O21" i="43"/>
  <c r="M21" i="43"/>
  <c r="L21" i="43"/>
  <c r="T21" i="43"/>
  <c r="AA24" i="43"/>
  <c r="P24" i="43"/>
  <c r="AA28" i="43"/>
  <c r="P28" i="43"/>
  <c r="U17" i="43"/>
  <c r="V17" i="43" s="1"/>
  <c r="S17" i="43"/>
  <c r="AA20" i="43"/>
  <c r="P20" i="43"/>
  <c r="R13" i="43"/>
  <c r="Y13" i="43"/>
  <c r="O13" i="43"/>
  <c r="M13" i="43"/>
  <c r="L13" i="43"/>
  <c r="T13" i="43"/>
  <c r="V27" i="43"/>
  <c r="P14" i="43"/>
  <c r="AA14" i="43"/>
  <c r="AA12" i="43"/>
  <c r="P12" i="43"/>
  <c r="U9" i="43"/>
  <c r="V9" i="43" s="1"/>
  <c r="S9" i="43"/>
  <c r="R4" i="43"/>
  <c r="O4" i="43"/>
  <c r="T4" i="43"/>
  <c r="Y4" i="43"/>
  <c r="M4" i="43"/>
  <c r="L4" i="43"/>
  <c r="P3" i="43"/>
  <c r="AA3" i="43"/>
  <c r="U14" i="43"/>
  <c r="V14" i="43" s="1"/>
  <c r="S14" i="43"/>
  <c r="S28" i="43"/>
  <c r="U28" i="43"/>
  <c r="V28" i="43" s="1"/>
  <c r="U23" i="43"/>
  <c r="V23" i="43" s="1"/>
  <c r="S23" i="43"/>
  <c r="S20" i="43"/>
  <c r="U20" i="43"/>
  <c r="AA27" i="43"/>
  <c r="P27" i="43"/>
  <c r="AA26" i="43"/>
  <c r="P26" i="43"/>
  <c r="V26" i="43" s="1"/>
  <c r="V12" i="43"/>
  <c r="Y5" i="43"/>
  <c r="R5" i="43"/>
  <c r="O5" i="43"/>
  <c r="M5" i="43"/>
  <c r="L5" i="43"/>
  <c r="T5" i="43"/>
  <c r="AA16" i="43"/>
  <c r="P16" i="43"/>
  <c r="U15" i="43"/>
  <c r="V15" i="43" s="1"/>
  <c r="S15" i="43"/>
  <c r="AA11" i="43"/>
  <c r="P11" i="43"/>
  <c r="V11" i="43" s="1"/>
  <c r="AA18" i="43"/>
  <c r="P18" i="43"/>
  <c r="V18" i="43" s="1"/>
  <c r="AA10" i="43"/>
  <c r="P10" i="43"/>
  <c r="P6" i="43"/>
  <c r="AA6" i="43"/>
  <c r="J35" i="35" l="1"/>
  <c r="J38" i="35"/>
  <c r="H35" i="35"/>
  <c r="H38" i="35" s="1"/>
  <c r="G35" i="35"/>
  <c r="G38" i="35" s="1"/>
  <c r="S5" i="43"/>
  <c r="U5" i="43"/>
  <c r="S4" i="43"/>
  <c r="U4" i="43"/>
  <c r="V10" i="43"/>
  <c r="S29" i="43"/>
  <c r="U29" i="43"/>
  <c r="V29" i="43" s="1"/>
  <c r="V20" i="43"/>
  <c r="S13" i="43"/>
  <c r="U13" i="43"/>
  <c r="AA13" i="43"/>
  <c r="P13" i="43"/>
  <c r="V6" i="43"/>
  <c r="AA4" i="43"/>
  <c r="P4" i="43"/>
  <c r="S21" i="43"/>
  <c r="U21" i="43"/>
  <c r="P5" i="43"/>
  <c r="AA5" i="43"/>
  <c r="AA21" i="43"/>
  <c r="P21" i="43"/>
  <c r="V16" i="43"/>
  <c r="V4" i="43" l="1"/>
  <c r="V13" i="43"/>
  <c r="V5" i="43"/>
  <c r="V21" i="43"/>
  <c r="D27" i="41" l="1"/>
  <c r="D29" i="41" s="1"/>
  <c r="E24" i="41"/>
  <c r="D24" i="41"/>
  <c r="E23" i="41"/>
  <c r="E26" i="41" s="1"/>
  <c r="D23" i="41"/>
  <c r="D26" i="41" s="1"/>
  <c r="E17" i="41"/>
  <c r="E22" i="41" s="1"/>
  <c r="D17" i="41"/>
  <c r="D22" i="41" s="1"/>
  <c r="E16" i="41"/>
  <c r="D16" i="41"/>
  <c r="E14" i="41"/>
  <c r="D14" i="41"/>
  <c r="E13" i="41"/>
  <c r="D13" i="41"/>
  <c r="E7" i="41"/>
  <c r="D7" i="41"/>
  <c r="J47" i="40"/>
  <c r="D47" i="40"/>
  <c r="E47" i="40" s="1"/>
  <c r="C47" i="40"/>
  <c r="O47" i="40" s="1"/>
  <c r="O46" i="40"/>
  <c r="J46" i="40"/>
  <c r="E46" i="40"/>
  <c r="D46" i="40"/>
  <c r="C46" i="40"/>
  <c r="G46" i="40" s="1"/>
  <c r="O45" i="40"/>
  <c r="J45" i="40"/>
  <c r="D45" i="40"/>
  <c r="E45" i="40" s="1"/>
  <c r="C45" i="40"/>
  <c r="G45" i="40" s="1"/>
  <c r="O44" i="40"/>
  <c r="J44" i="40"/>
  <c r="G44" i="40"/>
  <c r="F44" i="40"/>
  <c r="D44" i="40"/>
  <c r="E44" i="40" s="1"/>
  <c r="C44" i="40"/>
  <c r="O43" i="40"/>
  <c r="J43" i="40"/>
  <c r="G43" i="40"/>
  <c r="F43" i="40"/>
  <c r="E43" i="40"/>
  <c r="D43" i="40"/>
  <c r="C43" i="40"/>
  <c r="O42" i="40"/>
  <c r="J42" i="40"/>
  <c r="G42" i="40"/>
  <c r="F42" i="40"/>
  <c r="D42" i="40"/>
  <c r="E42" i="40" s="1"/>
  <c r="C42" i="40"/>
  <c r="J41" i="40"/>
  <c r="D41" i="40"/>
  <c r="E41" i="40" s="1"/>
  <c r="C41" i="40"/>
  <c r="O41" i="40" s="1"/>
  <c r="J40" i="40"/>
  <c r="D40" i="40"/>
  <c r="E40" i="40" s="1"/>
  <c r="C40" i="40"/>
  <c r="O40" i="40" s="1"/>
  <c r="O39" i="40"/>
  <c r="J39" i="40"/>
  <c r="D39" i="40"/>
  <c r="E39" i="40" s="1"/>
  <c r="C39" i="40"/>
  <c r="G39" i="40" s="1"/>
  <c r="O38" i="40"/>
  <c r="J38" i="40"/>
  <c r="D38" i="40"/>
  <c r="E38" i="40" s="1"/>
  <c r="C38" i="40"/>
  <c r="G38" i="40" s="1"/>
  <c r="O37" i="40"/>
  <c r="J37" i="40"/>
  <c r="G37" i="40"/>
  <c r="D37" i="40"/>
  <c r="E37" i="40" s="1"/>
  <c r="C37" i="40"/>
  <c r="F37" i="40" s="1"/>
  <c r="O36" i="40"/>
  <c r="J36" i="40"/>
  <c r="G36" i="40"/>
  <c r="F36" i="40"/>
  <c r="E36" i="40"/>
  <c r="D36" i="40"/>
  <c r="C36" i="40"/>
  <c r="O35" i="40"/>
  <c r="J35" i="40"/>
  <c r="G35" i="40"/>
  <c r="F35" i="40"/>
  <c r="E35" i="40"/>
  <c r="D35" i="40"/>
  <c r="C35" i="40"/>
  <c r="J34" i="40"/>
  <c r="G34" i="40"/>
  <c r="F34" i="40"/>
  <c r="D34" i="40"/>
  <c r="E34" i="40" s="1"/>
  <c r="C34" i="40"/>
  <c r="O34" i="40" s="1"/>
  <c r="J33" i="40"/>
  <c r="D33" i="40"/>
  <c r="E33" i="40" s="1"/>
  <c r="C33" i="40"/>
  <c r="O33" i="40" s="1"/>
  <c r="J32" i="40"/>
  <c r="D32" i="40"/>
  <c r="E32" i="40" s="1"/>
  <c r="C32" i="40"/>
  <c r="O32" i="40" s="1"/>
  <c r="O31" i="40"/>
  <c r="J31" i="40"/>
  <c r="D31" i="40"/>
  <c r="E31" i="40" s="1"/>
  <c r="C31" i="40"/>
  <c r="G31" i="40" s="1"/>
  <c r="O30" i="40"/>
  <c r="J30" i="40"/>
  <c r="D30" i="40"/>
  <c r="E30" i="40" s="1"/>
  <c r="C30" i="40"/>
  <c r="G30" i="40" s="1"/>
  <c r="O29" i="40"/>
  <c r="J29" i="40"/>
  <c r="G29" i="40"/>
  <c r="F29" i="40"/>
  <c r="E29" i="40"/>
  <c r="D29" i="40"/>
  <c r="C29" i="40"/>
  <c r="O28" i="40"/>
  <c r="J28" i="40"/>
  <c r="G28" i="40"/>
  <c r="F28" i="40"/>
  <c r="E28" i="40"/>
  <c r="D28" i="40"/>
  <c r="C28" i="40"/>
  <c r="J27" i="40"/>
  <c r="G27" i="40"/>
  <c r="F27" i="40"/>
  <c r="D27" i="40"/>
  <c r="E27" i="40" s="1"/>
  <c r="C27" i="40"/>
  <c r="O27" i="40" s="1"/>
  <c r="J26" i="40"/>
  <c r="D26" i="40"/>
  <c r="E26" i="40" s="1"/>
  <c r="C26" i="40"/>
  <c r="O26" i="40" s="1"/>
  <c r="J25" i="40"/>
  <c r="D25" i="40"/>
  <c r="E25" i="40" s="1"/>
  <c r="C25" i="40"/>
  <c r="O25" i="40" s="1"/>
  <c r="O24" i="40"/>
  <c r="J24" i="40"/>
  <c r="D24" i="40"/>
  <c r="E24" i="40" s="1"/>
  <c r="C24" i="40"/>
  <c r="G24" i="40" s="1"/>
  <c r="O23" i="40"/>
  <c r="J23" i="40"/>
  <c r="D23" i="40"/>
  <c r="E23" i="40" s="1"/>
  <c r="C23" i="40"/>
  <c r="G23" i="40" s="1"/>
  <c r="O22" i="40"/>
  <c r="J22" i="40"/>
  <c r="G22" i="40"/>
  <c r="D22" i="40"/>
  <c r="E22" i="40" s="1"/>
  <c r="C22" i="40"/>
  <c r="F22" i="40" s="1"/>
  <c r="O21" i="40"/>
  <c r="J21" i="40"/>
  <c r="G21" i="40"/>
  <c r="F21" i="40"/>
  <c r="E21" i="40"/>
  <c r="D21" i="40"/>
  <c r="C21" i="40"/>
  <c r="O20" i="40"/>
  <c r="J20" i="40"/>
  <c r="G20" i="40"/>
  <c r="F20" i="40"/>
  <c r="E20" i="40"/>
  <c r="D20" i="40"/>
  <c r="C20" i="40"/>
  <c r="J19" i="40"/>
  <c r="G19" i="40"/>
  <c r="F19" i="40"/>
  <c r="D19" i="40"/>
  <c r="E19" i="40" s="1"/>
  <c r="C19" i="40"/>
  <c r="O19" i="40" s="1"/>
  <c r="J18" i="40"/>
  <c r="D18" i="40"/>
  <c r="E18" i="40" s="1"/>
  <c r="C18" i="40"/>
  <c r="O18" i="40" s="1"/>
  <c r="J17" i="40"/>
  <c r="D17" i="40"/>
  <c r="E17" i="40" s="1"/>
  <c r="C17" i="40"/>
  <c r="O17" i="40" s="1"/>
  <c r="O16" i="40"/>
  <c r="J16" i="40"/>
  <c r="D16" i="40"/>
  <c r="E16" i="40" s="1"/>
  <c r="C16" i="40"/>
  <c r="G16" i="40" s="1"/>
  <c r="O15" i="40"/>
  <c r="J15" i="40"/>
  <c r="D15" i="40"/>
  <c r="E15" i="40" s="1"/>
  <c r="C15" i="40"/>
  <c r="G15" i="40" s="1"/>
  <c r="O14" i="40"/>
  <c r="J14" i="40"/>
  <c r="G14" i="40"/>
  <c r="F14" i="40"/>
  <c r="E14" i="40"/>
  <c r="D14" i="40"/>
  <c r="C14" i="40"/>
  <c r="O13" i="40"/>
  <c r="J13" i="40"/>
  <c r="G13" i="40"/>
  <c r="F13" i="40"/>
  <c r="E13" i="40"/>
  <c r="D13" i="40"/>
  <c r="C13" i="40"/>
  <c r="O12" i="40"/>
  <c r="J12" i="40"/>
  <c r="G12" i="40"/>
  <c r="F12" i="40"/>
  <c r="E12" i="40"/>
  <c r="D12" i="40"/>
  <c r="C12" i="40"/>
  <c r="J11" i="40"/>
  <c r="G11" i="40"/>
  <c r="F11" i="40"/>
  <c r="D11" i="40"/>
  <c r="E11" i="40" s="1"/>
  <c r="C11" i="40"/>
  <c r="O11" i="40" s="1"/>
  <c r="J10" i="40"/>
  <c r="D10" i="40"/>
  <c r="E10" i="40" s="1"/>
  <c r="C10" i="40"/>
  <c r="O10" i="40" s="1"/>
  <c r="J9" i="40"/>
  <c r="D9" i="40"/>
  <c r="E9" i="40" s="1"/>
  <c r="C9" i="40"/>
  <c r="O9" i="40" s="1"/>
  <c r="O8" i="40"/>
  <c r="J8" i="40"/>
  <c r="D8" i="40"/>
  <c r="E8" i="40" s="1"/>
  <c r="C8" i="40"/>
  <c r="G8" i="40" s="1"/>
  <c r="O7" i="40"/>
  <c r="J7" i="40"/>
  <c r="D7" i="40"/>
  <c r="E7" i="40" s="1"/>
  <c r="C7" i="40"/>
  <c r="G7" i="40" s="1"/>
  <c r="O6" i="40"/>
  <c r="J6" i="40"/>
  <c r="G6" i="40"/>
  <c r="F6" i="40"/>
  <c r="E6" i="40"/>
  <c r="D6" i="40"/>
  <c r="C6" i="40"/>
  <c r="O5" i="40"/>
  <c r="J5" i="40"/>
  <c r="G5" i="40"/>
  <c r="F5" i="40"/>
  <c r="E5" i="40"/>
  <c r="D5" i="40"/>
  <c r="C5" i="40"/>
  <c r="O4" i="40"/>
  <c r="J4" i="40"/>
  <c r="G4" i="40"/>
  <c r="F4" i="40"/>
  <c r="E4" i="40"/>
  <c r="D4" i="40"/>
  <c r="C4" i="40"/>
  <c r="H14" i="39"/>
  <c r="H12" i="39"/>
  <c r="C46" i="39"/>
  <c r="J37" i="39"/>
  <c r="H32" i="39"/>
  <c r="H30" i="39"/>
  <c r="N28" i="39"/>
  <c r="H27" i="39"/>
  <c r="H25" i="39"/>
  <c r="H35" i="39" s="1"/>
  <c r="N22" i="39"/>
  <c r="C21" i="39"/>
  <c r="R18" i="39"/>
  <c r="R16" i="39"/>
  <c r="N7" i="39" s="1"/>
  <c r="H16" i="39"/>
  <c r="C31" i="39" s="1"/>
  <c r="C33" i="39" s="1"/>
  <c r="H28" i="39"/>
  <c r="C12" i="39"/>
  <c r="C13" i="39" s="1"/>
  <c r="C14" i="39" s="1"/>
  <c r="R10" i="39"/>
  <c r="R19" i="39" s="1"/>
  <c r="J25" i="39" s="1"/>
  <c r="H10" i="39"/>
  <c r="C10" i="39"/>
  <c r="C8" i="39"/>
  <c r="C7" i="39"/>
  <c r="N13" i="39" s="1"/>
  <c r="E43" i="41" l="1"/>
  <c r="E37" i="41"/>
  <c r="E35" i="41"/>
  <c r="E41" i="41" s="1"/>
  <c r="E25" i="41"/>
  <c r="D35" i="41"/>
  <c r="D41" i="41" s="1"/>
  <c r="D43" i="41"/>
  <c r="D37" i="41"/>
  <c r="D25" i="41"/>
  <c r="D46" i="41"/>
  <c r="D31" i="41"/>
  <c r="E27" i="41"/>
  <c r="E29" i="41" s="1"/>
  <c r="F33" i="40"/>
  <c r="F41" i="40"/>
  <c r="F10" i="40"/>
  <c r="G10" i="40"/>
  <c r="G18" i="40"/>
  <c r="F25" i="40"/>
  <c r="F32" i="40"/>
  <c r="G33" i="40"/>
  <c r="F40" i="40"/>
  <c r="G41" i="40"/>
  <c r="F47" i="40"/>
  <c r="F17" i="40"/>
  <c r="F8" i="40"/>
  <c r="G9" i="40"/>
  <c r="F16" i="40"/>
  <c r="G17" i="40"/>
  <c r="F24" i="40"/>
  <c r="G25" i="40"/>
  <c r="F31" i="40"/>
  <c r="G32" i="40"/>
  <c r="F39" i="40"/>
  <c r="G40" i="40"/>
  <c r="F46" i="40"/>
  <c r="G47" i="40"/>
  <c r="F18" i="40"/>
  <c r="F26" i="40"/>
  <c r="F9" i="40"/>
  <c r="G26" i="40"/>
  <c r="F7" i="40"/>
  <c r="F15" i="40"/>
  <c r="F23" i="40"/>
  <c r="F38" i="40"/>
  <c r="H17" i="39"/>
  <c r="C20" i="39"/>
  <c r="N10" i="39"/>
  <c r="C16" i="39"/>
  <c r="J17" i="39"/>
  <c r="J39" i="39" s="1"/>
  <c r="J19" i="39"/>
  <c r="J28" i="39" s="1"/>
  <c r="J31" i="39" s="1"/>
  <c r="H36" i="39"/>
  <c r="H24" i="39"/>
  <c r="H33" i="39" s="1"/>
  <c r="R11" i="39"/>
  <c r="H26" i="39"/>
  <c r="H34" i="39" s="1"/>
  <c r="C17" i="39"/>
  <c r="D36" i="41" l="1"/>
  <c r="D34" i="41"/>
  <c r="D40" i="41" s="1"/>
  <c r="D42" i="41"/>
  <c r="E34" i="41"/>
  <c r="E40" i="41" s="1"/>
  <c r="E42" i="41"/>
  <c r="E36" i="41"/>
  <c r="E46" i="41"/>
  <c r="E31" i="41"/>
  <c r="C19" i="39"/>
  <c r="C22" i="39" s="1"/>
  <c r="C23" i="39" s="1"/>
  <c r="C29" i="39"/>
  <c r="C35" i="39" s="1"/>
  <c r="C50" i="39" l="1"/>
  <c r="C51" i="39" s="1"/>
  <c r="C36" i="39"/>
  <c r="C38" i="39" s="1"/>
  <c r="C49" i="39"/>
  <c r="C40" i="39" l="1"/>
  <c r="C39" i="39"/>
  <c r="C41" i="39"/>
  <c r="C42" i="39" s="1"/>
  <c r="AH72" i="35" l="1"/>
  <c r="AH74" i="35" s="1"/>
  <c r="AH66" i="35"/>
  <c r="AH75" i="35" s="1"/>
  <c r="Z59" i="35"/>
  <c r="AL55" i="35"/>
  <c r="AD53" i="35"/>
  <c r="AD56" i="35" s="1"/>
  <c r="AD58" i="35" s="1"/>
  <c r="Z53" i="35"/>
  <c r="AL48" i="35"/>
  <c r="AD48" i="35"/>
  <c r="AH46" i="35"/>
  <c r="AH47" i="35" s="1"/>
  <c r="Z46" i="35"/>
  <c r="Z47" i="35" s="1"/>
  <c r="Z45" i="35"/>
  <c r="AL41" i="35"/>
  <c r="AL36" i="35"/>
  <c r="Z36" i="35"/>
  <c r="AL35" i="35"/>
  <c r="Z35" i="35"/>
  <c r="AD34" i="35"/>
  <c r="AL30" i="35"/>
  <c r="AD30" i="35"/>
  <c r="AH27" i="35"/>
  <c r="AH31" i="35" s="1"/>
  <c r="AH34" i="35" s="1"/>
  <c r="AH36" i="35" s="1"/>
  <c r="AH38" i="35" s="1"/>
  <c r="AL26" i="35"/>
  <c r="AD26" i="35"/>
  <c r="AD35" i="35" s="1"/>
  <c r="Z26" i="35"/>
  <c r="Z25" i="35"/>
  <c r="Z24" i="35"/>
  <c r="AL22" i="35"/>
  <c r="AD19" i="35"/>
  <c r="AL15" i="35"/>
  <c r="AL16" i="35" s="1"/>
  <c r="AL17" i="35" s="1"/>
  <c r="AD13" i="35"/>
  <c r="AH12" i="35"/>
  <c r="AH15" i="35" s="1"/>
  <c r="AH17" i="35" s="1"/>
  <c r="AH9" i="35"/>
  <c r="AL8" i="35"/>
  <c r="AH8" i="35"/>
  <c r="AD8" i="35"/>
  <c r="Z7" i="35"/>
  <c r="Z9" i="35" s="1"/>
  <c r="Z14" i="35" s="1"/>
  <c r="I44" i="35"/>
  <c r="I37" i="35"/>
  <c r="I16" i="35"/>
  <c r="I18" i="35" s="1"/>
  <c r="I21" i="35" s="1"/>
  <c r="I10" i="35"/>
  <c r="I6" i="35"/>
  <c r="I8" i="35" s="1"/>
  <c r="F44" i="35"/>
  <c r="F37" i="35"/>
  <c r="F16" i="35"/>
  <c r="F18" i="35" s="1"/>
  <c r="F21" i="35" s="1"/>
  <c r="F10" i="35"/>
  <c r="F6" i="35"/>
  <c r="F8" i="35" s="1"/>
  <c r="E44" i="35"/>
  <c r="E37" i="35"/>
  <c r="E16" i="35"/>
  <c r="E18" i="35" s="1"/>
  <c r="E21" i="35" s="1"/>
  <c r="E10" i="35"/>
  <c r="E11" i="35" s="1"/>
  <c r="E6" i="35"/>
  <c r="E8" i="35" s="1"/>
  <c r="D44" i="35"/>
  <c r="D37" i="35"/>
  <c r="D16" i="35"/>
  <c r="D18" i="35" s="1"/>
  <c r="D21" i="35" s="1"/>
  <c r="D10" i="35"/>
  <c r="D11" i="35" s="1"/>
  <c r="D6" i="35"/>
  <c r="D8" i="35" s="1"/>
  <c r="Z27" i="35" l="1"/>
  <c r="AH50" i="35"/>
  <c r="AH53" i="35" s="1"/>
  <c r="AH56" i="35" s="1"/>
  <c r="AD38" i="35"/>
  <c r="AD39" i="35" s="1"/>
  <c r="AD40" i="35" s="1"/>
  <c r="AD41" i="35" s="1"/>
  <c r="AD42" i="35" s="1"/>
  <c r="E41" i="35"/>
  <c r="E26" i="35" s="1"/>
  <c r="E59" i="35" s="1"/>
  <c r="E58" i="35" s="1"/>
  <c r="Z37" i="35"/>
  <c r="Z38" i="35" s="1"/>
  <c r="F41" i="35"/>
  <c r="F26" i="35" s="1"/>
  <c r="F59" i="35" s="1"/>
  <c r="I41" i="35"/>
  <c r="I26" i="35" s="1"/>
  <c r="I59" i="35" s="1"/>
  <c r="F11" i="35"/>
  <c r="D41" i="35"/>
  <c r="D26" i="35" s="1"/>
  <c r="D59" i="35" s="1"/>
  <c r="D58" i="35" s="1"/>
  <c r="AH59" i="35"/>
  <c r="AH58" i="35"/>
  <c r="AH20" i="35"/>
  <c r="AH19" i="35"/>
  <c r="AH39" i="35"/>
  <c r="AH28" i="35"/>
  <c r="AH67" i="35"/>
  <c r="I23" i="35"/>
  <c r="I24" i="35" s="1"/>
  <c r="I22" i="35"/>
  <c r="I11" i="35"/>
  <c r="F23" i="35"/>
  <c r="F24" i="35" s="1"/>
  <c r="F22" i="35"/>
  <c r="E23" i="35"/>
  <c r="E24" i="35" s="1"/>
  <c r="E22" i="35"/>
  <c r="D23" i="35"/>
  <c r="D24" i="35" s="1"/>
  <c r="D22" i="35"/>
  <c r="F64" i="35" l="1"/>
  <c r="F67" i="35" s="1"/>
  <c r="F58" i="35"/>
  <c r="F65" i="35"/>
  <c r="I58" i="35"/>
  <c r="I65" i="35"/>
  <c r="I64" i="35"/>
  <c r="I67" i="35" s="1"/>
  <c r="E64" i="35"/>
  <c r="E67" i="35" s="1"/>
  <c r="E65" i="35"/>
  <c r="D64" i="35"/>
  <c r="D67" i="35" s="1"/>
  <c r="D65" i="35"/>
  <c r="I25" i="35"/>
  <c r="I28" i="35"/>
  <c r="F25" i="35"/>
  <c r="F28" i="35"/>
  <c r="E25" i="35"/>
  <c r="E28" i="35"/>
  <c r="D25" i="35"/>
  <c r="D28" i="35"/>
  <c r="I32" i="35" l="1"/>
  <c r="I36" i="35" s="1"/>
  <c r="I30" i="35"/>
  <c r="I29" i="35"/>
  <c r="I48" i="35"/>
  <c r="F32" i="35"/>
  <c r="F36" i="35" s="1"/>
  <c r="F30" i="35"/>
  <c r="F29" i="35"/>
  <c r="F48" i="35"/>
  <c r="E32" i="35"/>
  <c r="E36" i="35" s="1"/>
  <c r="E30" i="35"/>
  <c r="E29" i="35"/>
  <c r="E48" i="35"/>
  <c r="D32" i="35"/>
  <c r="D36" i="35" s="1"/>
  <c r="D30" i="35"/>
  <c r="D29" i="35"/>
  <c r="D48" i="35"/>
  <c r="D45" i="35" s="1"/>
  <c r="F31" i="35" l="1"/>
  <c r="I31" i="35"/>
  <c r="E31" i="35"/>
  <c r="D31" i="35"/>
  <c r="I55" i="35"/>
  <c r="I49" i="35"/>
  <c r="I50" i="35" s="1"/>
  <c r="I51" i="35" s="1"/>
  <c r="I35" i="35"/>
  <c r="I38" i="35" s="1"/>
  <c r="I45" i="35"/>
  <c r="I34" i="35"/>
  <c r="I33" i="35"/>
  <c r="I43" i="35" s="1"/>
  <c r="I46" i="35" s="1"/>
  <c r="I71" i="35" s="1"/>
  <c r="F35" i="35"/>
  <c r="F38" i="35" s="1"/>
  <c r="F55" i="35"/>
  <c r="F49" i="35"/>
  <c r="F50" i="35" s="1"/>
  <c r="F51" i="35" s="1"/>
  <c r="F34" i="35"/>
  <c r="F33" i="35"/>
  <c r="F43" i="35" s="1"/>
  <c r="F46" i="35" s="1"/>
  <c r="F71" i="35" s="1"/>
  <c r="F45" i="35"/>
  <c r="E35" i="35"/>
  <c r="E38" i="35" s="1"/>
  <c r="E34" i="35"/>
  <c r="E33" i="35"/>
  <c r="E43" i="35" s="1"/>
  <c r="E46" i="35" s="1"/>
  <c r="E71" i="35" s="1"/>
  <c r="E55" i="35"/>
  <c r="E49" i="35"/>
  <c r="E50" i="35" s="1"/>
  <c r="E51" i="35" s="1"/>
  <c r="E45" i="35"/>
  <c r="D35" i="35"/>
  <c r="D38" i="35" s="1"/>
  <c r="D49" i="35"/>
  <c r="D50" i="35" s="1"/>
  <c r="D51" i="35" s="1"/>
  <c r="D55" i="35"/>
  <c r="D34" i="35"/>
  <c r="D33" i="35"/>
  <c r="D43" i="35" s="1"/>
  <c r="D46" i="35" s="1"/>
  <c r="D71" i="35" s="1"/>
  <c r="I68" i="35" l="1"/>
  <c r="I60" i="35"/>
  <c r="F68" i="35"/>
  <c r="F60" i="35"/>
  <c r="E68" i="35"/>
  <c r="E60" i="35"/>
  <c r="D60" i="35"/>
  <c r="D68" i="35"/>
  <c r="I75" i="35" l="1"/>
  <c r="I78" i="35" s="1"/>
  <c r="I80" i="35" s="1"/>
  <c r="I74" i="35"/>
  <c r="I77" i="35" s="1"/>
  <c r="I73" i="35"/>
  <c r="I76" i="35" s="1"/>
  <c r="F73" i="35"/>
  <c r="F76" i="35" s="1"/>
  <c r="F74" i="35"/>
  <c r="F77" i="35" s="1"/>
  <c r="F75" i="35"/>
  <c r="F78" i="35" s="1"/>
  <c r="F80" i="35" s="1"/>
  <c r="E73" i="35"/>
  <c r="E76" i="35" s="1"/>
  <c r="E74" i="35"/>
  <c r="E77" i="35" s="1"/>
  <c r="E75" i="35"/>
  <c r="E78" i="35" s="1"/>
  <c r="E80" i="35" s="1"/>
  <c r="D73" i="35"/>
  <c r="D76" i="35" s="1"/>
  <c r="D75" i="35"/>
  <c r="D78" i="35" s="1"/>
  <c r="D80" i="35" s="1"/>
  <c r="D74" i="35"/>
  <c r="D77" i="35" s="1"/>
  <c r="I93" i="35" l="1"/>
  <c r="I87" i="35"/>
  <c r="I85" i="35"/>
  <c r="I91" i="35" s="1"/>
  <c r="I88" i="35"/>
  <c r="I94" i="35"/>
  <c r="I86" i="35"/>
  <c r="I92" i="35" s="1"/>
  <c r="I97" i="35"/>
  <c r="I82" i="35"/>
  <c r="F97" i="35"/>
  <c r="F82" i="35"/>
  <c r="F94" i="35"/>
  <c r="F88" i="35"/>
  <c r="F86" i="35"/>
  <c r="F92" i="35" s="1"/>
  <c r="F85" i="35"/>
  <c r="F91" i="35" s="1"/>
  <c r="F93" i="35"/>
  <c r="F87" i="35"/>
  <c r="E97" i="35"/>
  <c r="E82" i="35"/>
  <c r="E94" i="35"/>
  <c r="E86" i="35"/>
  <c r="E92" i="35" s="1"/>
  <c r="E88" i="35"/>
  <c r="E85" i="35"/>
  <c r="E91" i="35" s="1"/>
  <c r="E93" i="35"/>
  <c r="E87" i="35"/>
  <c r="D94" i="35"/>
  <c r="D88" i="35"/>
  <c r="D86" i="35"/>
  <c r="D92" i="35" s="1"/>
  <c r="D97" i="35"/>
  <c r="D82" i="35"/>
  <c r="D85" i="35"/>
  <c r="D91" i="35" s="1"/>
  <c r="D93" i="35"/>
  <c r="D87" i="35"/>
  <c r="C44" i="35" l="1"/>
  <c r="C37" i="35"/>
  <c r="C16" i="35"/>
  <c r="C18" i="35" s="1"/>
  <c r="C21" i="35" s="1"/>
  <c r="C10" i="35"/>
  <c r="C6" i="35"/>
  <c r="C8" i="35" s="1"/>
  <c r="N49" i="38"/>
  <c r="M49" i="38"/>
  <c r="I49" i="38"/>
  <c r="H49" i="38"/>
  <c r="G49" i="38"/>
  <c r="F49" i="38"/>
  <c r="E49" i="38"/>
  <c r="N48" i="38"/>
  <c r="M48" i="38"/>
  <c r="I46" i="38"/>
  <c r="N42" i="38"/>
  <c r="M42" i="38"/>
  <c r="I42" i="38"/>
  <c r="H42" i="38"/>
  <c r="G42" i="38"/>
  <c r="F42" i="38"/>
  <c r="E42" i="38"/>
  <c r="I20" i="38"/>
  <c r="H20" i="38"/>
  <c r="G20" i="38"/>
  <c r="F20" i="38"/>
  <c r="E20" i="38"/>
  <c r="N16" i="38"/>
  <c r="N18" i="38" s="1"/>
  <c r="M16" i="38"/>
  <c r="M18" i="38" s="1"/>
  <c r="I16" i="38"/>
  <c r="I18" i="38" s="1"/>
  <c r="H16" i="38"/>
  <c r="H18" i="38" s="1"/>
  <c r="G16" i="38"/>
  <c r="G18" i="38" s="1"/>
  <c r="F16" i="38"/>
  <c r="F18" i="38" s="1"/>
  <c r="E16" i="38"/>
  <c r="E18" i="38" s="1"/>
  <c r="N10" i="38"/>
  <c r="N11" i="38" s="1"/>
  <c r="M10" i="38"/>
  <c r="M11" i="38" s="1"/>
  <c r="I10" i="38"/>
  <c r="I11" i="38" s="1"/>
  <c r="H10" i="38"/>
  <c r="H46" i="38" s="1"/>
  <c r="G10" i="38"/>
  <c r="G11" i="38" s="1"/>
  <c r="F10" i="38"/>
  <c r="F11" i="38" s="1"/>
  <c r="E10" i="38"/>
  <c r="E11" i="38" s="1"/>
  <c r="N6" i="38"/>
  <c r="N8" i="38" s="1"/>
  <c r="M6" i="38"/>
  <c r="M8" i="38" s="1"/>
  <c r="I6" i="38"/>
  <c r="I8" i="38" s="1"/>
  <c r="H6" i="38"/>
  <c r="H8" i="38" s="1"/>
  <c r="G6" i="38"/>
  <c r="G8" i="38" s="1"/>
  <c r="F6" i="38"/>
  <c r="F8" i="38" s="1"/>
  <c r="E6" i="38"/>
  <c r="E8" i="38" s="1"/>
  <c r="C41" i="35" l="1"/>
  <c r="N46" i="38"/>
  <c r="N51" i="38" s="1"/>
  <c r="G46" i="38"/>
  <c r="C26" i="35"/>
  <c r="C59" i="35" s="1"/>
  <c r="C11" i="35"/>
  <c r="N22" i="38"/>
  <c r="N24" i="38"/>
  <c r="E22" i="38"/>
  <c r="E24" i="38"/>
  <c r="F22" i="38"/>
  <c r="F24" i="38"/>
  <c r="G22" i="38"/>
  <c r="G24" i="38"/>
  <c r="H24" i="38"/>
  <c r="H22" i="38"/>
  <c r="I22" i="38"/>
  <c r="I24" i="38"/>
  <c r="M24" i="38"/>
  <c r="M22" i="38"/>
  <c r="M46" i="38"/>
  <c r="M51" i="38" s="1"/>
  <c r="H11" i="38"/>
  <c r="E46" i="38"/>
  <c r="F46" i="38"/>
  <c r="C58" i="35" l="1"/>
  <c r="C65" i="35"/>
  <c r="C64" i="35"/>
  <c r="C67" i="35" s="1"/>
  <c r="C23" i="35"/>
  <c r="C24" i="35" s="1"/>
  <c r="C22" i="35"/>
  <c r="F25" i="38"/>
  <c r="F26" i="38" s="1"/>
  <c r="F23" i="38"/>
  <c r="E25" i="38"/>
  <c r="E26" i="38" s="1"/>
  <c r="E23" i="38"/>
  <c r="I23" i="38"/>
  <c r="I25" i="38"/>
  <c r="I26" i="38" s="1"/>
  <c r="H25" i="38"/>
  <c r="H26" i="38" s="1"/>
  <c r="H23" i="38"/>
  <c r="M25" i="38"/>
  <c r="M23" i="38"/>
  <c r="G25" i="38"/>
  <c r="G26" i="38" s="1"/>
  <c r="G23" i="38"/>
  <c r="N25" i="38"/>
  <c r="N23" i="38"/>
  <c r="C25" i="35" l="1"/>
  <c r="C28" i="35"/>
  <c r="E29" i="38"/>
  <c r="E30" i="38"/>
  <c r="N26" i="38"/>
  <c r="N30" i="38" s="1"/>
  <c r="H33" i="38"/>
  <c r="H28" i="38"/>
  <c r="H27" i="38"/>
  <c r="E33" i="38"/>
  <c r="E27" i="38"/>
  <c r="E28" i="38"/>
  <c r="F33" i="38"/>
  <c r="F27" i="38"/>
  <c r="F28" i="38"/>
  <c r="G29" i="38"/>
  <c r="G30" i="38"/>
  <c r="I33" i="38"/>
  <c r="I27" i="38"/>
  <c r="I28" i="38"/>
  <c r="M26" i="38"/>
  <c r="M30" i="38" s="1"/>
  <c r="F29" i="38"/>
  <c r="F30" i="38"/>
  <c r="H30" i="38"/>
  <c r="H29" i="38"/>
  <c r="G33" i="38"/>
  <c r="G27" i="38"/>
  <c r="G31" i="38" s="1"/>
  <c r="G28" i="38"/>
  <c r="I30" i="38"/>
  <c r="I29" i="38"/>
  <c r="E31" i="38" l="1"/>
  <c r="I31" i="38"/>
  <c r="C30" i="35"/>
  <c r="C29" i="35"/>
  <c r="C48" i="35"/>
  <c r="C32" i="35"/>
  <c r="H31" i="38"/>
  <c r="E34" i="38"/>
  <c r="E36" i="38" s="1"/>
  <c r="E53" i="38"/>
  <c r="E54" i="38" s="1"/>
  <c r="E55" i="38" s="1"/>
  <c r="E56" i="38" s="1"/>
  <c r="E35" i="38"/>
  <c r="E37" i="38"/>
  <c r="E41" i="38" s="1"/>
  <c r="F31" i="38"/>
  <c r="H53" i="38"/>
  <c r="H54" i="38" s="1"/>
  <c r="H55" i="38" s="1"/>
  <c r="H56" i="38" s="1"/>
  <c r="H34" i="38"/>
  <c r="H35" i="38"/>
  <c r="H37" i="38"/>
  <c r="M33" i="38"/>
  <c r="M27" i="38"/>
  <c r="M31" i="38" s="1"/>
  <c r="F53" i="38"/>
  <c r="F54" i="38" s="1"/>
  <c r="F55" i="38" s="1"/>
  <c r="F56" i="38" s="1"/>
  <c r="F34" i="38"/>
  <c r="F35" i="38"/>
  <c r="F37" i="38"/>
  <c r="N27" i="38"/>
  <c r="N31" i="38" s="1"/>
  <c r="N33" i="38"/>
  <c r="G53" i="38"/>
  <c r="G54" i="38" s="1"/>
  <c r="G55" i="38" s="1"/>
  <c r="G56" i="38" s="1"/>
  <c r="G34" i="38"/>
  <c r="G35" i="38"/>
  <c r="G37" i="38"/>
  <c r="I53" i="38"/>
  <c r="I54" i="38" s="1"/>
  <c r="I55" i="38" s="1"/>
  <c r="I56" i="38" s="1"/>
  <c r="I34" i="38"/>
  <c r="I35" i="38"/>
  <c r="I37" i="38"/>
  <c r="C49" i="35" l="1"/>
  <c r="C50" i="35" s="1"/>
  <c r="C51" i="35" s="1"/>
  <c r="C55" i="35"/>
  <c r="I50" i="38"/>
  <c r="E50" i="38"/>
  <c r="C45" i="35"/>
  <c r="C34" i="35"/>
  <c r="C33" i="35"/>
  <c r="C43" i="35" s="1"/>
  <c r="C46" i="35" s="1"/>
  <c r="C71" i="35" s="1"/>
  <c r="C36" i="35"/>
  <c r="C31" i="35"/>
  <c r="E40" i="38"/>
  <c r="E43" i="38" s="1"/>
  <c r="H50" i="38"/>
  <c r="G50" i="38"/>
  <c r="F50" i="38"/>
  <c r="E38" i="38"/>
  <c r="E48" i="38" s="1"/>
  <c r="E51" i="38" s="1"/>
  <c r="E39" i="38"/>
  <c r="G38" i="38"/>
  <c r="G48" i="38" s="1"/>
  <c r="G51" i="38" s="1"/>
  <c r="G39" i="38"/>
  <c r="G36" i="38"/>
  <c r="F36" i="38"/>
  <c r="I39" i="38"/>
  <c r="I38" i="38"/>
  <c r="G41" i="38"/>
  <c r="I36" i="38"/>
  <c r="N35" i="38"/>
  <c r="N53" i="38"/>
  <c r="N54" i="38" s="1"/>
  <c r="N55" i="38" s="1"/>
  <c r="N56" i="38" s="1"/>
  <c r="N34" i="38"/>
  <c r="N36" i="38"/>
  <c r="N41" i="38" s="1"/>
  <c r="N43" i="38" s="1"/>
  <c r="M34" i="38"/>
  <c r="M35" i="38"/>
  <c r="M53" i="38"/>
  <c r="M54" i="38" s="1"/>
  <c r="M55" i="38" s="1"/>
  <c r="M56" i="38" s="1"/>
  <c r="M36" i="38"/>
  <c r="M41" i="38" s="1"/>
  <c r="M43" i="38" s="1"/>
  <c r="F38" i="38"/>
  <c r="F39" i="38"/>
  <c r="H36" i="38"/>
  <c r="H39" i="38"/>
  <c r="H38" i="38"/>
  <c r="C68" i="35" l="1"/>
  <c r="C73" i="35" s="1"/>
  <c r="C76" i="35" s="1"/>
  <c r="C60" i="35"/>
  <c r="N50" i="38"/>
  <c r="C35" i="35"/>
  <c r="C38" i="35" s="1"/>
  <c r="M50" i="38"/>
  <c r="H40" i="38"/>
  <c r="H41" i="38" s="1"/>
  <c r="H43" i="38" s="1"/>
  <c r="H48" i="38"/>
  <c r="H51" i="38" s="1"/>
  <c r="G40" i="38"/>
  <c r="G43" i="38" s="1"/>
  <c r="I40" i="38"/>
  <c r="I41" i="38" s="1"/>
  <c r="I43" i="38" s="1"/>
  <c r="I48" i="38"/>
  <c r="I51" i="38" s="1"/>
  <c r="F48" i="38"/>
  <c r="F51" i="38" s="1"/>
  <c r="F40" i="38"/>
  <c r="F41" i="38" s="1"/>
  <c r="F43" i="38" s="1"/>
  <c r="C75" i="35" l="1"/>
  <c r="C78" i="35" s="1"/>
  <c r="C80" i="35" s="1"/>
  <c r="C97" i="35" s="1"/>
  <c r="C74" i="35"/>
  <c r="C77" i="35" s="1"/>
  <c r="C86" i="35" s="1"/>
  <c r="C92" i="35" s="1"/>
  <c r="C85" i="35"/>
  <c r="C91" i="35" s="1"/>
  <c r="C87" i="35"/>
  <c r="C93" i="35"/>
  <c r="C88" i="35" l="1"/>
  <c r="C94" i="35"/>
  <c r="C82" i="35"/>
  <c r="J7" i="30"/>
  <c r="J8" i="30" s="1"/>
  <c r="J10" i="30" s="1"/>
</calcChain>
</file>

<file path=xl/sharedStrings.xml><?xml version="1.0" encoding="utf-8"?>
<sst xmlns="http://schemas.openxmlformats.org/spreadsheetml/2006/main" count="1869" uniqueCount="1022">
  <si>
    <t>V</t>
    <phoneticPr fontId="8" type="noConversion"/>
  </si>
  <si>
    <t>A</t>
    <phoneticPr fontId="8" type="noConversion"/>
  </si>
  <si>
    <t>%</t>
    <phoneticPr fontId="8" type="noConversion"/>
  </si>
  <si>
    <t>코일턴수</t>
    <phoneticPr fontId="8" type="noConversion"/>
  </si>
  <si>
    <t>Turns</t>
    <phoneticPr fontId="8" type="noConversion"/>
  </si>
  <si>
    <t>내부직경</t>
    <phoneticPr fontId="8" type="noConversion"/>
  </si>
  <si>
    <t>mm</t>
    <phoneticPr fontId="8" type="noConversion"/>
  </si>
  <si>
    <t>높이</t>
    <phoneticPr fontId="8" type="noConversion"/>
  </si>
  <si>
    <t>인덕턴스</t>
    <phoneticPr fontId="8" type="noConversion"/>
  </si>
  <si>
    <t>uH</t>
    <phoneticPr fontId="8" type="noConversion"/>
  </si>
  <si>
    <t>Hz</t>
    <phoneticPr fontId="8" type="noConversion"/>
  </si>
  <si>
    <t>uH</t>
  </si>
  <si>
    <t>Hz (결과)</t>
    <phoneticPr fontId="8" type="noConversion"/>
  </si>
  <si>
    <t>uF</t>
  </si>
  <si>
    <t>cm</t>
    <phoneticPr fontId="8" type="noConversion"/>
  </si>
  <si>
    <t>kW</t>
    <phoneticPr fontId="8" type="noConversion"/>
  </si>
  <si>
    <t>uF</t>
    <phoneticPr fontId="8" type="noConversion"/>
  </si>
  <si>
    <t>kHz</t>
    <phoneticPr fontId="8" type="noConversion"/>
  </si>
  <si>
    <t>직렬 인덕턴스 계산 공식</t>
    <phoneticPr fontId="8" type="noConversion"/>
  </si>
  <si>
    <t>총등가L</t>
    <phoneticPr fontId="8" type="noConversion"/>
  </si>
  <si>
    <t>고객사</t>
    <phoneticPr fontId="9" type="noConversion"/>
  </si>
  <si>
    <t>비고</t>
    <phoneticPr fontId="9" type="noConversion"/>
  </si>
  <si>
    <t>전력</t>
    <phoneticPr fontId="9" type="noConversion"/>
  </si>
  <si>
    <t>예상 동작 주파수</t>
    <phoneticPr fontId="9" type="noConversion"/>
  </si>
  <si>
    <t>FUSE</t>
    <phoneticPr fontId="9" type="noConversion"/>
  </si>
  <si>
    <t>인러쉬 충전 및 과전압보호</t>
    <phoneticPr fontId="9" type="noConversion"/>
  </si>
  <si>
    <t>DC 인덕터</t>
    <phoneticPr fontId="9" type="noConversion"/>
  </si>
  <si>
    <t xml:space="preserve">코일 </t>
    <phoneticPr fontId="9" type="noConversion"/>
  </si>
  <si>
    <t>코일 연결 구조</t>
    <phoneticPr fontId="9" type="noConversion"/>
  </si>
  <si>
    <t>예상 Q값</t>
    <phoneticPr fontId="9" type="noConversion"/>
  </si>
  <si>
    <t>입력 선전류( 마진포함)</t>
    <phoneticPr fontId="9" type="noConversion"/>
  </si>
  <si>
    <t>입력 DC전류</t>
    <phoneticPr fontId="9" type="noConversion"/>
  </si>
  <si>
    <t>코일전류</t>
    <phoneticPr fontId="8" type="noConversion"/>
  </si>
  <si>
    <t>제어방식</t>
    <phoneticPr fontId="9" type="noConversion"/>
  </si>
  <si>
    <t>메인 컨트롤 보드</t>
    <phoneticPr fontId="8" type="noConversion"/>
  </si>
  <si>
    <t>사용 재료</t>
    <phoneticPr fontId="9" type="noConversion"/>
  </si>
  <si>
    <t>타프피치 동</t>
    <phoneticPr fontId="9" type="noConversion"/>
  </si>
  <si>
    <t>Tesla</t>
    <phoneticPr fontId="8" type="noConversion"/>
  </si>
  <si>
    <t>A</t>
    <phoneticPr fontId="8" type="noConversion"/>
  </si>
  <si>
    <t>중족단면적</t>
    <phoneticPr fontId="8" type="noConversion"/>
  </si>
  <si>
    <t>도체의 온도저항계수</t>
    <phoneticPr fontId="8" type="noConversion"/>
  </si>
  <si>
    <t>at 20℃</t>
    <phoneticPr fontId="8" type="noConversion"/>
  </si>
  <si>
    <t>도체의 온도</t>
    <phoneticPr fontId="8" type="noConversion"/>
  </si>
  <si>
    <t>℃</t>
  </si>
  <si>
    <t>VDC (동작: RUN 중)</t>
    <phoneticPr fontId="8" type="noConversion"/>
  </si>
  <si>
    <t>turn</t>
    <phoneticPr fontId="8" type="noConversion"/>
  </si>
  <si>
    <t xml:space="preserve">도체의 산출저항 </t>
    <phoneticPr fontId="8" type="noConversion"/>
  </si>
  <si>
    <t>도체의 산출 전도도</t>
    <phoneticPr fontId="9" type="noConversion"/>
  </si>
  <si>
    <t>[SIMENS/m]</t>
    <phoneticPr fontId="9" type="noConversion"/>
  </si>
  <si>
    <t>비투자율</t>
    <phoneticPr fontId="8" type="noConversion"/>
  </si>
  <si>
    <t>ui</t>
    <phoneticPr fontId="9" type="noConversion"/>
  </si>
  <si>
    <t>주파수</t>
    <phoneticPr fontId="8" type="noConversion"/>
  </si>
  <si>
    <t>[mm]</t>
    <phoneticPr fontId="9" type="noConversion"/>
  </si>
  <si>
    <t>공진주파수</t>
    <phoneticPr fontId="8" type="noConversion"/>
  </si>
  <si>
    <t>배선길이</t>
    <phoneticPr fontId="8" type="noConversion"/>
  </si>
  <si>
    <t xml:space="preserve">두께 : 부스바 </t>
    <phoneticPr fontId="8" type="noConversion"/>
  </si>
  <si>
    <t>Min(스킨뎁스,두께)</t>
    <phoneticPr fontId="8" type="noConversion"/>
  </si>
  <si>
    <t>콘덴서</t>
    <phoneticPr fontId="8" type="noConversion"/>
  </si>
  <si>
    <t xml:space="preserve">부스바 폭(너비) </t>
    <phoneticPr fontId="8" type="noConversion"/>
  </si>
  <si>
    <t>DC LINK CAP RIPPLE Voltage</t>
    <phoneticPr fontId="8" type="noConversion"/>
  </si>
  <si>
    <t>kHz</t>
    <phoneticPr fontId="8" type="noConversion"/>
  </si>
  <si>
    <t>단면적</t>
    <phoneticPr fontId="8" type="noConversion"/>
  </si>
  <si>
    <t>[mmSQ]</t>
    <phoneticPr fontId="9" type="noConversion"/>
  </si>
  <si>
    <t>인가전류</t>
    <phoneticPr fontId="8" type="noConversion"/>
  </si>
  <si>
    <t>[A]</t>
    <phoneticPr fontId="8" type="noConversion"/>
  </si>
  <si>
    <t>mmSQ당 전류</t>
    <phoneticPr fontId="8" type="noConversion"/>
  </si>
  <si>
    <t>발열량</t>
    <phoneticPr fontId="8" type="noConversion"/>
  </si>
  <si>
    <t>[W]</t>
    <phoneticPr fontId="8" type="noConversion"/>
  </si>
  <si>
    <t>nF</t>
    <phoneticPr fontId="9" type="noConversion"/>
  </si>
  <si>
    <t>C스너버 보드당 C갯수</t>
    <phoneticPr fontId="9" type="noConversion"/>
  </si>
  <si>
    <t>개</t>
    <phoneticPr fontId="9" type="noConversion"/>
  </si>
  <si>
    <t>Arms</t>
    <phoneticPr fontId="9" type="noConversion"/>
  </si>
  <si>
    <t>가로(외곽)</t>
    <phoneticPr fontId="8" type="noConversion"/>
  </si>
  <si>
    <t>&lt;동 부스바(DC) 발열량 계산 공식&gt;</t>
    <phoneticPr fontId="8" type="noConversion"/>
  </si>
  <si>
    <t>요청 일시</t>
  </si>
  <si>
    <t>납품 일시</t>
  </si>
  <si>
    <t>SET_TURN_RATIO</t>
  </si>
  <si>
    <t>FLT2</t>
  </si>
  <si>
    <t>FLT3</t>
  </si>
  <si>
    <t>FLT4</t>
  </si>
  <si>
    <t>FLT5</t>
  </si>
  <si>
    <t>FLT6</t>
  </si>
  <si>
    <t>FLT7</t>
  </si>
  <si>
    <t>소선: 18 Ø ,2t</t>
  </si>
  <si>
    <t>양쪽 출력이 서로 반대 방향의 회전이 되어야 함.(시계 방향, 반 시계 방향)</t>
  </si>
  <si>
    <t>비고</t>
    <phoneticPr fontId="8" type="noConversion"/>
  </si>
  <si>
    <t>내용</t>
    <phoneticPr fontId="8" type="noConversion"/>
  </si>
  <si>
    <t>직렬 인덕터 설계 결과</t>
    <phoneticPr fontId="8" type="noConversion"/>
  </si>
  <si>
    <t>DC 초크 인덕터 설계 시트</t>
    <phoneticPr fontId="8" type="noConversion"/>
  </si>
  <si>
    <t>Pin</t>
    <phoneticPr fontId="8" type="noConversion"/>
  </si>
  <si>
    <t>a</t>
    <phoneticPr fontId="8" type="noConversion"/>
  </si>
  <si>
    <t>Frequency</t>
    <phoneticPr fontId="8" type="noConversion"/>
  </si>
  <si>
    <t>Ton</t>
    <phoneticPr fontId="8" type="noConversion"/>
  </si>
  <si>
    <t>Vin,min</t>
    <phoneticPr fontId="8" type="noConversion"/>
  </si>
  <si>
    <t>유효단면적</t>
    <phoneticPr fontId="8" type="noConversion"/>
  </si>
  <si>
    <t>cut-off주파수</t>
    <phoneticPr fontId="8" type="noConversion"/>
  </si>
  <si>
    <t>MLT(Mean Length of Turn)</t>
    <phoneticPr fontId="8" type="noConversion"/>
  </si>
  <si>
    <t>층</t>
    <phoneticPr fontId="8" type="noConversion"/>
  </si>
  <si>
    <t>ms</t>
    <phoneticPr fontId="8" type="noConversion"/>
  </si>
  <si>
    <t>e</t>
    <phoneticPr fontId="8" type="noConversion"/>
  </si>
  <si>
    <t>전류 밀도</t>
    <phoneticPr fontId="8" type="noConversion"/>
  </si>
  <si>
    <t>Vin,min %</t>
    <phoneticPr fontId="8" type="noConversion"/>
  </si>
  <si>
    <t>측정값 검증</t>
    <phoneticPr fontId="8" type="noConversion"/>
  </si>
  <si>
    <t>V*ms</t>
    <phoneticPr fontId="8" type="noConversion"/>
  </si>
  <si>
    <t>Iin,dc</t>
    <phoneticPr fontId="8" type="noConversion"/>
  </si>
  <si>
    <t>f</t>
    <phoneticPr fontId="8" type="noConversion"/>
  </si>
  <si>
    <t>Ripple</t>
    <phoneticPr fontId="8" type="noConversion"/>
  </si>
  <si>
    <t>코아 단가</t>
    <phoneticPr fontId="8" type="noConversion"/>
  </si>
  <si>
    <t>Inductance</t>
    <phoneticPr fontId="8" type="noConversion"/>
  </si>
  <si>
    <t>mH</t>
    <phoneticPr fontId="8" type="noConversion"/>
  </si>
  <si>
    <t>Kg</t>
    <phoneticPr fontId="8" type="noConversion"/>
  </si>
  <si>
    <t>Saturation Current</t>
    <phoneticPr fontId="8" type="noConversion"/>
  </si>
  <si>
    <t>Bmax</t>
    <phoneticPr fontId="8" type="noConversion"/>
  </si>
  <si>
    <t>Ac(Core Area)</t>
    <phoneticPr fontId="8" type="noConversion"/>
  </si>
  <si>
    <t>코아</t>
    <phoneticPr fontId="8" type="noConversion"/>
  </si>
  <si>
    <t>권선 단가</t>
    <phoneticPr fontId="8" type="noConversion"/>
  </si>
  <si>
    <t>원/m</t>
    <phoneticPr fontId="8" type="noConversion"/>
  </si>
  <si>
    <t>만원</t>
    <phoneticPr fontId="8" type="noConversion"/>
  </si>
  <si>
    <t>cm^2</t>
    <phoneticPr fontId="8" type="noConversion"/>
  </si>
  <si>
    <t>22파이 3.0t</t>
    <phoneticPr fontId="8" type="noConversion"/>
  </si>
  <si>
    <t>최소 L값</t>
    <phoneticPr fontId="8" type="noConversion"/>
  </si>
  <si>
    <t>기준 L값</t>
    <phoneticPr fontId="8" type="noConversion"/>
  </si>
  <si>
    <t>상호인덕턴스 영향</t>
    <phoneticPr fontId="8" type="noConversion"/>
  </si>
  <si>
    <t>총 등가 인덕턴스(상호L포함)</t>
    <phoneticPr fontId="8" type="noConversion"/>
  </si>
  <si>
    <t>Vin[V]</t>
    <phoneticPr fontId="8" type="noConversion"/>
  </si>
  <si>
    <t>규소 강판</t>
    <phoneticPr fontId="8" type="noConversion"/>
  </si>
  <si>
    <t>Vripple factor</t>
    <phoneticPr fontId="8" type="noConversion"/>
  </si>
  <si>
    <t xml:space="preserve">권선 파이프 </t>
    <phoneticPr fontId="8" type="noConversion"/>
  </si>
  <si>
    <t>Vaverage</t>
    <phoneticPr fontId="8" type="noConversion"/>
  </si>
  <si>
    <t>b</t>
    <phoneticPr fontId="8" type="noConversion"/>
  </si>
  <si>
    <t>권선 단면적</t>
    <phoneticPr fontId="8" type="noConversion"/>
  </si>
  <si>
    <t>mm^2</t>
    <phoneticPr fontId="8" type="noConversion"/>
  </si>
  <si>
    <t>Duty Ratio</t>
    <phoneticPr fontId="8" type="noConversion"/>
  </si>
  <si>
    <t>c</t>
    <phoneticPr fontId="8" type="noConversion"/>
  </si>
  <si>
    <t>층당 권선수</t>
    <phoneticPr fontId="8" type="noConversion"/>
  </si>
  <si>
    <t>도체 고유전기저항</t>
    <phoneticPr fontId="8" type="noConversion"/>
  </si>
  <si>
    <t>[Ωm×10E-8]</t>
    <phoneticPr fontId="8" type="noConversion"/>
  </si>
  <si>
    <t>d</t>
    <phoneticPr fontId="8" type="noConversion"/>
  </si>
  <si>
    <t xml:space="preserve">권선층 </t>
    <phoneticPr fontId="8" type="noConversion"/>
  </si>
  <si>
    <t>A/mm^2</t>
    <phoneticPr fontId="8" type="noConversion"/>
  </si>
  <si>
    <t>Vdc,min</t>
    <phoneticPr fontId="8" type="noConversion"/>
  </si>
  <si>
    <t>V*Ton</t>
    <phoneticPr fontId="8" type="noConversion"/>
  </si>
  <si>
    <t>Skin Depth</t>
    <phoneticPr fontId="8" type="noConversion"/>
  </si>
  <si>
    <t>Iripple</t>
    <phoneticPr fontId="8" type="noConversion"/>
  </si>
  <si>
    <t>[mm]</t>
    <phoneticPr fontId="9" type="noConversion"/>
  </si>
  <si>
    <t>중량</t>
    <phoneticPr fontId="8" type="noConversion"/>
  </si>
  <si>
    <t>Frequency Cut Off</t>
    <phoneticPr fontId="8" type="noConversion"/>
  </si>
  <si>
    <t>&lt;Cut-off frequency&gt;</t>
    <phoneticPr fontId="24" type="noConversion"/>
  </si>
  <si>
    <t>DC Capacitor</t>
    <phoneticPr fontId="8" type="noConversion"/>
  </si>
  <si>
    <t>dc콘덴서</t>
    <phoneticPr fontId="8" type="noConversion"/>
  </si>
  <si>
    <t>dc인덕터</t>
    <phoneticPr fontId="8" type="noConversion"/>
  </si>
  <si>
    <t>[mmSQ]</t>
    <phoneticPr fontId="9" type="noConversion"/>
  </si>
  <si>
    <t>AP(Area Product)</t>
    <phoneticPr fontId="8" type="noConversion"/>
  </si>
  <si>
    <t>cm^4</t>
    <phoneticPr fontId="8" type="noConversion"/>
  </si>
  <si>
    <t>Temperature Rise</t>
    <phoneticPr fontId="8" type="noConversion"/>
  </si>
  <si>
    <t>Core</t>
    <phoneticPr fontId="8" type="noConversion"/>
  </si>
  <si>
    <t>Silicon</t>
    <phoneticPr fontId="8" type="noConversion"/>
  </si>
  <si>
    <t>Wa(Window Area)</t>
    <phoneticPr fontId="8" type="noConversion"/>
  </si>
  <si>
    <t>Core Configuration</t>
    <phoneticPr fontId="8" type="noConversion"/>
  </si>
  <si>
    <t>At(Area of Core surface)</t>
    <phoneticPr fontId="8" type="noConversion"/>
  </si>
  <si>
    <t>dB</t>
    <phoneticPr fontId="8" type="noConversion"/>
  </si>
  <si>
    <t>&lt;소선 단가&gt;</t>
    <phoneticPr fontId="24" type="noConversion"/>
  </si>
  <si>
    <t>G</t>
    <phoneticPr fontId="8" type="noConversion"/>
  </si>
  <si>
    <t>25파이 2.5t</t>
    <phoneticPr fontId="8" type="noConversion"/>
  </si>
  <si>
    <t>25파이 3.0t</t>
    <phoneticPr fontId="8" type="noConversion"/>
  </si>
  <si>
    <t>병렬수</t>
    <phoneticPr fontId="8" type="noConversion"/>
  </si>
  <si>
    <t>조</t>
    <phoneticPr fontId="8" type="noConversion"/>
  </si>
  <si>
    <t>nging</t>
    <phoneticPr fontId="8" type="noConversion"/>
  </si>
  <si>
    <t>22파이 2.5t</t>
    <phoneticPr fontId="8" type="noConversion"/>
  </si>
  <si>
    <t>총단면적</t>
    <phoneticPr fontId="8" type="noConversion"/>
  </si>
  <si>
    <t>AP(Area Product) total</t>
    <phoneticPr fontId="8" type="noConversion"/>
  </si>
  <si>
    <t>Ac(Core Area) total</t>
    <phoneticPr fontId="8" type="noConversion"/>
  </si>
  <si>
    <t>15.9파이 1.5t</t>
    <phoneticPr fontId="8" type="noConversion"/>
  </si>
  <si>
    <t>Minimum turn number</t>
    <phoneticPr fontId="8" type="noConversion"/>
  </si>
  <si>
    <t>MLT(Mean Length Turn total)</t>
    <phoneticPr fontId="8" type="noConversion"/>
  </si>
  <si>
    <t>권선길이[m]</t>
    <phoneticPr fontId="8" type="noConversion"/>
  </si>
  <si>
    <t>15.9파이 2t</t>
    <phoneticPr fontId="8" type="noConversion"/>
  </si>
  <si>
    <t>Gap</t>
    <phoneticPr fontId="8" type="noConversion"/>
  </si>
  <si>
    <t>Wtfe(Core Weight)</t>
    <phoneticPr fontId="8" type="noConversion"/>
  </si>
  <si>
    <r>
      <t>12.7파이 1.</t>
    </r>
    <r>
      <rPr>
        <sz val="11"/>
        <color theme="1"/>
        <rFont val="맑은 고딕"/>
        <family val="2"/>
        <charset val="129"/>
        <scheme val="minor"/>
      </rPr>
      <t>1</t>
    </r>
    <r>
      <rPr>
        <sz val="11"/>
        <color theme="1"/>
        <rFont val="맑은 고딕"/>
        <family val="2"/>
        <charset val="129"/>
        <scheme val="minor"/>
      </rPr>
      <t>t</t>
    </r>
    <phoneticPr fontId="8" type="noConversion"/>
  </si>
  <si>
    <t>Gap 수</t>
    <phoneticPr fontId="24" type="noConversion"/>
  </si>
  <si>
    <t>12.7파이 1t, 코팅</t>
    <phoneticPr fontId="8" type="noConversion"/>
  </si>
  <si>
    <t>Gap Paper</t>
    <phoneticPr fontId="8" type="noConversion"/>
  </si>
  <si>
    <t>코아+권선 단가</t>
    <phoneticPr fontId="24" type="noConversion"/>
  </si>
  <si>
    <t>Gap Paper/코아 길이(소)</t>
    <phoneticPr fontId="8" type="noConversion"/>
  </si>
  <si>
    <t>계산 L값</t>
    <phoneticPr fontId="8" type="noConversion"/>
  </si>
  <si>
    <t>Fringing Factor</t>
    <phoneticPr fontId="8" type="noConversion"/>
  </si>
  <si>
    <t>예상 L</t>
    <phoneticPr fontId="8" type="noConversion"/>
  </si>
  <si>
    <t>권선폭</t>
    <phoneticPr fontId="8" type="noConversion"/>
  </si>
  <si>
    <t>권선두께</t>
    <phoneticPr fontId="8" type="noConversion"/>
  </si>
  <si>
    <t>절연층두께</t>
    <phoneticPr fontId="8" type="noConversion"/>
  </si>
  <si>
    <t>권선면적</t>
    <phoneticPr fontId="8" type="noConversion"/>
  </si>
  <si>
    <t>창이용율</t>
    <phoneticPr fontId="8" type="noConversion"/>
  </si>
  <si>
    <t>19파이 2t</t>
    <phoneticPr fontId="8" type="noConversion"/>
  </si>
  <si>
    <t>총 등가L (직렬 및 병렬 수량 포함)</t>
    <phoneticPr fontId="8" type="noConversion"/>
  </si>
  <si>
    <t>4냉연 2CAL 적용 소선</t>
    <phoneticPr fontId="8" type="noConversion"/>
  </si>
  <si>
    <t>2000A</t>
    <phoneticPr fontId="9" type="noConversion"/>
  </si>
  <si>
    <t>Po</t>
    <phoneticPr fontId="8" type="noConversion"/>
  </si>
  <si>
    <t>Vin(입력선전압)</t>
    <phoneticPr fontId="8" type="noConversion"/>
  </si>
  <si>
    <t>역율</t>
    <phoneticPr fontId="8" type="noConversion"/>
  </si>
  <si>
    <t>입력선전류</t>
    <phoneticPr fontId="8" type="noConversion"/>
  </si>
  <si>
    <t>Current Density</t>
    <phoneticPr fontId="8" type="noConversion"/>
  </si>
  <si>
    <t>입력선 단면적</t>
    <phoneticPr fontId="8" type="noConversion"/>
  </si>
  <si>
    <t>Vdc</t>
    <phoneticPr fontId="8" type="noConversion"/>
  </si>
  <si>
    <t>Idc</t>
    <phoneticPr fontId="8" type="noConversion"/>
  </si>
  <si>
    <t>인버터 관련</t>
    <phoneticPr fontId="8" type="noConversion"/>
  </si>
  <si>
    <t>C</t>
    <phoneticPr fontId="8" type="noConversion"/>
  </si>
  <si>
    <t>Fr</t>
    <phoneticPr fontId="8" type="noConversion"/>
  </si>
  <si>
    <t>Phase MIN</t>
    <phoneticPr fontId="8" type="noConversion"/>
  </si>
  <si>
    <t>TAN(Phase MIN)</t>
    <phoneticPr fontId="8" type="noConversion"/>
  </si>
  <si>
    <t>Q</t>
    <phoneticPr fontId="8" type="noConversion"/>
  </si>
  <si>
    <t>Fs</t>
    <phoneticPr fontId="8" type="noConversion"/>
  </si>
  <si>
    <t>Zl at Fr</t>
    <phoneticPr fontId="8" type="noConversion"/>
  </si>
  <si>
    <t>Zl</t>
    <phoneticPr fontId="8" type="noConversion"/>
  </si>
  <si>
    <t>R</t>
    <phoneticPr fontId="8" type="noConversion"/>
  </si>
  <si>
    <t>Irmax at R</t>
    <phoneticPr fontId="8" type="noConversion"/>
  </si>
  <si>
    <t>COS(Phase MIN)</t>
    <phoneticPr fontId="8" type="noConversion"/>
  </si>
  <si>
    <t>Qsw-cap</t>
    <phoneticPr fontId="8" type="noConversion"/>
  </si>
  <si>
    <t>HB/FB</t>
    <phoneticPr fontId="8" type="noConversion"/>
  </si>
  <si>
    <t xml:space="preserve">Vac max </t>
    <phoneticPr fontId="8" type="noConversion"/>
  </si>
  <si>
    <t>Turn Ratio</t>
    <phoneticPr fontId="8" type="noConversion"/>
  </si>
  <si>
    <t>Duty</t>
    <phoneticPr fontId="8" type="noConversion"/>
  </si>
  <si>
    <t>Ir primary</t>
    <phoneticPr fontId="8" type="noConversion"/>
  </si>
  <si>
    <t>Ir avg</t>
    <phoneticPr fontId="8" type="noConversion"/>
  </si>
  <si>
    <t>Ir avg DC</t>
    <phoneticPr fontId="8" type="noConversion"/>
  </si>
  <si>
    <t>Ir avg DC/Idc</t>
    <phoneticPr fontId="8" type="noConversion"/>
  </si>
  <si>
    <t>A/㎟</t>
    <phoneticPr fontId="8" type="noConversion"/>
  </si>
  <si>
    <t>㎟</t>
  </si>
  <si>
    <t>°</t>
    <phoneticPr fontId="8" type="noConversion"/>
  </si>
  <si>
    <t>mΩ</t>
    <phoneticPr fontId="8" type="noConversion"/>
  </si>
  <si>
    <t>:1</t>
    <phoneticPr fontId="8" type="noConversion"/>
  </si>
  <si>
    <t>L(등가 L값)</t>
    <phoneticPr fontId="8" type="noConversion"/>
  </si>
  <si>
    <t>코일(CT1차)</t>
    <phoneticPr fontId="8" type="noConversion"/>
  </si>
  <si>
    <t>직렬인덕터 L</t>
    <phoneticPr fontId="8" type="noConversion"/>
  </si>
  <si>
    <t>Req</t>
    <phoneticPr fontId="8" type="noConversion"/>
  </si>
  <si>
    <t>Xeq</t>
    <phoneticPr fontId="8" type="noConversion"/>
  </si>
  <si>
    <t>Ws</t>
    <phoneticPr fontId="8" type="noConversion"/>
  </si>
  <si>
    <t>직렬인덕터L/코일L</t>
    <phoneticPr fontId="8" type="noConversion"/>
  </si>
  <si>
    <t>V</t>
    <phoneticPr fontId="8" type="noConversion"/>
  </si>
  <si>
    <t>V coil L</t>
    <phoneticPr fontId="8" type="noConversion"/>
  </si>
  <si>
    <t>V coil R</t>
    <phoneticPr fontId="8" type="noConversion"/>
  </si>
  <si>
    <t>I cap</t>
    <phoneticPr fontId="8" type="noConversion"/>
  </si>
  <si>
    <t>Zeq</t>
    <phoneticPr fontId="8" type="noConversion"/>
  </si>
  <si>
    <t>Vc Voltage (V coil)</t>
    <phoneticPr fontId="8" type="noConversion"/>
  </si>
  <si>
    <t>Vac 1차(M/T 포함)</t>
    <phoneticPr fontId="8" type="noConversion"/>
  </si>
  <si>
    <t>I coil/ Ir primary</t>
    <phoneticPr fontId="8" type="noConversion"/>
  </si>
  <si>
    <t xml:space="preserve">Ir </t>
    <phoneticPr fontId="8" type="noConversion"/>
  </si>
  <si>
    <t>V coil Voltage</t>
    <phoneticPr fontId="8" type="noConversion"/>
  </si>
  <si>
    <t>Vcap Voltage</t>
    <phoneticPr fontId="8" type="noConversion"/>
  </si>
  <si>
    <t>Vac 1차 out(인버터 출력)</t>
    <phoneticPr fontId="8" type="noConversion"/>
  </si>
  <si>
    <t>Req(등가)</t>
    <phoneticPr fontId="8" type="noConversion"/>
  </si>
  <si>
    <t>직렬인덕터 Voltage</t>
    <phoneticPr fontId="8" type="noConversion"/>
  </si>
  <si>
    <t>Z 직렬인덕터</t>
    <phoneticPr fontId="8" type="noConversion"/>
  </si>
  <si>
    <t>TAN(Phase MIN)_Vout/Ir</t>
    <phoneticPr fontId="8" type="noConversion"/>
  </si>
  <si>
    <t>Phase MIN_Vout/Ir</t>
    <phoneticPr fontId="8" type="noConversion"/>
  </si>
  <si>
    <t>V</t>
    <phoneticPr fontId="8" type="noConversion"/>
  </si>
  <si>
    <t>V</t>
    <phoneticPr fontId="8" type="noConversion"/>
  </si>
  <si>
    <t>A</t>
    <phoneticPr fontId="8" type="noConversion"/>
  </si>
  <si>
    <t>B</t>
    <phoneticPr fontId="8" type="noConversion"/>
  </si>
  <si>
    <t>A</t>
    <phoneticPr fontId="8" type="noConversion"/>
  </si>
  <si>
    <t>최대 Req(인버터출력 기준)</t>
    <phoneticPr fontId="8" type="noConversion"/>
  </si>
  <si>
    <t>IGBT 발열량 계산(기초)</t>
    <phoneticPr fontId="8" type="noConversion"/>
  </si>
  <si>
    <t>IGBT 병렬 수량</t>
    <phoneticPr fontId="8" type="noConversion"/>
  </si>
  <si>
    <t>IGBT IC RMS전류</t>
    <phoneticPr fontId="8" type="noConversion"/>
  </si>
  <si>
    <t>Total Gate Charge</t>
    <phoneticPr fontId="8" type="noConversion"/>
  </si>
  <si>
    <t>게이트 전압</t>
    <phoneticPr fontId="8" type="noConversion"/>
  </si>
  <si>
    <t>게이트 구동손실</t>
    <phoneticPr fontId="8" type="noConversion"/>
  </si>
  <si>
    <t>Switching Frequency</t>
    <phoneticPr fontId="8" type="noConversion"/>
  </si>
  <si>
    <t>Switching Current(peak)</t>
    <phoneticPr fontId="8" type="noConversion"/>
  </si>
  <si>
    <t>Off Switching Energy</t>
    <phoneticPr fontId="8" type="noConversion"/>
  </si>
  <si>
    <t>On Switching Energy(ZVS)</t>
    <phoneticPr fontId="8" type="noConversion"/>
  </si>
  <si>
    <t>Diode 역방향 회복 Energy(ZVS)</t>
    <phoneticPr fontId="8" type="noConversion"/>
  </si>
  <si>
    <t>IGBT Switching Loss/Device</t>
    <phoneticPr fontId="8" type="noConversion"/>
  </si>
  <si>
    <t>Diode 역방향 회복 손실(ZVS)</t>
    <phoneticPr fontId="8" type="noConversion"/>
  </si>
  <si>
    <t>스너버 손실 비율</t>
  </si>
  <si>
    <t>IGBT Switching Loss/Device_스너버손실비율 포함</t>
    <phoneticPr fontId="8" type="noConversion"/>
  </si>
  <si>
    <t>IC 평균전류</t>
    <phoneticPr fontId="8" type="noConversion"/>
  </si>
  <si>
    <t>IGBT VCE Saturation</t>
    <phoneticPr fontId="8" type="noConversion"/>
  </si>
  <si>
    <t>Diode Vf</t>
    <phoneticPr fontId="8" type="noConversion"/>
  </si>
  <si>
    <t>위상지연각</t>
    <phoneticPr fontId="8" type="noConversion"/>
  </si>
  <si>
    <t>IGBT Conduction Loss</t>
    <phoneticPr fontId="8" type="noConversion"/>
  </si>
  <si>
    <t>Diode Conduction Loss</t>
    <phoneticPr fontId="8" type="noConversion"/>
  </si>
  <si>
    <t>Conduction Loss/Device</t>
    <phoneticPr fontId="8" type="noConversion"/>
  </si>
  <si>
    <t>IGBT Loss (Total)</t>
    <phoneticPr fontId="8" type="noConversion"/>
  </si>
  <si>
    <t>Diode Loss (Total)</t>
    <phoneticPr fontId="8" type="noConversion"/>
  </si>
  <si>
    <t>Total Loss/Module</t>
    <phoneticPr fontId="8" type="noConversion"/>
  </si>
  <si>
    <t>모듈 Package 당 IGBT(switching device)수량</t>
    <phoneticPr fontId="8" type="noConversion"/>
  </si>
  <si>
    <t>Total Solid Device Loss</t>
    <phoneticPr fontId="8" type="noConversion"/>
  </si>
  <si>
    <t>Ptot / IGBT CASE</t>
    <phoneticPr fontId="8" type="noConversion"/>
  </si>
  <si>
    <t>Loss %</t>
    <phoneticPr fontId="8" type="noConversion"/>
  </si>
  <si>
    <t>열저항(Junction-Case)-IGBT</t>
    <phoneticPr fontId="8" type="noConversion"/>
  </si>
  <si>
    <t>열저항(Junction-Case)-Diode</t>
    <phoneticPr fontId="8" type="noConversion"/>
  </si>
  <si>
    <t>Case온도(IGBT,Tj=125℃기준)</t>
    <phoneticPr fontId="8" type="noConversion"/>
  </si>
  <si>
    <t>Case온도(Diode,Tj=125℃기준)</t>
    <phoneticPr fontId="8" type="noConversion"/>
  </si>
  <si>
    <t>Case온도- IGBT  온도차</t>
    <phoneticPr fontId="8" type="noConversion"/>
  </si>
  <si>
    <t>Case온도- Diode 온도차</t>
    <phoneticPr fontId="8" type="noConversion"/>
  </si>
  <si>
    <t>열저항(Case-Heatsink)-IGBT(lPaste = 1 W/(m·K)기준)</t>
    <phoneticPr fontId="8" type="noConversion"/>
  </si>
  <si>
    <t>열저항(Case-Heatsink)-Diode(lPaste = 1 W/(m·K)기준)</t>
    <phoneticPr fontId="8" type="noConversion"/>
  </si>
  <si>
    <t>Heatsink온도-IGBT바닥면 중심</t>
    <phoneticPr fontId="8" type="noConversion"/>
  </si>
  <si>
    <t>Heatsink온도-Diode바닥면 중심</t>
    <phoneticPr fontId="8" type="noConversion"/>
  </si>
  <si>
    <t>Heatsink온도-케이스간 온도차-IGBT</t>
    <phoneticPr fontId="8" type="noConversion"/>
  </si>
  <si>
    <t>Heatsink온도-케이스간 온도차-Diode</t>
    <phoneticPr fontId="8" type="noConversion"/>
  </si>
  <si>
    <t>냉각수 출수 온도</t>
    <phoneticPr fontId="8" type="noConversion"/>
  </si>
  <si>
    <t>냉각수 유량</t>
    <phoneticPr fontId="8" type="noConversion"/>
  </si>
  <si>
    <t>냉각수 입수 온도 최대</t>
    <phoneticPr fontId="8" type="noConversion"/>
  </si>
  <si>
    <r>
      <t>직병렬(</t>
    </r>
    <r>
      <rPr>
        <sz val="11"/>
        <color theme="1"/>
        <rFont val="맑은 고딕"/>
        <family val="2"/>
        <charset val="129"/>
        <scheme val="minor"/>
      </rPr>
      <t>LCL)</t>
    </r>
    <r>
      <rPr>
        <sz val="11"/>
        <color theme="1"/>
        <rFont val="맑은 고딕"/>
        <family val="2"/>
        <charset val="129"/>
        <scheme val="minor"/>
      </rPr>
      <t>공진회로 설계 시트</t>
    </r>
    <phoneticPr fontId="8" type="noConversion"/>
  </si>
  <si>
    <t>EA</t>
    <phoneticPr fontId="8" type="noConversion"/>
  </si>
  <si>
    <t>uC</t>
    <phoneticPr fontId="8" type="noConversion"/>
  </si>
  <si>
    <t>W</t>
    <phoneticPr fontId="8" type="noConversion"/>
  </si>
  <si>
    <t>mJ</t>
    <phoneticPr fontId="8" type="noConversion"/>
  </si>
  <si>
    <t>VDC</t>
    <phoneticPr fontId="8" type="noConversion"/>
  </si>
  <si>
    <t>W MAX</t>
    <phoneticPr fontId="8" type="noConversion"/>
  </si>
  <si>
    <t>%</t>
    <phoneticPr fontId="8" type="noConversion"/>
  </si>
  <si>
    <t>K/W</t>
    <phoneticPr fontId="8" type="noConversion"/>
  </si>
  <si>
    <t>K/W</t>
    <phoneticPr fontId="8" type="noConversion"/>
  </si>
  <si>
    <t>℃</t>
    <phoneticPr fontId="8" type="noConversion"/>
  </si>
  <si>
    <t>lpm</t>
    <phoneticPr fontId="8" type="noConversion"/>
  </si>
  <si>
    <t>IGBT 병렬 연결 수량</t>
    <phoneticPr fontId="8" type="noConversion"/>
  </si>
  <si>
    <t>IGBT 1EA 당 흐르는 IC RMS 전류</t>
    <phoneticPr fontId="8" type="noConversion"/>
  </si>
  <si>
    <t>DATA SHEET 확인</t>
    <phoneticPr fontId="8" type="noConversion"/>
  </si>
  <si>
    <t>게이트드라이버 전위차(예를 들어 +15V,-10V 일때는 25V)</t>
    <phoneticPr fontId="8" type="noConversion"/>
  </si>
  <si>
    <t>파형 및 LCD 확인</t>
    <phoneticPr fontId="8" type="noConversion"/>
  </si>
  <si>
    <t>DATA SHEET 확인(Switching Current 에 해당하는 Off Switching Energy)</t>
    <phoneticPr fontId="8" type="noConversion"/>
  </si>
  <si>
    <t>스너버 없으면 100%, 스너버 최소 손실비율(55% 감소)</t>
    <phoneticPr fontId="8" type="noConversion"/>
  </si>
  <si>
    <t>DATA SHEET 확인(IC 평균전류에 해당하는 Vce saturation 확인)</t>
    <phoneticPr fontId="8" type="noConversion"/>
  </si>
  <si>
    <t>SINGLE 모듈: 1, DUAL 모듈: 2(62mm package)</t>
    <phoneticPr fontId="8" type="noConversion"/>
  </si>
  <si>
    <t>약 30% 이하가 되어야 함</t>
    <phoneticPr fontId="8" type="noConversion"/>
  </si>
  <si>
    <t>표기된 온도 이상은 사용 불가</t>
    <phoneticPr fontId="8" type="noConversion"/>
  </si>
  <si>
    <t>수냉방열판과의 열저항의 기준이 없어 60℃를 기준으로함</t>
    <phoneticPr fontId="8" type="noConversion"/>
  </si>
  <si>
    <t>유량</t>
    <phoneticPr fontId="8" type="noConversion"/>
  </si>
  <si>
    <t>DATA SHEET 확인</t>
    <phoneticPr fontId="8" type="noConversion"/>
  </si>
  <si>
    <t>정현파 기준 PEAK치로 계산 (IC RMS *1.414)</t>
    <phoneticPr fontId="8" type="noConversion"/>
  </si>
  <si>
    <t>DATA SHEET 확인(IC 평균전류에 해당하는 Diode Vf 확인)</t>
    <phoneticPr fontId="8" type="noConversion"/>
  </si>
  <si>
    <t>전력</t>
    <phoneticPr fontId="8" type="noConversion"/>
  </si>
  <si>
    <t>입력 선전압</t>
    <phoneticPr fontId="8" type="noConversion"/>
  </si>
  <si>
    <t>3상 : 0.93, 6상: 0.96 (설계시에는 마진 고려 0.9로 함)</t>
    <phoneticPr fontId="8" type="noConversion"/>
  </si>
  <si>
    <t>상당 입력 선전류 (차단기 및 FUSE 선정 기준)</t>
    <phoneticPr fontId="8" type="noConversion"/>
  </si>
  <si>
    <t>Vdc 전압</t>
    <phoneticPr fontId="8" type="noConversion"/>
  </si>
  <si>
    <t>Idc 전류 (정류다이오드 선정 기준)</t>
    <phoneticPr fontId="8" type="noConversion"/>
  </si>
  <si>
    <t>코일 혹은 C/T 1차측 L값 (측정값 혹은 설계 값)</t>
    <phoneticPr fontId="8" type="noConversion"/>
  </si>
  <si>
    <t>공진 콘덴서 총 C값 (Fs 및 Fr을 원하는 주파수에 맞게 C값을 조정)</t>
    <phoneticPr fontId="8" type="noConversion"/>
  </si>
  <si>
    <t>공진 주파수</t>
    <phoneticPr fontId="8" type="noConversion"/>
  </si>
  <si>
    <t>인버터의 위상각(기준 30° ,상황에 따라 20° 까지 적용)</t>
    <phoneticPr fontId="8" type="noConversion"/>
  </si>
  <si>
    <t>코일의 Q값 (예상값 범위를 입력)</t>
    <phoneticPr fontId="8" type="noConversion"/>
  </si>
  <si>
    <t>공진 전류(코일전류, C/T 1차전류)</t>
    <phoneticPr fontId="8" type="noConversion"/>
  </si>
  <si>
    <t>공진콘덴서 전압</t>
    <phoneticPr fontId="8" type="noConversion"/>
  </si>
  <si>
    <t>공진콘덴서 기준의 Q값(예상데이터, 측정 및 계산 데이터)</t>
    <phoneticPr fontId="8" type="noConversion"/>
  </si>
  <si>
    <t>M/T 2차 구형파 전압으로 얻을 수 있는 AC 전압의 최대값</t>
    <phoneticPr fontId="8" type="noConversion"/>
  </si>
  <si>
    <t>100%이하(98%정도이하),Turn Ratio값을 조정하여 변경</t>
    <phoneticPr fontId="8" type="noConversion"/>
  </si>
  <si>
    <t>M/T 1차 전류(인버터 출력 전류)</t>
    <phoneticPr fontId="8" type="noConversion"/>
  </si>
  <si>
    <t>M/T 1차 구형파 전압으로 얻을 수 있는 AC 전압의 최대값 x COS(Phase)</t>
    <phoneticPr fontId="8" type="noConversion"/>
  </si>
  <si>
    <t>Half Bridge = 2, Full Bridge = 1</t>
    <phoneticPr fontId="8" type="noConversion"/>
  </si>
  <si>
    <t>공진콘덴서 전압</t>
    <phoneticPr fontId="8" type="noConversion"/>
  </si>
  <si>
    <t>공진콘덴서 전류</t>
    <phoneticPr fontId="8" type="noConversion"/>
  </si>
  <si>
    <t>인버터 출력 전류</t>
    <phoneticPr fontId="8" type="noConversion"/>
  </si>
  <si>
    <t>동작 주파수 (공진주파와 동일하게 계산)</t>
    <phoneticPr fontId="8" type="noConversion"/>
  </si>
  <si>
    <t>직렬 인덕터 L값 (Fr 및 Duty 조정 : Duty가 100%넘지 않도록 조정)</t>
    <phoneticPr fontId="8" type="noConversion"/>
  </si>
  <si>
    <t>Matching Transformer 의 사용할 경우에만 설정</t>
    <phoneticPr fontId="8" type="noConversion"/>
  </si>
  <si>
    <t>기입순서</t>
    <phoneticPr fontId="8" type="noConversion"/>
  </si>
  <si>
    <t>&lt;코일 인덕턴스 계산 공식, C/T 및 출력케이블포함&gt;</t>
    <phoneticPr fontId="8" type="noConversion"/>
  </si>
  <si>
    <t>&lt;트랜스포머 최소 턴수 계산 공식&gt;</t>
    <phoneticPr fontId="8" type="noConversion"/>
  </si>
  <si>
    <t>&lt;동 부스바(AC) 발열량 계산 공식&gt;</t>
    <phoneticPr fontId="8" type="noConversion"/>
  </si>
  <si>
    <t>&lt;Fault 발생시 L에 의한 VDC 상승전압 계산공식&gt;</t>
    <phoneticPr fontId="8" type="noConversion"/>
  </si>
  <si>
    <t>코일턴수</t>
    <phoneticPr fontId="8" type="noConversion"/>
  </si>
  <si>
    <t>Turns</t>
    <phoneticPr fontId="8" type="noConversion"/>
  </si>
  <si>
    <t>일차 최대전압</t>
    <phoneticPr fontId="8" type="noConversion"/>
  </si>
  <si>
    <t>타프피치 동</t>
    <phoneticPr fontId="9" type="noConversion"/>
  </si>
  <si>
    <t>코일 L값</t>
    <phoneticPr fontId="8" type="noConversion"/>
  </si>
  <si>
    <t>uH</t>
    <phoneticPr fontId="8" type="noConversion"/>
  </si>
  <si>
    <t>mm</t>
    <phoneticPr fontId="8" type="noConversion"/>
  </si>
  <si>
    <t>최대자속밀도</t>
    <phoneticPr fontId="8" type="noConversion"/>
  </si>
  <si>
    <t>Tesla</t>
    <phoneticPr fontId="8" type="noConversion"/>
  </si>
  <si>
    <t>도체 고유전기저항</t>
    <phoneticPr fontId="8" type="noConversion"/>
  </si>
  <si>
    <t>인버터 출력전류</t>
    <phoneticPr fontId="8" type="noConversion"/>
  </si>
  <si>
    <t>A</t>
    <phoneticPr fontId="8" type="noConversion"/>
  </si>
  <si>
    <t>높이</t>
    <phoneticPr fontId="8" type="noConversion"/>
  </si>
  <si>
    <t>중족단면적</t>
    <phoneticPr fontId="8" type="noConversion"/>
  </si>
  <si>
    <t>cmSq</t>
    <phoneticPr fontId="8" type="noConversion"/>
  </si>
  <si>
    <t>DC LINK C값</t>
    <phoneticPr fontId="8" type="noConversion"/>
  </si>
  <si>
    <t>uF</t>
    <phoneticPr fontId="8" type="noConversion"/>
  </si>
  <si>
    <t>무부하 인덕턴스</t>
    <phoneticPr fontId="8" type="noConversion"/>
  </si>
  <si>
    <t>스위칭주파수</t>
    <phoneticPr fontId="8" type="noConversion"/>
  </si>
  <si>
    <t>Hz</t>
    <phoneticPr fontId="8" type="noConversion"/>
  </si>
  <si>
    <t>V</t>
    <phoneticPr fontId="8" type="noConversion"/>
  </si>
  <si>
    <t>L값 감소율</t>
    <phoneticPr fontId="8" type="noConversion"/>
  </si>
  <si>
    <t>최소 일차턴수</t>
    <phoneticPr fontId="8" type="noConversion"/>
  </si>
  <si>
    <t>turn</t>
    <phoneticPr fontId="8" type="noConversion"/>
  </si>
  <si>
    <t xml:space="preserve">도체의 산출저항 </t>
    <phoneticPr fontId="8" type="noConversion"/>
  </si>
  <si>
    <t>[Ωm×10E-8]</t>
    <phoneticPr fontId="8" type="noConversion"/>
  </si>
  <si>
    <t>VDC (Fault 발생시 상승전압)</t>
    <phoneticPr fontId="8" type="noConversion"/>
  </si>
  <si>
    <t>부하 인덕턴스</t>
    <phoneticPr fontId="8" type="noConversion"/>
  </si>
  <si>
    <t>도체의 산출 전도도</t>
    <phoneticPr fontId="9" type="noConversion"/>
  </si>
  <si>
    <t>[SIMENS/m]</t>
    <phoneticPr fontId="9" type="noConversion"/>
  </si>
  <si>
    <t>출력케이블L값</t>
    <phoneticPr fontId="8" type="noConversion"/>
  </si>
  <si>
    <t>&lt;직렬공진주파수 계산 공식&gt;</t>
    <phoneticPr fontId="8" type="noConversion"/>
  </si>
  <si>
    <t>비투자율</t>
    <phoneticPr fontId="8" type="noConversion"/>
  </si>
  <si>
    <t>ui</t>
    <phoneticPr fontId="9" type="noConversion"/>
  </si>
  <si>
    <t>&lt;DC LINK CAPACITOR 리플 전압,전류 계산 공식&gt;</t>
    <phoneticPr fontId="8" type="noConversion"/>
  </si>
  <si>
    <t>C/T권선비</t>
    <phoneticPr fontId="8" type="noConversion"/>
  </si>
  <si>
    <t>:1</t>
    <phoneticPr fontId="8" type="noConversion"/>
  </si>
  <si>
    <t>공진콘덴서</t>
    <phoneticPr fontId="8" type="noConversion"/>
  </si>
  <si>
    <t>[Hz]</t>
    <phoneticPr fontId="8" type="noConversion"/>
  </si>
  <si>
    <t>코일 병렬 수</t>
    <phoneticPr fontId="8" type="noConversion"/>
  </si>
  <si>
    <t>병렬</t>
    <phoneticPr fontId="8" type="noConversion"/>
  </si>
  <si>
    <t>병렬</t>
    <phoneticPr fontId="8" type="noConversion"/>
  </si>
  <si>
    <t>공진인덕터</t>
    <phoneticPr fontId="8" type="noConversion"/>
  </si>
  <si>
    <t>공진인덕터</t>
    <phoneticPr fontId="8" type="noConversion"/>
  </si>
  <si>
    <t>Skin Depth</t>
    <phoneticPr fontId="8" type="noConversion"/>
  </si>
  <si>
    <t>VDC 평균값</t>
    <phoneticPr fontId="8" type="noConversion"/>
  </si>
  <si>
    <t>코일 직렬 수</t>
    <phoneticPr fontId="8" type="noConversion"/>
  </si>
  <si>
    <t>직렬</t>
    <phoneticPr fontId="8" type="noConversion"/>
  </si>
  <si>
    <t>Hz (결과)</t>
    <phoneticPr fontId="8" type="noConversion"/>
  </si>
  <si>
    <t>[mm]</t>
    <phoneticPr fontId="9" type="noConversion"/>
  </si>
  <si>
    <t>C/T1차 인덕턴스</t>
    <phoneticPr fontId="8" type="noConversion"/>
  </si>
  <si>
    <t>동작주파수</t>
    <phoneticPr fontId="8" type="noConversion"/>
  </si>
  <si>
    <t>&lt;콘덴서 내전압 계산 공식&gt;</t>
    <phoneticPr fontId="8" type="noConversion"/>
  </si>
  <si>
    <t>Min(스킨뎁스,두께)</t>
    <phoneticPr fontId="8" type="noConversion"/>
  </si>
  <si>
    <t>DC LINK CAP 리플 함유율(peak to peak)</t>
    <phoneticPr fontId="8" type="noConversion"/>
  </si>
  <si>
    <t>%</t>
    <phoneticPr fontId="8" type="noConversion"/>
  </si>
  <si>
    <t>&lt;공진 C 계산 공식&gt;</t>
    <phoneticPr fontId="8" type="noConversion"/>
  </si>
  <si>
    <t>콘덴서</t>
    <phoneticPr fontId="8" type="noConversion"/>
  </si>
  <si>
    <t xml:space="preserve">부스바 폭(너비) </t>
    <phoneticPr fontId="8" type="noConversion"/>
  </si>
  <si>
    <t>단위 C 용량</t>
    <phoneticPr fontId="8" type="noConversion"/>
  </si>
  <si>
    <t>인가주파수</t>
    <phoneticPr fontId="8" type="noConversion"/>
  </si>
  <si>
    <t>kHz</t>
    <phoneticPr fontId="8" type="noConversion"/>
  </si>
  <si>
    <t>단면적</t>
    <phoneticPr fontId="8" type="noConversion"/>
  </si>
  <si>
    <t>[mmSQ]</t>
    <phoneticPr fontId="9" type="noConversion"/>
  </si>
  <si>
    <t>DC LINK CAP RIPPLE Current</t>
    <phoneticPr fontId="8" type="noConversion"/>
  </si>
  <si>
    <t>전체 탭</t>
    <phoneticPr fontId="8" type="noConversion"/>
  </si>
  <si>
    <t>탭</t>
    <phoneticPr fontId="8" type="noConversion"/>
  </si>
  <si>
    <t>통전전류</t>
    <phoneticPr fontId="8" type="noConversion"/>
  </si>
  <si>
    <t>인가전류</t>
    <phoneticPr fontId="8" type="noConversion"/>
  </si>
  <si>
    <t>인가전류</t>
    <phoneticPr fontId="8" type="noConversion"/>
  </si>
  <si>
    <t>[A]</t>
    <phoneticPr fontId="8" type="noConversion"/>
  </si>
  <si>
    <t>정격 전압</t>
    <phoneticPr fontId="8" type="noConversion"/>
  </si>
  <si>
    <t>콘덴서전압</t>
    <phoneticPr fontId="8" type="noConversion"/>
  </si>
  <si>
    <t>&lt;수냉케이블 L값 계산 공식: 10kHz 기준, 트위스트 하지 않음&gt;</t>
    <phoneticPr fontId="8" type="noConversion"/>
  </si>
  <si>
    <t>정격 전류</t>
    <phoneticPr fontId="8" type="noConversion"/>
  </si>
  <si>
    <t>발열량</t>
    <phoneticPr fontId="8" type="noConversion"/>
  </si>
  <si>
    <t>[W]</t>
    <phoneticPr fontId="8" type="noConversion"/>
  </si>
  <si>
    <t xml:space="preserve">단위길이당 L값 (2EA) </t>
    <phoneticPr fontId="8" type="noConversion"/>
  </si>
  <si>
    <t>사용 탭</t>
    <phoneticPr fontId="8" type="noConversion"/>
  </si>
  <si>
    <t>&lt;스너버C 용량 적정성 검토 계산 공식&gt;</t>
    <phoneticPr fontId="8" type="noConversion"/>
  </si>
  <si>
    <t>수냉케이블 길이 (2EA)</t>
    <phoneticPr fontId="8" type="noConversion"/>
  </si>
  <si>
    <t>m</t>
    <phoneticPr fontId="8" type="noConversion"/>
  </si>
  <si>
    <t>직렬 연결 수량</t>
    <phoneticPr fontId="8" type="noConversion"/>
  </si>
  <si>
    <t>Vdc 전압</t>
    <phoneticPr fontId="9" type="noConversion"/>
  </si>
  <si>
    <t>Vdc</t>
    <phoneticPr fontId="9" type="noConversion"/>
  </si>
  <si>
    <t>&lt;동 파이프(AC) 발열량 계산 공식&gt;</t>
    <phoneticPr fontId="8" type="noConversion"/>
  </si>
  <si>
    <t>수냉케이블 L값 (2EA)</t>
    <phoneticPr fontId="8" type="noConversion"/>
  </si>
  <si>
    <t>병렬 연결 수량</t>
    <phoneticPr fontId="8" type="noConversion"/>
  </si>
  <si>
    <t>C스너버 개당 C값</t>
    <phoneticPr fontId="9" type="noConversion"/>
  </si>
  <si>
    <t>nF</t>
    <phoneticPr fontId="9" type="noConversion"/>
  </si>
  <si>
    <t>사용 재료</t>
    <phoneticPr fontId="9" type="noConversion"/>
  </si>
  <si>
    <t>전체 C 용량</t>
    <phoneticPr fontId="8" type="noConversion"/>
  </si>
  <si>
    <t xml:space="preserve">단위길이당 L값 (4EA) </t>
    <phoneticPr fontId="8" type="noConversion"/>
  </si>
  <si>
    <t>사용가능 전압</t>
    <phoneticPr fontId="8" type="noConversion"/>
  </si>
  <si>
    <t>보드를 겹침 수량</t>
    <phoneticPr fontId="9" type="noConversion"/>
  </si>
  <si>
    <t>도체의 온도저항계수</t>
    <phoneticPr fontId="8" type="noConversion"/>
  </si>
  <si>
    <t>수냉케이블 길이 (4EA)</t>
    <phoneticPr fontId="8" type="noConversion"/>
  </si>
  <si>
    <t>사용가능 전류</t>
    <phoneticPr fontId="8" type="noConversion"/>
  </si>
  <si>
    <t>상하 고려</t>
    <phoneticPr fontId="9" type="noConversion"/>
  </si>
  <si>
    <t>도체의 온도</t>
    <phoneticPr fontId="8" type="noConversion"/>
  </si>
  <si>
    <t>수냉케이블 L값 (4EA)</t>
    <phoneticPr fontId="8" type="noConversion"/>
  </si>
  <si>
    <t>KVA</t>
    <phoneticPr fontId="8" type="noConversion"/>
  </si>
  <si>
    <t>상하 데드타임</t>
    <phoneticPr fontId="9" type="noConversion"/>
  </si>
  <si>
    <t>us</t>
    <phoneticPr fontId="9" type="noConversion"/>
  </si>
  <si>
    <t>모듈 출력전류</t>
    <phoneticPr fontId="9" type="noConversion"/>
  </si>
  <si>
    <t>Arms</t>
    <phoneticPr fontId="9" type="noConversion"/>
  </si>
  <si>
    <t>&lt;Q값 계산 공식 :공진 C 기준&gt;</t>
    <phoneticPr fontId="8" type="noConversion"/>
  </si>
  <si>
    <t>운전 모듈 수량</t>
    <phoneticPr fontId="9" type="noConversion"/>
  </si>
  <si>
    <t>대</t>
    <phoneticPr fontId="9" type="noConversion"/>
  </si>
  <si>
    <t>수냉케이블 길이 (4EA)</t>
    <phoneticPr fontId="8" type="noConversion"/>
  </si>
  <si>
    <t>m</t>
    <phoneticPr fontId="8" type="noConversion"/>
  </si>
  <si>
    <t>인버터 출력전류</t>
    <phoneticPr fontId="9" type="noConversion"/>
  </si>
  <si>
    <t>수냉케이블 L값 (4EA)</t>
    <phoneticPr fontId="8" type="noConversion"/>
  </si>
  <si>
    <t>콘덴서값</t>
    <phoneticPr fontId="8" type="noConversion"/>
  </si>
  <si>
    <t>1차 공진전류</t>
    <phoneticPr fontId="8" type="noConversion"/>
  </si>
  <si>
    <t>정격전류시 상승시간</t>
    <phoneticPr fontId="9" type="noConversion"/>
  </si>
  <si>
    <t>ON-POLE</t>
    <phoneticPr fontId="9" type="noConversion"/>
  </si>
  <si>
    <t>&lt;FUSE 용량 계산 공식&gt;</t>
    <phoneticPr fontId="8" type="noConversion"/>
  </si>
  <si>
    <t>입력전력</t>
    <phoneticPr fontId="8" type="noConversion"/>
  </si>
  <si>
    <t>kW</t>
    <phoneticPr fontId="8" type="noConversion"/>
  </si>
  <si>
    <t>스위칭각</t>
    <phoneticPr fontId="9" type="noConversion"/>
  </si>
  <si>
    <t>deg</t>
    <phoneticPr fontId="9" type="noConversion"/>
  </si>
  <si>
    <t>두께 : 파이프</t>
    <phoneticPr fontId="8" type="noConversion"/>
  </si>
  <si>
    <t>입력선전압</t>
    <phoneticPr fontId="8" type="noConversion"/>
  </si>
  <si>
    <t>트랜스포머 권선비</t>
    <phoneticPr fontId="8" type="noConversion"/>
  </si>
  <si>
    <t>스위칭 전류</t>
    <phoneticPr fontId="9" type="noConversion"/>
  </si>
  <si>
    <t>A</t>
    <phoneticPr fontId="9" type="noConversion"/>
  </si>
  <si>
    <t>입력선전류</t>
    <phoneticPr fontId="8" type="noConversion"/>
  </si>
  <si>
    <t>공진전압</t>
    <phoneticPr fontId="8" type="noConversion"/>
  </si>
  <si>
    <t>VAC</t>
    <phoneticPr fontId="8" type="noConversion"/>
  </si>
  <si>
    <t>전압 상승 소요시간</t>
    <phoneticPr fontId="9" type="noConversion"/>
  </si>
  <si>
    <t>nsec</t>
    <phoneticPr fontId="9" type="noConversion"/>
  </si>
  <si>
    <t>파이프 외경</t>
    <phoneticPr fontId="8" type="noConversion"/>
  </si>
  <si>
    <t>FUSE 정격전압</t>
    <phoneticPr fontId="8" type="noConversion"/>
  </si>
  <si>
    <t>V 이상</t>
    <phoneticPr fontId="8" type="noConversion"/>
  </si>
  <si>
    <t>2차공진전류</t>
    <phoneticPr fontId="8" type="noConversion"/>
  </si>
  <si>
    <t xml:space="preserve">단면적 </t>
    <phoneticPr fontId="8" type="noConversion"/>
  </si>
  <si>
    <t>FUSE 정격전류</t>
    <phoneticPr fontId="8" type="noConversion"/>
  </si>
  <si>
    <t>A 이상</t>
    <phoneticPr fontId="8" type="noConversion"/>
  </si>
  <si>
    <t>kVar</t>
    <phoneticPr fontId="8" type="noConversion"/>
  </si>
  <si>
    <t>kVar</t>
    <phoneticPr fontId="8" type="noConversion"/>
  </si>
  <si>
    <t>데드타임 에 맞추기 위한</t>
    <phoneticPr fontId="9" type="noConversion"/>
  </si>
  <si>
    <t>Q</t>
    <phoneticPr fontId="8" type="noConversion"/>
  </si>
  <si>
    <t>ZVS 모듈 스위칭 전류</t>
    <phoneticPr fontId="9" type="noConversion"/>
  </si>
  <si>
    <t>mmSQ당 전류</t>
    <phoneticPr fontId="8" type="noConversion"/>
  </si>
  <si>
    <t>&lt;컷오프주파수 계산 공식&gt;</t>
    <phoneticPr fontId="8" type="noConversion"/>
  </si>
  <si>
    <t>ZVS 모듈 전류</t>
    <phoneticPr fontId="9" type="noConversion"/>
  </si>
  <si>
    <t>&lt;위상각 계산 공식&gt;</t>
    <phoneticPr fontId="8" type="noConversion"/>
  </si>
  <si>
    <t>Po</t>
    <phoneticPr fontId="8" type="noConversion"/>
  </si>
  <si>
    <t>kw</t>
    <phoneticPr fontId="8" type="noConversion"/>
  </si>
  <si>
    <t>정격전류 대비 율</t>
    <phoneticPr fontId="9" type="noConversion"/>
  </si>
  <si>
    <t>%</t>
    <phoneticPr fontId="9" type="noConversion"/>
  </si>
  <si>
    <t>&lt;사각 파이프(AC) 발열량 계산 공식&gt;</t>
    <phoneticPr fontId="8" type="noConversion"/>
  </si>
  <si>
    <t>공진주파수</t>
    <phoneticPr fontId="8" type="noConversion"/>
  </si>
  <si>
    <t>IR</t>
    <phoneticPr fontId="8" type="noConversion"/>
  </si>
  <si>
    <t>정격전력 대비 율</t>
    <phoneticPr fontId="9" type="noConversion"/>
  </si>
  <si>
    <t>%</t>
    <phoneticPr fontId="9" type="noConversion"/>
  </si>
  <si>
    <t>VDC</t>
    <phoneticPr fontId="8" type="noConversion"/>
  </si>
  <si>
    <t>&lt;트랜스포머(C/T) 최소 턴수 계산 공식&gt;</t>
    <phoneticPr fontId="8" type="noConversion"/>
  </si>
  <si>
    <t>HALF(2)/FULL(1)</t>
    <phoneticPr fontId="8" type="noConversion"/>
  </si>
  <si>
    <t>&lt;Dead Time 계산 공식&gt;</t>
    <phoneticPr fontId="8" type="noConversion"/>
  </si>
  <si>
    <t>스너버 C값(POLE 기준)</t>
    <phoneticPr fontId="9" type="noConversion"/>
  </si>
  <si>
    <t>COSθ</t>
    <phoneticPr fontId="8" type="noConversion"/>
  </si>
  <si>
    <t>VDC 전압</t>
    <phoneticPr fontId="9" type="noConversion"/>
  </si>
  <si>
    <t>V</t>
    <phoneticPr fontId="9" type="noConversion"/>
  </si>
  <si>
    <t>θ (위상각, Phase)</t>
    <phoneticPr fontId="8" type="noConversion"/>
  </si>
  <si>
    <t>스위칭전류</t>
    <phoneticPr fontId="9" type="noConversion"/>
  </si>
  <si>
    <t>스위칭시 전압 상승시간</t>
    <phoneticPr fontId="9" type="noConversion"/>
  </si>
  <si>
    <t>ns</t>
    <phoneticPr fontId="9" type="noConversion"/>
  </si>
  <si>
    <t>turn</t>
    <phoneticPr fontId="8" type="noConversion"/>
  </si>
  <si>
    <t>&lt;평판 인덕턴스 계산 공식&gt;</t>
    <phoneticPr fontId="8" type="noConversion"/>
  </si>
  <si>
    <t>주파수</t>
    <phoneticPr fontId="8" type="noConversion"/>
  </si>
  <si>
    <t>판폭</t>
    <phoneticPr fontId="8" type="noConversion"/>
  </si>
  <si>
    <t>&lt;동축케이블 커패시턴스 계산 공식&gt;</t>
    <phoneticPr fontId="8" type="noConversion"/>
  </si>
  <si>
    <t>판사이거리</t>
    <phoneticPr fontId="8" type="noConversion"/>
  </si>
  <si>
    <t>내부도체외경</t>
    <phoneticPr fontId="8" type="noConversion"/>
  </si>
  <si>
    <t>배선길이</t>
    <phoneticPr fontId="8" type="noConversion"/>
  </si>
  <si>
    <t>&lt;콘덴서 전류 계산 공식&gt;</t>
    <phoneticPr fontId="8" type="noConversion"/>
  </si>
  <si>
    <t>판길이</t>
    <phoneticPr fontId="8" type="noConversion"/>
  </si>
  <si>
    <t>절연체두께</t>
    <phoneticPr fontId="8" type="noConversion"/>
  </si>
  <si>
    <t>L</t>
    <phoneticPr fontId="8" type="noConversion"/>
  </si>
  <si>
    <t>nH</t>
    <phoneticPr fontId="8" type="noConversion"/>
  </si>
  <si>
    <t>외부도체내경</t>
    <phoneticPr fontId="8" type="noConversion"/>
  </si>
  <si>
    <t>인가주파수</t>
    <phoneticPr fontId="8" type="noConversion"/>
  </si>
  <si>
    <t>공기유전율 (ε0)</t>
    <phoneticPr fontId="9" type="noConversion"/>
  </si>
  <si>
    <t>&lt;평판 커패시턴스 계산 공식&gt;</t>
    <phoneticPr fontId="8" type="noConversion"/>
  </si>
  <si>
    <t>비유전율 (εr)</t>
    <phoneticPr fontId="8" type="noConversion"/>
  </si>
  <si>
    <t>테프론(2.1)</t>
    <phoneticPr fontId="8" type="noConversion"/>
  </si>
  <si>
    <t>세로(외곽)</t>
    <phoneticPr fontId="8" type="noConversion"/>
  </si>
  <si>
    <t>판 면적</t>
    <phoneticPr fontId="8" type="noConversion"/>
  </si>
  <si>
    <t>C(단위길이당 1m 당)</t>
    <phoneticPr fontId="8" type="noConversion"/>
  </si>
  <si>
    <t>nF</t>
    <phoneticPr fontId="8" type="noConversion"/>
  </si>
  <si>
    <t>nF</t>
    <phoneticPr fontId="8" type="noConversion"/>
  </si>
  <si>
    <t>케이블 길이</t>
    <phoneticPr fontId="8" type="noConversion"/>
  </si>
  <si>
    <t>비유전율</t>
    <phoneticPr fontId="8" type="noConversion"/>
  </si>
  <si>
    <t>테프론(2.1)</t>
    <phoneticPr fontId="8" type="noConversion"/>
  </si>
  <si>
    <t xml:space="preserve">C값 </t>
    <phoneticPr fontId="8" type="noConversion"/>
  </si>
  <si>
    <t>C</t>
    <phoneticPr fontId="8" type="noConversion"/>
  </si>
  <si>
    <t>발열량</t>
    <phoneticPr fontId="8" type="noConversion"/>
  </si>
  <si>
    <t>&lt;코아/주파수별 자속밀도 실험 데이터&gt;</t>
    <phoneticPr fontId="8" type="noConversion"/>
  </si>
  <si>
    <t>&lt;동 부스바(DC) 발열량 계산 공식&gt;</t>
    <phoneticPr fontId="8" type="noConversion"/>
  </si>
  <si>
    <t>규소강판[Tesla]</t>
    <phoneticPr fontId="8" type="noConversion"/>
  </si>
  <si>
    <t>아몰퍼스[Tesla]</t>
    <phoneticPr fontId="8" type="noConversion"/>
  </si>
  <si>
    <t>페라이트[Tesla]</t>
    <phoneticPr fontId="8" type="noConversion"/>
  </si>
  <si>
    <t>주파수[kHz]</t>
    <phoneticPr fontId="8" type="noConversion"/>
  </si>
  <si>
    <t>dT 80℃기준</t>
    <phoneticPr fontId="8" type="noConversion"/>
  </si>
  <si>
    <t>dT 75~80℃기준</t>
    <phoneticPr fontId="8" type="noConversion"/>
  </si>
  <si>
    <t>dT 60℃기준</t>
    <phoneticPr fontId="8" type="noConversion"/>
  </si>
  <si>
    <t>at 20℃</t>
    <phoneticPr fontId="8" type="noConversion"/>
  </si>
  <si>
    <t xml:space="preserve">두께 : 부스바 </t>
    <phoneticPr fontId="8" type="noConversion"/>
  </si>
  <si>
    <t>&lt;코아 중족 단면적 ( 1조 기준, 주사용품)&gt;</t>
    <phoneticPr fontId="8" type="noConversion"/>
  </si>
  <si>
    <t>&lt;DC 인덕터 L값)&gt;</t>
    <phoneticPr fontId="8" type="noConversion"/>
  </si>
  <si>
    <t>코아 종류</t>
    <phoneticPr fontId="8" type="noConversion"/>
  </si>
  <si>
    <t>중족단면적(Ae)</t>
    <phoneticPr fontId="8" type="noConversion"/>
  </si>
  <si>
    <t>규격</t>
    <phoneticPr fontId="8" type="noConversion"/>
  </si>
  <si>
    <t>자재코드</t>
    <phoneticPr fontId="8" type="noConversion"/>
  </si>
  <si>
    <t>L값(360Hz)</t>
    <phoneticPr fontId="8" type="noConversion"/>
  </si>
  <si>
    <t>규소강판(0.2t, Si 3%)</t>
    <phoneticPr fontId="8" type="noConversion"/>
  </si>
  <si>
    <t>cm^2</t>
    <phoneticPr fontId="8" type="noConversion"/>
  </si>
  <si>
    <t xml:space="preserve">[PSIH-50XF-L1F-V1] </t>
    <phoneticPr fontId="8" type="noConversion"/>
  </si>
  <si>
    <t>LLL00001</t>
    <phoneticPr fontId="9" type="noConversion"/>
  </si>
  <si>
    <t>60uH</t>
    <phoneticPr fontId="9" type="noConversion"/>
  </si>
  <si>
    <t>아몰퍼스(50x175xSF)</t>
    <phoneticPr fontId="8" type="noConversion"/>
  </si>
  <si>
    <t xml:space="preserve">[PSIH-050HF-LO-01] </t>
    <phoneticPr fontId="8" type="noConversion"/>
  </si>
  <si>
    <t>LLL00005</t>
    <phoneticPr fontId="9" type="noConversion"/>
  </si>
  <si>
    <t>390uH</t>
    <phoneticPr fontId="9" type="noConversion"/>
  </si>
  <si>
    <t>UU100</t>
    <phoneticPr fontId="8" type="noConversion"/>
  </si>
  <si>
    <t>[PSIH-100XF-LI-V1]</t>
    <phoneticPr fontId="8" type="noConversion"/>
  </si>
  <si>
    <t>LLL00060</t>
    <phoneticPr fontId="9" type="noConversion"/>
  </si>
  <si>
    <t>900uH</t>
    <phoneticPr fontId="9" type="noConversion"/>
  </si>
  <si>
    <t>UU120</t>
    <phoneticPr fontId="8" type="noConversion"/>
  </si>
  <si>
    <t xml:space="preserve">[PSIH-200XF-LI-V1] </t>
    <phoneticPr fontId="8" type="noConversion"/>
  </si>
  <si>
    <t>LLL00012</t>
    <phoneticPr fontId="9" type="noConversion"/>
  </si>
  <si>
    <t>630uH</t>
    <phoneticPr fontId="9" type="noConversion"/>
  </si>
  <si>
    <t>UU120C</t>
    <phoneticPr fontId="8" type="noConversion"/>
  </si>
  <si>
    <t xml:space="preserve">[PSIH-400XF-LI-V1]  </t>
    <phoneticPr fontId="8" type="noConversion"/>
  </si>
  <si>
    <t>LLL00013</t>
    <phoneticPr fontId="9" type="noConversion"/>
  </si>
  <si>
    <t>375uH</t>
    <phoneticPr fontId="9" type="noConversion"/>
  </si>
  <si>
    <t>I118+I140 조합</t>
    <phoneticPr fontId="8" type="noConversion"/>
  </si>
  <si>
    <t xml:space="preserve">[PSIH-500XF-LI-V2] </t>
    <phoneticPr fontId="8" type="noConversion"/>
  </si>
  <si>
    <t>LLL00051</t>
    <phoneticPr fontId="9" type="noConversion"/>
  </si>
  <si>
    <t>515uH</t>
    <phoneticPr fontId="9" type="noConversion"/>
  </si>
  <si>
    <t>규소 강판(0.3T적용, 30PNF1600: 포스코 무방향성), Bmax 1.56, 점적율 94.5%</t>
    <phoneticPr fontId="8" type="noConversion"/>
  </si>
  <si>
    <t>에나멜 각동선 3 x 10mm</t>
    <phoneticPr fontId="8" type="noConversion"/>
  </si>
  <si>
    <t>점적율</t>
    <phoneticPr fontId="8" type="noConversion"/>
  </si>
  <si>
    <t xml:space="preserve">고정홀 </t>
    <phoneticPr fontId="8" type="noConversion"/>
  </si>
  <si>
    <r>
      <t>m</t>
    </r>
    <r>
      <rPr>
        <sz val="11"/>
        <color theme="1"/>
        <rFont val="맑은 고딕"/>
        <family val="2"/>
        <charset val="129"/>
        <scheme val="minor"/>
      </rPr>
      <t>m</t>
    </r>
    <phoneticPr fontId="8" type="noConversion"/>
  </si>
  <si>
    <t>철손</t>
    <phoneticPr fontId="8" type="noConversion"/>
  </si>
  <si>
    <r>
      <t>R</t>
    </r>
    <r>
      <rPr>
        <sz val="11"/>
        <color theme="1"/>
        <rFont val="맑은 고딕"/>
        <family val="2"/>
        <charset val="129"/>
        <scheme val="minor"/>
      </rPr>
      <t>dc</t>
    </r>
    <phoneticPr fontId="8" type="noConversion"/>
  </si>
  <si>
    <r>
      <t>o</t>
    </r>
    <r>
      <rPr>
        <sz val="11"/>
        <color theme="1"/>
        <rFont val="맑은 고딕"/>
        <family val="2"/>
        <charset val="129"/>
        <scheme val="minor"/>
      </rPr>
      <t>hm</t>
    </r>
    <phoneticPr fontId="8" type="noConversion"/>
  </si>
  <si>
    <r>
      <t>Z</t>
    </r>
    <r>
      <rPr>
        <sz val="11"/>
        <color theme="1"/>
        <rFont val="맑은 고딕"/>
        <family val="2"/>
        <charset val="129"/>
        <scheme val="minor"/>
      </rPr>
      <t>c</t>
    </r>
    <phoneticPr fontId="8" type="noConversion"/>
  </si>
  <si>
    <t>동손</t>
    <phoneticPr fontId="8" type="noConversion"/>
  </si>
  <si>
    <t>손실 합계</t>
    <phoneticPr fontId="8" type="noConversion"/>
  </si>
  <si>
    <t>I core</t>
    <phoneticPr fontId="8" type="noConversion"/>
  </si>
  <si>
    <t>손실 비율</t>
    <phoneticPr fontId="8" type="noConversion"/>
  </si>
  <si>
    <t>실제적용 Gap</t>
    <phoneticPr fontId="8" type="noConversion"/>
  </si>
  <si>
    <t>12.7파이 1.5t</t>
    <phoneticPr fontId="8" type="noConversion"/>
  </si>
  <si>
    <r>
      <t>9</t>
    </r>
    <r>
      <rPr>
        <sz val="11"/>
        <color theme="1"/>
        <rFont val="맑은 고딕"/>
        <family val="2"/>
        <charset val="129"/>
        <scheme val="minor"/>
      </rPr>
      <t>.5</t>
    </r>
    <r>
      <rPr>
        <sz val="11"/>
        <color theme="1"/>
        <rFont val="맑은 고딕"/>
        <family val="2"/>
        <charset val="129"/>
        <scheme val="minor"/>
      </rPr>
      <t>파이 1t, 코팅</t>
    </r>
    <phoneticPr fontId="8" type="noConversion"/>
  </si>
  <si>
    <r>
      <t xml:space="preserve">실측 </t>
    </r>
    <r>
      <rPr>
        <sz val="11"/>
        <color theme="1"/>
        <rFont val="맑은 고딕"/>
        <family val="2"/>
        <charset val="129"/>
        <scheme val="minor"/>
      </rPr>
      <t>L값</t>
    </r>
    <phoneticPr fontId="8" type="noConversion"/>
  </si>
  <si>
    <r>
      <t>3</t>
    </r>
    <r>
      <rPr>
        <sz val="11"/>
        <color theme="1"/>
        <rFont val="맑은 고딕"/>
        <family val="2"/>
        <charset val="129"/>
        <scheme val="minor"/>
      </rPr>
      <t xml:space="preserve"> x 10 mm 에나멜 각동선</t>
    </r>
    <phoneticPr fontId="8" type="noConversion"/>
  </si>
  <si>
    <r>
      <t>2</t>
    </r>
    <r>
      <rPr>
        <sz val="11"/>
        <color theme="1"/>
        <rFont val="맑은 고딕"/>
        <family val="2"/>
        <charset val="129"/>
        <scheme val="minor"/>
      </rPr>
      <t>000uH 정도</t>
    </r>
    <phoneticPr fontId="8" type="noConversion"/>
  </si>
  <si>
    <t>mm</t>
    <phoneticPr fontId="8" type="noConversion"/>
  </si>
  <si>
    <t>권선수</t>
    <phoneticPr fontId="8" type="noConversion"/>
  </si>
  <si>
    <t>권선고</t>
    <phoneticPr fontId="8" type="noConversion"/>
  </si>
  <si>
    <t xml:space="preserve">c+gap paper </t>
    <phoneticPr fontId="8" type="noConversion"/>
  </si>
  <si>
    <t>mm</t>
    <phoneticPr fontId="8" type="noConversion"/>
  </si>
  <si>
    <t>정격전력</t>
    <phoneticPr fontId="9" type="noConversion"/>
  </si>
  <si>
    <t>입력전압</t>
    <phoneticPr fontId="9" type="noConversion"/>
  </si>
  <si>
    <t>입력선전류</t>
    <phoneticPr fontId="9" type="noConversion"/>
  </si>
  <si>
    <t>DC전압</t>
    <phoneticPr fontId="9" type="noConversion"/>
  </si>
  <si>
    <t>DC전류</t>
    <phoneticPr fontId="9" type="noConversion"/>
  </si>
  <si>
    <t>필요SQ</t>
    <phoneticPr fontId="9" type="noConversion"/>
  </si>
  <si>
    <t>SQ당 전류</t>
    <phoneticPr fontId="9" type="noConversion"/>
  </si>
  <si>
    <t>인입선SQ</t>
    <phoneticPr fontId="9" type="noConversion"/>
  </si>
  <si>
    <t>가닥수</t>
    <phoneticPr fontId="9" type="noConversion"/>
  </si>
  <si>
    <t>접지선필요SQ</t>
    <phoneticPr fontId="9" type="noConversion"/>
  </si>
  <si>
    <t>접지선SQ</t>
    <phoneticPr fontId="9" type="noConversion"/>
  </si>
  <si>
    <t>차단기 용량</t>
    <phoneticPr fontId="9" type="noConversion"/>
  </si>
  <si>
    <t xml:space="preserve">Main차단기 </t>
    <phoneticPr fontId="9" type="noConversion"/>
  </si>
  <si>
    <t>3상입력선SQ</t>
    <phoneticPr fontId="9" type="noConversion"/>
  </si>
  <si>
    <t>퓨즈용량</t>
    <phoneticPr fontId="9" type="noConversion"/>
  </si>
  <si>
    <t>퓨즈</t>
    <phoneticPr fontId="9" type="noConversion"/>
  </si>
  <si>
    <t>정류소자</t>
    <phoneticPr fontId="9" type="noConversion"/>
  </si>
  <si>
    <t>DC REACTOR</t>
    <phoneticPr fontId="9" type="noConversion"/>
  </si>
  <si>
    <t>션트저항</t>
    <phoneticPr fontId="9" type="noConversion"/>
  </si>
  <si>
    <t>초기충전</t>
    <phoneticPr fontId="9" type="noConversion"/>
  </si>
  <si>
    <t>DC과전압보호</t>
    <phoneticPr fontId="9" type="noConversion"/>
  </si>
  <si>
    <t>다이오드</t>
    <phoneticPr fontId="9" type="noConversion"/>
  </si>
  <si>
    <t>SCR</t>
    <phoneticPr fontId="9" type="noConversion"/>
  </si>
  <si>
    <t>GMC-75</t>
    <phoneticPr fontId="9" type="noConversion"/>
  </si>
  <si>
    <t>25 (연선)</t>
    <phoneticPr fontId="9" type="noConversion"/>
  </si>
  <si>
    <t>100A</t>
    <phoneticPr fontId="9" type="noConversion"/>
  </si>
  <si>
    <t>DDB6U215N16L</t>
    <phoneticPr fontId="9" type="noConversion"/>
  </si>
  <si>
    <t>50XF</t>
  </si>
  <si>
    <t>INRUSH_V6</t>
    <phoneticPr fontId="9" type="noConversion"/>
  </si>
  <si>
    <t>-</t>
    <phoneticPr fontId="9" type="noConversion"/>
  </si>
  <si>
    <t>GMC-50</t>
    <phoneticPr fontId="9" type="noConversion"/>
  </si>
  <si>
    <t>16 (연선)</t>
    <phoneticPr fontId="9" type="noConversion"/>
  </si>
  <si>
    <t>50A</t>
    <phoneticPr fontId="9" type="noConversion"/>
  </si>
  <si>
    <t>GMC-125</t>
    <phoneticPr fontId="9" type="noConversion"/>
  </si>
  <si>
    <t>35 (연선)</t>
    <phoneticPr fontId="9" type="noConversion"/>
  </si>
  <si>
    <t>120A</t>
    <phoneticPr fontId="9" type="noConversion"/>
  </si>
  <si>
    <t>150A</t>
    <phoneticPr fontId="9" type="noConversion"/>
  </si>
  <si>
    <t>ABS203c 200A</t>
    <phoneticPr fontId="9" type="noConversion"/>
  </si>
  <si>
    <t>50 (연선)</t>
    <phoneticPr fontId="9" type="noConversion"/>
  </si>
  <si>
    <t>200A</t>
    <phoneticPr fontId="9" type="noConversion"/>
  </si>
  <si>
    <t>DD171N16K/MDD17216N1</t>
    <phoneticPr fontId="9" type="noConversion"/>
  </si>
  <si>
    <t>100XF</t>
    <phoneticPr fontId="9" type="noConversion"/>
  </si>
  <si>
    <t>300A</t>
    <phoneticPr fontId="9" type="noConversion"/>
  </si>
  <si>
    <t>INRUSH_MC_DC SUNBBER</t>
    <phoneticPr fontId="9" type="noConversion"/>
  </si>
  <si>
    <t>ABS103c 125A</t>
    <phoneticPr fontId="9" type="noConversion"/>
  </si>
  <si>
    <t>ABS403c 300A</t>
    <phoneticPr fontId="9" type="noConversion"/>
  </si>
  <si>
    <t>95 (연선)*2</t>
    <phoneticPr fontId="9" type="noConversion"/>
  </si>
  <si>
    <t>95 (연선)</t>
    <phoneticPr fontId="9" type="noConversion"/>
  </si>
  <si>
    <t>250A</t>
    <phoneticPr fontId="9" type="noConversion"/>
  </si>
  <si>
    <t>200XF</t>
    <phoneticPr fontId="9" type="noConversion"/>
  </si>
  <si>
    <t>ABS203c 225A</t>
    <phoneticPr fontId="9" type="noConversion"/>
  </si>
  <si>
    <t>400A</t>
    <phoneticPr fontId="9" type="noConversion"/>
  </si>
  <si>
    <t>ABS403c 400A</t>
    <phoneticPr fontId="9" type="noConversion"/>
  </si>
  <si>
    <t>500A</t>
    <phoneticPr fontId="9" type="noConversion"/>
  </si>
  <si>
    <t>DD350N16K1/MDD31216N1</t>
    <phoneticPr fontId="9" type="noConversion"/>
  </si>
  <si>
    <t>ABS603c 500A</t>
    <phoneticPr fontId="9" type="noConversion"/>
  </si>
  <si>
    <t>40*8T (부스바)</t>
    <phoneticPr fontId="9" type="noConversion"/>
  </si>
  <si>
    <t>600A</t>
    <phoneticPr fontId="9" type="noConversion"/>
  </si>
  <si>
    <t>400XF</t>
    <phoneticPr fontId="9" type="noConversion"/>
  </si>
  <si>
    <t>40*6T (부스바)</t>
    <phoneticPr fontId="9" type="noConversion"/>
  </si>
  <si>
    <t>ABS603c 630A</t>
    <phoneticPr fontId="9" type="noConversion"/>
  </si>
  <si>
    <t>800A</t>
    <phoneticPr fontId="9" type="noConversion"/>
  </si>
  <si>
    <t>ABS803c 800A</t>
    <phoneticPr fontId="9" type="noConversion"/>
  </si>
  <si>
    <t>50*10T (부스바)</t>
    <phoneticPr fontId="9" type="noConversion"/>
  </si>
  <si>
    <t>DD600N16K</t>
    <phoneticPr fontId="9" type="noConversion"/>
  </si>
  <si>
    <t>1000A</t>
    <phoneticPr fontId="9" type="noConversion"/>
  </si>
  <si>
    <t>50*11T (부스바)</t>
  </si>
  <si>
    <t>900A</t>
    <phoneticPr fontId="9" type="noConversion"/>
  </si>
  <si>
    <t>ABS1003c 1000A</t>
    <phoneticPr fontId="9" type="noConversion"/>
  </si>
  <si>
    <t>50*12T (부스바)</t>
    <phoneticPr fontId="9" type="noConversion"/>
  </si>
  <si>
    <t>500XF_규소강판_명신산업적용</t>
    <phoneticPr fontId="9" type="noConversion"/>
  </si>
  <si>
    <t>1500A</t>
    <phoneticPr fontId="9" type="noConversion"/>
  </si>
  <si>
    <t>ABS1003c 1200A</t>
    <phoneticPr fontId="9" type="noConversion"/>
  </si>
  <si>
    <t>1200A</t>
    <phoneticPr fontId="9" type="noConversion"/>
  </si>
  <si>
    <t>600XF_규소강판_명신산업적용</t>
    <phoneticPr fontId="9" type="noConversion"/>
  </si>
  <si>
    <t>저항 사용</t>
    <phoneticPr fontId="9" type="noConversion"/>
  </si>
  <si>
    <t>CROWBAR 회로_MCO500</t>
    <phoneticPr fontId="9" type="noConversion"/>
  </si>
  <si>
    <t>ACB_1250A</t>
    <phoneticPr fontId="9" type="noConversion"/>
  </si>
  <si>
    <t>DH-804_480 (편조선)</t>
    <phoneticPr fontId="9" type="noConversion"/>
  </si>
  <si>
    <t>규소강판_신규설계</t>
    <phoneticPr fontId="9" type="noConversion"/>
  </si>
  <si>
    <t>ACB_1600A</t>
    <phoneticPr fontId="9" type="noConversion"/>
  </si>
  <si>
    <t>DH-805_640 (편조선)</t>
    <phoneticPr fontId="9" type="noConversion"/>
  </si>
  <si>
    <t>ACB_2000A</t>
    <phoneticPr fontId="9" type="noConversion"/>
  </si>
  <si>
    <t>DH-1006_800 (편조선)</t>
    <phoneticPr fontId="9" type="noConversion"/>
  </si>
  <si>
    <t>MDD810-16N2</t>
  </si>
  <si>
    <t>N1806QK160</t>
    <phoneticPr fontId="9" type="noConversion"/>
  </si>
  <si>
    <t>2500A</t>
    <phoneticPr fontId="9" type="noConversion"/>
  </si>
  <si>
    <t>ACB_2500A</t>
    <phoneticPr fontId="9" type="noConversion"/>
  </si>
  <si>
    <t>DH-1007_1000 (편조선)</t>
    <phoneticPr fontId="9" type="noConversion"/>
  </si>
  <si>
    <t>CROWBAR 회로_N1806QK160</t>
    <phoneticPr fontId="9" type="noConversion"/>
  </si>
  <si>
    <t>W3270N#160</t>
    <phoneticPr fontId="9" type="noConversion"/>
  </si>
  <si>
    <t>3000A</t>
    <phoneticPr fontId="9" type="noConversion"/>
  </si>
  <si>
    <t>CROWBAR 회로_N1806QK160,N1114</t>
    <phoneticPr fontId="9" type="noConversion"/>
  </si>
  <si>
    <t>ACB_3200A</t>
    <phoneticPr fontId="9" type="noConversion"/>
  </si>
  <si>
    <t>DH-1006_800*2 (편조선)</t>
    <phoneticPr fontId="9" type="noConversion"/>
  </si>
  <si>
    <t>W3270N#160</t>
  </si>
  <si>
    <t>N2593MK160</t>
    <phoneticPr fontId="9" type="noConversion"/>
  </si>
  <si>
    <t>4000A</t>
    <phoneticPr fontId="9" type="noConversion"/>
  </si>
  <si>
    <t>CROWBAR 회로_N2593MK160</t>
    <phoneticPr fontId="9" type="noConversion"/>
  </si>
  <si>
    <t>ACB_4000A</t>
    <phoneticPr fontId="9" type="noConversion"/>
  </si>
  <si>
    <t>5000A</t>
    <phoneticPr fontId="9" type="noConversion"/>
  </si>
  <si>
    <t>6000A</t>
    <phoneticPr fontId="9" type="noConversion"/>
  </si>
  <si>
    <t>저항 사용</t>
    <phoneticPr fontId="9" type="noConversion"/>
  </si>
  <si>
    <t>CROWBAR 회로_N2593MK160</t>
    <phoneticPr fontId="9" type="noConversion"/>
  </si>
  <si>
    <t>규소강판_신규설계</t>
    <phoneticPr fontId="9" type="noConversion"/>
  </si>
  <si>
    <t>4000A</t>
    <phoneticPr fontId="9" type="noConversion"/>
  </si>
  <si>
    <t>저항 사용</t>
    <phoneticPr fontId="9" type="noConversion"/>
  </si>
  <si>
    <t>CROWBAR 회로_N2593MK160</t>
    <phoneticPr fontId="9" type="noConversion"/>
  </si>
  <si>
    <t>IGBT 2병렬 140A 흐를때 IGBT당 70A 흐른다고 가정(파형의 전류의 50%로 계산)</t>
    <phoneticPr fontId="8" type="noConversion"/>
  </si>
  <si>
    <t>ON POLE</t>
    <phoneticPr fontId="8" type="noConversion"/>
  </si>
  <si>
    <t>OFF POLE</t>
    <phoneticPr fontId="8" type="noConversion"/>
  </si>
  <si>
    <t>비고</t>
    <phoneticPr fontId="8" type="noConversion"/>
  </si>
  <si>
    <t>IGBT IC RMS전류</t>
    <phoneticPr fontId="8" type="noConversion"/>
  </si>
  <si>
    <t>A</t>
    <phoneticPr fontId="8" type="noConversion"/>
  </si>
  <si>
    <t>Gate 구동 손실</t>
    <phoneticPr fontId="8" type="noConversion"/>
  </si>
  <si>
    <t>Total Gate Charge</t>
    <phoneticPr fontId="8" type="noConversion"/>
  </si>
  <si>
    <t>DATA SHEET 확인</t>
    <phoneticPr fontId="8" type="noConversion"/>
  </si>
  <si>
    <t>게이트 전압</t>
    <phoneticPr fontId="8" type="noConversion"/>
  </si>
  <si>
    <t>V</t>
    <phoneticPr fontId="8" type="noConversion"/>
  </si>
  <si>
    <t>게이트드라이버 전위차(예를 들어 +15V,-10V 일때는 25V)</t>
    <phoneticPr fontId="8" type="noConversion"/>
  </si>
  <si>
    <t>W</t>
    <phoneticPr fontId="8" type="noConversion"/>
  </si>
  <si>
    <t>Switching Loss</t>
    <phoneticPr fontId="8" type="noConversion"/>
  </si>
  <si>
    <t>Switching Frequency</t>
    <phoneticPr fontId="8" type="noConversion"/>
  </si>
  <si>
    <t>kHz</t>
    <phoneticPr fontId="8" type="noConversion"/>
  </si>
  <si>
    <t>Switching Current</t>
    <phoneticPr fontId="8" type="noConversion"/>
  </si>
  <si>
    <t>파형확인 (스위칭 하는 순간의 순시전류값, RMS 값과는 다름)</t>
    <phoneticPr fontId="8" type="noConversion"/>
  </si>
  <si>
    <t>Off Switching Energy</t>
    <phoneticPr fontId="8" type="noConversion"/>
  </si>
  <si>
    <t>mJ</t>
    <phoneticPr fontId="8" type="noConversion"/>
  </si>
  <si>
    <t>DATA SHEET 확인(Switching Current 에 해당하는 Off Switching Energy)</t>
    <phoneticPr fontId="8" type="noConversion"/>
  </si>
  <si>
    <t>Diode 역방향 회복 Energy(ZVS)</t>
    <phoneticPr fontId="8" type="noConversion"/>
  </si>
  <si>
    <t>mJ</t>
    <phoneticPr fontId="8" type="noConversion"/>
  </si>
  <si>
    <t>IGBT Switching Loss/Device</t>
    <phoneticPr fontId="8" type="noConversion"/>
  </si>
  <si>
    <t>Diode 역방향 회복 손실(ZVS)</t>
    <phoneticPr fontId="8" type="noConversion"/>
  </si>
  <si>
    <t>IGBT Switching Loss/Device_스너버손실비율 포함</t>
    <phoneticPr fontId="8" type="noConversion"/>
  </si>
  <si>
    <t>Conduction Loss</t>
    <phoneticPr fontId="8" type="noConversion"/>
  </si>
  <si>
    <t>IC 평균전류</t>
    <phoneticPr fontId="8" type="noConversion"/>
  </si>
  <si>
    <t>VDC</t>
    <phoneticPr fontId="8" type="noConversion"/>
  </si>
  <si>
    <t>DATA SHEET 확인(IC 평균전류에 해당하는 Vce saturation 확인)</t>
    <phoneticPr fontId="8" type="noConversion"/>
  </si>
  <si>
    <t>Diode Vf</t>
    <phoneticPr fontId="8" type="noConversion"/>
  </si>
  <si>
    <t>DATA SHEET 확인(IC 평균전류에 해당하는 Diode Vf 확인)</t>
    <phoneticPr fontId="8" type="noConversion"/>
  </si>
  <si>
    <t>%</t>
    <phoneticPr fontId="8" type="noConversion"/>
  </si>
  <si>
    <t>PAM,PFM은 100%</t>
    <phoneticPr fontId="8" type="noConversion"/>
  </si>
  <si>
    <t>위상지연각</t>
    <phoneticPr fontId="8" type="noConversion"/>
  </si>
  <si>
    <t>°</t>
    <phoneticPr fontId="8" type="noConversion"/>
  </si>
  <si>
    <t>파형 및 LCD 확인</t>
    <phoneticPr fontId="8" type="noConversion"/>
  </si>
  <si>
    <t>IGBT Conduction Loss</t>
    <phoneticPr fontId="8" type="noConversion"/>
  </si>
  <si>
    <t>W</t>
    <phoneticPr fontId="8" type="noConversion"/>
  </si>
  <si>
    <t>Conduction Loss/Device</t>
    <phoneticPr fontId="8" type="noConversion"/>
  </si>
  <si>
    <t>Total loss</t>
    <phoneticPr fontId="8" type="noConversion"/>
  </si>
  <si>
    <t>IGBT Loss</t>
    <phoneticPr fontId="8" type="noConversion"/>
  </si>
  <si>
    <t>Diode Loss</t>
    <phoneticPr fontId="8" type="noConversion"/>
  </si>
  <si>
    <t>Loss/Module</t>
    <phoneticPr fontId="8" type="noConversion"/>
  </si>
  <si>
    <t>W</t>
    <phoneticPr fontId="8" type="noConversion"/>
  </si>
  <si>
    <t>SINGLE 모듈: 1, DUAL 모듈: 2</t>
    <phoneticPr fontId="8" type="noConversion"/>
  </si>
  <si>
    <t>Total Solid Device Loss</t>
    <phoneticPr fontId="8" type="noConversion"/>
  </si>
  <si>
    <t>W MAX</t>
    <phoneticPr fontId="8" type="noConversion"/>
  </si>
  <si>
    <t>손실율</t>
    <phoneticPr fontId="8" type="noConversion"/>
  </si>
  <si>
    <t xml:space="preserve">Loss % </t>
    <phoneticPr fontId="8" type="noConversion"/>
  </si>
  <si>
    <t>IGBT Case 온도</t>
    <phoneticPr fontId="8" type="noConversion"/>
  </si>
  <si>
    <t>열저항(Junction-Case)-IGBT</t>
    <phoneticPr fontId="8" type="noConversion"/>
  </si>
  <si>
    <t>K/W</t>
    <phoneticPr fontId="8" type="noConversion"/>
  </si>
  <si>
    <t>DATA SHEET 확인</t>
    <phoneticPr fontId="8" type="noConversion"/>
  </si>
  <si>
    <t>Case온도(IGBT,Tj=125℃기준)</t>
    <phoneticPr fontId="8" type="noConversion"/>
  </si>
  <si>
    <t>℃</t>
    <phoneticPr fontId="8" type="noConversion"/>
  </si>
  <si>
    <t>표기된 온도 이상은 사용 불가</t>
    <phoneticPr fontId="8" type="noConversion"/>
  </si>
  <si>
    <t>Case온도(Diode,Tj=125℃기준)</t>
    <phoneticPr fontId="8" type="noConversion"/>
  </si>
  <si>
    <t>Case온도- IGBT  온도차</t>
    <phoneticPr fontId="8" type="noConversion"/>
  </si>
  <si>
    <t>Case온도- Diode 온도차</t>
    <phoneticPr fontId="8" type="noConversion"/>
  </si>
  <si>
    <t>℃</t>
    <phoneticPr fontId="8" type="noConversion"/>
  </si>
  <si>
    <t>Heatsink 온도</t>
    <phoneticPr fontId="8" type="noConversion"/>
  </si>
  <si>
    <t>열저항(Case-Heatsink)-IGBT(lPaste = 1 W/(m·K)기준)</t>
    <phoneticPr fontId="8" type="noConversion"/>
  </si>
  <si>
    <t>열저항(Case-Heatsink)-Diode(lPaste = 1 W/(m·K)기준)</t>
    <phoneticPr fontId="8" type="noConversion"/>
  </si>
  <si>
    <t>Heatsink온도-Diode바닥면 중심</t>
    <phoneticPr fontId="8" type="noConversion"/>
  </si>
  <si>
    <t>Heatsink온도-케이스간 온도차-Diode</t>
    <phoneticPr fontId="8" type="noConversion"/>
  </si>
  <si>
    <t>냉각수 온도</t>
    <phoneticPr fontId="8" type="noConversion"/>
  </si>
  <si>
    <t>냉각수 출수 온도</t>
    <phoneticPr fontId="8" type="noConversion"/>
  </si>
  <si>
    <t>수냉방열판과의 열저항의 기준이 없어 60℃를 기준으로함</t>
    <phoneticPr fontId="8" type="noConversion"/>
  </si>
  <si>
    <t>냉각수 유량</t>
    <phoneticPr fontId="8" type="noConversion"/>
  </si>
  <si>
    <t>lpm</t>
    <phoneticPr fontId="8" type="noConversion"/>
  </si>
  <si>
    <t>주파수
Fr</t>
    <phoneticPr fontId="8" type="noConversion"/>
  </si>
  <si>
    <t>위상</t>
    <phoneticPr fontId="24" type="noConversion"/>
  </si>
  <si>
    <t>콘덴서전류
Icr</t>
    <phoneticPr fontId="8" type="noConversion"/>
  </si>
  <si>
    <t>Coil 전류
(C/T 2차)</t>
    <phoneticPr fontId="24" type="noConversion"/>
  </si>
  <si>
    <t>Q값 
C/T1차
(코일기준)</t>
    <phoneticPr fontId="24" type="noConversion"/>
  </si>
  <si>
    <t>Q값 
코일기준</t>
    <phoneticPr fontId="24" type="noConversion"/>
  </si>
  <si>
    <t>예상 전력</t>
    <phoneticPr fontId="24" type="noConversion"/>
  </si>
  <si>
    <t>예상 C/T1차 전류</t>
    <phoneticPr fontId="24" type="noConversion"/>
  </si>
  <si>
    <t>예상공진전압 Vcr</t>
    <phoneticPr fontId="24" type="noConversion"/>
  </si>
  <si>
    <t>A</t>
    <phoneticPr fontId="24" type="noConversion"/>
  </si>
  <si>
    <t>uH</t>
    <phoneticPr fontId="24" type="noConversion"/>
  </si>
  <si>
    <t>Ir (직렬인덕터)</t>
    <phoneticPr fontId="8" type="noConversion"/>
  </si>
  <si>
    <t>Vac out(직렬인덕터 전단)</t>
    <phoneticPr fontId="8" type="noConversion"/>
  </si>
  <si>
    <t>Vac out 1차(M/T 포함,인버터출력)</t>
    <phoneticPr fontId="8" type="noConversion"/>
  </si>
  <si>
    <t>입력전력
Po</t>
    <phoneticPr fontId="8" type="noConversion"/>
  </si>
  <si>
    <t>인버터
출력전류
Ir</t>
    <phoneticPr fontId="8" type="noConversion"/>
  </si>
  <si>
    <t>직류전류
Io</t>
    <phoneticPr fontId="8" type="noConversion"/>
  </si>
  <si>
    <t>직류전압
Vo</t>
    <phoneticPr fontId="8" type="noConversion"/>
  </si>
  <si>
    <t>Cr 용량</t>
    <phoneticPr fontId="8" type="noConversion"/>
  </si>
  <si>
    <t>공진전압
Vcr</t>
    <phoneticPr fontId="8" type="noConversion"/>
  </si>
  <si>
    <t>C/T1차전류</t>
    <phoneticPr fontId="24" type="noConversion"/>
  </si>
  <si>
    <t>Ls/L coil(c/t1차)</t>
    <phoneticPr fontId="24" type="noConversion"/>
  </si>
  <si>
    <t>전류비율
Ir/Icoil(C/T1차)</t>
    <phoneticPr fontId="24" type="noConversion"/>
  </si>
  <si>
    <t>C/T탭비</t>
    <phoneticPr fontId="24" type="noConversion"/>
  </si>
  <si>
    <t>코일 저항 Rcoil</t>
    <phoneticPr fontId="24" type="noConversion"/>
  </si>
  <si>
    <t>Q값 
콘덴서기준</t>
    <phoneticPr fontId="24" type="noConversion"/>
  </si>
  <si>
    <t>Ls 예상 L값</t>
    <phoneticPr fontId="24" type="noConversion"/>
  </si>
  <si>
    <t>C/T 1차 L값</t>
    <phoneticPr fontId="24" type="noConversion"/>
  </si>
  <si>
    <t>코일 L값
(C/T 누설포함)</t>
    <phoneticPr fontId="24" type="noConversion"/>
  </si>
  <si>
    <t>예상 Ir</t>
    <phoneticPr fontId="24" type="noConversion"/>
  </si>
  <si>
    <t>예상 공진 CAP 전류</t>
    <phoneticPr fontId="24" type="noConversion"/>
  </si>
  <si>
    <t>예상 Coil 전류</t>
    <phoneticPr fontId="24" type="noConversion"/>
  </si>
  <si>
    <t>A</t>
    <phoneticPr fontId="8" type="noConversion"/>
  </si>
  <si>
    <t>V</t>
    <phoneticPr fontId="8" type="noConversion"/>
  </si>
  <si>
    <t>kHz</t>
    <phoneticPr fontId="8" type="noConversion"/>
  </si>
  <si>
    <r>
      <t>(</t>
    </r>
    <r>
      <rPr>
        <b/>
        <sz val="8"/>
        <rFont val="맑은 고딕"/>
        <family val="3"/>
        <charset val="129"/>
      </rPr>
      <t>°</t>
    </r>
    <r>
      <rPr>
        <b/>
        <sz val="8"/>
        <rFont val="돋움"/>
        <family val="3"/>
        <charset val="129"/>
      </rPr>
      <t>)</t>
    </r>
    <phoneticPr fontId="24" type="noConversion"/>
  </si>
  <si>
    <t>A</t>
    <phoneticPr fontId="24" type="noConversion"/>
  </si>
  <si>
    <t>N:1</t>
    <phoneticPr fontId="24" type="noConversion"/>
  </si>
  <si>
    <t>mΩ</t>
    <phoneticPr fontId="24" type="noConversion"/>
  </si>
  <si>
    <t>uH</t>
    <phoneticPr fontId="24" type="noConversion"/>
  </si>
  <si>
    <t>KW</t>
    <phoneticPr fontId="24" type="noConversion"/>
  </si>
  <si>
    <t>A</t>
    <phoneticPr fontId="8" type="noConversion"/>
  </si>
  <si>
    <t>A</t>
    <phoneticPr fontId="8" type="noConversion"/>
  </si>
  <si>
    <t>V</t>
    <phoneticPr fontId="24" type="noConversion"/>
  </si>
  <si>
    <t xml:space="preserve">
무부하
(5:1)</t>
    <phoneticPr fontId="8" type="noConversion"/>
  </si>
  <si>
    <t xml:space="preserve">
무부하
(3:1)</t>
    <phoneticPr fontId="8" type="noConversion"/>
  </si>
  <si>
    <t>부하
(3:1)</t>
    <phoneticPr fontId="24" type="noConversion"/>
  </si>
  <si>
    <t>41mm소재, 50파이코일</t>
    <phoneticPr fontId="8" type="noConversion"/>
  </si>
  <si>
    <t>22mm소재, 34파이코일</t>
    <phoneticPr fontId="8" type="noConversion"/>
  </si>
  <si>
    <t>정진고주파</t>
    <phoneticPr fontId="9" type="noConversion"/>
  </si>
  <si>
    <t>공정</t>
    <phoneticPr fontId="9" type="noConversion"/>
  </si>
  <si>
    <t>샤프트 열처리</t>
    <phoneticPr fontId="9" type="noConversion"/>
  </si>
  <si>
    <t>350KW</t>
    <phoneticPr fontId="9" type="noConversion"/>
  </si>
  <si>
    <t>6kHz</t>
    <phoneticPr fontId="9" type="noConversion"/>
  </si>
  <si>
    <t>MCCB</t>
    <phoneticPr fontId="9" type="noConversion"/>
  </si>
  <si>
    <t xml:space="preserve">800A급 </t>
    <phoneticPr fontId="9" type="noConversion"/>
  </si>
  <si>
    <t>6.9URD33TTF0800 (3EA)</t>
    <phoneticPr fontId="9" type="noConversion"/>
  </si>
  <si>
    <t xml:space="preserve">DIODE </t>
    <phoneticPr fontId="9" type="noConversion"/>
  </si>
  <si>
    <t>MDD312-16N1</t>
    <phoneticPr fontId="9" type="noConversion"/>
  </si>
  <si>
    <t>저항 + 크로우바</t>
    <phoneticPr fontId="9" type="noConversion"/>
  </si>
  <si>
    <t>PSIH-400XF-LI-V1</t>
    <phoneticPr fontId="9" type="noConversion"/>
  </si>
  <si>
    <t>전류센싱 션트저항</t>
    <phoneticPr fontId="9" type="noConversion"/>
  </si>
  <si>
    <t>인버팅 소자(IGBT)</t>
    <phoneticPr fontId="9" type="noConversion"/>
  </si>
  <si>
    <t>[FZ2400R12HE4_B9] 1200V, 2400A, MODULE</t>
    <phoneticPr fontId="9" type="noConversion"/>
  </si>
  <si>
    <t>IMF3HS12: FZ2400R12HE4_1P_1M</t>
    <phoneticPr fontId="8" type="noConversion"/>
  </si>
  <si>
    <t>DC LINK CAPACITOR</t>
    <phoneticPr fontId="9" type="noConversion"/>
  </si>
  <si>
    <t>2800uF(50uF *56EA)</t>
    <phoneticPr fontId="9" type="noConversion"/>
  </si>
  <si>
    <t>DS500927 *2EA: 2800uF(50uF *56EA)</t>
    <phoneticPr fontId="8" type="noConversion"/>
  </si>
  <si>
    <t>전류센싱 C/T</t>
    <phoneticPr fontId="9" type="noConversion"/>
  </si>
  <si>
    <t>,500:1</t>
    <phoneticPr fontId="9" type="noConversion"/>
  </si>
  <si>
    <t>DC BLOCKING CAP</t>
    <phoneticPr fontId="9" type="noConversion"/>
  </si>
  <si>
    <t>사용안함</t>
    <phoneticPr fontId="9" type="noConversion"/>
  </si>
  <si>
    <t>M/T(Matching Transformer)</t>
    <phoneticPr fontId="9" type="noConversion"/>
  </si>
  <si>
    <t>사용안함</t>
    <phoneticPr fontId="9" type="noConversion"/>
  </si>
  <si>
    <t>직렬인덕터</t>
    <phoneticPr fontId="8" type="noConversion"/>
  </si>
  <si>
    <t>공진 CAP</t>
    <phoneticPr fontId="9" type="noConversion"/>
  </si>
  <si>
    <t>[DHF-S500PQ3700B]  37UF, 500Vrms, 1000Arms, 500KVAr, 100*100*71.5mm (maker 대동콘덴서)</t>
    <phoneticPr fontId="9" type="noConversion"/>
  </si>
  <si>
    <t>공진 CAP 구조</t>
    <phoneticPr fontId="9" type="noConversion"/>
  </si>
  <si>
    <t>4직렬 8병렬 
 :총 74uF, 2000V, 8000A,(32EA)
 :직병렬 공진회로이다보니 연결구조는 포스코 2CAL 과 비슷한 모듈 형태 필요
 --&gt; CAP의 형태가 팬너트가 양쪽에 있는 구조라 한쪽은 팬너트 제거하여야 조립성이 나올 것 같음
: 콘덴서 전류 최대 값 예상치는 3000A</t>
    <phoneticPr fontId="9" type="noConversion"/>
  </si>
  <si>
    <t>MAIN C/T</t>
    <phoneticPr fontId="8" type="noConversion"/>
  </si>
  <si>
    <t>고객사 (내경 50파이, 3tun)</t>
    <phoneticPr fontId="8" type="noConversion"/>
  </si>
  <si>
    <t xml:space="preserve">4직렬 </t>
    <phoneticPr fontId="9" type="noConversion"/>
  </si>
  <si>
    <t>567A</t>
    <phoneticPr fontId="9" type="noConversion"/>
  </si>
  <si>
    <t>인버터 출력전류(M/T 1차)</t>
    <phoneticPr fontId="9" type="noConversion"/>
  </si>
  <si>
    <t xml:space="preserve">최대 1050A </t>
    <phoneticPr fontId="9" type="noConversion"/>
  </si>
  <si>
    <t>C/T 1차전류</t>
    <phoneticPr fontId="9" type="noConversion"/>
  </si>
  <si>
    <t xml:space="preserve">최대 1500A </t>
    <phoneticPr fontId="9" type="noConversion"/>
  </si>
  <si>
    <t xml:space="preserve">최대 4500A </t>
    <phoneticPr fontId="8" type="noConversion"/>
  </si>
  <si>
    <t>확장(익스펜션) 보드</t>
    <phoneticPr fontId="8" type="noConversion"/>
  </si>
  <si>
    <t>모듈 컨트롤 보드</t>
    <phoneticPr fontId="8" type="noConversion"/>
  </si>
  <si>
    <t>게이트 드라이버 보드</t>
    <phoneticPr fontId="8" type="noConversion"/>
  </si>
  <si>
    <t>IH PROGRAM SETTING VALUE_Digital</t>
    <phoneticPr fontId="9" type="noConversion"/>
  </si>
  <si>
    <t xml:space="preserve">PROJECT </t>
    <phoneticPr fontId="9" type="noConversion"/>
  </si>
  <si>
    <t>정진고주파_샤프트열처리</t>
    <phoneticPr fontId="9" type="noConversion"/>
  </si>
  <si>
    <t>작성일시</t>
    <phoneticPr fontId="9" type="noConversion"/>
  </si>
  <si>
    <t>시운전일시</t>
    <phoneticPr fontId="9" type="noConversion"/>
  </si>
  <si>
    <t>PROGRAM SPECIFICATION</t>
    <phoneticPr fontId="9" type="noConversion"/>
  </si>
  <si>
    <t>CLOCK</t>
    <phoneticPr fontId="9" type="noConversion"/>
  </si>
  <si>
    <t>CLOCK</t>
    <phoneticPr fontId="9" type="noConversion"/>
  </si>
  <si>
    <t>M</t>
    <phoneticPr fontId="9" type="noConversion"/>
  </si>
  <si>
    <t>SCALE</t>
    <phoneticPr fontId="9" type="noConversion"/>
  </si>
  <si>
    <t>분주</t>
    <phoneticPr fontId="9" type="noConversion"/>
  </si>
  <si>
    <t>ECAP_CLOCK_10HZ</t>
    <phoneticPr fontId="9" type="noConversion"/>
  </si>
  <si>
    <t>FREQUENCY</t>
    <phoneticPr fontId="9" type="noConversion"/>
  </si>
  <si>
    <t>PERIOD</t>
    <phoneticPr fontId="9" type="noConversion"/>
  </si>
  <si>
    <t>HALF PERIOD</t>
    <phoneticPr fontId="9" type="noConversion"/>
  </si>
  <si>
    <t>POWER</t>
    <phoneticPr fontId="9" type="noConversion"/>
  </si>
  <si>
    <t>MAXIMUM</t>
    <phoneticPr fontId="9" type="noConversion"/>
  </si>
  <si>
    <t>kW</t>
    <phoneticPr fontId="9" type="noConversion"/>
  </si>
  <si>
    <t>MINIMUM</t>
    <phoneticPr fontId="9" type="noConversion"/>
  </si>
  <si>
    <t>INPUT VOLTAGE</t>
    <phoneticPr fontId="9" type="noConversion"/>
  </si>
  <si>
    <t>INPUT VOLTAGE</t>
    <phoneticPr fontId="9" type="noConversion"/>
  </si>
  <si>
    <t>VAC</t>
    <phoneticPr fontId="9" type="noConversion"/>
  </si>
  <si>
    <t>Vo MAX</t>
    <phoneticPr fontId="9" type="noConversion"/>
  </si>
  <si>
    <t>V</t>
    <phoneticPr fontId="9" type="noConversion"/>
  </si>
  <si>
    <t>INRUSH Voltage</t>
    <phoneticPr fontId="9" type="noConversion"/>
  </si>
  <si>
    <t>V</t>
    <phoneticPr fontId="9" type="noConversion"/>
  </si>
  <si>
    <t>UVP</t>
    <phoneticPr fontId="9" type="noConversion"/>
  </si>
  <si>
    <t>V</t>
    <phoneticPr fontId="9" type="noConversion"/>
  </si>
  <si>
    <t>전류 센싱</t>
    <phoneticPr fontId="9" type="noConversion"/>
  </si>
  <si>
    <t>SHUNT</t>
    <phoneticPr fontId="9" type="noConversion"/>
  </si>
  <si>
    <t>A/50mV</t>
    <phoneticPr fontId="9" type="noConversion"/>
  </si>
  <si>
    <t>Io OCP</t>
    <phoneticPr fontId="9" type="noConversion"/>
  </si>
  <si>
    <t>A</t>
    <phoneticPr fontId="9" type="noConversion"/>
  </si>
  <si>
    <t>공진 전류 센싱</t>
    <phoneticPr fontId="9" type="noConversion"/>
  </si>
  <si>
    <t>RESISTOR</t>
    <phoneticPr fontId="9" type="noConversion"/>
  </si>
  <si>
    <t>Ω</t>
    <phoneticPr fontId="9" type="noConversion"/>
  </si>
  <si>
    <t>PARALLEL</t>
    <phoneticPr fontId="9" type="noConversion"/>
  </si>
  <si>
    <t>개수</t>
    <phoneticPr fontId="9" type="noConversion"/>
  </si>
  <si>
    <t>CT</t>
    <phoneticPr fontId="9" type="noConversion"/>
  </si>
  <si>
    <t>:1</t>
    <phoneticPr fontId="9" type="noConversion"/>
  </si>
  <si>
    <t>실제 CURRENT</t>
    <phoneticPr fontId="9" type="noConversion"/>
  </si>
  <si>
    <t>IR RMS</t>
    <phoneticPr fontId="9" type="noConversion"/>
  </si>
  <si>
    <t>A</t>
    <phoneticPr fontId="9" type="noConversion"/>
  </si>
  <si>
    <t>IR AVG(LCD)</t>
    <phoneticPr fontId="9" type="noConversion"/>
  </si>
  <si>
    <t>A</t>
    <phoneticPr fontId="9" type="noConversion"/>
  </si>
  <si>
    <t>IR OCP</t>
    <phoneticPr fontId="9" type="noConversion"/>
  </si>
  <si>
    <t>A</t>
    <phoneticPr fontId="9" type="noConversion"/>
  </si>
  <si>
    <t>AD REF
(4 ~ 20mA)</t>
    <phoneticPr fontId="9" type="noConversion"/>
  </si>
  <si>
    <t>MAXIMUM</t>
    <phoneticPr fontId="9" type="noConversion"/>
  </si>
  <si>
    <t xml:space="preserve">kW </t>
    <phoneticPr fontId="9" type="noConversion"/>
  </si>
  <si>
    <t xml:space="preserve">kW </t>
    <phoneticPr fontId="9" type="noConversion"/>
  </si>
  <si>
    <t>DA POWER</t>
    <phoneticPr fontId="9" type="noConversion"/>
  </si>
  <si>
    <t xml:space="preserve">kW </t>
    <phoneticPr fontId="9" type="noConversion"/>
  </si>
  <si>
    <t>MINIMUM</t>
    <phoneticPr fontId="9" type="noConversion"/>
  </si>
  <si>
    <t xml:space="preserve">kW </t>
    <phoneticPr fontId="9" type="noConversion"/>
  </si>
  <si>
    <t>DA FREQUENCY</t>
    <phoneticPr fontId="9" type="noConversion"/>
  </si>
  <si>
    <t>Hz</t>
    <phoneticPr fontId="9" type="noConversion"/>
  </si>
  <si>
    <t>Hz</t>
    <phoneticPr fontId="9" type="noConversion"/>
  </si>
  <si>
    <t>공진 CAP</t>
    <phoneticPr fontId="9" type="noConversion"/>
  </si>
  <si>
    <t>RESONANT_CAP</t>
    <phoneticPr fontId="9" type="noConversion"/>
  </si>
  <si>
    <t xml:space="preserve">uF </t>
    <phoneticPr fontId="9" type="noConversion"/>
  </si>
  <si>
    <t>VOLTAGE</t>
    <phoneticPr fontId="9" type="noConversion"/>
  </si>
  <si>
    <t>SET_Vr</t>
    <phoneticPr fontId="9" type="noConversion"/>
  </si>
  <si>
    <t>V</t>
    <phoneticPr fontId="9" type="noConversion"/>
  </si>
  <si>
    <t>M/T</t>
    <phoneticPr fontId="9" type="noConversion"/>
  </si>
  <si>
    <t>:1</t>
    <phoneticPr fontId="9" type="noConversion"/>
  </si>
  <si>
    <t>동작 주파수</t>
    <phoneticPr fontId="9" type="noConversion"/>
  </si>
  <si>
    <t>MINIMUM</t>
    <phoneticPr fontId="9" type="noConversion"/>
  </si>
  <si>
    <t>MAXIMUM</t>
    <phoneticPr fontId="9" type="noConversion"/>
  </si>
  <si>
    <t>Hz</t>
    <phoneticPr fontId="9" type="noConversion"/>
  </si>
  <si>
    <t>START FREQUENCY</t>
    <phoneticPr fontId="9" type="noConversion"/>
  </si>
  <si>
    <t>Hz</t>
    <phoneticPr fontId="9" type="noConversion"/>
  </si>
  <si>
    <t>PWM FREQUENCY</t>
    <phoneticPr fontId="9" type="noConversion"/>
  </si>
  <si>
    <t>Hz</t>
    <phoneticPr fontId="9" type="noConversion"/>
  </si>
  <si>
    <t>DEAD TIME</t>
    <phoneticPr fontId="9" type="noConversion"/>
  </si>
  <si>
    <t>DEAD TIME</t>
    <phoneticPr fontId="9" type="noConversion"/>
  </si>
  <si>
    <t xml:space="preserve">uS </t>
    <phoneticPr fontId="9" type="noConversion"/>
  </si>
  <si>
    <t>분주 주파수</t>
    <phoneticPr fontId="9" type="noConversion"/>
  </si>
  <si>
    <t>SET DEAD TIME</t>
    <phoneticPr fontId="9" type="noConversion"/>
  </si>
  <si>
    <t>COUNT</t>
    <phoneticPr fontId="9" type="noConversion"/>
  </si>
  <si>
    <t>EXT FAULT</t>
    <phoneticPr fontId="9" type="noConversion"/>
  </si>
  <si>
    <t>FLT1</t>
    <phoneticPr fontId="9" type="noConversion"/>
  </si>
  <si>
    <t>DOOR OPEN</t>
    <phoneticPr fontId="9" type="noConversion"/>
  </si>
  <si>
    <t>○</t>
    <phoneticPr fontId="8" type="noConversion"/>
  </si>
  <si>
    <t>○</t>
    <phoneticPr fontId="9" type="noConversion"/>
  </si>
  <si>
    <t>OPP CAP</t>
    <phoneticPr fontId="9" type="noConversion"/>
  </si>
  <si>
    <t>○</t>
    <phoneticPr fontId="9" type="noConversion"/>
  </si>
  <si>
    <t>OTP WATER</t>
    <phoneticPr fontId="9" type="noConversion"/>
  </si>
  <si>
    <t>FLOW WATER</t>
    <phoneticPr fontId="9" type="noConversion"/>
  </si>
  <si>
    <t>○</t>
    <phoneticPr fontId="9" type="noConversion"/>
  </si>
  <si>
    <t>MA/CB AUX</t>
    <phoneticPr fontId="9" type="noConversion"/>
  </si>
  <si>
    <t>SPARE</t>
    <phoneticPr fontId="9" type="noConversion"/>
  </si>
  <si>
    <t>X</t>
    <phoneticPr fontId="9" type="noConversion"/>
  </si>
  <si>
    <t>LEAK WATER</t>
    <phoneticPr fontId="9" type="noConversion"/>
  </si>
  <si>
    <t>FLT8</t>
    <phoneticPr fontId="8" type="noConversion"/>
  </si>
  <si>
    <t>COIL TOUCH(열처리)
GOUND LEAK(용해로)</t>
    <phoneticPr fontId="8" type="noConversion"/>
  </si>
  <si>
    <t>FLT9</t>
    <phoneticPr fontId="9" type="noConversion"/>
  </si>
  <si>
    <t>FUSE OPEN</t>
    <phoneticPr fontId="9" type="noConversion"/>
  </si>
  <si>
    <t>FLT10</t>
    <phoneticPr fontId="9" type="noConversion"/>
  </si>
  <si>
    <t>OVGR</t>
    <phoneticPr fontId="9" type="noConversion"/>
  </si>
  <si>
    <t>IR OCP</t>
    <phoneticPr fontId="9" type="noConversion"/>
  </si>
  <si>
    <t>IIN OCP</t>
    <phoneticPr fontId="9" type="noConversion"/>
  </si>
  <si>
    <t>○</t>
    <phoneticPr fontId="9" type="noConversion"/>
  </si>
  <si>
    <t>MD FAULT</t>
    <phoneticPr fontId="9" type="noConversion"/>
  </si>
  <si>
    <t>CONTROL MODE</t>
    <phoneticPr fontId="9" type="noConversion"/>
  </si>
  <si>
    <t>PSPWM</t>
    <phoneticPr fontId="9" type="noConversion"/>
  </si>
  <si>
    <t>공진회로</t>
    <phoneticPr fontId="9" type="noConversion"/>
  </si>
  <si>
    <t>직렬공진회로(FULL BRIDGE)</t>
    <phoneticPr fontId="9" type="noConversion"/>
  </si>
  <si>
    <t>특이 사항</t>
    <phoneticPr fontId="9" type="noConversion"/>
  </si>
  <si>
    <t xml:space="preserve">턴 수 :23턴 </t>
    <phoneticPr fontId="8" type="noConversion"/>
  </si>
  <si>
    <t>내경 : 132 Ø</t>
    <phoneticPr fontId="8" type="noConversion"/>
  </si>
  <si>
    <t>높이: 480mm를 기준 높이로 제작</t>
    <phoneticPr fontId="8" type="noConversion"/>
  </si>
  <si>
    <t>L값: 16.2uH  (높이 480mm 일때, 1EA 기준, 무부하)</t>
    <phoneticPr fontId="8" type="noConversion"/>
  </si>
  <si>
    <t>CI3D0018</t>
    <phoneticPr fontId="8" type="noConversion"/>
  </si>
  <si>
    <t>16.81uH (한쪽 출력당) : 최대 1050A 
내경 : 132mm (기존 PSA01Y16-0090_정진고주파 내경은 동일함.)
턴수 : 23턴
높이 : 500mm
권선 : 18파이, 2t</t>
    <phoneticPr fontId="8" type="noConversion"/>
  </si>
  <si>
    <t>적층형 24층 (페라이트 코아 UU120C조합) 
24:8/8/8(3:1) 구조로 적층 
중족단면적 : 96 cm2
1차 최대전류 : 1500A, 2차 최대 전류: 4500A
--&gt; 6T 부스바에 내부 냉각 들어간 구조의 판을 적용함.(일진글로벌 350KW 견적 제출시 설계한 구조 : 손정식 과장 설계 진행함.)</t>
    <phoneticPr fontId="8" type="noConversion"/>
  </si>
  <si>
    <t>IH_GATE_DRIVER_V21_DUAL_R7_2400A</t>
    <phoneticPr fontId="8" type="noConversion"/>
  </si>
  <si>
    <t>IH DIGITAL CONTROL BOARD V3.8</t>
    <phoneticPr fontId="8" type="noConversion"/>
  </si>
  <si>
    <t>기존 납품 설비와 동일 (PSA01Y18-0037_정진고주파_샤프트열처리_350kw_6kHz)</t>
    <phoneticPr fontId="8" type="noConversion"/>
  </si>
  <si>
    <t>2021.01.21</t>
    <phoneticPr fontId="9" type="noConversion"/>
  </si>
  <si>
    <t>2021.03.30</t>
    <phoneticPr fontId="9" type="noConversion"/>
  </si>
  <si>
    <t>2021.03.16</t>
    <phoneticPr fontId="9" type="noConversion"/>
  </si>
  <si>
    <t xml:space="preserve">기존 PSA01Y18-0037_정진고주파 설비의 SW와 동일
--&gt; 제어 구조 및 전력의 크기 등은 전체적인 면에서 동일하지만 IR 센싱범위 및 IC 크기 등만 약간 커짐.
--&gt; 직병렬 공진 회로이다보니 콘덴서 전압은 직접 센싱하고 있고 콘덴서 전류(IC)는 센싱한 VC(콘덴서 전압)값을 이용하여 C값과 주파수를 이용하여 계산을 하여 LCD에 표시를 함.
(콘덴서 전류는 3000A까지 표기, 예상 전류는 최대 2600A정도 예상)
--&gt; 크로우바 동작 및 CTP 동작이 있어야 함. </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</si>
</sst>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1" formatCode="_-* #,##0_-;\-* #,##0_-;_-* &quot;-&quot;_-;_-@_-"/>
    <numFmt numFmtId="176" formatCode="0.00_ "/>
    <numFmt numFmtId="177" formatCode="0.000_ "/>
    <numFmt numFmtId="178" formatCode="0.0_ "/>
    <numFmt numFmtId="179" formatCode="0_ "/>
    <numFmt numFmtId="180" formatCode="0_);[Red]\(0\)"/>
    <numFmt numFmtId="181" formatCode="#,##0_);[Red]\(#,##0\)"/>
    <numFmt numFmtId="182" formatCode="_-* #,##0.0_-;\-* #,##0.0_-;_-* &quot;-&quot;_-;_-@_-"/>
    <numFmt numFmtId="183" formatCode="0.0"/>
    <numFmt numFmtId="184" formatCode="0.000"/>
    <numFmt numFmtId="185" formatCode="0.0000"/>
    <numFmt numFmtId="186" formatCode="0.0000_ "/>
    <numFmt numFmtId="187" formatCode="0.000_);[Red]\(0.000\)"/>
    <numFmt numFmtId="188" formatCode="0.0_);[Red]\(0.0\)"/>
  </numFmts>
  <fonts count="29">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돋움"/>
      <family val="3"/>
      <charset val="129"/>
    </font>
    <font>
      <sz val="8"/>
      <name val="맑은 고딕"/>
      <family val="3"/>
      <charset val="129"/>
    </font>
    <font>
      <sz val="10"/>
      <name val="맑은 고딕"/>
      <family val="3"/>
      <charset val="129"/>
    </font>
    <font>
      <b/>
      <u/>
      <sz val="11"/>
      <name val="바탕"/>
      <family val="1"/>
      <charset val="129"/>
    </font>
    <font>
      <sz val="11"/>
      <color theme="1"/>
      <name val="맑은 고딕"/>
      <family val="3"/>
      <charset val="129"/>
      <scheme val="minor"/>
    </font>
    <font>
      <b/>
      <sz val="11"/>
      <color theme="1"/>
      <name val="맑은 고딕"/>
      <family val="3"/>
      <charset val="129"/>
      <scheme val="minor"/>
    </font>
    <font>
      <sz val="10"/>
      <color theme="1"/>
      <name val="맑은 고딕"/>
      <family val="3"/>
      <charset val="129"/>
      <scheme val="minor"/>
    </font>
    <font>
      <sz val="10"/>
      <color theme="1"/>
      <name val="맑은 고딕"/>
      <family val="3"/>
      <charset val="129"/>
    </font>
    <font>
      <sz val="11"/>
      <name val="맑은 고딕"/>
      <family val="3"/>
      <charset val="129"/>
      <scheme val="minor"/>
    </font>
    <font>
      <b/>
      <sz val="11"/>
      <color rgb="FFFF0000"/>
      <name val="맑은 고딕"/>
      <family val="3"/>
      <charset val="129"/>
      <scheme val="minor"/>
    </font>
    <font>
      <b/>
      <sz val="12"/>
      <color theme="1"/>
      <name val="맑은 고딕"/>
      <family val="3"/>
      <charset val="129"/>
      <scheme val="minor"/>
    </font>
    <font>
      <b/>
      <sz val="14"/>
      <color theme="1"/>
      <name val="맑은 고딕"/>
      <family val="3"/>
      <charset val="129"/>
      <scheme val="minor"/>
    </font>
    <font>
      <sz val="12"/>
      <name val="맑은 고딕"/>
      <family val="3"/>
      <charset val="129"/>
      <scheme val="minor"/>
    </font>
    <font>
      <b/>
      <sz val="18"/>
      <color theme="1"/>
      <name val="맑은 고딕"/>
      <family val="3"/>
      <charset val="129"/>
      <scheme val="minor"/>
    </font>
    <font>
      <b/>
      <sz val="14"/>
      <color rgb="FFFF0000"/>
      <name val="맑은 고딕"/>
      <family val="3"/>
      <charset val="129"/>
      <scheme val="minor"/>
    </font>
    <font>
      <b/>
      <sz val="11"/>
      <name val="맑은 고딕"/>
      <family val="3"/>
      <charset val="129"/>
      <scheme val="minor"/>
    </font>
    <font>
      <sz val="8"/>
      <name val="맑은 고딕"/>
      <family val="2"/>
      <charset val="129"/>
      <scheme val="minor"/>
    </font>
    <font>
      <sz val="10"/>
      <name val="맑은 고딕"/>
      <family val="3"/>
      <charset val="129"/>
      <scheme val="minor"/>
    </font>
    <font>
      <sz val="11"/>
      <name val="맑은 고딕"/>
      <family val="2"/>
      <charset val="129"/>
      <scheme val="minor"/>
    </font>
    <font>
      <b/>
      <sz val="8"/>
      <name val="돋움"/>
      <family val="3"/>
      <charset val="129"/>
    </font>
    <font>
      <b/>
      <sz val="8"/>
      <name val="맑은 고딕"/>
      <family val="3"/>
      <charset val="129"/>
    </font>
  </fonts>
  <fills count="19">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FFEBEB"/>
        <bgColor indexed="64"/>
      </patternFill>
    </fill>
  </fills>
  <borders count="36">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theme="1"/>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double">
        <color indexed="64"/>
      </bottom>
      <diagonal/>
    </border>
    <border>
      <left style="medium">
        <color indexed="64"/>
      </left>
      <right/>
      <top style="medium">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double">
        <color indexed="64"/>
      </right>
      <top style="thin">
        <color indexed="64"/>
      </top>
      <bottom/>
      <diagonal/>
    </border>
    <border>
      <left style="double">
        <color indexed="64"/>
      </left>
      <right style="double">
        <color indexed="64"/>
      </right>
      <top style="thin">
        <color indexed="64"/>
      </top>
      <bottom/>
      <diagonal/>
    </border>
    <border>
      <left style="double">
        <color indexed="64"/>
      </left>
      <right/>
      <top style="thin">
        <color indexed="64"/>
      </top>
      <bottom/>
      <diagonal/>
    </border>
    <border>
      <left style="double">
        <color indexed="64"/>
      </left>
      <right style="medium">
        <color indexed="64"/>
      </right>
      <top style="thin">
        <color indexed="64"/>
      </top>
      <bottom/>
      <diagonal/>
    </border>
    <border>
      <left style="medium">
        <color indexed="64"/>
      </left>
      <right style="double">
        <color indexed="64"/>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left style="double">
        <color indexed="64"/>
      </left>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s>
  <cellStyleXfs count="10">
    <xf numFmtId="0" fontId="0" fillId="0" borderId="0"/>
    <xf numFmtId="41" fontId="7" fillId="0" borderId="0" applyFont="0" applyFill="0" applyBorder="0" applyAlignment="0" applyProtection="0"/>
    <xf numFmtId="0" fontId="7" fillId="0" borderId="0">
      <alignment vertical="center"/>
    </xf>
    <xf numFmtId="0" fontId="6" fillId="0" borderId="0">
      <alignment vertical="center"/>
    </xf>
    <xf numFmtId="0" fontId="5" fillId="0" borderId="0">
      <alignment vertical="center"/>
    </xf>
    <xf numFmtId="0" fontId="7" fillId="0" borderId="0"/>
    <xf numFmtId="41" fontId="7" fillId="0" borderId="0" applyFont="0" applyFill="0" applyBorder="0" applyAlignment="0" applyProtection="0"/>
    <xf numFmtId="0" fontId="5" fillId="0" borderId="0">
      <alignment vertical="center"/>
    </xf>
    <xf numFmtId="0" fontId="3" fillId="0" borderId="0">
      <alignment vertical="center"/>
    </xf>
    <xf numFmtId="0" fontId="2" fillId="0" borderId="0">
      <alignment vertical="center"/>
    </xf>
  </cellStyleXfs>
  <cellXfs count="301">
    <xf numFmtId="0" fontId="0" fillId="0" borderId="0" xfId="0"/>
    <xf numFmtId="0" fontId="14" fillId="0" borderId="9" xfId="0" applyFont="1" applyBorder="1" applyAlignment="1">
      <alignment vertical="center"/>
    </xf>
    <xf numFmtId="0" fontId="14" fillId="0" borderId="9" xfId="0" applyFont="1" applyBorder="1" applyAlignment="1">
      <alignment horizontal="center" vertical="center"/>
    </xf>
    <xf numFmtId="0" fontId="14" fillId="0" borderId="9" xfId="0" applyFont="1" applyBorder="1" applyAlignment="1">
      <alignment horizontal="left" vertical="center"/>
    </xf>
    <xf numFmtId="0" fontId="14" fillId="0" borderId="10" xfId="0" applyFont="1" applyBorder="1" applyAlignment="1">
      <alignment vertical="center"/>
    </xf>
    <xf numFmtId="0" fontId="14" fillId="2" borderId="11" xfId="0" applyFont="1" applyFill="1" applyBorder="1" applyAlignment="1">
      <alignment vertical="center"/>
    </xf>
    <xf numFmtId="0" fontId="14" fillId="2" borderId="10" xfId="0" applyFont="1" applyFill="1" applyBorder="1" applyAlignment="1">
      <alignment vertical="center"/>
    </xf>
    <xf numFmtId="0" fontId="14" fillId="2" borderId="10" xfId="0" applyFont="1" applyFill="1" applyBorder="1" applyAlignment="1">
      <alignment vertical="center" wrapText="1"/>
    </xf>
    <xf numFmtId="0" fontId="15" fillId="0" borderId="10" xfId="0" applyFont="1" applyBorder="1" applyAlignment="1">
      <alignment vertical="center" wrapText="1"/>
    </xf>
    <xf numFmtId="0" fontId="14" fillId="0" borderId="12" xfId="0" applyFont="1" applyBorder="1" applyAlignment="1">
      <alignment vertical="center"/>
    </xf>
    <xf numFmtId="0" fontId="14" fillId="0" borderId="13" xfId="0" applyFont="1" applyBorder="1" applyAlignment="1">
      <alignment vertical="center"/>
    </xf>
    <xf numFmtId="0" fontId="16" fillId="0" borderId="0" xfId="2" applyFont="1" applyAlignment="1">
      <alignment vertical="center"/>
    </xf>
    <xf numFmtId="0" fontId="7" fillId="0" borderId="0" xfId="2">
      <alignment vertical="center"/>
    </xf>
    <xf numFmtId="0" fontId="16" fillId="0" borderId="2" xfId="0" applyFont="1" applyBorder="1" applyAlignment="1">
      <alignment vertical="center"/>
    </xf>
    <xf numFmtId="0" fontId="16" fillId="8" borderId="2" xfId="0" applyFont="1" applyFill="1" applyBorder="1" applyAlignment="1">
      <alignment vertical="center"/>
    </xf>
    <xf numFmtId="0" fontId="16" fillId="2" borderId="2" xfId="0" applyFont="1" applyFill="1" applyBorder="1" applyAlignment="1">
      <alignment vertical="center"/>
    </xf>
    <xf numFmtId="0" fontId="12" fillId="0" borderId="2" xfId="0" applyFont="1" applyBorder="1" applyAlignment="1">
      <alignment vertical="center"/>
    </xf>
    <xf numFmtId="0" fontId="13" fillId="0" borderId="2" xfId="0" applyNumberFormat="1" applyFont="1" applyBorder="1" applyAlignment="1">
      <alignment vertical="center"/>
    </xf>
    <xf numFmtId="0" fontId="12" fillId="0" borderId="2" xfId="0" applyNumberFormat="1" applyFont="1" applyBorder="1" applyAlignment="1">
      <alignment vertical="center"/>
    </xf>
    <xf numFmtId="0" fontId="16" fillId="4" borderId="2" xfId="0" applyFont="1" applyFill="1" applyBorder="1" applyAlignment="1">
      <alignment vertical="center"/>
    </xf>
    <xf numFmtId="0" fontId="13" fillId="2" borderId="2" xfId="0" applyNumberFormat="1" applyFont="1" applyFill="1" applyBorder="1" applyAlignment="1">
      <alignment vertical="center"/>
    </xf>
    <xf numFmtId="0" fontId="17" fillId="4" borderId="2" xfId="0" applyFont="1" applyFill="1" applyBorder="1" applyAlignment="1">
      <alignment vertical="center"/>
    </xf>
    <xf numFmtId="1" fontId="13" fillId="0" borderId="2" xfId="0" applyNumberFormat="1" applyFont="1" applyBorder="1" applyAlignment="1">
      <alignment vertical="center"/>
    </xf>
    <xf numFmtId="0" fontId="12" fillId="8" borderId="2" xfId="0" applyNumberFormat="1" applyFont="1" applyFill="1" applyBorder="1" applyAlignment="1">
      <alignment vertical="center"/>
    </xf>
    <xf numFmtId="178" fontId="13" fillId="4" borderId="2" xfId="0" applyNumberFormat="1" applyFont="1" applyFill="1" applyBorder="1" applyAlignment="1">
      <alignment vertical="center"/>
    </xf>
    <xf numFmtId="178" fontId="12" fillId="8" borderId="2" xfId="0" applyNumberFormat="1" applyFont="1" applyFill="1" applyBorder="1" applyAlignment="1">
      <alignment vertical="center"/>
    </xf>
    <xf numFmtId="178" fontId="12" fillId="4" borderId="2" xfId="0" applyNumberFormat="1" applyFont="1" applyFill="1" applyBorder="1" applyAlignment="1">
      <alignment vertical="center"/>
    </xf>
    <xf numFmtId="0" fontId="16" fillId="0" borderId="2" xfId="2" applyFont="1" applyBorder="1" applyAlignment="1">
      <alignment vertical="center"/>
    </xf>
    <xf numFmtId="0" fontId="16" fillId="8" borderId="2" xfId="2" applyFont="1" applyFill="1" applyBorder="1" applyAlignment="1">
      <alignment vertical="center"/>
    </xf>
    <xf numFmtId="177" fontId="12" fillId="0" borderId="2" xfId="0" applyNumberFormat="1" applyFont="1" applyBorder="1" applyAlignment="1">
      <alignment vertical="center"/>
    </xf>
    <xf numFmtId="178" fontId="17" fillId="9" borderId="2" xfId="0" applyNumberFormat="1" applyFont="1" applyFill="1" applyBorder="1" applyAlignment="1">
      <alignment vertical="center"/>
    </xf>
    <xf numFmtId="0" fontId="16" fillId="10" borderId="2" xfId="2" applyFont="1" applyFill="1" applyBorder="1" applyAlignment="1">
      <alignment vertical="center"/>
    </xf>
    <xf numFmtId="0" fontId="16" fillId="0" borderId="2" xfId="2" applyFont="1" applyBorder="1">
      <alignment vertical="center"/>
    </xf>
    <xf numFmtId="0" fontId="16" fillId="8" borderId="2" xfId="2" applyFont="1" applyFill="1" applyBorder="1">
      <alignment vertical="center"/>
    </xf>
    <xf numFmtId="0" fontId="17" fillId="4" borderId="2" xfId="2" applyFont="1" applyFill="1" applyBorder="1">
      <alignment vertical="center"/>
    </xf>
    <xf numFmtId="0" fontId="16" fillId="4" borderId="2" xfId="2" applyFont="1" applyFill="1" applyBorder="1" applyAlignment="1">
      <alignment vertical="center"/>
    </xf>
    <xf numFmtId="0" fontId="16" fillId="10" borderId="2" xfId="0" applyFont="1" applyFill="1" applyBorder="1" applyAlignment="1">
      <alignment vertical="center"/>
    </xf>
    <xf numFmtId="178" fontId="16" fillId="4" borderId="2" xfId="0" applyNumberFormat="1" applyFont="1" applyFill="1" applyBorder="1" applyAlignment="1">
      <alignment vertical="center"/>
    </xf>
    <xf numFmtId="178" fontId="17" fillId="4" borderId="2" xfId="0" applyNumberFormat="1" applyFont="1" applyFill="1" applyBorder="1" applyAlignment="1">
      <alignment vertical="center"/>
    </xf>
    <xf numFmtId="0" fontId="16" fillId="0" borderId="2" xfId="0" applyFont="1" applyFill="1" applyBorder="1" applyAlignment="1">
      <alignment vertical="center"/>
    </xf>
    <xf numFmtId="0" fontId="12" fillId="0" borderId="2" xfId="0" applyFont="1" applyBorder="1" applyAlignment="1">
      <alignment horizontal="left" vertical="center"/>
    </xf>
    <xf numFmtId="0" fontId="16" fillId="4" borderId="2" xfId="2" applyFont="1" applyFill="1" applyBorder="1">
      <alignment vertical="center"/>
    </xf>
    <xf numFmtId="1" fontId="17" fillId="4" borderId="2" xfId="0" applyNumberFormat="1" applyFont="1" applyFill="1" applyBorder="1" applyAlignment="1">
      <alignment vertical="center"/>
    </xf>
    <xf numFmtId="0" fontId="0" fillId="0" borderId="0" xfId="2" applyFont="1">
      <alignment vertical="center"/>
    </xf>
    <xf numFmtId="0" fontId="17" fillId="9" borderId="2" xfId="2" applyFont="1" applyFill="1" applyBorder="1">
      <alignment vertical="center"/>
    </xf>
    <xf numFmtId="0" fontId="18" fillId="0" borderId="4" xfId="0" applyFont="1" applyBorder="1" applyAlignment="1">
      <alignment horizontal="center" vertical="center"/>
    </xf>
    <xf numFmtId="0" fontId="18" fillId="0" borderId="4" xfId="0" applyFont="1" applyFill="1" applyBorder="1" applyAlignment="1">
      <alignment horizontal="center" vertical="center"/>
    </xf>
    <xf numFmtId="0" fontId="18" fillId="0" borderId="2" xfId="0" applyFont="1" applyBorder="1" applyAlignment="1">
      <alignment horizontal="center" vertical="center"/>
    </xf>
    <xf numFmtId="0" fontId="0" fillId="0" borderId="0" xfId="0" applyAlignment="1">
      <alignment vertical="center"/>
    </xf>
    <xf numFmtId="41" fontId="0" fillId="0" borderId="0" xfId="1" applyFont="1" applyAlignment="1">
      <alignment vertical="center"/>
    </xf>
    <xf numFmtId="0" fontId="0" fillId="0" borderId="2" xfId="0" applyBorder="1" applyAlignment="1">
      <alignment horizontal="center" vertical="center"/>
    </xf>
    <xf numFmtId="0" fontId="0" fillId="0" borderId="2" xfId="0" applyBorder="1" applyAlignment="1">
      <alignment vertical="center"/>
    </xf>
    <xf numFmtId="181" fontId="12" fillId="7" borderId="2" xfId="0" applyNumberFormat="1" applyFont="1" applyFill="1" applyBorder="1" applyAlignment="1">
      <alignment vertical="center"/>
    </xf>
    <xf numFmtId="181" fontId="13" fillId="0" borderId="2" xfId="0" applyNumberFormat="1" applyFont="1" applyBorder="1" applyAlignment="1">
      <alignment vertical="center"/>
    </xf>
    <xf numFmtId="181" fontId="12" fillId="0" borderId="2" xfId="0" applyNumberFormat="1" applyFont="1" applyBorder="1" applyAlignment="1">
      <alignment vertical="center"/>
    </xf>
    <xf numFmtId="41" fontId="16" fillId="7" borderId="2" xfId="1" applyFont="1" applyFill="1" applyBorder="1" applyAlignment="1">
      <alignment vertical="center"/>
    </xf>
    <xf numFmtId="0" fontId="12" fillId="7" borderId="2" xfId="0" applyFont="1" applyFill="1" applyBorder="1" applyAlignment="1">
      <alignment vertical="center"/>
    </xf>
    <xf numFmtId="0" fontId="13" fillId="0" borderId="2" xfId="0" applyFont="1" applyBorder="1" applyAlignment="1">
      <alignment vertical="center"/>
    </xf>
    <xf numFmtId="0" fontId="13" fillId="0" borderId="2" xfId="0" applyFont="1" applyFill="1" applyBorder="1" applyAlignment="1">
      <alignment vertical="center"/>
    </xf>
    <xf numFmtId="0" fontId="0" fillId="0" borderId="2" xfId="0" applyBorder="1"/>
    <xf numFmtId="0" fontId="10" fillId="0" borderId="2" xfId="0" applyFont="1" applyBorder="1" applyAlignment="1">
      <alignment horizontal="justify" vertical="center"/>
    </xf>
    <xf numFmtId="0" fontId="0" fillId="11" borderId="0" xfId="0" applyFill="1"/>
    <xf numFmtId="0" fontId="20" fillId="0" borderId="0" xfId="0" applyFont="1"/>
    <xf numFmtId="0" fontId="0" fillId="5" borderId="0" xfId="0" applyFill="1"/>
    <xf numFmtId="22" fontId="14" fillId="2" borderId="10" xfId="0" applyNumberFormat="1" applyFont="1" applyFill="1" applyBorder="1" applyAlignment="1">
      <alignment vertical="center"/>
    </xf>
    <xf numFmtId="0" fontId="0" fillId="11" borderId="0" xfId="0" applyFill="1" applyAlignment="1">
      <alignment vertical="center"/>
    </xf>
    <xf numFmtId="0" fontId="0" fillId="5" borderId="0" xfId="0" applyFill="1" applyAlignment="1">
      <alignment vertical="center"/>
    </xf>
    <xf numFmtId="0" fontId="25" fillId="0" borderId="2" xfId="0" applyFont="1" applyBorder="1" applyAlignment="1">
      <alignment vertical="center"/>
    </xf>
    <xf numFmtId="0" fontId="5" fillId="0" borderId="0" xfId="4">
      <alignment vertical="center"/>
    </xf>
    <xf numFmtId="0" fontId="7" fillId="0" borderId="0" xfId="5" applyBorder="1" applyAlignment="1">
      <alignment horizontal="center" vertical="center" wrapText="1"/>
    </xf>
    <xf numFmtId="0" fontId="16" fillId="0" borderId="4" xfId="2" applyFont="1" applyBorder="1">
      <alignment vertical="center"/>
    </xf>
    <xf numFmtId="183" fontId="16" fillId="8" borderId="2" xfId="2" applyNumberFormat="1" applyFont="1" applyFill="1" applyBorder="1">
      <alignment vertical="center"/>
    </xf>
    <xf numFmtId="2" fontId="16" fillId="2" borderId="2" xfId="2" applyNumberFormat="1" applyFont="1" applyFill="1" applyBorder="1">
      <alignment vertical="center"/>
    </xf>
    <xf numFmtId="183" fontId="16" fillId="6" borderId="2" xfId="2" applyNumberFormat="1" applyFont="1" applyFill="1" applyBorder="1">
      <alignment vertical="center"/>
    </xf>
    <xf numFmtId="183" fontId="16" fillId="2" borderId="2" xfId="2" applyNumberFormat="1" applyFont="1" applyFill="1" applyBorder="1">
      <alignment vertical="center"/>
    </xf>
    <xf numFmtId="183" fontId="16" fillId="0" borderId="2" xfId="2" applyNumberFormat="1" applyFont="1" applyBorder="1">
      <alignment vertical="center"/>
    </xf>
    <xf numFmtId="0" fontId="16" fillId="13" borderId="4" xfId="2" applyFont="1" applyFill="1" applyBorder="1">
      <alignment vertical="center"/>
    </xf>
    <xf numFmtId="2" fontId="16" fillId="8" borderId="2" xfId="2" applyNumberFormat="1" applyFont="1" applyFill="1" applyBorder="1">
      <alignment vertical="center"/>
    </xf>
    <xf numFmtId="2" fontId="16" fillId="4" borderId="2" xfId="2" applyNumberFormat="1" applyFont="1" applyFill="1" applyBorder="1">
      <alignment vertical="center"/>
    </xf>
    <xf numFmtId="183" fontId="16" fillId="4" borderId="2" xfId="2" applyNumberFormat="1" applyFont="1" applyFill="1" applyBorder="1">
      <alignment vertical="center"/>
    </xf>
    <xf numFmtId="2" fontId="16" fillId="13" borderId="2" xfId="2" applyNumberFormat="1" applyFont="1" applyFill="1" applyBorder="1">
      <alignment vertical="center"/>
    </xf>
    <xf numFmtId="2" fontId="16" fillId="8" borderId="16" xfId="2" applyNumberFormat="1" applyFont="1" applyFill="1" applyBorder="1">
      <alignment vertical="center"/>
    </xf>
    <xf numFmtId="183" fontId="16" fillId="13" borderId="2" xfId="2" applyNumberFormat="1" applyFont="1" applyFill="1" applyBorder="1">
      <alignment vertical="center"/>
    </xf>
    <xf numFmtId="0" fontId="16" fillId="2" borderId="4" xfId="2" applyFont="1" applyFill="1" applyBorder="1">
      <alignment vertical="center"/>
    </xf>
    <xf numFmtId="184" fontId="16" fillId="2" borderId="2" xfId="2" applyNumberFormat="1" applyFont="1" applyFill="1" applyBorder="1">
      <alignment vertical="center"/>
    </xf>
    <xf numFmtId="185" fontId="16" fillId="2" borderId="2" xfId="2" applyNumberFormat="1" applyFont="1" applyFill="1" applyBorder="1">
      <alignment vertical="center"/>
    </xf>
    <xf numFmtId="184" fontId="16" fillId="8" borderId="4" xfId="2" applyNumberFormat="1" applyFont="1" applyFill="1" applyBorder="1">
      <alignment vertical="center"/>
    </xf>
    <xf numFmtId="0" fontId="16" fillId="2" borderId="2" xfId="5" applyFont="1" applyFill="1" applyBorder="1"/>
    <xf numFmtId="2" fontId="16" fillId="6" borderId="2" xfId="2" applyNumberFormat="1" applyFont="1" applyFill="1" applyBorder="1">
      <alignment vertical="center"/>
    </xf>
    <xf numFmtId="0" fontId="16" fillId="13" borderId="2" xfId="2" applyFont="1" applyFill="1" applyBorder="1">
      <alignment vertical="center"/>
    </xf>
    <xf numFmtId="0" fontId="16" fillId="0" borderId="2" xfId="0" applyFont="1" applyBorder="1"/>
    <xf numFmtId="0" fontId="16" fillId="8" borderId="2" xfId="0" applyFont="1" applyFill="1" applyBorder="1" applyAlignment="1">
      <alignment horizontal="right"/>
    </xf>
    <xf numFmtId="178" fontId="16" fillId="2" borderId="2" xfId="0" applyNumberFormat="1" applyFont="1" applyFill="1" applyBorder="1"/>
    <xf numFmtId="178" fontId="16" fillId="8" borderId="2" xfId="0" applyNumberFormat="1" applyFont="1" applyFill="1" applyBorder="1" applyAlignment="1">
      <alignment horizontal="right"/>
    </xf>
    <xf numFmtId="178" fontId="16" fillId="2" borderId="2" xfId="0" applyNumberFormat="1" applyFont="1" applyFill="1" applyBorder="1" applyAlignment="1">
      <alignment horizontal="right"/>
    </xf>
    <xf numFmtId="178" fontId="23" fillId="4" borderId="2" xfId="0" applyNumberFormat="1" applyFont="1" applyFill="1" applyBorder="1" applyAlignment="1">
      <alignment horizontal="right"/>
    </xf>
    <xf numFmtId="178" fontId="16" fillId="6" borderId="2" xfId="0" applyNumberFormat="1" applyFont="1" applyFill="1" applyBorder="1" applyAlignment="1">
      <alignment horizontal="right"/>
    </xf>
    <xf numFmtId="178" fontId="13" fillId="4" borderId="2" xfId="0" applyNumberFormat="1" applyFont="1" applyFill="1" applyBorder="1" applyAlignment="1">
      <alignment horizontal="right"/>
    </xf>
    <xf numFmtId="176" fontId="16" fillId="8" borderId="2" xfId="0" applyNumberFormat="1" applyFont="1" applyFill="1" applyBorder="1" applyAlignment="1">
      <alignment horizontal="right"/>
    </xf>
    <xf numFmtId="179" fontId="16" fillId="8" borderId="2" xfId="0" applyNumberFormat="1" applyFont="1" applyFill="1" applyBorder="1" applyAlignment="1">
      <alignment horizontal="right"/>
    </xf>
    <xf numFmtId="178" fontId="17" fillId="4" borderId="2" xfId="0" applyNumberFormat="1" applyFont="1" applyFill="1" applyBorder="1" applyAlignment="1">
      <alignment horizontal="right"/>
    </xf>
    <xf numFmtId="178" fontId="23" fillId="8" borderId="2" xfId="0" applyNumberFormat="1" applyFont="1" applyFill="1" applyBorder="1" applyAlignment="1">
      <alignment horizontal="right"/>
    </xf>
    <xf numFmtId="186" fontId="16" fillId="8" borderId="2" xfId="0" applyNumberFormat="1" applyFont="1" applyFill="1" applyBorder="1"/>
    <xf numFmtId="178" fontId="17" fillId="4" borderId="2" xfId="0" applyNumberFormat="1" applyFont="1" applyFill="1" applyBorder="1"/>
    <xf numFmtId="178" fontId="13" fillId="2" borderId="2" xfId="0" applyNumberFormat="1" applyFont="1" applyFill="1" applyBorder="1"/>
    <xf numFmtId="0" fontId="16" fillId="2" borderId="2" xfId="0" applyFont="1" applyFill="1" applyBorder="1"/>
    <xf numFmtId="178" fontId="16" fillId="6" borderId="2" xfId="0" applyNumberFormat="1" applyFont="1" applyFill="1" applyBorder="1"/>
    <xf numFmtId="0" fontId="4" fillId="0" borderId="0" xfId="4" applyFont="1">
      <alignment vertical="center"/>
    </xf>
    <xf numFmtId="0" fontId="16" fillId="0" borderId="2" xfId="0" applyFont="1" applyFill="1" applyBorder="1"/>
    <xf numFmtId="0" fontId="17" fillId="0" borderId="2" xfId="0" applyFont="1" applyBorder="1"/>
    <xf numFmtId="0" fontId="23" fillId="0" borderId="2" xfId="0" applyFont="1" applyBorder="1"/>
    <xf numFmtId="0" fontId="17" fillId="0" borderId="2" xfId="2" applyFont="1" applyBorder="1">
      <alignment vertical="center"/>
    </xf>
    <xf numFmtId="0" fontId="23" fillId="0" borderId="2" xfId="2" applyFont="1" applyBorder="1">
      <alignment vertical="center"/>
    </xf>
    <xf numFmtId="0" fontId="23" fillId="0" borderId="2" xfId="2" applyFont="1" applyBorder="1" applyAlignment="1">
      <alignment vertical="center" wrapText="1"/>
    </xf>
    <xf numFmtId="177" fontId="13" fillId="4" borderId="2" xfId="0" applyNumberFormat="1" applyFont="1" applyFill="1" applyBorder="1" applyAlignment="1">
      <alignment vertical="center"/>
    </xf>
    <xf numFmtId="0" fontId="16" fillId="8" borderId="2" xfId="0" applyNumberFormat="1" applyFont="1" applyFill="1" applyBorder="1" applyAlignment="1">
      <alignment vertical="center"/>
    </xf>
    <xf numFmtId="187" fontId="17" fillId="4" borderId="2" xfId="0" applyNumberFormat="1" applyFont="1" applyFill="1" applyBorder="1" applyAlignment="1">
      <alignment vertical="center"/>
    </xf>
    <xf numFmtId="0" fontId="17" fillId="4" borderId="2" xfId="2" applyFont="1" applyFill="1" applyBorder="1" applyAlignment="1">
      <alignment vertical="center"/>
    </xf>
    <xf numFmtId="0" fontId="17" fillId="4" borderId="2" xfId="2" quotePrefix="1" applyFont="1" applyFill="1" applyBorder="1" applyAlignment="1">
      <alignment vertical="center"/>
    </xf>
    <xf numFmtId="0" fontId="16" fillId="8" borderId="2" xfId="0" applyFont="1" applyFill="1" applyBorder="1"/>
    <xf numFmtId="0" fontId="17" fillId="4" borderId="2" xfId="0" applyFont="1" applyFill="1" applyBorder="1"/>
    <xf numFmtId="0" fontId="25" fillId="0" borderId="2" xfId="0" applyFont="1" applyBorder="1" applyAlignment="1">
      <alignment horizontal="left"/>
    </xf>
    <xf numFmtId="0" fontId="25" fillId="10" borderId="2" xfId="0" applyFont="1" applyFill="1" applyBorder="1" applyAlignment="1">
      <alignment horizontal="left"/>
    </xf>
    <xf numFmtId="0" fontId="16" fillId="0" borderId="2" xfId="0" applyFont="1" applyBorder="1" applyAlignment="1">
      <alignment horizontal="left"/>
    </xf>
    <xf numFmtId="0" fontId="16" fillId="3" borderId="2" xfId="0" applyFont="1" applyFill="1" applyBorder="1" applyAlignment="1">
      <alignment horizontal="left"/>
    </xf>
    <xf numFmtId="0" fontId="16" fillId="10" borderId="2" xfId="2" applyFont="1" applyFill="1" applyBorder="1">
      <alignment vertical="center"/>
    </xf>
    <xf numFmtId="0" fontId="16" fillId="0" borderId="2" xfId="0" applyFont="1" applyBorder="1" applyAlignment="1">
      <alignment horizontal="left" vertical="center"/>
    </xf>
    <xf numFmtId="0" fontId="16" fillId="0" borderId="2" xfId="0" applyFont="1" applyBorder="1" applyAlignment="1">
      <alignment horizontal="center" vertical="center"/>
    </xf>
    <xf numFmtId="0" fontId="3" fillId="0" borderId="0" xfId="8" applyAlignment="1"/>
    <xf numFmtId="0" fontId="3" fillId="0" borderId="0" xfId="8" applyBorder="1" applyAlignment="1"/>
    <xf numFmtId="0" fontId="3" fillId="0" borderId="0" xfId="8">
      <alignment vertical="center"/>
    </xf>
    <xf numFmtId="0" fontId="3" fillId="0" borderId="2" xfId="8" applyBorder="1" applyAlignment="1"/>
    <xf numFmtId="0" fontId="3" fillId="8" borderId="2" xfId="8" applyFill="1" applyBorder="1" applyAlignment="1"/>
    <xf numFmtId="0" fontId="3" fillId="0" borderId="2" xfId="8" applyBorder="1" applyAlignment="1">
      <alignment horizontal="left"/>
    </xf>
    <xf numFmtId="0" fontId="3" fillId="8" borderId="2" xfId="8" applyFill="1" applyBorder="1" applyAlignment="1">
      <alignment horizontal="right"/>
    </xf>
    <xf numFmtId="0" fontId="3" fillId="0" borderId="2" xfId="8" applyFill="1" applyBorder="1" applyAlignment="1">
      <alignment horizontal="right"/>
    </xf>
    <xf numFmtId="0" fontId="3" fillId="5" borderId="2" xfId="8" applyFill="1" applyBorder="1" applyAlignment="1"/>
    <xf numFmtId="0" fontId="3" fillId="0" borderId="2" xfId="8" applyFill="1" applyBorder="1" applyAlignment="1"/>
    <xf numFmtId="0" fontId="13" fillId="4" borderId="2" xfId="8" applyFont="1" applyFill="1" applyBorder="1" applyAlignment="1"/>
    <xf numFmtId="0" fontId="3" fillId="0" borderId="2" xfId="8" applyBorder="1" applyAlignment="1">
      <alignment horizontal="right"/>
    </xf>
    <xf numFmtId="178" fontId="13" fillId="4" borderId="2" xfId="8" applyNumberFormat="1" applyFont="1" applyFill="1" applyBorder="1" applyAlignment="1"/>
    <xf numFmtId="0" fontId="3" fillId="5" borderId="2" xfId="8" applyFill="1" applyBorder="1" applyAlignment="1">
      <alignment horizontal="right"/>
    </xf>
    <xf numFmtId="0" fontId="3" fillId="2" borderId="2" xfId="8" applyFill="1" applyBorder="1" applyAlignment="1"/>
    <xf numFmtId="0" fontId="13" fillId="9" borderId="2" xfId="8" applyFont="1" applyFill="1" applyBorder="1" applyAlignment="1"/>
    <xf numFmtId="0" fontId="3" fillId="0" borderId="2" xfId="8" applyFont="1" applyBorder="1" applyAlignment="1"/>
    <xf numFmtId="183" fontId="3" fillId="0" borderId="2" xfId="8" applyNumberFormat="1" applyBorder="1" applyAlignment="1"/>
    <xf numFmtId="0" fontId="3" fillId="4" borderId="2" xfId="8" applyFill="1" applyBorder="1" applyAlignment="1"/>
    <xf numFmtId="0" fontId="3" fillId="0" borderId="0" xfId="8" applyFill="1" applyBorder="1" applyAlignment="1"/>
    <xf numFmtId="183" fontId="3" fillId="0" borderId="0" xfId="8" applyNumberFormat="1" applyAlignment="1"/>
    <xf numFmtId="0" fontId="3" fillId="0" borderId="6" xfId="8" applyFill="1" applyBorder="1" applyAlignment="1"/>
    <xf numFmtId="0" fontId="3" fillId="0" borderId="0" xfId="8" applyFont="1" applyAlignment="1"/>
    <xf numFmtId="0" fontId="13" fillId="0" borderId="0" xfId="8" applyFont="1" applyAlignment="1"/>
    <xf numFmtId="176" fontId="17" fillId="9" borderId="2" xfId="0" applyNumberFormat="1" applyFont="1" applyFill="1" applyBorder="1" applyAlignment="1">
      <alignment vertical="center"/>
    </xf>
    <xf numFmtId="0" fontId="3" fillId="0" borderId="8" xfId="8" applyFill="1" applyBorder="1" applyAlignment="1"/>
    <xf numFmtId="178" fontId="3" fillId="0" borderId="0" xfId="8" applyNumberFormat="1" applyAlignment="1"/>
    <xf numFmtId="0" fontId="3" fillId="0" borderId="2" xfId="8" applyFont="1" applyBorder="1" applyAlignment="1">
      <alignment horizontal="right"/>
    </xf>
    <xf numFmtId="0" fontId="3" fillId="0" borderId="3" xfId="8" applyBorder="1" applyAlignment="1"/>
    <xf numFmtId="0" fontId="3" fillId="2" borderId="2" xfId="8" applyFont="1" applyFill="1" applyBorder="1" applyAlignment="1"/>
    <xf numFmtId="0" fontId="17" fillId="4" borderId="0" xfId="8" applyFont="1" applyFill="1" applyAlignment="1"/>
    <xf numFmtId="183" fontId="3" fillId="0" borderId="7" xfId="8" applyNumberFormat="1" applyBorder="1" applyAlignment="1"/>
    <xf numFmtId="0" fontId="3" fillId="0" borderId="0" xfId="8" applyFill="1" applyAlignment="1"/>
    <xf numFmtId="0" fontId="17" fillId="5" borderId="2" xfId="8" applyFont="1" applyFill="1" applyBorder="1" applyAlignment="1"/>
    <xf numFmtId="0" fontId="3" fillId="0" borderId="0" xfId="8" applyFont="1" applyBorder="1" applyAlignment="1"/>
    <xf numFmtId="0" fontId="3" fillId="9" borderId="2" xfId="8" applyFill="1" applyBorder="1" applyAlignment="1"/>
    <xf numFmtId="0" fontId="17" fillId="9" borderId="0" xfId="8" applyFont="1" applyFill="1" applyBorder="1" applyAlignment="1"/>
    <xf numFmtId="0" fontId="3" fillId="2" borderId="0" xfId="8" applyFill="1" applyBorder="1" applyAlignment="1"/>
    <xf numFmtId="0" fontId="3" fillId="0" borderId="7" xfId="8" applyBorder="1" applyAlignment="1"/>
    <xf numFmtId="0" fontId="3" fillId="3" borderId="2" xfId="8" applyFont="1" applyFill="1" applyBorder="1" applyAlignment="1"/>
    <xf numFmtId="0" fontId="3" fillId="3" borderId="2" xfId="8" applyFill="1" applyBorder="1" applyAlignment="1"/>
    <xf numFmtId="0" fontId="3" fillId="12" borderId="2" xfId="8" applyFill="1" applyBorder="1" applyAlignment="1"/>
    <xf numFmtId="0" fontId="26" fillId="2" borderId="2" xfId="8" applyFont="1" applyFill="1" applyBorder="1" applyAlignment="1"/>
    <xf numFmtId="0" fontId="16" fillId="4" borderId="20" xfId="0" applyFont="1" applyFill="1" applyBorder="1" applyAlignment="1">
      <alignment horizontal="center" vertical="center"/>
    </xf>
    <xf numFmtId="0" fontId="16" fillId="13" borderId="23" xfId="0" applyFont="1" applyFill="1" applyBorder="1" applyAlignment="1">
      <alignment horizontal="center" vertical="center"/>
    </xf>
    <xf numFmtId="0" fontId="16" fillId="2" borderId="24" xfId="0" applyFont="1" applyFill="1" applyBorder="1" applyAlignment="1">
      <alignment horizontal="left" vertical="center"/>
    </xf>
    <xf numFmtId="0" fontId="16" fillId="2" borderId="24" xfId="0" applyFont="1" applyFill="1" applyBorder="1" applyAlignment="1">
      <alignment horizontal="left"/>
    </xf>
    <xf numFmtId="180" fontId="16" fillId="2" borderId="24" xfId="0" applyNumberFormat="1" applyFont="1" applyFill="1" applyBorder="1" applyAlignment="1">
      <alignment horizontal="left" vertical="center"/>
    </xf>
    <xf numFmtId="188" fontId="16" fillId="2" borderId="24" xfId="0" applyNumberFormat="1" applyFont="1" applyFill="1" applyBorder="1" applyAlignment="1">
      <alignment horizontal="left" vertical="center"/>
    </xf>
    <xf numFmtId="179" fontId="16" fillId="2" borderId="24" xfId="0" applyNumberFormat="1" applyFont="1" applyFill="1" applyBorder="1" applyAlignment="1">
      <alignment horizontal="left" vertical="center"/>
    </xf>
    <xf numFmtId="0" fontId="16" fillId="2" borderId="25" xfId="0" applyFont="1" applyFill="1" applyBorder="1" applyAlignment="1">
      <alignment horizontal="left" vertical="center"/>
    </xf>
    <xf numFmtId="0" fontId="16" fillId="2" borderId="26" xfId="0" applyFont="1" applyFill="1" applyBorder="1" applyAlignment="1">
      <alignment horizontal="center" vertical="center"/>
    </xf>
    <xf numFmtId="0" fontId="16" fillId="2" borderId="24" xfId="0" applyFont="1" applyFill="1" applyBorder="1" applyAlignment="1">
      <alignment horizontal="center" vertical="center"/>
    </xf>
    <xf numFmtId="0" fontId="16" fillId="0" borderId="26" xfId="0" applyFont="1" applyBorder="1" applyAlignment="1">
      <alignment horizontal="left" vertical="center"/>
    </xf>
    <xf numFmtId="0" fontId="16" fillId="13" borderId="28" xfId="0" applyFont="1" applyFill="1" applyBorder="1" applyAlignment="1">
      <alignment horizontal="center" vertical="center"/>
    </xf>
    <xf numFmtId="180" fontId="16" fillId="2" borderId="29" xfId="0" applyNumberFormat="1" applyFont="1" applyFill="1" applyBorder="1" applyAlignment="1">
      <alignment horizontal="left" vertical="center"/>
    </xf>
    <xf numFmtId="0" fontId="16" fillId="2" borderId="29" xfId="0" applyFont="1" applyFill="1" applyBorder="1" applyAlignment="1">
      <alignment horizontal="left" vertical="center"/>
    </xf>
    <xf numFmtId="0" fontId="16" fillId="2" borderId="29" xfId="0" applyFont="1" applyFill="1" applyBorder="1" applyAlignment="1">
      <alignment horizontal="left"/>
    </xf>
    <xf numFmtId="188" fontId="16" fillId="2" borderId="29" xfId="0" applyNumberFormat="1" applyFont="1" applyFill="1" applyBorder="1" applyAlignment="1">
      <alignment horizontal="left" vertical="center"/>
    </xf>
    <xf numFmtId="179" fontId="16" fillId="2" borderId="29" xfId="0" applyNumberFormat="1" applyFont="1" applyFill="1" applyBorder="1" applyAlignment="1">
      <alignment horizontal="left" vertical="center"/>
    </xf>
    <xf numFmtId="0" fontId="16" fillId="2" borderId="29" xfId="0" applyFont="1" applyFill="1" applyBorder="1" applyAlignment="1">
      <alignment horizontal="center" vertical="center"/>
    </xf>
    <xf numFmtId="0" fontId="16" fillId="2" borderId="30" xfId="0" applyFont="1" applyFill="1" applyBorder="1" applyAlignment="1">
      <alignment horizontal="left" vertical="center"/>
    </xf>
    <xf numFmtId="0" fontId="16" fillId="0" borderId="31" xfId="0" applyFont="1" applyBorder="1" applyAlignment="1">
      <alignment horizontal="left" vertical="center"/>
    </xf>
    <xf numFmtId="0" fontId="16" fillId="13" borderId="32" xfId="0" applyFont="1" applyFill="1" applyBorder="1" applyAlignment="1">
      <alignment horizontal="center" vertical="center"/>
    </xf>
    <xf numFmtId="0" fontId="16" fillId="2" borderId="33" xfId="0" applyFont="1" applyFill="1" applyBorder="1" applyAlignment="1">
      <alignment horizontal="left" vertical="center"/>
    </xf>
    <xf numFmtId="0" fontId="16" fillId="2" borderId="33" xfId="0" applyFont="1" applyFill="1" applyBorder="1" applyAlignment="1">
      <alignment horizontal="left"/>
    </xf>
    <xf numFmtId="180" fontId="16" fillId="2" borderId="33" xfId="0" applyNumberFormat="1" applyFont="1" applyFill="1" applyBorder="1" applyAlignment="1">
      <alignment horizontal="left" vertical="center"/>
    </xf>
    <xf numFmtId="188" fontId="16" fillId="2" borderId="33" xfId="0" applyNumberFormat="1" applyFont="1" applyFill="1" applyBorder="1" applyAlignment="1">
      <alignment horizontal="left" vertical="center"/>
    </xf>
    <xf numFmtId="179" fontId="16" fillId="2" borderId="33" xfId="0" applyNumberFormat="1" applyFont="1" applyFill="1" applyBorder="1" applyAlignment="1">
      <alignment horizontal="left" vertical="center"/>
    </xf>
    <xf numFmtId="0" fontId="16" fillId="2" borderId="33" xfId="0" applyFont="1" applyFill="1" applyBorder="1" applyAlignment="1">
      <alignment horizontal="center" vertical="center"/>
    </xf>
    <xf numFmtId="0" fontId="16" fillId="2" borderId="34" xfId="0" applyFont="1" applyFill="1" applyBorder="1" applyAlignment="1">
      <alignment horizontal="left" vertical="center"/>
    </xf>
    <xf numFmtId="0" fontId="16" fillId="0" borderId="35" xfId="0" applyFont="1" applyBorder="1" applyAlignment="1">
      <alignment horizontal="left" vertical="center"/>
    </xf>
    <xf numFmtId="0" fontId="16" fillId="4" borderId="2" xfId="0" applyFont="1" applyFill="1" applyBorder="1" applyAlignment="1">
      <alignment horizontal="right"/>
    </xf>
    <xf numFmtId="0" fontId="16" fillId="10" borderId="2" xfId="0" applyFont="1" applyFill="1" applyBorder="1" applyAlignment="1">
      <alignment horizontal="right"/>
    </xf>
    <xf numFmtId="0" fontId="23" fillId="4" borderId="2" xfId="0" applyFont="1" applyFill="1" applyBorder="1" applyAlignment="1">
      <alignment horizontal="right"/>
    </xf>
    <xf numFmtId="0" fontId="17" fillId="4" borderId="2" xfId="0" applyFont="1" applyFill="1" applyBorder="1" applyAlignment="1">
      <alignment horizontal="right"/>
    </xf>
    <xf numFmtId="0" fontId="23" fillId="8" borderId="2" xfId="0" applyFont="1" applyFill="1" applyBorder="1" applyAlignment="1">
      <alignment horizontal="right"/>
    </xf>
    <xf numFmtId="178" fontId="16" fillId="4" borderId="2" xfId="0" applyNumberFormat="1" applyFont="1" applyFill="1" applyBorder="1"/>
    <xf numFmtId="2" fontId="16" fillId="0" borderId="2" xfId="2" applyNumberFormat="1" applyFont="1" applyBorder="1">
      <alignment vertical="center"/>
    </xf>
    <xf numFmtId="2" fontId="16" fillId="8" borderId="4" xfId="2" applyNumberFormat="1" applyFont="1" applyFill="1" applyBorder="1">
      <alignment vertical="center"/>
    </xf>
    <xf numFmtId="49" fontId="27" fillId="16" borderId="2" xfId="2" applyNumberFormat="1" applyFont="1" applyFill="1" applyBorder="1" applyAlignment="1">
      <alignment horizontal="center" vertical="center"/>
    </xf>
    <xf numFmtId="49" fontId="27" fillId="16" borderId="2" xfId="2" applyNumberFormat="1" applyFont="1" applyFill="1" applyBorder="1" applyAlignment="1">
      <alignment horizontal="center" vertical="center" wrapText="1"/>
    </xf>
    <xf numFmtId="183" fontId="27" fillId="16" borderId="5" xfId="2" applyNumberFormat="1" applyFont="1" applyFill="1" applyBorder="1" applyAlignment="1">
      <alignment horizontal="center" vertical="center" wrapText="1"/>
    </xf>
    <xf numFmtId="1" fontId="27" fillId="16" borderId="5" xfId="2" applyNumberFormat="1" applyFont="1" applyFill="1" applyBorder="1" applyAlignment="1">
      <alignment horizontal="center" vertical="center" wrapText="1"/>
    </xf>
    <xf numFmtId="49" fontId="27" fillId="16" borderId="6" xfId="2" applyNumberFormat="1" applyFont="1" applyFill="1" applyBorder="1" applyAlignment="1">
      <alignment horizontal="center" vertical="center" wrapText="1"/>
    </xf>
    <xf numFmtId="0" fontId="27" fillId="16" borderId="5" xfId="2" applyNumberFormat="1" applyFont="1" applyFill="1" applyBorder="1" applyAlignment="1">
      <alignment horizontal="center" vertical="center" wrapText="1"/>
    </xf>
    <xf numFmtId="49" fontId="27" fillId="16" borderId="5" xfId="2" applyNumberFormat="1" applyFont="1" applyFill="1" applyBorder="1" applyAlignment="1">
      <alignment horizontal="center" vertical="center"/>
    </xf>
    <xf numFmtId="183" fontId="27" fillId="16" borderId="5" xfId="2" applyNumberFormat="1" applyFont="1" applyFill="1" applyBorder="1" applyAlignment="1">
      <alignment horizontal="center" vertical="center"/>
    </xf>
    <xf numFmtId="183" fontId="27" fillId="16" borderId="2" xfId="2" applyNumberFormat="1" applyFont="1" applyFill="1" applyBorder="1" applyAlignment="1">
      <alignment horizontal="center" vertical="center"/>
    </xf>
    <xf numFmtId="49" fontId="27" fillId="16" borderId="5" xfId="2" applyNumberFormat="1" applyFont="1" applyFill="1" applyBorder="1" applyAlignment="1">
      <alignment horizontal="center" vertical="center" wrapText="1"/>
    </xf>
    <xf numFmtId="0" fontId="25" fillId="15" borderId="2" xfId="2" applyNumberFormat="1" applyFont="1" applyFill="1" applyBorder="1" applyAlignment="1">
      <alignment horizontal="right" vertical="center"/>
    </xf>
    <xf numFmtId="0" fontId="23" fillId="0" borderId="2" xfId="0" applyFont="1" applyBorder="1" applyAlignment="1">
      <alignment horizontal="center" vertical="center"/>
    </xf>
    <xf numFmtId="0" fontId="23" fillId="0" borderId="0" xfId="0" applyFont="1" applyAlignment="1">
      <alignment horizontal="center" vertical="center"/>
    </xf>
    <xf numFmtId="0" fontId="2" fillId="0" borderId="0" xfId="9">
      <alignment vertical="center"/>
    </xf>
    <xf numFmtId="183" fontId="27" fillId="16" borderId="14" xfId="2" applyNumberFormat="1" applyFont="1" applyFill="1" applyBorder="1" applyAlignment="1">
      <alignment horizontal="center" vertical="center"/>
    </xf>
    <xf numFmtId="0" fontId="27" fillId="16" borderId="14" xfId="2" applyNumberFormat="1" applyFont="1" applyFill="1" applyBorder="1" applyAlignment="1">
      <alignment horizontal="center" vertical="center"/>
    </xf>
    <xf numFmtId="1" fontId="14" fillId="18" borderId="2" xfId="9" applyNumberFormat="1" applyFont="1" applyFill="1" applyBorder="1">
      <alignment vertical="center"/>
    </xf>
    <xf numFmtId="183" fontId="14" fillId="18" borderId="2" xfId="9" applyNumberFormat="1" applyFont="1" applyFill="1" applyBorder="1">
      <alignment vertical="center"/>
    </xf>
    <xf numFmtId="183" fontId="14" fillId="15" borderId="2" xfId="9" applyNumberFormat="1" applyFont="1" applyFill="1" applyBorder="1">
      <alignment vertical="center"/>
    </xf>
    <xf numFmtId="183" fontId="25" fillId="18" borderId="2" xfId="2" applyNumberFormat="1" applyFont="1" applyFill="1" applyBorder="1">
      <alignment vertical="center"/>
    </xf>
    <xf numFmtId="2" fontId="14" fillId="18" borderId="2" xfId="9" applyNumberFormat="1" applyFont="1" applyFill="1" applyBorder="1">
      <alignment vertical="center"/>
    </xf>
    <xf numFmtId="183" fontId="14" fillId="17" borderId="2" xfId="9" applyNumberFormat="1" applyFont="1" applyFill="1" applyBorder="1" applyAlignment="1">
      <alignment vertical="center"/>
    </xf>
    <xf numFmtId="183" fontId="2" fillId="0" borderId="0" xfId="9" applyNumberFormat="1">
      <alignment vertical="center"/>
    </xf>
    <xf numFmtId="1" fontId="2" fillId="0" borderId="0" xfId="9" applyNumberFormat="1">
      <alignment vertical="center"/>
    </xf>
    <xf numFmtId="0" fontId="2" fillId="0" borderId="0" xfId="9" applyNumberFormat="1">
      <alignment vertical="center"/>
    </xf>
    <xf numFmtId="0" fontId="19" fillId="7" borderId="4" xfId="0" applyFont="1" applyFill="1" applyBorder="1" applyAlignment="1">
      <alignment horizontal="center" vertical="center"/>
    </xf>
    <xf numFmtId="0" fontId="19" fillId="7" borderId="1" xfId="0" applyFont="1" applyFill="1" applyBorder="1" applyAlignment="1">
      <alignment horizontal="center" vertical="center"/>
    </xf>
    <xf numFmtId="0" fontId="16" fillId="0" borderId="2" xfId="0" applyFont="1" applyBorder="1" applyAlignment="1">
      <alignment horizontal="center" vertical="center"/>
    </xf>
    <xf numFmtId="0" fontId="0" fillId="0" borderId="0" xfId="0" applyBorder="1" applyAlignment="1">
      <alignment horizontal="center"/>
    </xf>
    <xf numFmtId="0" fontId="16" fillId="0" borderId="0" xfId="0" applyFont="1" applyAlignment="1">
      <alignment vertical="center"/>
    </xf>
    <xf numFmtId="41" fontId="16" fillId="0" borderId="2" xfId="1" applyFont="1" applyBorder="1" applyAlignment="1">
      <alignment vertical="center"/>
    </xf>
    <xf numFmtId="181" fontId="16" fillId="0" borderId="2" xfId="0" applyNumberFormat="1" applyFont="1" applyBorder="1" applyAlignment="1">
      <alignment vertical="center"/>
    </xf>
    <xf numFmtId="41" fontId="16" fillId="7" borderId="2" xfId="1" applyNumberFormat="1" applyFont="1" applyFill="1" applyBorder="1" applyAlignment="1">
      <alignment vertical="center"/>
    </xf>
    <xf numFmtId="181" fontId="16" fillId="7" borderId="2" xfId="0" applyNumberFormat="1" applyFont="1" applyFill="1" applyBorder="1" applyAlignment="1">
      <alignment vertical="center"/>
    </xf>
    <xf numFmtId="182" fontId="16" fillId="7" borderId="2" xfId="1" applyNumberFormat="1" applyFont="1" applyFill="1" applyBorder="1" applyAlignment="1">
      <alignment vertical="center"/>
    </xf>
    <xf numFmtId="0" fontId="16" fillId="7" borderId="2" xfId="0" applyFont="1" applyFill="1" applyBorder="1" applyAlignment="1">
      <alignment vertical="center"/>
    </xf>
    <xf numFmtId="178" fontId="12" fillId="7" borderId="2" xfId="0" applyNumberFormat="1" applyFont="1" applyFill="1" applyBorder="1" applyAlignment="1">
      <alignment horizontal="center" vertical="center"/>
    </xf>
    <xf numFmtId="0" fontId="16" fillId="7" borderId="2" xfId="0" applyFont="1" applyFill="1" applyBorder="1" applyAlignment="1">
      <alignment vertical="center" wrapText="1"/>
    </xf>
    <xf numFmtId="180" fontId="16" fillId="7" borderId="2" xfId="1" applyNumberFormat="1" applyFont="1" applyFill="1" applyBorder="1" applyAlignment="1">
      <alignment vertical="center"/>
    </xf>
    <xf numFmtId="0" fontId="0" fillId="0" borderId="2" xfId="0" applyBorder="1" applyAlignment="1">
      <alignment horizontal="center"/>
    </xf>
    <xf numFmtId="0" fontId="23" fillId="0" borderId="8" xfId="2" applyFont="1" applyBorder="1" applyAlignment="1">
      <alignment horizontal="left" vertical="center"/>
    </xf>
    <xf numFmtId="0" fontId="23" fillId="0" borderId="0" xfId="2" applyFont="1" applyAlignment="1">
      <alignment horizontal="left" vertical="center"/>
    </xf>
    <xf numFmtId="0" fontId="16" fillId="10" borderId="2" xfId="0" applyFont="1" applyFill="1" applyBorder="1" applyAlignment="1">
      <alignment horizontal="center" vertical="center"/>
    </xf>
    <xf numFmtId="0" fontId="23" fillId="0" borderId="8" xfId="0" applyFont="1" applyBorder="1" applyAlignment="1">
      <alignment horizontal="left"/>
    </xf>
    <xf numFmtId="0" fontId="19" fillId="7" borderId="4" xfId="0" applyFont="1" applyFill="1" applyBorder="1" applyAlignment="1">
      <alignment horizontal="center" vertical="center"/>
    </xf>
    <xf numFmtId="0" fontId="19" fillId="7" borderId="3" xfId="0" applyFont="1" applyFill="1" applyBorder="1" applyAlignment="1">
      <alignment horizontal="center" vertical="center"/>
    </xf>
    <xf numFmtId="0" fontId="19" fillId="7" borderId="1" xfId="0" applyFont="1" applyFill="1" applyBorder="1" applyAlignment="1">
      <alignment horizontal="center" vertical="center"/>
    </xf>
    <xf numFmtId="0" fontId="21" fillId="0" borderId="4" xfId="0" applyFont="1" applyBorder="1" applyAlignment="1">
      <alignment horizontal="center" vertical="center"/>
    </xf>
    <xf numFmtId="0" fontId="21" fillId="0" borderId="3" xfId="0" applyFont="1" applyBorder="1" applyAlignment="1">
      <alignment horizontal="center" vertical="center"/>
    </xf>
    <xf numFmtId="0" fontId="21" fillId="0" borderId="1" xfId="0" applyFont="1" applyBorder="1" applyAlignment="1">
      <alignment horizontal="center" vertical="center"/>
    </xf>
    <xf numFmtId="0" fontId="19" fillId="0" borderId="2" xfId="0" applyFont="1" applyBorder="1" applyAlignment="1">
      <alignment horizontal="center" vertical="center"/>
    </xf>
    <xf numFmtId="0" fontId="22" fillId="7" borderId="4" xfId="0" applyFont="1" applyFill="1" applyBorder="1" applyAlignment="1">
      <alignment horizontal="center" vertical="center"/>
    </xf>
    <xf numFmtId="0" fontId="22" fillId="7" borderId="1" xfId="0" applyFont="1" applyFill="1" applyBorder="1" applyAlignment="1">
      <alignment horizontal="center" vertical="center"/>
    </xf>
    <xf numFmtId="0" fontId="16" fillId="0" borderId="5" xfId="0" applyFont="1" applyBorder="1" applyAlignment="1">
      <alignment horizontal="center" vertical="center"/>
    </xf>
    <xf numFmtId="0" fontId="16" fillId="0" borderId="15" xfId="0" applyFont="1" applyBorder="1" applyAlignment="1">
      <alignment horizontal="center" vertical="center"/>
    </xf>
    <xf numFmtId="0" fontId="16" fillId="0" borderId="5" xfId="0" applyFont="1" applyBorder="1" applyAlignment="1">
      <alignment horizontal="left" vertical="center"/>
    </xf>
    <xf numFmtId="0" fontId="16" fillId="0" borderId="15" xfId="0" applyFont="1" applyBorder="1" applyAlignment="1">
      <alignment horizontal="left" vertical="center"/>
    </xf>
    <xf numFmtId="0" fontId="16" fillId="0" borderId="14" xfId="0" applyFont="1" applyBorder="1" applyAlignment="1">
      <alignment horizontal="center" vertical="center"/>
    </xf>
    <xf numFmtId="0" fontId="16" fillId="0" borderId="14" xfId="0" applyFont="1" applyBorder="1" applyAlignment="1">
      <alignment horizontal="left" vertical="center"/>
    </xf>
    <xf numFmtId="0" fontId="16" fillId="0" borderId="5" xfId="0" applyFont="1" applyBorder="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horizontal="left" vertical="center"/>
    </xf>
    <xf numFmtId="0" fontId="0" fillId="0" borderId="1" xfId="0" applyBorder="1" applyAlignment="1">
      <alignment horizontal="left" vertical="center"/>
    </xf>
    <xf numFmtId="41" fontId="16" fillId="7" borderId="4" xfId="1" applyFont="1" applyFill="1" applyBorder="1" applyAlignment="1">
      <alignment horizontal="center" vertical="center"/>
    </xf>
    <xf numFmtId="41" fontId="16" fillId="7" borderId="3" xfId="1" applyFont="1" applyFill="1" applyBorder="1" applyAlignment="1">
      <alignment horizontal="center" vertical="center"/>
    </xf>
    <xf numFmtId="41" fontId="16" fillId="7" borderId="1" xfId="1" applyFont="1" applyFill="1" applyBorder="1" applyAlignment="1">
      <alignment horizontal="center" vertical="center"/>
    </xf>
    <xf numFmtId="49" fontId="27" fillId="16" borderId="2" xfId="2" applyNumberFormat="1" applyFont="1" applyFill="1" applyBorder="1" applyAlignment="1">
      <alignment horizontal="center" vertical="center"/>
    </xf>
    <xf numFmtId="49" fontId="27" fillId="16" borderId="5" xfId="2" applyNumberFormat="1" applyFont="1" applyFill="1" applyBorder="1" applyAlignment="1">
      <alignment horizontal="center" vertical="center" wrapText="1"/>
    </xf>
    <xf numFmtId="49" fontId="27" fillId="16" borderId="14" xfId="2" applyNumberFormat="1" applyFont="1" applyFill="1" applyBorder="1" applyAlignment="1">
      <alignment horizontal="center" vertical="center"/>
    </xf>
    <xf numFmtId="49" fontId="27" fillId="16" borderId="15" xfId="2" applyNumberFormat="1" applyFont="1" applyFill="1" applyBorder="1" applyAlignment="1">
      <alignment horizontal="center" vertical="center"/>
    </xf>
    <xf numFmtId="49" fontId="27" fillId="16" borderId="14" xfId="2" applyNumberFormat="1" applyFont="1" applyFill="1" applyBorder="1" applyAlignment="1">
      <alignment horizontal="center" vertical="center" wrapText="1"/>
    </xf>
    <xf numFmtId="0" fontId="16" fillId="2" borderId="25" xfId="0" applyFont="1" applyFill="1" applyBorder="1" applyAlignment="1">
      <alignment horizontal="left" vertical="center"/>
    </xf>
    <xf numFmtId="0" fontId="16" fillId="2" borderId="27" xfId="0" applyFont="1" applyFill="1" applyBorder="1" applyAlignment="1">
      <alignment horizontal="left" vertical="center"/>
    </xf>
    <xf numFmtId="0" fontId="16" fillId="4" borderId="9" xfId="0" applyFont="1" applyFill="1" applyBorder="1" applyAlignment="1">
      <alignment horizontal="center" vertical="center"/>
    </xf>
    <xf numFmtId="0" fontId="16" fillId="4" borderId="20" xfId="0" applyFont="1" applyFill="1" applyBorder="1" applyAlignment="1">
      <alignment horizontal="center" vertical="center"/>
    </xf>
    <xf numFmtId="0" fontId="16" fillId="8" borderId="9" xfId="0" applyFont="1" applyFill="1" applyBorder="1" applyAlignment="1">
      <alignment horizontal="center" vertical="center"/>
    </xf>
    <xf numFmtId="0" fontId="16" fillId="8" borderId="20" xfId="0" applyFont="1" applyFill="1" applyBorder="1" applyAlignment="1">
      <alignment horizontal="center" vertical="center"/>
    </xf>
    <xf numFmtId="0" fontId="16" fillId="4" borderId="17" xfId="0" applyFont="1" applyFill="1" applyBorder="1" applyAlignment="1">
      <alignment horizontal="center" vertical="center"/>
    </xf>
    <xf numFmtId="0" fontId="16" fillId="4" borderId="21" xfId="0" applyFont="1" applyFill="1" applyBorder="1" applyAlignment="1">
      <alignment horizontal="center" vertical="center"/>
    </xf>
    <xf numFmtId="0" fontId="16" fillId="4" borderId="18" xfId="0" applyFont="1" applyFill="1" applyBorder="1" applyAlignment="1">
      <alignment horizontal="center" vertical="center"/>
    </xf>
    <xf numFmtId="0" fontId="16" fillId="4" borderId="22" xfId="0" applyFont="1" applyFill="1" applyBorder="1" applyAlignment="1">
      <alignment horizontal="center" vertical="center"/>
    </xf>
    <xf numFmtId="0" fontId="16" fillId="4" borderId="19" xfId="0" applyFont="1" applyFill="1" applyBorder="1" applyAlignment="1">
      <alignment horizontal="center" vertical="center"/>
    </xf>
    <xf numFmtId="0" fontId="16" fillId="4" borderId="13" xfId="0" applyFont="1" applyFill="1" applyBorder="1" applyAlignment="1">
      <alignment horizontal="center" vertical="center"/>
    </xf>
    <xf numFmtId="0" fontId="16" fillId="14" borderId="9" xfId="0" applyFont="1" applyFill="1" applyBorder="1" applyAlignment="1">
      <alignment horizontal="center" vertical="center"/>
    </xf>
    <xf numFmtId="0" fontId="16" fillId="14" borderId="20" xfId="0" applyFont="1" applyFill="1" applyBorder="1" applyAlignment="1">
      <alignment horizontal="center" vertical="center"/>
    </xf>
    <xf numFmtId="0" fontId="16" fillId="15" borderId="9" xfId="0" applyFont="1" applyFill="1" applyBorder="1" applyAlignment="1">
      <alignment horizontal="center" vertical="center"/>
    </xf>
    <xf numFmtId="0" fontId="16" fillId="15" borderId="20" xfId="0" applyFont="1" applyFill="1" applyBorder="1" applyAlignment="1">
      <alignment horizontal="center" vertical="center"/>
    </xf>
    <xf numFmtId="0" fontId="16" fillId="0" borderId="2" xfId="0" applyFont="1" applyBorder="1" applyAlignment="1">
      <alignment horizontal="center" vertical="center"/>
    </xf>
    <xf numFmtId="0" fontId="11" fillId="0" borderId="0" xfId="8" applyFont="1" applyAlignment="1">
      <alignment horizontal="center"/>
    </xf>
    <xf numFmtId="0" fontId="3" fillId="0" borderId="4" xfId="8" applyFont="1" applyBorder="1" applyAlignment="1">
      <alignment horizontal="center"/>
    </xf>
    <xf numFmtId="0" fontId="3" fillId="0" borderId="3" xfId="8" applyFont="1" applyBorder="1" applyAlignment="1">
      <alignment horizontal="center"/>
    </xf>
    <xf numFmtId="0" fontId="3" fillId="0" borderId="1" xfId="8" applyFont="1" applyBorder="1" applyAlignment="1">
      <alignment horizontal="center"/>
    </xf>
    <xf numFmtId="0" fontId="25" fillId="2" borderId="10" xfId="0" applyFont="1" applyFill="1" applyBorder="1" applyAlignment="1">
      <alignment vertical="center" wrapText="1"/>
    </xf>
  </cellXfs>
  <cellStyles count="10">
    <cellStyle name="쉼표 [0]" xfId="1" builtinId="6"/>
    <cellStyle name="쉼표 [0] 2" xfId="6"/>
    <cellStyle name="표준" xfId="0" builtinId="0"/>
    <cellStyle name="표준 2" xfId="3"/>
    <cellStyle name="표준 2 2" xfId="7"/>
    <cellStyle name="표준 2 3" xfId="8"/>
    <cellStyle name="표준 3" xfId="5"/>
    <cellStyle name="표준 4" xfId="4"/>
    <cellStyle name="표준 5" xfId="9"/>
    <cellStyle name="표준_20080312_동작점설계_해송_150MF"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36</xdr:col>
      <xdr:colOff>1557705</xdr:colOff>
      <xdr:row>19</xdr:row>
      <xdr:rowOff>58555</xdr:rowOff>
    </xdr:from>
    <xdr:to>
      <xdr:col>36</xdr:col>
      <xdr:colOff>1651260</xdr:colOff>
      <xdr:row>19</xdr:row>
      <xdr:rowOff>148340</xdr:rowOff>
    </xdr:to>
    <xdr:sp macro="" textlink="">
      <xdr:nvSpPr>
        <xdr:cNvPr id="2" name="타원 1"/>
        <xdr:cNvSpPr/>
      </xdr:nvSpPr>
      <xdr:spPr>
        <a:xfrm>
          <a:off x="31990080" y="4049530"/>
          <a:ext cx="93555" cy="8978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1695355</xdr:colOff>
      <xdr:row>19</xdr:row>
      <xdr:rowOff>61441</xdr:rowOff>
    </xdr:from>
    <xdr:to>
      <xdr:col>36</xdr:col>
      <xdr:colOff>1777630</xdr:colOff>
      <xdr:row>19</xdr:row>
      <xdr:rowOff>143982</xdr:rowOff>
    </xdr:to>
    <xdr:sp macro="" textlink="">
      <xdr:nvSpPr>
        <xdr:cNvPr id="3" name="타원 2"/>
        <xdr:cNvSpPr/>
      </xdr:nvSpPr>
      <xdr:spPr>
        <a:xfrm>
          <a:off x="32127730" y="4052416"/>
          <a:ext cx="82275" cy="8254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1557705</xdr:colOff>
      <xdr:row>23</xdr:row>
      <xdr:rowOff>58555</xdr:rowOff>
    </xdr:from>
    <xdr:to>
      <xdr:col>36</xdr:col>
      <xdr:colOff>1651260</xdr:colOff>
      <xdr:row>23</xdr:row>
      <xdr:rowOff>148340</xdr:rowOff>
    </xdr:to>
    <xdr:sp macro="" textlink="">
      <xdr:nvSpPr>
        <xdr:cNvPr id="4" name="타원 3"/>
        <xdr:cNvSpPr/>
      </xdr:nvSpPr>
      <xdr:spPr>
        <a:xfrm>
          <a:off x="31990080" y="4887730"/>
          <a:ext cx="93555" cy="8978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1695355</xdr:colOff>
      <xdr:row>23</xdr:row>
      <xdr:rowOff>61441</xdr:rowOff>
    </xdr:from>
    <xdr:to>
      <xdr:col>36</xdr:col>
      <xdr:colOff>1777630</xdr:colOff>
      <xdr:row>23</xdr:row>
      <xdr:rowOff>143982</xdr:rowOff>
    </xdr:to>
    <xdr:sp macro="" textlink="">
      <xdr:nvSpPr>
        <xdr:cNvPr id="5" name="타원 4"/>
        <xdr:cNvSpPr/>
      </xdr:nvSpPr>
      <xdr:spPr>
        <a:xfrm>
          <a:off x="32127730" y="4890616"/>
          <a:ext cx="82275" cy="8254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1819409</xdr:colOff>
      <xdr:row>23</xdr:row>
      <xdr:rowOff>54807</xdr:rowOff>
    </xdr:from>
    <xdr:to>
      <xdr:col>36</xdr:col>
      <xdr:colOff>1912964</xdr:colOff>
      <xdr:row>23</xdr:row>
      <xdr:rowOff>144592</xdr:rowOff>
    </xdr:to>
    <xdr:sp macro="" textlink="">
      <xdr:nvSpPr>
        <xdr:cNvPr id="6" name="타원 5"/>
        <xdr:cNvSpPr/>
      </xdr:nvSpPr>
      <xdr:spPr>
        <a:xfrm>
          <a:off x="32251784" y="4883982"/>
          <a:ext cx="93555" cy="8978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1957059</xdr:colOff>
      <xdr:row>23</xdr:row>
      <xdr:rowOff>57693</xdr:rowOff>
    </xdr:from>
    <xdr:to>
      <xdr:col>36</xdr:col>
      <xdr:colOff>2039334</xdr:colOff>
      <xdr:row>23</xdr:row>
      <xdr:rowOff>140234</xdr:rowOff>
    </xdr:to>
    <xdr:sp macro="" textlink="">
      <xdr:nvSpPr>
        <xdr:cNvPr id="7" name="타원 6"/>
        <xdr:cNvSpPr/>
      </xdr:nvSpPr>
      <xdr:spPr>
        <a:xfrm>
          <a:off x="32389434" y="4886868"/>
          <a:ext cx="82275" cy="8254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1549897</xdr:colOff>
      <xdr:row>27</xdr:row>
      <xdr:rowOff>23231</xdr:rowOff>
    </xdr:from>
    <xdr:to>
      <xdr:col>36</xdr:col>
      <xdr:colOff>1629124</xdr:colOff>
      <xdr:row>27</xdr:row>
      <xdr:rowOff>92041</xdr:rowOff>
    </xdr:to>
    <xdr:sp macro="" textlink="">
      <xdr:nvSpPr>
        <xdr:cNvPr id="8" name="타원 7"/>
        <xdr:cNvSpPr/>
      </xdr:nvSpPr>
      <xdr:spPr>
        <a:xfrm>
          <a:off x="31982272" y="5690606"/>
          <a:ext cx="79227" cy="6881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1668030</xdr:colOff>
      <xdr:row>27</xdr:row>
      <xdr:rowOff>23231</xdr:rowOff>
    </xdr:from>
    <xdr:to>
      <xdr:col>36</xdr:col>
      <xdr:colOff>1736572</xdr:colOff>
      <xdr:row>27</xdr:row>
      <xdr:rowOff>88929</xdr:rowOff>
    </xdr:to>
    <xdr:sp macro="" textlink="">
      <xdr:nvSpPr>
        <xdr:cNvPr id="9" name="타원 8"/>
        <xdr:cNvSpPr/>
      </xdr:nvSpPr>
      <xdr:spPr>
        <a:xfrm>
          <a:off x="32100405" y="5690606"/>
          <a:ext cx="68542" cy="65698"/>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1667817</xdr:colOff>
      <xdr:row>27</xdr:row>
      <xdr:rowOff>120160</xdr:rowOff>
    </xdr:from>
    <xdr:to>
      <xdr:col>36</xdr:col>
      <xdr:colOff>1741046</xdr:colOff>
      <xdr:row>27</xdr:row>
      <xdr:rowOff>184948</xdr:rowOff>
    </xdr:to>
    <xdr:sp macro="" textlink="">
      <xdr:nvSpPr>
        <xdr:cNvPr id="10" name="타원 9"/>
        <xdr:cNvSpPr/>
      </xdr:nvSpPr>
      <xdr:spPr>
        <a:xfrm>
          <a:off x="32100192" y="5787535"/>
          <a:ext cx="73229" cy="6478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1556525</xdr:colOff>
      <xdr:row>27</xdr:row>
      <xdr:rowOff>121015</xdr:rowOff>
    </xdr:from>
    <xdr:to>
      <xdr:col>36</xdr:col>
      <xdr:colOff>1627839</xdr:colOff>
      <xdr:row>27</xdr:row>
      <xdr:rowOff>185853</xdr:rowOff>
    </xdr:to>
    <xdr:sp macro="" textlink="">
      <xdr:nvSpPr>
        <xdr:cNvPr id="11" name="타원 10"/>
        <xdr:cNvSpPr/>
      </xdr:nvSpPr>
      <xdr:spPr>
        <a:xfrm>
          <a:off x="31988900" y="5788390"/>
          <a:ext cx="71314" cy="64838"/>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1557705</xdr:colOff>
      <xdr:row>19</xdr:row>
      <xdr:rowOff>58555</xdr:rowOff>
    </xdr:from>
    <xdr:to>
      <xdr:col>36</xdr:col>
      <xdr:colOff>1651260</xdr:colOff>
      <xdr:row>19</xdr:row>
      <xdr:rowOff>148340</xdr:rowOff>
    </xdr:to>
    <xdr:sp macro="" textlink="">
      <xdr:nvSpPr>
        <xdr:cNvPr id="12" name="타원 11"/>
        <xdr:cNvSpPr/>
      </xdr:nvSpPr>
      <xdr:spPr>
        <a:xfrm>
          <a:off x="31990080" y="4049530"/>
          <a:ext cx="93555" cy="8978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1695356</xdr:colOff>
      <xdr:row>19</xdr:row>
      <xdr:rowOff>55621</xdr:rowOff>
    </xdr:from>
    <xdr:to>
      <xdr:col>36</xdr:col>
      <xdr:colOff>1786806</xdr:colOff>
      <xdr:row>19</xdr:row>
      <xdr:rowOff>147459</xdr:rowOff>
    </xdr:to>
    <xdr:sp macro="" textlink="">
      <xdr:nvSpPr>
        <xdr:cNvPr id="13" name="타원 12"/>
        <xdr:cNvSpPr/>
      </xdr:nvSpPr>
      <xdr:spPr>
        <a:xfrm>
          <a:off x="32127731" y="4046596"/>
          <a:ext cx="91450" cy="91838"/>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1557705</xdr:colOff>
      <xdr:row>23</xdr:row>
      <xdr:rowOff>56203</xdr:rowOff>
    </xdr:from>
    <xdr:to>
      <xdr:col>36</xdr:col>
      <xdr:colOff>1651260</xdr:colOff>
      <xdr:row>23</xdr:row>
      <xdr:rowOff>148340</xdr:rowOff>
    </xdr:to>
    <xdr:sp macro="" textlink="">
      <xdr:nvSpPr>
        <xdr:cNvPr id="14" name="타원 13"/>
        <xdr:cNvSpPr/>
      </xdr:nvSpPr>
      <xdr:spPr>
        <a:xfrm>
          <a:off x="31990080" y="4885378"/>
          <a:ext cx="93555" cy="9213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1690298</xdr:colOff>
      <xdr:row>23</xdr:row>
      <xdr:rowOff>54429</xdr:rowOff>
    </xdr:from>
    <xdr:to>
      <xdr:col>36</xdr:col>
      <xdr:colOff>1779854</xdr:colOff>
      <xdr:row>23</xdr:row>
      <xdr:rowOff>140533</xdr:rowOff>
    </xdr:to>
    <xdr:sp macro="" textlink="">
      <xdr:nvSpPr>
        <xdr:cNvPr id="15" name="타원 14"/>
        <xdr:cNvSpPr/>
      </xdr:nvSpPr>
      <xdr:spPr>
        <a:xfrm>
          <a:off x="32122673" y="4883604"/>
          <a:ext cx="89556" cy="86104"/>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1819409</xdr:colOff>
      <xdr:row>23</xdr:row>
      <xdr:rowOff>53245</xdr:rowOff>
    </xdr:from>
    <xdr:to>
      <xdr:col>36</xdr:col>
      <xdr:colOff>1912964</xdr:colOff>
      <xdr:row>23</xdr:row>
      <xdr:rowOff>144592</xdr:rowOff>
    </xdr:to>
    <xdr:sp macro="" textlink="">
      <xdr:nvSpPr>
        <xdr:cNvPr id="16" name="타원 15"/>
        <xdr:cNvSpPr/>
      </xdr:nvSpPr>
      <xdr:spPr>
        <a:xfrm>
          <a:off x="32251784" y="4882420"/>
          <a:ext cx="93555" cy="9134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1950107</xdr:colOff>
      <xdr:row>23</xdr:row>
      <xdr:rowOff>54428</xdr:rowOff>
    </xdr:from>
    <xdr:to>
      <xdr:col>36</xdr:col>
      <xdr:colOff>2047875</xdr:colOff>
      <xdr:row>23</xdr:row>
      <xdr:rowOff>146277</xdr:rowOff>
    </xdr:to>
    <xdr:sp macro="" textlink="">
      <xdr:nvSpPr>
        <xdr:cNvPr id="17" name="타원 16"/>
        <xdr:cNvSpPr/>
      </xdr:nvSpPr>
      <xdr:spPr>
        <a:xfrm>
          <a:off x="32382482" y="4883603"/>
          <a:ext cx="97768" cy="91849"/>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1553159</xdr:colOff>
      <xdr:row>27</xdr:row>
      <xdr:rowOff>23664</xdr:rowOff>
    </xdr:from>
    <xdr:to>
      <xdr:col>36</xdr:col>
      <xdr:colOff>1632857</xdr:colOff>
      <xdr:row>27</xdr:row>
      <xdr:rowOff>94657</xdr:rowOff>
    </xdr:to>
    <xdr:sp macro="" textlink="">
      <xdr:nvSpPr>
        <xdr:cNvPr id="18" name="타원 17"/>
        <xdr:cNvSpPr/>
      </xdr:nvSpPr>
      <xdr:spPr>
        <a:xfrm>
          <a:off x="31985534" y="5691039"/>
          <a:ext cx="79698" cy="7099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1668030</xdr:colOff>
      <xdr:row>27</xdr:row>
      <xdr:rowOff>23230</xdr:rowOff>
    </xdr:from>
    <xdr:to>
      <xdr:col>36</xdr:col>
      <xdr:colOff>1738638</xdr:colOff>
      <xdr:row>27</xdr:row>
      <xdr:rowOff>91335</xdr:rowOff>
    </xdr:to>
    <xdr:sp macro="" textlink="">
      <xdr:nvSpPr>
        <xdr:cNvPr id="19" name="타원 18"/>
        <xdr:cNvSpPr/>
      </xdr:nvSpPr>
      <xdr:spPr>
        <a:xfrm>
          <a:off x="32100405" y="5690605"/>
          <a:ext cx="70608" cy="6810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1664555</xdr:colOff>
      <xdr:row>27</xdr:row>
      <xdr:rowOff>120160</xdr:rowOff>
    </xdr:from>
    <xdr:to>
      <xdr:col>36</xdr:col>
      <xdr:colOff>1737784</xdr:colOff>
      <xdr:row>27</xdr:row>
      <xdr:rowOff>184948</xdr:rowOff>
    </xdr:to>
    <xdr:sp macro="" textlink="">
      <xdr:nvSpPr>
        <xdr:cNvPr id="20" name="타원 19"/>
        <xdr:cNvSpPr/>
      </xdr:nvSpPr>
      <xdr:spPr>
        <a:xfrm>
          <a:off x="32096930" y="5787535"/>
          <a:ext cx="73229" cy="6478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twoCellAnchor>
    <xdr:from>
      <xdr:col>36</xdr:col>
      <xdr:colOff>1556525</xdr:colOff>
      <xdr:row>27</xdr:row>
      <xdr:rowOff>124239</xdr:rowOff>
    </xdr:from>
    <xdr:to>
      <xdr:col>36</xdr:col>
      <xdr:colOff>1627839</xdr:colOff>
      <xdr:row>27</xdr:row>
      <xdr:rowOff>185853</xdr:rowOff>
    </xdr:to>
    <xdr:sp macro="" textlink="">
      <xdr:nvSpPr>
        <xdr:cNvPr id="21" name="타원 20"/>
        <xdr:cNvSpPr/>
      </xdr:nvSpPr>
      <xdr:spPr>
        <a:xfrm>
          <a:off x="31988900" y="5791614"/>
          <a:ext cx="71314" cy="61614"/>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ko-KR" alt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66675</xdr:colOff>
      <xdr:row>3</xdr:row>
      <xdr:rowOff>9525</xdr:rowOff>
    </xdr:to>
    <xdr:sp macro="" textlink="">
      <xdr:nvSpPr>
        <xdr:cNvPr id="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3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3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3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3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3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3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3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3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3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3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4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4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4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4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4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4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4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4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4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4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5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5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5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5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5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5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5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5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5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5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6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6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6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6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6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6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6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6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6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6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7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7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7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7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7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7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7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7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7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7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8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8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8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8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8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8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8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8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8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8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9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9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9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9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9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9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9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9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9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9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0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0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0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0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0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0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0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0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0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0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1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1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1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1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1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1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1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1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1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1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2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2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2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2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2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2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2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2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2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2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3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3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3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3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3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3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3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3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3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3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4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4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4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4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4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4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4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4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4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4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5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5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5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5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5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5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5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5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5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5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6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6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6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6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6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6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6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6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6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6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7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7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7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7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7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7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7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7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7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7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8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8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8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8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8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8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8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8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8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8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9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9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9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9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9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9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9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9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9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19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0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0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0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0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0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0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0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0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0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0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66675</xdr:colOff>
      <xdr:row>5</xdr:row>
      <xdr:rowOff>0</xdr:rowOff>
    </xdr:to>
    <xdr:sp macro="" textlink="">
      <xdr:nvSpPr>
        <xdr:cNvPr id="210" name="Text Box 11"/>
        <xdr:cNvSpPr txBox="1">
          <a:spLocks noChangeArrowheads="1"/>
        </xdr:cNvSpPr>
      </xdr:nvSpPr>
      <xdr:spPr bwMode="auto">
        <a:xfrm>
          <a:off x="685800" y="10287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66675</xdr:colOff>
      <xdr:row>5</xdr:row>
      <xdr:rowOff>0</xdr:rowOff>
    </xdr:to>
    <xdr:sp macro="" textlink="">
      <xdr:nvSpPr>
        <xdr:cNvPr id="211" name="Text Box 11"/>
        <xdr:cNvSpPr txBox="1">
          <a:spLocks noChangeArrowheads="1"/>
        </xdr:cNvSpPr>
      </xdr:nvSpPr>
      <xdr:spPr bwMode="auto">
        <a:xfrm>
          <a:off x="685800" y="10287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66675</xdr:colOff>
      <xdr:row>5</xdr:row>
      <xdr:rowOff>0</xdr:rowOff>
    </xdr:to>
    <xdr:sp macro="" textlink="">
      <xdr:nvSpPr>
        <xdr:cNvPr id="212" name="Text Box 11"/>
        <xdr:cNvSpPr txBox="1">
          <a:spLocks noChangeArrowheads="1"/>
        </xdr:cNvSpPr>
      </xdr:nvSpPr>
      <xdr:spPr bwMode="auto">
        <a:xfrm>
          <a:off x="685800" y="10287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66675</xdr:colOff>
      <xdr:row>5</xdr:row>
      <xdr:rowOff>0</xdr:rowOff>
    </xdr:to>
    <xdr:sp macro="" textlink="">
      <xdr:nvSpPr>
        <xdr:cNvPr id="213" name="Text Box 11"/>
        <xdr:cNvSpPr txBox="1">
          <a:spLocks noChangeArrowheads="1"/>
        </xdr:cNvSpPr>
      </xdr:nvSpPr>
      <xdr:spPr bwMode="auto">
        <a:xfrm>
          <a:off x="685800" y="10287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66675</xdr:colOff>
      <xdr:row>5</xdr:row>
      <xdr:rowOff>0</xdr:rowOff>
    </xdr:to>
    <xdr:sp macro="" textlink="">
      <xdr:nvSpPr>
        <xdr:cNvPr id="214" name="Text Box 11"/>
        <xdr:cNvSpPr txBox="1">
          <a:spLocks noChangeArrowheads="1"/>
        </xdr:cNvSpPr>
      </xdr:nvSpPr>
      <xdr:spPr bwMode="auto">
        <a:xfrm>
          <a:off x="685800" y="10287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15"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16"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17"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18"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19"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20"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21"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22"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23"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2</xdr:row>
      <xdr:rowOff>0</xdr:rowOff>
    </xdr:from>
    <xdr:to>
      <xdr:col>1</xdr:col>
      <xdr:colOff>66675</xdr:colOff>
      <xdr:row>3</xdr:row>
      <xdr:rowOff>9525</xdr:rowOff>
    </xdr:to>
    <xdr:sp macro="" textlink="">
      <xdr:nvSpPr>
        <xdr:cNvPr id="224" name="Text Box 11"/>
        <xdr:cNvSpPr txBox="1">
          <a:spLocks noChangeArrowheads="1"/>
        </xdr:cNvSpPr>
      </xdr:nvSpPr>
      <xdr:spPr bwMode="auto">
        <a:xfrm>
          <a:off x="685800" y="6096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66675</xdr:colOff>
      <xdr:row>5</xdr:row>
      <xdr:rowOff>0</xdr:rowOff>
    </xdr:to>
    <xdr:sp macro="" textlink="">
      <xdr:nvSpPr>
        <xdr:cNvPr id="225" name="Text Box 11"/>
        <xdr:cNvSpPr txBox="1">
          <a:spLocks noChangeArrowheads="1"/>
        </xdr:cNvSpPr>
      </xdr:nvSpPr>
      <xdr:spPr bwMode="auto">
        <a:xfrm>
          <a:off x="685800" y="10287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66675</xdr:colOff>
      <xdr:row>5</xdr:row>
      <xdr:rowOff>0</xdr:rowOff>
    </xdr:to>
    <xdr:sp macro="" textlink="">
      <xdr:nvSpPr>
        <xdr:cNvPr id="226" name="Text Box 11"/>
        <xdr:cNvSpPr txBox="1">
          <a:spLocks noChangeArrowheads="1"/>
        </xdr:cNvSpPr>
      </xdr:nvSpPr>
      <xdr:spPr bwMode="auto">
        <a:xfrm>
          <a:off x="685800" y="10287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66675</xdr:colOff>
      <xdr:row>5</xdr:row>
      <xdr:rowOff>0</xdr:rowOff>
    </xdr:to>
    <xdr:sp macro="" textlink="">
      <xdr:nvSpPr>
        <xdr:cNvPr id="227" name="Text Box 11"/>
        <xdr:cNvSpPr txBox="1">
          <a:spLocks noChangeArrowheads="1"/>
        </xdr:cNvSpPr>
      </xdr:nvSpPr>
      <xdr:spPr bwMode="auto">
        <a:xfrm>
          <a:off x="685800" y="10287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66675</xdr:colOff>
      <xdr:row>5</xdr:row>
      <xdr:rowOff>0</xdr:rowOff>
    </xdr:to>
    <xdr:sp macro="" textlink="">
      <xdr:nvSpPr>
        <xdr:cNvPr id="228" name="Text Box 11"/>
        <xdr:cNvSpPr txBox="1">
          <a:spLocks noChangeArrowheads="1"/>
        </xdr:cNvSpPr>
      </xdr:nvSpPr>
      <xdr:spPr bwMode="auto">
        <a:xfrm>
          <a:off x="685800" y="10287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4</xdr:row>
      <xdr:rowOff>47625</xdr:rowOff>
    </xdr:from>
    <xdr:to>
      <xdr:col>1</xdr:col>
      <xdr:colOff>66675</xdr:colOff>
      <xdr:row>5</xdr:row>
      <xdr:rowOff>0</xdr:rowOff>
    </xdr:to>
    <xdr:sp macro="" textlink="">
      <xdr:nvSpPr>
        <xdr:cNvPr id="229" name="Text Box 11"/>
        <xdr:cNvSpPr txBox="1">
          <a:spLocks noChangeArrowheads="1"/>
        </xdr:cNvSpPr>
      </xdr:nvSpPr>
      <xdr:spPr bwMode="auto">
        <a:xfrm>
          <a:off x="685800" y="1076325"/>
          <a:ext cx="666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30"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31"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32"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33"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34"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35"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36"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37"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38"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39"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40"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41"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42"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43"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44"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45"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46"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47"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48"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49"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50"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51"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52"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53"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66675</xdr:colOff>
      <xdr:row>4</xdr:row>
      <xdr:rowOff>0</xdr:rowOff>
    </xdr:to>
    <xdr:sp macro="" textlink="">
      <xdr:nvSpPr>
        <xdr:cNvPr id="254" name="Text Box 11"/>
        <xdr:cNvSpPr txBox="1">
          <a:spLocks noChangeArrowheads="1"/>
        </xdr:cNvSpPr>
      </xdr:nvSpPr>
      <xdr:spPr bwMode="auto">
        <a:xfrm>
          <a:off x="685800" y="8191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oneCellAnchor>
    <xdr:from>
      <xdr:col>1</xdr:col>
      <xdr:colOff>0</xdr:colOff>
      <xdr:row>6</xdr:row>
      <xdr:rowOff>0</xdr:rowOff>
    </xdr:from>
    <xdr:ext cx="66675" cy="219075"/>
    <xdr:sp macro="" textlink="">
      <xdr:nvSpPr>
        <xdr:cNvPr id="255"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56"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57"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58"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59"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60"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61"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62"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63"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64"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65"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66"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67"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68"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69"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70"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71"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72"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73"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74"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75"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76"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77"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78"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79"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80"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81"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82"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83"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84"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85"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86"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87"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88"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89"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90"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91"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92"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93"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94"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95"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96"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97"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98"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299"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00"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01"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02"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03"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04"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05"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06"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07"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08"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09"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10"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11"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12"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13"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14"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15"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16"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17"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18"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19"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20"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21"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22"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23"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24"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25"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26"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27"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28"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29"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30"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31"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32"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33"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34"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35"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36"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37"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38"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39"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40"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41"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42"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43"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44"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45"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46"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47"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48"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49"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50"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51"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52"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53"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54"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55"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56"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57"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58"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59"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60"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61"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62"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63"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64"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65"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66"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67"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68"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69"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70"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71"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72"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73"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74"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75"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76"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77"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78"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79"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80"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81"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82"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83"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84"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85"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86"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87"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88"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89"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90"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91"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92"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93"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94"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95"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96"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97"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98"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399"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400"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401"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402"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403"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404"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405"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406"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407"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408"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409"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6</xdr:row>
      <xdr:rowOff>0</xdr:rowOff>
    </xdr:from>
    <xdr:ext cx="66675" cy="219075"/>
    <xdr:sp macro="" textlink="">
      <xdr:nvSpPr>
        <xdr:cNvPr id="410" name="Text Box 11"/>
        <xdr:cNvSpPr txBox="1">
          <a:spLocks noChangeArrowheads="1"/>
        </xdr:cNvSpPr>
      </xdr:nvSpPr>
      <xdr:spPr bwMode="auto">
        <a:xfrm>
          <a:off x="685800" y="14478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twoCellAnchor editAs="oneCell">
    <xdr:from>
      <xdr:col>0</xdr:col>
      <xdr:colOff>609600</xdr:colOff>
      <xdr:row>11</xdr:row>
      <xdr:rowOff>28575</xdr:rowOff>
    </xdr:from>
    <xdr:to>
      <xdr:col>0</xdr:col>
      <xdr:colOff>676275</xdr:colOff>
      <xdr:row>12</xdr:row>
      <xdr:rowOff>28575</xdr:rowOff>
    </xdr:to>
    <xdr:sp macro="" textlink="">
      <xdr:nvSpPr>
        <xdr:cNvPr id="411" name="Text Box 11"/>
        <xdr:cNvSpPr txBox="1">
          <a:spLocks noChangeArrowheads="1"/>
        </xdr:cNvSpPr>
      </xdr:nvSpPr>
      <xdr:spPr bwMode="auto">
        <a:xfrm>
          <a:off x="609600" y="2524125"/>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0</xdr:col>
      <xdr:colOff>676275</xdr:colOff>
      <xdr:row>11</xdr:row>
      <xdr:rowOff>190500</xdr:rowOff>
    </xdr:from>
    <xdr:to>
      <xdr:col>1</xdr:col>
      <xdr:colOff>57150</xdr:colOff>
      <xdr:row>12</xdr:row>
      <xdr:rowOff>190500</xdr:rowOff>
    </xdr:to>
    <xdr:sp macro="" textlink="">
      <xdr:nvSpPr>
        <xdr:cNvPr id="412" name="Text Box 11"/>
        <xdr:cNvSpPr txBox="1">
          <a:spLocks noChangeArrowheads="1"/>
        </xdr:cNvSpPr>
      </xdr:nvSpPr>
      <xdr:spPr bwMode="auto">
        <a:xfrm>
          <a:off x="676275" y="26860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7</xdr:row>
      <xdr:rowOff>0</xdr:rowOff>
    </xdr:from>
    <xdr:to>
      <xdr:col>1</xdr:col>
      <xdr:colOff>66675</xdr:colOff>
      <xdr:row>8</xdr:row>
      <xdr:rowOff>0</xdr:rowOff>
    </xdr:to>
    <xdr:sp macro="" textlink="">
      <xdr:nvSpPr>
        <xdr:cNvPr id="413" name="Text Box 11"/>
        <xdr:cNvSpPr txBox="1">
          <a:spLocks noChangeArrowheads="1"/>
        </xdr:cNvSpPr>
      </xdr:nvSpPr>
      <xdr:spPr bwMode="auto">
        <a:xfrm>
          <a:off x="685800" y="16573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7</xdr:row>
      <xdr:rowOff>0</xdr:rowOff>
    </xdr:from>
    <xdr:to>
      <xdr:col>1</xdr:col>
      <xdr:colOff>66675</xdr:colOff>
      <xdr:row>8</xdr:row>
      <xdr:rowOff>0</xdr:rowOff>
    </xdr:to>
    <xdr:sp macro="" textlink="">
      <xdr:nvSpPr>
        <xdr:cNvPr id="414" name="Text Box 11"/>
        <xdr:cNvSpPr txBox="1">
          <a:spLocks noChangeArrowheads="1"/>
        </xdr:cNvSpPr>
      </xdr:nvSpPr>
      <xdr:spPr bwMode="auto">
        <a:xfrm>
          <a:off x="685800" y="16573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7</xdr:row>
      <xdr:rowOff>0</xdr:rowOff>
    </xdr:from>
    <xdr:to>
      <xdr:col>1</xdr:col>
      <xdr:colOff>66675</xdr:colOff>
      <xdr:row>8</xdr:row>
      <xdr:rowOff>0</xdr:rowOff>
    </xdr:to>
    <xdr:sp macro="" textlink="">
      <xdr:nvSpPr>
        <xdr:cNvPr id="415" name="Text Box 11"/>
        <xdr:cNvSpPr txBox="1">
          <a:spLocks noChangeArrowheads="1"/>
        </xdr:cNvSpPr>
      </xdr:nvSpPr>
      <xdr:spPr bwMode="auto">
        <a:xfrm>
          <a:off x="685800" y="16573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7</xdr:row>
      <xdr:rowOff>0</xdr:rowOff>
    </xdr:from>
    <xdr:to>
      <xdr:col>1</xdr:col>
      <xdr:colOff>66675</xdr:colOff>
      <xdr:row>8</xdr:row>
      <xdr:rowOff>0</xdr:rowOff>
    </xdr:to>
    <xdr:sp macro="" textlink="">
      <xdr:nvSpPr>
        <xdr:cNvPr id="416" name="Text Box 11"/>
        <xdr:cNvSpPr txBox="1">
          <a:spLocks noChangeArrowheads="1"/>
        </xdr:cNvSpPr>
      </xdr:nvSpPr>
      <xdr:spPr bwMode="auto">
        <a:xfrm>
          <a:off x="685800" y="16573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7</xdr:row>
      <xdr:rowOff>0</xdr:rowOff>
    </xdr:from>
    <xdr:to>
      <xdr:col>1</xdr:col>
      <xdr:colOff>66675</xdr:colOff>
      <xdr:row>8</xdr:row>
      <xdr:rowOff>0</xdr:rowOff>
    </xdr:to>
    <xdr:sp macro="" textlink="">
      <xdr:nvSpPr>
        <xdr:cNvPr id="417" name="Text Box 11"/>
        <xdr:cNvSpPr txBox="1">
          <a:spLocks noChangeArrowheads="1"/>
        </xdr:cNvSpPr>
      </xdr:nvSpPr>
      <xdr:spPr bwMode="auto">
        <a:xfrm>
          <a:off x="685800" y="16573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7</xdr:row>
      <xdr:rowOff>0</xdr:rowOff>
    </xdr:from>
    <xdr:to>
      <xdr:col>1</xdr:col>
      <xdr:colOff>66675</xdr:colOff>
      <xdr:row>8</xdr:row>
      <xdr:rowOff>0</xdr:rowOff>
    </xdr:to>
    <xdr:sp macro="" textlink="">
      <xdr:nvSpPr>
        <xdr:cNvPr id="418" name="Text Box 11"/>
        <xdr:cNvSpPr txBox="1">
          <a:spLocks noChangeArrowheads="1"/>
        </xdr:cNvSpPr>
      </xdr:nvSpPr>
      <xdr:spPr bwMode="auto">
        <a:xfrm>
          <a:off x="685800" y="16573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7</xdr:row>
      <xdr:rowOff>0</xdr:rowOff>
    </xdr:from>
    <xdr:to>
      <xdr:col>1</xdr:col>
      <xdr:colOff>66675</xdr:colOff>
      <xdr:row>8</xdr:row>
      <xdr:rowOff>0</xdr:rowOff>
    </xdr:to>
    <xdr:sp macro="" textlink="">
      <xdr:nvSpPr>
        <xdr:cNvPr id="419" name="Text Box 11"/>
        <xdr:cNvSpPr txBox="1">
          <a:spLocks noChangeArrowheads="1"/>
        </xdr:cNvSpPr>
      </xdr:nvSpPr>
      <xdr:spPr bwMode="auto">
        <a:xfrm>
          <a:off x="685800" y="16573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1</xdr:col>
      <xdr:colOff>0</xdr:colOff>
      <xdr:row>7</xdr:row>
      <xdr:rowOff>0</xdr:rowOff>
    </xdr:from>
    <xdr:to>
      <xdr:col>1</xdr:col>
      <xdr:colOff>66675</xdr:colOff>
      <xdr:row>8</xdr:row>
      <xdr:rowOff>0</xdr:rowOff>
    </xdr:to>
    <xdr:sp macro="" textlink="">
      <xdr:nvSpPr>
        <xdr:cNvPr id="420" name="Text Box 11"/>
        <xdr:cNvSpPr txBox="1">
          <a:spLocks noChangeArrowheads="1"/>
        </xdr:cNvSpPr>
      </xdr:nvSpPr>
      <xdr:spPr bwMode="auto">
        <a:xfrm>
          <a:off x="685800" y="16573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oneCellAnchor>
    <xdr:from>
      <xdr:col>1</xdr:col>
      <xdr:colOff>0</xdr:colOff>
      <xdr:row>5</xdr:row>
      <xdr:rowOff>0</xdr:rowOff>
    </xdr:from>
    <xdr:ext cx="66675" cy="219075"/>
    <xdr:sp macro="" textlink="">
      <xdr:nvSpPr>
        <xdr:cNvPr id="421"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22"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23"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24"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25"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26"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27"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28"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29"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30"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31"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32"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33"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34"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35"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36"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37"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38"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39"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40"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41"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42"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43"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44"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45"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46"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47"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48"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49"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50"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51"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52"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53"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54"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55"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56"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57"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58"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59"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60"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61"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62"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63"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64"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65"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66"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67"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68"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69"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70"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71"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72"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73"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74"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75"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76"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77"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78"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79"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80"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81"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82"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83"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84"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85"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86"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87"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88"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89"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90"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91"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92"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93"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94"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95"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96"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97"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98"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499"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00"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01"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02"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03"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04"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05"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06"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07"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08"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09"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10"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11"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12"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13"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14"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15"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16"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17"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18"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19"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20"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21"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22"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23"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24"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25"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26"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27"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28"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29"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30"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31"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32"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33"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34"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35"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36"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37"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38"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39"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40"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41"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42"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43"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44"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45"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46"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47"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48"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49"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50"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51"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52"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53"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54"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55"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56"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57"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58"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59"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60"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61"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62"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63"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64"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65"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66"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67"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68"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69"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70"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71"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72"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73"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74"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75"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5</xdr:row>
      <xdr:rowOff>0</xdr:rowOff>
    </xdr:from>
    <xdr:ext cx="66675" cy="219075"/>
    <xdr:sp macro="" textlink="">
      <xdr:nvSpPr>
        <xdr:cNvPr id="576" name="Text Box 11"/>
        <xdr:cNvSpPr txBox="1">
          <a:spLocks noChangeArrowheads="1"/>
        </xdr:cNvSpPr>
      </xdr:nvSpPr>
      <xdr:spPr bwMode="auto">
        <a:xfrm>
          <a:off x="685800" y="12382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7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7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7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8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8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8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8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8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8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8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8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8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8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9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9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9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9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9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9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9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9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9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59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0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0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0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0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0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0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0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0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0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0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1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1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1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1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1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1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1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1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1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1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2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2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2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2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2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2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2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2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2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2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3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3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3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3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3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3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3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3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3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3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4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4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4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4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4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4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4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4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4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4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5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5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5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5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5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5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5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5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5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5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6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6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6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6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6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6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6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6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6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6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7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7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7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7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7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7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7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7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7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7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8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8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8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8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8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8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8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8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8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8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9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9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9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9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9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9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9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9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9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69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0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0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0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0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0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0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0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0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0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0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1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1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1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1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1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1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1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1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1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1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2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2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2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2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2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2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2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2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2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2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3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3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3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3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3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3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3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3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3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3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4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4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4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4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4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4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4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4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4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4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5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5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5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5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5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5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5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5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5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5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6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6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6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6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6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6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6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6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6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6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7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7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7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7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7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7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7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7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7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7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8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8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8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8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8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15</xdr:row>
      <xdr:rowOff>0</xdr:rowOff>
    </xdr:from>
    <xdr:ext cx="66675" cy="209550"/>
    <xdr:sp macro="" textlink="">
      <xdr:nvSpPr>
        <xdr:cNvPr id="785" name="Text Box 11"/>
        <xdr:cNvSpPr txBox="1">
          <a:spLocks noChangeArrowheads="1"/>
        </xdr:cNvSpPr>
      </xdr:nvSpPr>
      <xdr:spPr bwMode="auto">
        <a:xfrm>
          <a:off x="685800" y="33337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15</xdr:row>
      <xdr:rowOff>0</xdr:rowOff>
    </xdr:from>
    <xdr:ext cx="66675" cy="209550"/>
    <xdr:sp macro="" textlink="">
      <xdr:nvSpPr>
        <xdr:cNvPr id="786" name="Text Box 11"/>
        <xdr:cNvSpPr txBox="1">
          <a:spLocks noChangeArrowheads="1"/>
        </xdr:cNvSpPr>
      </xdr:nvSpPr>
      <xdr:spPr bwMode="auto">
        <a:xfrm>
          <a:off x="685800" y="33337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15</xdr:row>
      <xdr:rowOff>0</xdr:rowOff>
    </xdr:from>
    <xdr:ext cx="66675" cy="209550"/>
    <xdr:sp macro="" textlink="">
      <xdr:nvSpPr>
        <xdr:cNvPr id="787" name="Text Box 11"/>
        <xdr:cNvSpPr txBox="1">
          <a:spLocks noChangeArrowheads="1"/>
        </xdr:cNvSpPr>
      </xdr:nvSpPr>
      <xdr:spPr bwMode="auto">
        <a:xfrm>
          <a:off x="685800" y="33337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15</xdr:row>
      <xdr:rowOff>0</xdr:rowOff>
    </xdr:from>
    <xdr:ext cx="66675" cy="209550"/>
    <xdr:sp macro="" textlink="">
      <xdr:nvSpPr>
        <xdr:cNvPr id="788" name="Text Box 11"/>
        <xdr:cNvSpPr txBox="1">
          <a:spLocks noChangeArrowheads="1"/>
        </xdr:cNvSpPr>
      </xdr:nvSpPr>
      <xdr:spPr bwMode="auto">
        <a:xfrm>
          <a:off x="685800" y="33337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15</xdr:row>
      <xdr:rowOff>0</xdr:rowOff>
    </xdr:from>
    <xdr:ext cx="66675" cy="209550"/>
    <xdr:sp macro="" textlink="">
      <xdr:nvSpPr>
        <xdr:cNvPr id="789" name="Text Box 11"/>
        <xdr:cNvSpPr txBox="1">
          <a:spLocks noChangeArrowheads="1"/>
        </xdr:cNvSpPr>
      </xdr:nvSpPr>
      <xdr:spPr bwMode="auto">
        <a:xfrm>
          <a:off x="685800" y="33337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90"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91"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92"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93"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94"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95"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96"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97"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98"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13</xdr:row>
      <xdr:rowOff>0</xdr:rowOff>
    </xdr:from>
    <xdr:ext cx="66675" cy="219075"/>
    <xdr:sp macro="" textlink="">
      <xdr:nvSpPr>
        <xdr:cNvPr id="799" name="Text Box 11"/>
        <xdr:cNvSpPr txBox="1">
          <a:spLocks noChangeArrowheads="1"/>
        </xdr:cNvSpPr>
      </xdr:nvSpPr>
      <xdr:spPr bwMode="auto">
        <a:xfrm>
          <a:off x="685800" y="29146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15</xdr:row>
      <xdr:rowOff>0</xdr:rowOff>
    </xdr:from>
    <xdr:ext cx="66675" cy="209550"/>
    <xdr:sp macro="" textlink="">
      <xdr:nvSpPr>
        <xdr:cNvPr id="800" name="Text Box 11"/>
        <xdr:cNvSpPr txBox="1">
          <a:spLocks noChangeArrowheads="1"/>
        </xdr:cNvSpPr>
      </xdr:nvSpPr>
      <xdr:spPr bwMode="auto">
        <a:xfrm>
          <a:off x="685800" y="33337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15</xdr:row>
      <xdr:rowOff>0</xdr:rowOff>
    </xdr:from>
    <xdr:ext cx="66675" cy="209550"/>
    <xdr:sp macro="" textlink="">
      <xdr:nvSpPr>
        <xdr:cNvPr id="801" name="Text Box 11"/>
        <xdr:cNvSpPr txBox="1">
          <a:spLocks noChangeArrowheads="1"/>
        </xdr:cNvSpPr>
      </xdr:nvSpPr>
      <xdr:spPr bwMode="auto">
        <a:xfrm>
          <a:off x="685800" y="33337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15</xdr:row>
      <xdr:rowOff>0</xdr:rowOff>
    </xdr:from>
    <xdr:ext cx="66675" cy="209550"/>
    <xdr:sp macro="" textlink="">
      <xdr:nvSpPr>
        <xdr:cNvPr id="802" name="Text Box 11"/>
        <xdr:cNvSpPr txBox="1">
          <a:spLocks noChangeArrowheads="1"/>
        </xdr:cNvSpPr>
      </xdr:nvSpPr>
      <xdr:spPr bwMode="auto">
        <a:xfrm>
          <a:off x="685800" y="33337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15</xdr:row>
      <xdr:rowOff>0</xdr:rowOff>
    </xdr:from>
    <xdr:ext cx="66675" cy="209550"/>
    <xdr:sp macro="" textlink="">
      <xdr:nvSpPr>
        <xdr:cNvPr id="803" name="Text Box 11"/>
        <xdr:cNvSpPr txBox="1">
          <a:spLocks noChangeArrowheads="1"/>
        </xdr:cNvSpPr>
      </xdr:nvSpPr>
      <xdr:spPr bwMode="auto">
        <a:xfrm>
          <a:off x="685800" y="33337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15</xdr:row>
      <xdr:rowOff>47625</xdr:rowOff>
    </xdr:from>
    <xdr:ext cx="66675" cy="161925"/>
    <xdr:sp macro="" textlink="">
      <xdr:nvSpPr>
        <xdr:cNvPr id="804" name="Text Box 11"/>
        <xdr:cNvSpPr txBox="1">
          <a:spLocks noChangeArrowheads="1"/>
        </xdr:cNvSpPr>
      </xdr:nvSpPr>
      <xdr:spPr bwMode="auto">
        <a:xfrm>
          <a:off x="685800" y="3381375"/>
          <a:ext cx="666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05"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06"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07"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08"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09"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10"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11"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12"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13"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14"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15"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16"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17"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18"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19"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20"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21"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22"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23"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24"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25"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26"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27"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28"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14</xdr:row>
      <xdr:rowOff>0</xdr:rowOff>
    </xdr:from>
    <xdr:ext cx="66675" cy="209550"/>
    <xdr:sp macro="" textlink="">
      <xdr:nvSpPr>
        <xdr:cNvPr id="829" name="Text Box 11"/>
        <xdr:cNvSpPr txBox="1">
          <a:spLocks noChangeArrowheads="1"/>
        </xdr:cNvSpPr>
      </xdr:nvSpPr>
      <xdr:spPr bwMode="auto">
        <a:xfrm>
          <a:off x="685800" y="31242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30"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31"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32"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33"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34"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35"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36"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37"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38"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39"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40"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41"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42"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43"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44"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45"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46"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47"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48"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49"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50"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51"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52"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53"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54"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55"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56"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57"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58"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59"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60"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61"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62"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63"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64"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65"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66"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67"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68"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69"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70"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71"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72"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73"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74"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75"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76"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77"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78"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79"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80"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81"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82"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83"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84"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85"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86"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87"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88"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89"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90"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91"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92"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93"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94"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95"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96"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97"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98"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899"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00"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01"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02"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03"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04"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05"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06"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07"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08"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09"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10"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11"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12"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13"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14"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15"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16"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17"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18"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19"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20"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21"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22"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23"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24"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25"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26"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27"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28"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29"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30"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31"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32"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33"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34"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35"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36"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37"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38"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39"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40"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41"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42"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43"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44"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45"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46"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47"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48"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49"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50"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51"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52"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53"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54"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55"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56"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57"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58"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59"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60"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61"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62"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63"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64"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65"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66"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67"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68"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69"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70"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71"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72"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73"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74"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75"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76"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77"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78"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79"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80"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81"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82"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83"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84"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17</xdr:row>
      <xdr:rowOff>0</xdr:rowOff>
    </xdr:from>
    <xdr:ext cx="66675" cy="219075"/>
    <xdr:sp macro="" textlink="">
      <xdr:nvSpPr>
        <xdr:cNvPr id="985" name="Text Box 11"/>
        <xdr:cNvSpPr txBox="1">
          <a:spLocks noChangeArrowheads="1"/>
        </xdr:cNvSpPr>
      </xdr:nvSpPr>
      <xdr:spPr bwMode="auto">
        <a:xfrm>
          <a:off x="685800" y="375285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0</xdr:col>
      <xdr:colOff>676275</xdr:colOff>
      <xdr:row>22</xdr:row>
      <xdr:rowOff>190500</xdr:rowOff>
    </xdr:from>
    <xdr:ext cx="66675" cy="209550"/>
    <xdr:sp macro="" textlink="">
      <xdr:nvSpPr>
        <xdr:cNvPr id="986" name="Text Box 11"/>
        <xdr:cNvSpPr txBox="1">
          <a:spLocks noChangeArrowheads="1"/>
        </xdr:cNvSpPr>
      </xdr:nvSpPr>
      <xdr:spPr bwMode="auto">
        <a:xfrm>
          <a:off x="676275" y="49911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18</xdr:row>
      <xdr:rowOff>0</xdr:rowOff>
    </xdr:from>
    <xdr:ext cx="66675" cy="209550"/>
    <xdr:sp macro="" textlink="">
      <xdr:nvSpPr>
        <xdr:cNvPr id="987" name="Text Box 11"/>
        <xdr:cNvSpPr txBox="1">
          <a:spLocks noChangeArrowheads="1"/>
        </xdr:cNvSpPr>
      </xdr:nvSpPr>
      <xdr:spPr bwMode="auto">
        <a:xfrm>
          <a:off x="685800" y="39624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18</xdr:row>
      <xdr:rowOff>0</xdr:rowOff>
    </xdr:from>
    <xdr:ext cx="66675" cy="209550"/>
    <xdr:sp macro="" textlink="">
      <xdr:nvSpPr>
        <xdr:cNvPr id="988" name="Text Box 11"/>
        <xdr:cNvSpPr txBox="1">
          <a:spLocks noChangeArrowheads="1"/>
        </xdr:cNvSpPr>
      </xdr:nvSpPr>
      <xdr:spPr bwMode="auto">
        <a:xfrm>
          <a:off x="685800" y="39624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18</xdr:row>
      <xdr:rowOff>0</xdr:rowOff>
    </xdr:from>
    <xdr:ext cx="66675" cy="209550"/>
    <xdr:sp macro="" textlink="">
      <xdr:nvSpPr>
        <xdr:cNvPr id="989" name="Text Box 11"/>
        <xdr:cNvSpPr txBox="1">
          <a:spLocks noChangeArrowheads="1"/>
        </xdr:cNvSpPr>
      </xdr:nvSpPr>
      <xdr:spPr bwMode="auto">
        <a:xfrm>
          <a:off x="685800" y="39624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18</xdr:row>
      <xdr:rowOff>0</xdr:rowOff>
    </xdr:from>
    <xdr:ext cx="66675" cy="209550"/>
    <xdr:sp macro="" textlink="">
      <xdr:nvSpPr>
        <xdr:cNvPr id="990" name="Text Box 11"/>
        <xdr:cNvSpPr txBox="1">
          <a:spLocks noChangeArrowheads="1"/>
        </xdr:cNvSpPr>
      </xdr:nvSpPr>
      <xdr:spPr bwMode="auto">
        <a:xfrm>
          <a:off x="685800" y="39624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18</xdr:row>
      <xdr:rowOff>0</xdr:rowOff>
    </xdr:from>
    <xdr:ext cx="66675" cy="209550"/>
    <xdr:sp macro="" textlink="">
      <xdr:nvSpPr>
        <xdr:cNvPr id="991" name="Text Box 11"/>
        <xdr:cNvSpPr txBox="1">
          <a:spLocks noChangeArrowheads="1"/>
        </xdr:cNvSpPr>
      </xdr:nvSpPr>
      <xdr:spPr bwMode="auto">
        <a:xfrm>
          <a:off x="685800" y="39624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18</xdr:row>
      <xdr:rowOff>0</xdr:rowOff>
    </xdr:from>
    <xdr:ext cx="66675" cy="209550"/>
    <xdr:sp macro="" textlink="">
      <xdr:nvSpPr>
        <xdr:cNvPr id="992" name="Text Box 11"/>
        <xdr:cNvSpPr txBox="1">
          <a:spLocks noChangeArrowheads="1"/>
        </xdr:cNvSpPr>
      </xdr:nvSpPr>
      <xdr:spPr bwMode="auto">
        <a:xfrm>
          <a:off x="685800" y="39624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18</xdr:row>
      <xdr:rowOff>0</xdr:rowOff>
    </xdr:from>
    <xdr:ext cx="66675" cy="209550"/>
    <xdr:sp macro="" textlink="">
      <xdr:nvSpPr>
        <xdr:cNvPr id="993" name="Text Box 11"/>
        <xdr:cNvSpPr txBox="1">
          <a:spLocks noChangeArrowheads="1"/>
        </xdr:cNvSpPr>
      </xdr:nvSpPr>
      <xdr:spPr bwMode="auto">
        <a:xfrm>
          <a:off x="685800" y="39624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18</xdr:row>
      <xdr:rowOff>0</xdr:rowOff>
    </xdr:from>
    <xdr:ext cx="66675" cy="209550"/>
    <xdr:sp macro="" textlink="">
      <xdr:nvSpPr>
        <xdr:cNvPr id="994" name="Text Box 11"/>
        <xdr:cNvSpPr txBox="1">
          <a:spLocks noChangeArrowheads="1"/>
        </xdr:cNvSpPr>
      </xdr:nvSpPr>
      <xdr:spPr bwMode="auto">
        <a:xfrm>
          <a:off x="685800" y="39624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995"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996"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997"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998"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999"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00"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01"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02"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03"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04"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05"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06"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07"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08"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09"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10"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11"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12"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13"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14"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15"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16"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17"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18"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19"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20"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21"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22"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23"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24"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25"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26"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27"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28"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29"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30"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31"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32"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33"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34"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35"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36"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37"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38"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39"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40"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41"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42"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43"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44"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45"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46"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47"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48"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49"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50"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51"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52"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53"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54"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55"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56"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57"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58"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59"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60"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61"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62"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63"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64"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65"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66"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67"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68"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69"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70"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71"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72"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73"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74"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75"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76"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77"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78"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79"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80"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81"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82"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83"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84"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85"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86"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87"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88"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89"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90"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91"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92"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93"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94"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95"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96"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97"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98"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099"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00"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01"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02"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03"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04"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05"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06"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07"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08"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09"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10"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11"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12"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13"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14"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15"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16"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17"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18"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19"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20"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21"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22"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23"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24"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25"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26"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27"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28"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29"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30"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31"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32"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33"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34"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35"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36"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37"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38"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39"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40"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41"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42"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43"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44"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45"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46"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47"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48"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49"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1</xdr:col>
      <xdr:colOff>0</xdr:colOff>
      <xdr:row>16</xdr:row>
      <xdr:rowOff>0</xdr:rowOff>
    </xdr:from>
    <xdr:ext cx="66675" cy="219075"/>
    <xdr:sp macro="" textlink="">
      <xdr:nvSpPr>
        <xdr:cNvPr id="1150" name="Text Box 11"/>
        <xdr:cNvSpPr txBox="1">
          <a:spLocks noChangeArrowheads="1"/>
        </xdr:cNvSpPr>
      </xdr:nvSpPr>
      <xdr:spPr bwMode="auto">
        <a:xfrm>
          <a:off x="685800" y="3543300"/>
          <a:ext cx="66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twoCellAnchor editAs="oneCell">
    <xdr:from>
      <xdr:col>0</xdr:col>
      <xdr:colOff>609600</xdr:colOff>
      <xdr:row>11</xdr:row>
      <xdr:rowOff>28575</xdr:rowOff>
    </xdr:from>
    <xdr:to>
      <xdr:col>0</xdr:col>
      <xdr:colOff>676275</xdr:colOff>
      <xdr:row>12</xdr:row>
      <xdr:rowOff>28575</xdr:rowOff>
    </xdr:to>
    <xdr:sp macro="" textlink="">
      <xdr:nvSpPr>
        <xdr:cNvPr id="1151" name="Text Box 11"/>
        <xdr:cNvSpPr txBox="1">
          <a:spLocks noChangeArrowheads="1"/>
        </xdr:cNvSpPr>
      </xdr:nvSpPr>
      <xdr:spPr bwMode="auto">
        <a:xfrm>
          <a:off x="609600" y="2524125"/>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twoCellAnchor editAs="oneCell">
    <xdr:from>
      <xdr:col>0</xdr:col>
      <xdr:colOff>676275</xdr:colOff>
      <xdr:row>11</xdr:row>
      <xdr:rowOff>190500</xdr:rowOff>
    </xdr:from>
    <xdr:to>
      <xdr:col>1</xdr:col>
      <xdr:colOff>57150</xdr:colOff>
      <xdr:row>12</xdr:row>
      <xdr:rowOff>190500</xdr:rowOff>
    </xdr:to>
    <xdr:sp macro="" textlink="">
      <xdr:nvSpPr>
        <xdr:cNvPr id="1152" name="Text Box 11"/>
        <xdr:cNvSpPr txBox="1">
          <a:spLocks noChangeArrowheads="1"/>
        </xdr:cNvSpPr>
      </xdr:nvSpPr>
      <xdr:spPr bwMode="auto">
        <a:xfrm>
          <a:off x="676275" y="268605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twoCellAnchor>
  <xdr:oneCellAnchor>
    <xdr:from>
      <xdr:col>0</xdr:col>
      <xdr:colOff>609600</xdr:colOff>
      <xdr:row>22</xdr:row>
      <xdr:rowOff>28575</xdr:rowOff>
    </xdr:from>
    <xdr:ext cx="66675" cy="209550"/>
    <xdr:sp macro="" textlink="">
      <xdr:nvSpPr>
        <xdr:cNvPr id="1153" name="Text Box 11"/>
        <xdr:cNvSpPr txBox="1">
          <a:spLocks noChangeArrowheads="1"/>
        </xdr:cNvSpPr>
      </xdr:nvSpPr>
      <xdr:spPr bwMode="auto">
        <a:xfrm>
          <a:off x="609600" y="4829175"/>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oneCellAnchor>
    <xdr:from>
      <xdr:col>0</xdr:col>
      <xdr:colOff>676275</xdr:colOff>
      <xdr:row>22</xdr:row>
      <xdr:rowOff>190500</xdr:rowOff>
    </xdr:from>
    <xdr:ext cx="66675" cy="209550"/>
    <xdr:sp macro="" textlink="">
      <xdr:nvSpPr>
        <xdr:cNvPr id="1154" name="Text Box 11"/>
        <xdr:cNvSpPr txBox="1">
          <a:spLocks noChangeArrowheads="1"/>
        </xdr:cNvSpPr>
      </xdr:nvSpPr>
      <xdr:spPr bwMode="auto">
        <a:xfrm>
          <a:off x="676275" y="4991100"/>
          <a:ext cx="66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2225" algn="ctr">
              <a:solidFill>
                <a:srgbClr val="000000"/>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22860</xdr:colOff>
          <xdr:row>4</xdr:row>
          <xdr:rowOff>22860</xdr:rowOff>
        </xdr:from>
        <xdr:to>
          <xdr:col>11</xdr:col>
          <xdr:colOff>769620</xdr:colOff>
          <xdr:row>12</xdr:row>
          <xdr:rowOff>83820</xdr:rowOff>
        </xdr:to>
        <xdr:sp macro="" textlink="">
          <xdr:nvSpPr>
            <xdr:cNvPr id="3196929" name="Object 1" hidden="1">
              <a:extLst>
                <a:ext uri="{63B3BB69-23CF-44E3-9099-C40C66FF867C}">
                  <a14:compatExt spid="_x0000_s31969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7.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M97"/>
  <sheetViews>
    <sheetView zoomScale="85" zoomScaleNormal="85" workbookViewId="0">
      <selection activeCell="H27" sqref="H27"/>
    </sheetView>
  </sheetViews>
  <sheetFormatPr defaultRowHeight="14.4" customHeight="1"/>
  <cols>
    <col min="2" max="2" width="25.296875" customWidth="1"/>
    <col min="3" max="3" width="8.3984375" customWidth="1"/>
    <col min="4" max="20" width="7.8984375" customWidth="1"/>
    <col min="21" max="21" width="7.09765625" bestFit="1" customWidth="1"/>
    <col min="22" max="22" width="8.19921875" bestFit="1" customWidth="1"/>
    <col min="23" max="23" width="57.09765625" customWidth="1"/>
    <col min="25" max="25" width="17.59765625" bestFit="1" customWidth="1"/>
    <col min="28" max="28" width="12" bestFit="1" customWidth="1"/>
    <col min="29" max="29" width="20.8984375" bestFit="1" customWidth="1"/>
    <col min="33" max="33" width="17.59765625" bestFit="1" customWidth="1"/>
    <col min="37" max="37" width="34.3984375" bestFit="1" customWidth="1"/>
  </cols>
  <sheetData>
    <row r="2" spans="2:39" ht="14.4" customHeight="1">
      <c r="B2" s="107" t="s">
        <v>305</v>
      </c>
      <c r="C2" s="247" t="s">
        <v>855</v>
      </c>
      <c r="D2" s="247"/>
      <c r="E2" s="247"/>
      <c r="F2" s="247"/>
      <c r="G2" s="247" t="s">
        <v>856</v>
      </c>
      <c r="H2" s="247"/>
      <c r="I2" s="247"/>
      <c r="J2" s="236"/>
      <c r="K2" s="236"/>
      <c r="L2" s="247" t="s">
        <v>855</v>
      </c>
      <c r="M2" s="247"/>
      <c r="N2" s="247"/>
      <c r="O2" s="247"/>
      <c r="P2" s="247" t="s">
        <v>856</v>
      </c>
      <c r="Q2" s="247"/>
      <c r="R2" s="247"/>
      <c r="S2" s="236"/>
      <c r="T2" s="236"/>
      <c r="V2" t="s">
        <v>358</v>
      </c>
    </row>
    <row r="3" spans="2:39" ht="14.4" customHeight="1">
      <c r="B3" s="70" t="s">
        <v>197</v>
      </c>
      <c r="C3" s="71">
        <v>239</v>
      </c>
      <c r="D3" s="71">
        <v>239</v>
      </c>
      <c r="E3" s="71">
        <v>210</v>
      </c>
      <c r="F3" s="71">
        <v>229</v>
      </c>
      <c r="G3" s="71">
        <v>220</v>
      </c>
      <c r="H3" s="71">
        <v>211</v>
      </c>
      <c r="I3" s="71">
        <v>238</v>
      </c>
      <c r="J3" s="71">
        <v>209</v>
      </c>
      <c r="K3" s="71"/>
      <c r="L3" s="71">
        <v>239</v>
      </c>
      <c r="M3" s="71">
        <v>239</v>
      </c>
      <c r="N3" s="71">
        <v>210</v>
      </c>
      <c r="O3" s="71">
        <v>229</v>
      </c>
      <c r="P3" s="71">
        <v>220</v>
      </c>
      <c r="Q3" s="71">
        <v>211</v>
      </c>
      <c r="R3" s="71">
        <v>238</v>
      </c>
      <c r="S3" s="71">
        <v>209</v>
      </c>
      <c r="T3" s="71"/>
      <c r="U3" s="32" t="s">
        <v>15</v>
      </c>
      <c r="V3" s="219">
        <v>1</v>
      </c>
      <c r="W3" s="111" t="s">
        <v>333</v>
      </c>
      <c r="Y3" s="248" t="s">
        <v>359</v>
      </c>
      <c r="Z3" s="248"/>
      <c r="AA3" s="248"/>
      <c r="AB3" s="11"/>
      <c r="AC3" s="249" t="s">
        <v>360</v>
      </c>
      <c r="AD3" s="249"/>
      <c r="AE3" s="249"/>
      <c r="AF3" s="11"/>
      <c r="AG3" s="249" t="s">
        <v>361</v>
      </c>
      <c r="AH3" s="249"/>
      <c r="AI3" s="249"/>
      <c r="AJ3" s="11"/>
      <c r="AK3" s="248" t="s">
        <v>362</v>
      </c>
      <c r="AL3" s="248"/>
      <c r="AM3" s="248"/>
    </row>
    <row r="4" spans="2:39" ht="14.4" customHeight="1">
      <c r="B4" s="70" t="s">
        <v>198</v>
      </c>
      <c r="C4" s="71">
        <v>440</v>
      </c>
      <c r="D4" s="71">
        <v>431</v>
      </c>
      <c r="E4" s="71">
        <v>433</v>
      </c>
      <c r="F4" s="71">
        <v>432</v>
      </c>
      <c r="G4" s="71">
        <v>441</v>
      </c>
      <c r="H4" s="71">
        <v>441</v>
      </c>
      <c r="I4" s="71">
        <v>438.5</v>
      </c>
      <c r="J4" s="71">
        <v>430</v>
      </c>
      <c r="K4" s="71"/>
      <c r="L4" s="71">
        <v>440</v>
      </c>
      <c r="M4" s="71">
        <v>431</v>
      </c>
      <c r="N4" s="71">
        <v>433</v>
      </c>
      <c r="O4" s="71">
        <v>432</v>
      </c>
      <c r="P4" s="71">
        <v>441</v>
      </c>
      <c r="Q4" s="71">
        <v>441</v>
      </c>
      <c r="R4" s="71">
        <v>438.5</v>
      </c>
      <c r="S4" s="71">
        <v>430</v>
      </c>
      <c r="T4" s="71"/>
      <c r="U4" s="32" t="s">
        <v>0</v>
      </c>
      <c r="V4" s="219">
        <v>2</v>
      </c>
      <c r="W4" s="111" t="s">
        <v>334</v>
      </c>
      <c r="Y4" s="13" t="s">
        <v>363</v>
      </c>
      <c r="Z4" s="14">
        <v>3</v>
      </c>
      <c r="AA4" s="13" t="s">
        <v>364</v>
      </c>
      <c r="AB4" s="11"/>
      <c r="AC4" s="13" t="s">
        <v>365</v>
      </c>
      <c r="AD4" s="14">
        <v>600</v>
      </c>
      <c r="AE4" s="13" t="s">
        <v>0</v>
      </c>
      <c r="AF4" s="11"/>
      <c r="AG4" s="13" t="s">
        <v>35</v>
      </c>
      <c r="AH4" s="57" t="s">
        <v>366</v>
      </c>
      <c r="AI4" s="57"/>
      <c r="AJ4" s="11"/>
      <c r="AK4" s="15" t="s">
        <v>367</v>
      </c>
      <c r="AL4" s="14">
        <v>200</v>
      </c>
      <c r="AM4" s="15" t="s">
        <v>368</v>
      </c>
    </row>
    <row r="5" spans="2:39" ht="14.4" customHeight="1">
      <c r="B5" s="70" t="s">
        <v>199</v>
      </c>
      <c r="C5" s="72">
        <v>0.9</v>
      </c>
      <c r="D5" s="72">
        <v>0.9</v>
      </c>
      <c r="E5" s="72">
        <v>0.9</v>
      </c>
      <c r="F5" s="72">
        <v>0.9</v>
      </c>
      <c r="G5" s="72">
        <v>0.9</v>
      </c>
      <c r="H5" s="72">
        <v>0.9</v>
      </c>
      <c r="I5" s="72">
        <v>0.9</v>
      </c>
      <c r="J5" s="72">
        <v>0.9</v>
      </c>
      <c r="K5" s="72"/>
      <c r="L5" s="72">
        <v>0.9</v>
      </c>
      <c r="M5" s="72">
        <v>0.9</v>
      </c>
      <c r="N5" s="72">
        <v>0.9</v>
      </c>
      <c r="O5" s="72">
        <v>0.9</v>
      </c>
      <c r="P5" s="72">
        <v>0.9</v>
      </c>
      <c r="Q5" s="72">
        <v>0.9</v>
      </c>
      <c r="R5" s="72">
        <v>0.9</v>
      </c>
      <c r="S5" s="72">
        <v>0.9</v>
      </c>
      <c r="T5" s="72"/>
      <c r="U5" s="32"/>
      <c r="V5" s="219"/>
      <c r="W5" s="32" t="s">
        <v>335</v>
      </c>
      <c r="Y5" s="13" t="s">
        <v>5</v>
      </c>
      <c r="Z5" s="14">
        <v>50</v>
      </c>
      <c r="AA5" s="13" t="s">
        <v>369</v>
      </c>
      <c r="AB5" s="11"/>
      <c r="AC5" s="13" t="s">
        <v>370</v>
      </c>
      <c r="AD5" s="14">
        <v>0.23</v>
      </c>
      <c r="AE5" s="13" t="s">
        <v>371</v>
      </c>
      <c r="AF5" s="11"/>
      <c r="AG5" s="16" t="s">
        <v>372</v>
      </c>
      <c r="AH5" s="17">
        <v>1.75</v>
      </c>
      <c r="AI5" s="16" t="s">
        <v>136</v>
      </c>
      <c r="AJ5" s="11"/>
      <c r="AK5" s="15" t="s">
        <v>373</v>
      </c>
      <c r="AL5" s="14">
        <v>7200</v>
      </c>
      <c r="AM5" s="15" t="s">
        <v>374</v>
      </c>
    </row>
    <row r="6" spans="2:39" ht="14.4" customHeight="1">
      <c r="B6" s="70" t="s">
        <v>200</v>
      </c>
      <c r="C6" s="73">
        <f t="shared" ref="C6:I6" si="0">ROUND(C3*1000/(C4*0.9)/(3^0.5)/C5,1)</f>
        <v>387.2</v>
      </c>
      <c r="D6" s="73">
        <f t="shared" si="0"/>
        <v>395.3</v>
      </c>
      <c r="E6" s="73">
        <f t="shared" si="0"/>
        <v>345.7</v>
      </c>
      <c r="F6" s="73">
        <f t="shared" si="0"/>
        <v>377.8</v>
      </c>
      <c r="G6" s="73">
        <f t="shared" ref="G6:H6" si="1">ROUND(G3*1000/(G4*0.9)/(3^0.5)/G5,1)</f>
        <v>355.6</v>
      </c>
      <c r="H6" s="73">
        <f t="shared" si="1"/>
        <v>341</v>
      </c>
      <c r="I6" s="73">
        <f t="shared" si="0"/>
        <v>386.9</v>
      </c>
      <c r="J6" s="73">
        <f t="shared" ref="J6" si="2">ROUND(J3*1000/(J4*0.9)/(3^0.5)/J5,1)</f>
        <v>346.4</v>
      </c>
      <c r="K6" s="73"/>
      <c r="L6" s="73">
        <f t="shared" ref="L6:S6" si="3">ROUND(L3*1000/(L4*0.9)/(3^0.5)/L5,1)</f>
        <v>387.2</v>
      </c>
      <c r="M6" s="73">
        <f t="shared" si="3"/>
        <v>395.3</v>
      </c>
      <c r="N6" s="73">
        <f t="shared" si="3"/>
        <v>345.7</v>
      </c>
      <c r="O6" s="73">
        <f t="shared" si="3"/>
        <v>377.8</v>
      </c>
      <c r="P6" s="73">
        <f t="shared" si="3"/>
        <v>355.6</v>
      </c>
      <c r="Q6" s="73">
        <f t="shared" si="3"/>
        <v>341</v>
      </c>
      <c r="R6" s="73">
        <f t="shared" si="3"/>
        <v>386.9</v>
      </c>
      <c r="S6" s="73">
        <f t="shared" si="3"/>
        <v>346.4</v>
      </c>
      <c r="T6" s="73"/>
      <c r="U6" s="32" t="s">
        <v>38</v>
      </c>
      <c r="V6" s="219"/>
      <c r="W6" s="32" t="s">
        <v>336</v>
      </c>
      <c r="Y6" s="13" t="s">
        <v>375</v>
      </c>
      <c r="Z6" s="14">
        <v>40</v>
      </c>
      <c r="AA6" s="13" t="s">
        <v>369</v>
      </c>
      <c r="AB6" s="11"/>
      <c r="AC6" s="13" t="s">
        <v>376</v>
      </c>
      <c r="AD6" s="14">
        <v>48</v>
      </c>
      <c r="AE6" s="13" t="s">
        <v>377</v>
      </c>
      <c r="AF6" s="11"/>
      <c r="AG6" s="16" t="s">
        <v>40</v>
      </c>
      <c r="AH6" s="18">
        <v>3.8999999999999998E-3</v>
      </c>
      <c r="AI6" s="16" t="s">
        <v>41</v>
      </c>
      <c r="AJ6" s="11"/>
      <c r="AK6" s="15" t="s">
        <v>378</v>
      </c>
      <c r="AL6" s="14">
        <v>12800</v>
      </c>
      <c r="AM6" s="15" t="s">
        <v>379</v>
      </c>
    </row>
    <row r="7" spans="2:39" ht="14.4" customHeight="1">
      <c r="B7" s="70" t="s">
        <v>201</v>
      </c>
      <c r="C7" s="74">
        <v>2</v>
      </c>
      <c r="D7" s="74">
        <v>2</v>
      </c>
      <c r="E7" s="74">
        <v>2</v>
      </c>
      <c r="F7" s="74">
        <v>2</v>
      </c>
      <c r="G7" s="74">
        <v>2</v>
      </c>
      <c r="H7" s="74">
        <v>2</v>
      </c>
      <c r="I7" s="74">
        <v>2</v>
      </c>
      <c r="J7" s="74">
        <v>2</v>
      </c>
      <c r="K7" s="74"/>
      <c r="L7" s="74">
        <v>2</v>
      </c>
      <c r="M7" s="74">
        <v>2</v>
      </c>
      <c r="N7" s="74">
        <v>2</v>
      </c>
      <c r="O7" s="74">
        <v>2</v>
      </c>
      <c r="P7" s="74">
        <v>2</v>
      </c>
      <c r="Q7" s="74">
        <v>2</v>
      </c>
      <c r="R7" s="74">
        <v>2</v>
      </c>
      <c r="S7" s="74">
        <v>2</v>
      </c>
      <c r="T7" s="74"/>
      <c r="U7" s="32" t="s">
        <v>226</v>
      </c>
      <c r="V7" s="219"/>
      <c r="W7" s="32"/>
      <c r="Y7" s="13" t="s">
        <v>380</v>
      </c>
      <c r="Z7" s="19">
        <f>(Z5*Z4)*(Z5*Z4)/(101.6*(4.5*Z5+10*Z6))</f>
        <v>0.3543307086614173</v>
      </c>
      <c r="AA7" s="13" t="s">
        <v>368</v>
      </c>
      <c r="AB7" s="11"/>
      <c r="AC7" s="13" t="s">
        <v>381</v>
      </c>
      <c r="AD7" s="14">
        <v>45000</v>
      </c>
      <c r="AE7" s="13" t="s">
        <v>382</v>
      </c>
      <c r="AF7" s="11"/>
      <c r="AG7" s="16" t="s">
        <v>42</v>
      </c>
      <c r="AH7" s="20">
        <v>20</v>
      </c>
      <c r="AI7" s="16" t="s">
        <v>43</v>
      </c>
      <c r="AJ7" s="11"/>
      <c r="AK7" s="15" t="s">
        <v>44</v>
      </c>
      <c r="AL7" s="14">
        <v>645</v>
      </c>
      <c r="AM7" s="15" t="s">
        <v>383</v>
      </c>
    </row>
    <row r="8" spans="2:39" ht="14.4" customHeight="1">
      <c r="B8" s="70" t="s">
        <v>202</v>
      </c>
      <c r="C8" s="74">
        <f t="shared" ref="C8:I8" si="4">ROUND(C6/C7,0)</f>
        <v>194</v>
      </c>
      <c r="D8" s="74">
        <f t="shared" si="4"/>
        <v>198</v>
      </c>
      <c r="E8" s="74">
        <f t="shared" si="4"/>
        <v>173</v>
      </c>
      <c r="F8" s="74">
        <f t="shared" si="4"/>
        <v>189</v>
      </c>
      <c r="G8" s="74">
        <f t="shared" ref="G8:H8" si="5">ROUND(G6/G7,0)</f>
        <v>178</v>
      </c>
      <c r="H8" s="74">
        <f t="shared" si="5"/>
        <v>171</v>
      </c>
      <c r="I8" s="74">
        <f t="shared" si="4"/>
        <v>193</v>
      </c>
      <c r="J8" s="74">
        <f t="shared" ref="J8" si="6">ROUND(J6/J7,0)</f>
        <v>173</v>
      </c>
      <c r="K8" s="74"/>
      <c r="L8" s="74">
        <f t="shared" ref="L8:S8" si="7">ROUND(L6/L7,0)</f>
        <v>194</v>
      </c>
      <c r="M8" s="74">
        <f t="shared" si="7"/>
        <v>198</v>
      </c>
      <c r="N8" s="74">
        <f t="shared" si="7"/>
        <v>173</v>
      </c>
      <c r="O8" s="74">
        <f t="shared" si="7"/>
        <v>189</v>
      </c>
      <c r="P8" s="74">
        <f t="shared" si="7"/>
        <v>178</v>
      </c>
      <c r="Q8" s="74">
        <f t="shared" si="7"/>
        <v>171</v>
      </c>
      <c r="R8" s="74">
        <f t="shared" si="7"/>
        <v>193</v>
      </c>
      <c r="S8" s="74">
        <f t="shared" si="7"/>
        <v>173</v>
      </c>
      <c r="T8" s="74"/>
      <c r="U8" s="32" t="s">
        <v>227</v>
      </c>
      <c r="V8" s="219"/>
      <c r="W8" s="32"/>
      <c r="Y8" s="13" t="s">
        <v>384</v>
      </c>
      <c r="Z8" s="14">
        <v>100</v>
      </c>
      <c r="AA8" s="13" t="s">
        <v>2</v>
      </c>
      <c r="AB8" s="11"/>
      <c r="AC8" s="13" t="s">
        <v>385</v>
      </c>
      <c r="AD8" s="21">
        <f>(5000*AD4)/(AD5*AD6*AD7)</f>
        <v>6.0386473429951684</v>
      </c>
      <c r="AE8" s="13" t="s">
        <v>386</v>
      </c>
      <c r="AF8" s="11"/>
      <c r="AG8" s="16" t="s">
        <v>387</v>
      </c>
      <c r="AH8" s="18">
        <f>AH5*(1+AH6*(AH7-20))</f>
        <v>1.75</v>
      </c>
      <c r="AI8" s="16" t="s">
        <v>388</v>
      </c>
      <c r="AJ8" s="11"/>
      <c r="AK8" s="15" t="s">
        <v>389</v>
      </c>
      <c r="AL8" s="21">
        <f>SQRT(AL7^2+AL4*AL5^2/AL6)</f>
        <v>1107.2601320376345</v>
      </c>
      <c r="AM8" s="15" t="s">
        <v>0</v>
      </c>
    </row>
    <row r="9" spans="2:39" ht="14.4" customHeight="1">
      <c r="B9" s="70"/>
      <c r="C9" s="75"/>
      <c r="D9" s="75"/>
      <c r="E9" s="75"/>
      <c r="F9" s="75"/>
      <c r="G9" s="75"/>
      <c r="H9" s="75"/>
      <c r="I9" s="75"/>
      <c r="J9" s="75"/>
      <c r="K9" s="75"/>
      <c r="L9" s="75"/>
      <c r="M9" s="75"/>
      <c r="N9" s="75"/>
      <c r="O9" s="75"/>
      <c r="P9" s="75"/>
      <c r="Q9" s="75"/>
      <c r="R9" s="75"/>
      <c r="S9" s="75"/>
      <c r="T9" s="75"/>
      <c r="U9" s="32"/>
      <c r="V9" s="219"/>
      <c r="W9" s="32"/>
      <c r="Y9" s="13" t="s">
        <v>390</v>
      </c>
      <c r="Z9" s="19">
        <f>Z7*Z8/100</f>
        <v>0.35433070866141736</v>
      </c>
      <c r="AA9" s="13" t="s">
        <v>368</v>
      </c>
      <c r="AB9" s="11"/>
      <c r="AC9" s="11"/>
      <c r="AD9" s="11"/>
      <c r="AE9" s="11"/>
      <c r="AF9" s="11"/>
      <c r="AG9" s="16" t="s">
        <v>391</v>
      </c>
      <c r="AH9" s="22">
        <f>1/(AH8/100000000)</f>
        <v>57142857.142857142</v>
      </c>
      <c r="AI9" s="16" t="s">
        <v>392</v>
      </c>
      <c r="AJ9" s="11"/>
      <c r="AK9" s="11"/>
      <c r="AL9" s="11"/>
      <c r="AM9" s="11"/>
    </row>
    <row r="10" spans="2:39" ht="14.4" customHeight="1">
      <c r="B10" s="70" t="s">
        <v>203</v>
      </c>
      <c r="C10" s="73">
        <f t="shared" ref="C10:I10" si="8">ROUND(C4*2^0.5*0.93,1)</f>
        <v>578.70000000000005</v>
      </c>
      <c r="D10" s="73">
        <f t="shared" si="8"/>
        <v>566.9</v>
      </c>
      <c r="E10" s="73">
        <f t="shared" si="8"/>
        <v>569.5</v>
      </c>
      <c r="F10" s="73">
        <f t="shared" si="8"/>
        <v>568.20000000000005</v>
      </c>
      <c r="G10" s="73">
        <f t="shared" ref="G10:H10" si="9">ROUND(G4*2^0.5*0.93,1)</f>
        <v>580</v>
      </c>
      <c r="H10" s="73">
        <f t="shared" si="9"/>
        <v>580</v>
      </c>
      <c r="I10" s="73">
        <f t="shared" si="8"/>
        <v>576.70000000000005</v>
      </c>
      <c r="J10" s="73">
        <f t="shared" ref="J10" si="10">ROUND(J4*2^0.5*0.93,1)</f>
        <v>565.5</v>
      </c>
      <c r="K10" s="73"/>
      <c r="L10" s="73">
        <f t="shared" ref="L10:S10" si="11">ROUND(L4*2^0.5*0.93,1)</f>
        <v>578.70000000000005</v>
      </c>
      <c r="M10" s="73">
        <f t="shared" si="11"/>
        <v>566.9</v>
      </c>
      <c r="N10" s="73">
        <f t="shared" si="11"/>
        <v>569.5</v>
      </c>
      <c r="O10" s="73">
        <f t="shared" si="11"/>
        <v>568.20000000000005</v>
      </c>
      <c r="P10" s="73">
        <f t="shared" si="11"/>
        <v>580</v>
      </c>
      <c r="Q10" s="73">
        <f t="shared" si="11"/>
        <v>580</v>
      </c>
      <c r="R10" s="73">
        <f t="shared" si="11"/>
        <v>576.70000000000005</v>
      </c>
      <c r="S10" s="73">
        <f t="shared" si="11"/>
        <v>565.5</v>
      </c>
      <c r="T10" s="73"/>
      <c r="U10" s="32" t="s">
        <v>0</v>
      </c>
      <c r="V10" s="219"/>
      <c r="W10" s="32" t="s">
        <v>337</v>
      </c>
      <c r="Y10" s="15" t="s">
        <v>393</v>
      </c>
      <c r="Z10" s="14">
        <v>0.01</v>
      </c>
      <c r="AA10" s="13" t="s">
        <v>368</v>
      </c>
      <c r="AB10" s="11"/>
      <c r="AC10" s="249" t="s">
        <v>394</v>
      </c>
      <c r="AD10" s="249"/>
      <c r="AE10" s="249"/>
      <c r="AF10" s="11"/>
      <c r="AG10" s="16" t="s">
        <v>395</v>
      </c>
      <c r="AH10" s="57">
        <v>1</v>
      </c>
      <c r="AI10" s="16" t="s">
        <v>396</v>
      </c>
      <c r="AJ10" s="11"/>
      <c r="AK10" s="248" t="s">
        <v>397</v>
      </c>
      <c r="AL10" s="248"/>
      <c r="AM10" s="248"/>
    </row>
    <row r="11" spans="2:39" ht="14.4" customHeight="1">
      <c r="B11" s="70" t="s">
        <v>204</v>
      </c>
      <c r="C11" s="73">
        <f t="shared" ref="C11:I11" si="12">ROUND(C3*1000/C10,1)</f>
        <v>413</v>
      </c>
      <c r="D11" s="73">
        <f t="shared" si="12"/>
        <v>421.6</v>
      </c>
      <c r="E11" s="73">
        <f t="shared" si="12"/>
        <v>368.7</v>
      </c>
      <c r="F11" s="73">
        <f t="shared" si="12"/>
        <v>403</v>
      </c>
      <c r="G11" s="73">
        <f t="shared" ref="G11:H11" si="13">ROUND(G3*1000/G10,1)</f>
        <v>379.3</v>
      </c>
      <c r="H11" s="73">
        <f t="shared" si="13"/>
        <v>363.8</v>
      </c>
      <c r="I11" s="73">
        <f t="shared" si="12"/>
        <v>412.7</v>
      </c>
      <c r="J11" s="73">
        <f t="shared" ref="J11" si="14">ROUND(J3*1000/J10,1)</f>
        <v>369.6</v>
      </c>
      <c r="K11" s="73"/>
      <c r="L11" s="73">
        <f t="shared" ref="L11:S11" si="15">ROUND(L3*1000/L10,1)</f>
        <v>413</v>
      </c>
      <c r="M11" s="73">
        <f t="shared" si="15"/>
        <v>421.6</v>
      </c>
      <c r="N11" s="73">
        <f t="shared" si="15"/>
        <v>368.7</v>
      </c>
      <c r="O11" s="73">
        <f t="shared" si="15"/>
        <v>403</v>
      </c>
      <c r="P11" s="73">
        <f t="shared" si="15"/>
        <v>379.3</v>
      </c>
      <c r="Q11" s="73">
        <f t="shared" si="15"/>
        <v>363.8</v>
      </c>
      <c r="R11" s="73">
        <f t="shared" si="15"/>
        <v>412.7</v>
      </c>
      <c r="S11" s="73">
        <f t="shared" si="15"/>
        <v>369.6</v>
      </c>
      <c r="T11" s="73"/>
      <c r="U11" s="32" t="s">
        <v>38</v>
      </c>
      <c r="V11" s="219"/>
      <c r="W11" s="32" t="s">
        <v>338</v>
      </c>
      <c r="Y11" s="15" t="s">
        <v>398</v>
      </c>
      <c r="Z11" s="14">
        <v>1</v>
      </c>
      <c r="AA11" s="13" t="s">
        <v>399</v>
      </c>
      <c r="AB11" s="11"/>
      <c r="AC11" s="13" t="s">
        <v>400</v>
      </c>
      <c r="AD11" s="14">
        <v>300</v>
      </c>
      <c r="AE11" s="13" t="s">
        <v>379</v>
      </c>
      <c r="AF11" s="11"/>
      <c r="AG11" s="16" t="s">
        <v>51</v>
      </c>
      <c r="AH11" s="23">
        <v>65000</v>
      </c>
      <c r="AI11" s="16" t="s">
        <v>401</v>
      </c>
      <c r="AJ11" s="11"/>
      <c r="AK11" s="13" t="s">
        <v>378</v>
      </c>
      <c r="AL11" s="14">
        <v>9284</v>
      </c>
      <c r="AM11" s="13" t="s">
        <v>16</v>
      </c>
    </row>
    <row r="12" spans="2:39" ht="14.4" customHeight="1">
      <c r="B12" s="70"/>
      <c r="C12" s="75"/>
      <c r="D12" s="75"/>
      <c r="E12" s="75"/>
      <c r="F12" s="75"/>
      <c r="G12" s="75"/>
      <c r="H12" s="75"/>
      <c r="I12" s="75"/>
      <c r="J12" s="75"/>
      <c r="K12" s="75"/>
      <c r="L12" s="75"/>
      <c r="M12" s="75"/>
      <c r="N12" s="75"/>
      <c r="O12" s="75"/>
      <c r="P12" s="75"/>
      <c r="Q12" s="75"/>
      <c r="R12" s="75"/>
      <c r="S12" s="75"/>
      <c r="T12" s="75"/>
      <c r="U12" s="32"/>
      <c r="V12" s="219"/>
      <c r="W12" s="32"/>
      <c r="Y12" s="15" t="s">
        <v>402</v>
      </c>
      <c r="Z12" s="14">
        <v>1</v>
      </c>
      <c r="AA12" s="13" t="s">
        <v>404</v>
      </c>
      <c r="AB12" s="11"/>
      <c r="AC12" s="13" t="s">
        <v>406</v>
      </c>
      <c r="AD12" s="14">
        <v>97</v>
      </c>
      <c r="AE12" s="13" t="s">
        <v>9</v>
      </c>
      <c r="AF12" s="11"/>
      <c r="AG12" s="16" t="s">
        <v>407</v>
      </c>
      <c r="AH12" s="114">
        <f>503.3*SQRT((AH8/100000000)/(AH10*AH11))*1000</f>
        <v>0.26114954675287255</v>
      </c>
      <c r="AI12" s="16" t="s">
        <v>144</v>
      </c>
      <c r="AJ12" s="11"/>
      <c r="AK12" s="13" t="s">
        <v>408</v>
      </c>
      <c r="AL12" s="14">
        <v>675</v>
      </c>
      <c r="AM12" s="13" t="s">
        <v>383</v>
      </c>
    </row>
    <row r="13" spans="2:39" ht="14.4" customHeight="1">
      <c r="B13" s="76" t="s">
        <v>205</v>
      </c>
      <c r="C13" s="75"/>
      <c r="D13" s="75"/>
      <c r="E13" s="75"/>
      <c r="F13" s="75"/>
      <c r="G13" s="75"/>
      <c r="H13" s="75"/>
      <c r="I13" s="75"/>
      <c r="J13" s="75"/>
      <c r="K13" s="75"/>
      <c r="L13" s="75"/>
      <c r="M13" s="75"/>
      <c r="N13" s="75"/>
      <c r="O13" s="75"/>
      <c r="P13" s="75"/>
      <c r="Q13" s="75"/>
      <c r="R13" s="75"/>
      <c r="S13" s="75"/>
      <c r="T13" s="75"/>
      <c r="U13" s="32"/>
      <c r="V13" s="219"/>
      <c r="W13" s="32"/>
      <c r="Y13" s="15" t="s">
        <v>409</v>
      </c>
      <c r="Z13" s="115">
        <v>1</v>
      </c>
      <c r="AA13" s="13" t="s">
        <v>410</v>
      </c>
      <c r="AB13" s="11"/>
      <c r="AC13" s="13" t="s">
        <v>53</v>
      </c>
      <c r="AD13" s="21">
        <f>1/(2*3.14*SQRT((AD11/1000000)*(AD12/1000000)))</f>
        <v>933.45602191170258</v>
      </c>
      <c r="AE13" s="13" t="s">
        <v>411</v>
      </c>
      <c r="AF13" s="11"/>
      <c r="AG13" s="16" t="s">
        <v>54</v>
      </c>
      <c r="AH13" s="25">
        <v>6126</v>
      </c>
      <c r="AI13" s="16" t="s">
        <v>412</v>
      </c>
      <c r="AJ13" s="11"/>
      <c r="AK13" s="13" t="s">
        <v>373</v>
      </c>
      <c r="AL13" s="14">
        <v>4300</v>
      </c>
      <c r="AM13" s="13" t="s">
        <v>374</v>
      </c>
    </row>
    <row r="14" spans="2:39" ht="14.4" customHeight="1">
      <c r="B14" s="83" t="s">
        <v>232</v>
      </c>
      <c r="C14" s="77">
        <v>21.6</v>
      </c>
      <c r="D14" s="77">
        <v>22</v>
      </c>
      <c r="E14" s="77">
        <v>21.4</v>
      </c>
      <c r="F14" s="77">
        <v>23.6</v>
      </c>
      <c r="G14" s="77">
        <v>16.600000000000001</v>
      </c>
      <c r="H14" s="77">
        <v>16.3</v>
      </c>
      <c r="I14" s="77">
        <v>16.8</v>
      </c>
      <c r="J14" s="77">
        <v>19.2</v>
      </c>
      <c r="K14" s="77"/>
      <c r="L14" s="77">
        <v>21.6</v>
      </c>
      <c r="M14" s="77">
        <v>22</v>
      </c>
      <c r="N14" s="77">
        <v>21.4</v>
      </c>
      <c r="O14" s="77">
        <v>23.6</v>
      </c>
      <c r="P14" s="77">
        <v>16.600000000000001</v>
      </c>
      <c r="Q14" s="77">
        <v>16.3</v>
      </c>
      <c r="R14" s="77">
        <v>16.8</v>
      </c>
      <c r="S14" s="77">
        <v>19.2</v>
      </c>
      <c r="T14" s="77"/>
      <c r="U14" s="32" t="s">
        <v>9</v>
      </c>
      <c r="V14" s="219">
        <v>3</v>
      </c>
      <c r="W14" s="111" t="s">
        <v>339</v>
      </c>
      <c r="Y14" s="15" t="s">
        <v>413</v>
      </c>
      <c r="Z14" s="116">
        <f>Z9/Z12*Z13*Z11^2+Z10</f>
        <v>0.36433070866141737</v>
      </c>
      <c r="AA14" s="13" t="s">
        <v>9</v>
      </c>
      <c r="AB14" s="11"/>
      <c r="AC14" s="11"/>
      <c r="AD14" s="11"/>
      <c r="AE14" s="11"/>
      <c r="AF14" s="11"/>
      <c r="AG14" s="16" t="s">
        <v>55</v>
      </c>
      <c r="AH14" s="25">
        <v>5</v>
      </c>
      <c r="AI14" s="16" t="s">
        <v>412</v>
      </c>
      <c r="AJ14" s="11"/>
      <c r="AK14" s="13" t="s">
        <v>414</v>
      </c>
      <c r="AL14" s="14">
        <v>800</v>
      </c>
      <c r="AM14" s="13" t="s">
        <v>382</v>
      </c>
    </row>
    <row r="15" spans="2:39" ht="14.4" customHeight="1">
      <c r="B15" s="83" t="s">
        <v>233</v>
      </c>
      <c r="C15" s="77">
        <v>26</v>
      </c>
      <c r="D15" s="77">
        <v>25.8</v>
      </c>
      <c r="E15" s="77">
        <v>26.3</v>
      </c>
      <c r="F15" s="77">
        <v>25</v>
      </c>
      <c r="G15" s="77">
        <v>25.2</v>
      </c>
      <c r="H15" s="77">
        <v>24.6</v>
      </c>
      <c r="I15" s="77">
        <v>27.1</v>
      </c>
      <c r="J15" s="77">
        <v>27.1</v>
      </c>
      <c r="K15" s="77">
        <f>AVERAGE(C15:J15)</f>
        <v>25.887499999999996</v>
      </c>
      <c r="L15" s="77">
        <v>23.74</v>
      </c>
      <c r="M15" s="77">
        <v>23.74</v>
      </c>
      <c r="N15" s="77">
        <v>23.74</v>
      </c>
      <c r="O15" s="77">
        <v>23.74</v>
      </c>
      <c r="P15" s="77">
        <v>23.74</v>
      </c>
      <c r="Q15" s="77">
        <v>23.74</v>
      </c>
      <c r="R15" s="77">
        <v>23.74</v>
      </c>
      <c r="S15" s="77">
        <v>23.74</v>
      </c>
      <c r="T15" s="77"/>
      <c r="U15" s="32" t="s">
        <v>9</v>
      </c>
      <c r="V15" s="219">
        <v>6</v>
      </c>
      <c r="W15" s="111" t="s">
        <v>356</v>
      </c>
      <c r="Y15" s="11"/>
      <c r="Z15" s="11"/>
      <c r="AA15" s="11"/>
      <c r="AB15" s="11"/>
      <c r="AC15" s="249" t="s">
        <v>415</v>
      </c>
      <c r="AD15" s="249"/>
      <c r="AE15" s="249"/>
      <c r="AF15" s="11"/>
      <c r="AG15" s="16" t="s">
        <v>416</v>
      </c>
      <c r="AH15" s="26">
        <f>MIN(AH12,AH14)</f>
        <v>0.26114954675287255</v>
      </c>
      <c r="AI15" s="16" t="s">
        <v>412</v>
      </c>
      <c r="AJ15" s="11"/>
      <c r="AK15" s="13" t="s">
        <v>417</v>
      </c>
      <c r="AL15" s="19">
        <f>(1.414*AL13*0.421)/(2*3.14159*AL14*AL12*2*AL11*0.000001)*2*100</f>
        <v>8.1262759844751162</v>
      </c>
      <c r="AM15" s="13" t="s">
        <v>418</v>
      </c>
    </row>
    <row r="16" spans="2:39" ht="14.4" customHeight="1">
      <c r="B16" s="70" t="s">
        <v>231</v>
      </c>
      <c r="C16" s="87">
        <f t="shared" ref="C16:I16" si="16">(C14*C15)/(C14+C15)</f>
        <v>11.798319327731093</v>
      </c>
      <c r="D16" s="87">
        <f t="shared" si="16"/>
        <v>11.8744769874477</v>
      </c>
      <c r="E16" s="87">
        <f t="shared" si="16"/>
        <v>11.799161425576518</v>
      </c>
      <c r="F16" s="87">
        <f t="shared" si="16"/>
        <v>12.139917695473251</v>
      </c>
      <c r="G16" s="87">
        <f t="shared" ref="G16:H16" si="17">(G14*G15)/(G14+G15)</f>
        <v>10.007655502392346</v>
      </c>
      <c r="H16" s="87">
        <f t="shared" si="17"/>
        <v>9.8039119804400965</v>
      </c>
      <c r="I16" s="87">
        <f t="shared" si="16"/>
        <v>10.370842824601366</v>
      </c>
      <c r="J16" s="87">
        <f t="shared" ref="J16" si="18">(J14*J15)/(J14+J15)</f>
        <v>11.238012958963285</v>
      </c>
      <c r="K16" s="87"/>
      <c r="L16" s="87">
        <f t="shared" ref="L16:S16" si="19">(L14*L15)/(L14+L15)</f>
        <v>11.309748566387295</v>
      </c>
      <c r="M16" s="87">
        <f t="shared" si="19"/>
        <v>11.418452120682117</v>
      </c>
      <c r="N16" s="87">
        <f t="shared" si="19"/>
        <v>11.254674346477623</v>
      </c>
      <c r="O16" s="87">
        <f t="shared" si="19"/>
        <v>11.834896493451627</v>
      </c>
      <c r="P16" s="87">
        <f t="shared" si="19"/>
        <v>9.7690629647992058</v>
      </c>
      <c r="Q16" s="87">
        <f t="shared" si="19"/>
        <v>9.6643856143856137</v>
      </c>
      <c r="R16" s="87">
        <f t="shared" si="19"/>
        <v>9.8379871731623094</v>
      </c>
      <c r="S16" s="87">
        <f t="shared" si="19"/>
        <v>10.614997671169073</v>
      </c>
      <c r="T16" s="87"/>
      <c r="U16" s="32" t="s">
        <v>9</v>
      </c>
      <c r="V16" s="219"/>
      <c r="W16" s="32"/>
      <c r="Y16" s="248" t="s">
        <v>419</v>
      </c>
      <c r="Z16" s="248"/>
      <c r="AA16" s="248"/>
      <c r="AB16" s="11"/>
      <c r="AC16" s="13" t="s">
        <v>420</v>
      </c>
      <c r="AD16" s="14">
        <v>10</v>
      </c>
      <c r="AE16" s="13" t="s">
        <v>13</v>
      </c>
      <c r="AF16" s="11"/>
      <c r="AG16" s="16" t="s">
        <v>421</v>
      </c>
      <c r="AH16" s="25">
        <v>200</v>
      </c>
      <c r="AI16" s="16" t="s">
        <v>144</v>
      </c>
      <c r="AJ16" s="11"/>
      <c r="AK16" s="13" t="s">
        <v>59</v>
      </c>
      <c r="AL16" s="21">
        <f>AL12*AL15/100</f>
        <v>54.852362895207037</v>
      </c>
      <c r="AM16" s="13" t="s">
        <v>383</v>
      </c>
    </row>
    <row r="17" spans="2:39" ht="14.4" customHeight="1">
      <c r="B17" s="70" t="s">
        <v>206</v>
      </c>
      <c r="C17" s="77">
        <v>74</v>
      </c>
      <c r="D17" s="77">
        <v>74</v>
      </c>
      <c r="E17" s="77">
        <v>74</v>
      </c>
      <c r="F17" s="77">
        <v>74</v>
      </c>
      <c r="G17" s="77">
        <v>74</v>
      </c>
      <c r="H17" s="77">
        <v>74</v>
      </c>
      <c r="I17" s="77">
        <v>74</v>
      </c>
      <c r="J17" s="77">
        <v>74</v>
      </c>
      <c r="K17" s="77"/>
      <c r="L17" s="77">
        <v>74</v>
      </c>
      <c r="M17" s="77">
        <v>74</v>
      </c>
      <c r="N17" s="77">
        <v>74</v>
      </c>
      <c r="O17" s="77">
        <v>74</v>
      </c>
      <c r="P17" s="77">
        <v>74</v>
      </c>
      <c r="Q17" s="77">
        <v>74</v>
      </c>
      <c r="R17" s="77">
        <v>74</v>
      </c>
      <c r="S17" s="77">
        <v>74</v>
      </c>
      <c r="T17" s="77"/>
      <c r="U17" s="32" t="s">
        <v>16</v>
      </c>
      <c r="V17" s="219">
        <v>5</v>
      </c>
      <c r="W17" s="111" t="s">
        <v>340</v>
      </c>
      <c r="Y17" s="27" t="s">
        <v>422</v>
      </c>
      <c r="Z17" s="28">
        <v>37</v>
      </c>
      <c r="AA17" s="27" t="s">
        <v>379</v>
      </c>
      <c r="AB17" s="11"/>
      <c r="AC17" s="13" t="s">
        <v>423</v>
      </c>
      <c r="AD17" s="14">
        <v>10</v>
      </c>
      <c r="AE17" s="13" t="s">
        <v>424</v>
      </c>
      <c r="AF17" s="11"/>
      <c r="AG17" s="16" t="s">
        <v>425</v>
      </c>
      <c r="AH17" s="24">
        <f>AH15*AH16</f>
        <v>52.229909350574509</v>
      </c>
      <c r="AI17" s="16" t="s">
        <v>426</v>
      </c>
      <c r="AJ17" s="11"/>
      <c r="AK17" s="13" t="s">
        <v>427</v>
      </c>
      <c r="AL17" s="21">
        <f>2*3.14159*AL14*AL11*0.000001*AL16</f>
        <v>2559.7641999999996</v>
      </c>
      <c r="AM17" s="13" t="s">
        <v>374</v>
      </c>
    </row>
    <row r="18" spans="2:39" ht="14.4" customHeight="1">
      <c r="B18" s="70" t="s">
        <v>207</v>
      </c>
      <c r="C18" s="72">
        <f t="shared" ref="C18:I18" si="20">1000/(2*PI()*(C16*C17)^0.5)</f>
        <v>5.3863453928709726</v>
      </c>
      <c r="D18" s="72">
        <f t="shared" si="20"/>
        <v>5.3690447864306705</v>
      </c>
      <c r="E18" s="72">
        <f t="shared" si="20"/>
        <v>5.3861531796017799</v>
      </c>
      <c r="F18" s="72">
        <f t="shared" si="20"/>
        <v>5.3100229802439918</v>
      </c>
      <c r="G18" s="72">
        <f t="shared" ref="G18:H18" si="21">1000/(2*PI()*(G16*G17)^0.5)</f>
        <v>5.8484138679470909</v>
      </c>
      <c r="H18" s="72">
        <f t="shared" si="21"/>
        <v>5.9088718337383668</v>
      </c>
      <c r="I18" s="72">
        <f t="shared" si="20"/>
        <v>5.7450954112423753</v>
      </c>
      <c r="J18" s="72">
        <f t="shared" ref="J18" si="22">1000/(2*PI()*(J16*J17)^0.5)</f>
        <v>5.5189887335234706</v>
      </c>
      <c r="K18" s="72"/>
      <c r="L18" s="72">
        <f t="shared" ref="L18:S18" si="23">1000/(2*PI()*(L16*L17)^0.5)</f>
        <v>5.5014579370492829</v>
      </c>
      <c r="M18" s="72">
        <f t="shared" si="23"/>
        <v>5.475208400509266</v>
      </c>
      <c r="N18" s="72">
        <f t="shared" si="23"/>
        <v>5.5149020729737552</v>
      </c>
      <c r="O18" s="72">
        <f t="shared" si="23"/>
        <v>5.3780153787378708</v>
      </c>
      <c r="P18" s="72">
        <f t="shared" si="23"/>
        <v>5.9194017613388183</v>
      </c>
      <c r="Q18" s="72">
        <f t="shared" si="23"/>
        <v>5.9513726753953335</v>
      </c>
      <c r="R18" s="72">
        <f t="shared" si="23"/>
        <v>5.8986298709899083</v>
      </c>
      <c r="S18" s="72">
        <f t="shared" si="23"/>
        <v>5.6786397765147276</v>
      </c>
      <c r="T18" s="72"/>
      <c r="U18" s="32" t="s">
        <v>60</v>
      </c>
      <c r="V18" s="219"/>
      <c r="W18" s="32" t="s">
        <v>341</v>
      </c>
      <c r="Y18" s="27" t="s">
        <v>428</v>
      </c>
      <c r="Z18" s="28">
        <v>1</v>
      </c>
      <c r="AA18" s="27" t="s">
        <v>429</v>
      </c>
      <c r="AB18" s="11"/>
      <c r="AC18" s="13" t="s">
        <v>430</v>
      </c>
      <c r="AD18" s="14">
        <v>1200</v>
      </c>
      <c r="AE18" s="13" t="s">
        <v>374</v>
      </c>
      <c r="AF18" s="11"/>
      <c r="AG18" s="16" t="s">
        <v>432</v>
      </c>
      <c r="AH18" s="25">
        <v>1000</v>
      </c>
      <c r="AI18" s="29" t="s">
        <v>433</v>
      </c>
      <c r="AJ18" s="11"/>
      <c r="AK18" s="11"/>
      <c r="AL18" s="12"/>
      <c r="AM18" s="12"/>
    </row>
    <row r="19" spans="2:39" ht="14.4" customHeight="1">
      <c r="B19" s="70" t="s">
        <v>254</v>
      </c>
      <c r="C19" s="71">
        <v>32</v>
      </c>
      <c r="D19" s="71">
        <v>32</v>
      </c>
      <c r="E19" s="71">
        <v>32</v>
      </c>
      <c r="F19" s="71">
        <v>32</v>
      </c>
      <c r="G19" s="71">
        <v>32</v>
      </c>
      <c r="H19" s="71">
        <v>32</v>
      </c>
      <c r="I19" s="71">
        <v>32</v>
      </c>
      <c r="J19" s="71">
        <v>40</v>
      </c>
      <c r="K19" s="71"/>
      <c r="L19" s="71">
        <v>40</v>
      </c>
      <c r="M19" s="71">
        <v>40</v>
      </c>
      <c r="N19" s="71">
        <v>40</v>
      </c>
      <c r="O19" s="71">
        <v>40</v>
      </c>
      <c r="P19" s="71">
        <v>40</v>
      </c>
      <c r="Q19" s="71">
        <v>40</v>
      </c>
      <c r="R19" s="71">
        <v>40</v>
      </c>
      <c r="S19" s="71">
        <v>40</v>
      </c>
      <c r="T19" s="71"/>
      <c r="U19" s="32" t="s">
        <v>228</v>
      </c>
      <c r="V19" s="219">
        <v>4</v>
      </c>
      <c r="W19" s="111" t="s">
        <v>342</v>
      </c>
      <c r="Y19" s="27" t="s">
        <v>434</v>
      </c>
      <c r="Z19" s="28">
        <v>500</v>
      </c>
      <c r="AA19" s="27" t="s">
        <v>0</v>
      </c>
      <c r="AB19" s="11"/>
      <c r="AC19" s="13" t="s">
        <v>435</v>
      </c>
      <c r="AD19" s="21">
        <f>(AD18)/(2*3.14*AD17*1000*(AD16/1000000))</f>
        <v>1910.8280254777067</v>
      </c>
      <c r="AE19" s="13" t="s">
        <v>0</v>
      </c>
      <c r="AF19" s="11"/>
      <c r="AG19" s="16" t="s">
        <v>65</v>
      </c>
      <c r="AH19" s="30">
        <f>AH18/AH17</f>
        <v>19.146117855343366</v>
      </c>
      <c r="AI19" s="29" t="s">
        <v>433</v>
      </c>
      <c r="AJ19" s="11"/>
      <c r="AK19" s="248" t="s">
        <v>436</v>
      </c>
      <c r="AL19" s="248"/>
      <c r="AM19" s="248"/>
    </row>
    <row r="20" spans="2:39" ht="14.4" customHeight="1">
      <c r="B20" s="70" t="s">
        <v>210</v>
      </c>
      <c r="C20" s="207">
        <v>3.6</v>
      </c>
      <c r="D20" s="207">
        <v>3.3</v>
      </c>
      <c r="E20" s="207">
        <v>4.8</v>
      </c>
      <c r="F20" s="207">
        <v>2.1</v>
      </c>
      <c r="G20" s="207">
        <v>2.8</v>
      </c>
      <c r="H20" s="207">
        <v>3</v>
      </c>
      <c r="I20" s="207">
        <v>2.6</v>
      </c>
      <c r="J20" s="207">
        <v>1.9</v>
      </c>
      <c r="K20" s="207"/>
      <c r="L20" s="207">
        <v>3.6</v>
      </c>
      <c r="M20" s="207">
        <v>3.3</v>
      </c>
      <c r="N20" s="207">
        <v>4.8</v>
      </c>
      <c r="O20" s="207">
        <v>2.1</v>
      </c>
      <c r="P20" s="207">
        <v>2.8</v>
      </c>
      <c r="Q20" s="207">
        <v>3</v>
      </c>
      <c r="R20" s="207">
        <v>2.6</v>
      </c>
      <c r="S20" s="207">
        <v>1.9</v>
      </c>
      <c r="T20" s="207"/>
      <c r="U20" s="32"/>
      <c r="V20" s="219">
        <v>7</v>
      </c>
      <c r="W20" s="111" t="s">
        <v>343</v>
      </c>
      <c r="Y20" s="27" t="s">
        <v>437</v>
      </c>
      <c r="Z20" s="28">
        <v>1000</v>
      </c>
      <c r="AA20" s="27" t="s">
        <v>1</v>
      </c>
      <c r="AB20" s="11"/>
      <c r="AC20" s="11"/>
      <c r="AD20" s="11"/>
      <c r="AE20" s="11"/>
      <c r="AF20" s="11"/>
      <c r="AG20" s="16" t="s">
        <v>438</v>
      </c>
      <c r="AH20" s="30">
        <f>AH8/100000000*(AH18^2)/(AH17/1000000)*AH13/1000</f>
        <v>2052.5595646820857</v>
      </c>
      <c r="AI20" s="29" t="s">
        <v>439</v>
      </c>
      <c r="AJ20" s="11"/>
      <c r="AK20" s="31" t="s">
        <v>440</v>
      </c>
      <c r="AL20" s="32">
        <v>0.9133</v>
      </c>
      <c r="AM20" s="32" t="s">
        <v>11</v>
      </c>
    </row>
    <row r="21" spans="2:39" ht="14.4" customHeight="1">
      <c r="B21" s="70" t="s">
        <v>211</v>
      </c>
      <c r="C21" s="78">
        <f t="shared" ref="C21:I21" si="24">C18</f>
        <v>5.3863453928709726</v>
      </c>
      <c r="D21" s="78">
        <f t="shared" si="24"/>
        <v>5.3690447864306705</v>
      </c>
      <c r="E21" s="78">
        <f t="shared" si="24"/>
        <v>5.3861531796017799</v>
      </c>
      <c r="F21" s="78">
        <f t="shared" si="24"/>
        <v>5.3100229802439918</v>
      </c>
      <c r="G21" s="78">
        <f t="shared" ref="G21:H21" si="25">G18</f>
        <v>5.8484138679470909</v>
      </c>
      <c r="H21" s="78">
        <f t="shared" si="25"/>
        <v>5.9088718337383668</v>
      </c>
      <c r="I21" s="78">
        <f t="shared" si="24"/>
        <v>5.7450954112423753</v>
      </c>
      <c r="J21" s="78">
        <f t="shared" ref="J21" si="26">J18</f>
        <v>5.5189887335234706</v>
      </c>
      <c r="K21" s="78"/>
      <c r="L21" s="78">
        <f t="shared" ref="L21:S21" si="27">L18</f>
        <v>5.5014579370492829</v>
      </c>
      <c r="M21" s="78">
        <f t="shared" si="27"/>
        <v>5.475208400509266</v>
      </c>
      <c r="N21" s="78">
        <f t="shared" si="27"/>
        <v>5.5149020729737552</v>
      </c>
      <c r="O21" s="78">
        <f t="shared" si="27"/>
        <v>5.3780153787378708</v>
      </c>
      <c r="P21" s="78">
        <f t="shared" si="27"/>
        <v>5.9194017613388183</v>
      </c>
      <c r="Q21" s="78">
        <f t="shared" si="27"/>
        <v>5.9513726753953335</v>
      </c>
      <c r="R21" s="78">
        <f t="shared" si="27"/>
        <v>5.8986298709899083</v>
      </c>
      <c r="S21" s="78">
        <f t="shared" si="27"/>
        <v>5.6786397765147276</v>
      </c>
      <c r="T21" s="78"/>
      <c r="U21" s="32" t="s">
        <v>60</v>
      </c>
      <c r="V21" s="219"/>
      <c r="W21" s="112" t="s">
        <v>355</v>
      </c>
      <c r="Y21" s="27" t="s">
        <v>441</v>
      </c>
      <c r="Z21" s="28">
        <v>1</v>
      </c>
      <c r="AA21" s="27" t="s">
        <v>429</v>
      </c>
      <c r="AB21" s="11"/>
      <c r="AC21" s="249" t="s">
        <v>442</v>
      </c>
      <c r="AD21" s="249"/>
      <c r="AE21" s="249"/>
      <c r="AF21" s="11"/>
      <c r="AG21" s="11"/>
      <c r="AH21" s="11"/>
      <c r="AI21" s="11"/>
      <c r="AJ21" s="11"/>
      <c r="AK21" s="27" t="s">
        <v>443</v>
      </c>
      <c r="AL21" s="33">
        <v>3</v>
      </c>
      <c r="AM21" s="32" t="s">
        <v>444</v>
      </c>
    </row>
    <row r="22" spans="2:39" ht="14.4" customHeight="1">
      <c r="B22" s="70" t="s">
        <v>236</v>
      </c>
      <c r="C22" s="72">
        <f t="shared" ref="C22:I22" si="28">2*PI()*C21</f>
        <v>33.843406231881353</v>
      </c>
      <c r="D22" s="72">
        <f t="shared" si="28"/>
        <v>33.734703315690346</v>
      </c>
      <c r="E22" s="72">
        <f t="shared" si="28"/>
        <v>33.842198520292513</v>
      </c>
      <c r="F22" s="72">
        <f t="shared" si="28"/>
        <v>33.363858370255009</v>
      </c>
      <c r="G22" s="72">
        <f t="shared" ref="G22:H22" si="29">2*PI()*G21</f>
        <v>36.746668085390496</v>
      </c>
      <c r="H22" s="72">
        <f t="shared" si="29"/>
        <v>37.126536687752207</v>
      </c>
      <c r="I22" s="72">
        <f t="shared" si="28"/>
        <v>36.097499076262956</v>
      </c>
      <c r="J22" s="72">
        <f t="shared" ref="J22" si="30">2*PI()*J21</f>
        <v>34.67682892096434</v>
      </c>
      <c r="K22" s="72"/>
      <c r="L22" s="72">
        <f t="shared" ref="L22:S22" si="31">2*PI()*L21</f>
        <v>34.56667967813457</v>
      </c>
      <c r="M22" s="72">
        <f t="shared" si="31"/>
        <v>34.401748975826067</v>
      </c>
      <c r="N22" s="72">
        <f t="shared" si="31"/>
        <v>34.651151675442939</v>
      </c>
      <c r="O22" s="72">
        <f t="shared" si="31"/>
        <v>33.791067209471649</v>
      </c>
      <c r="P22" s="72">
        <f t="shared" si="31"/>
        <v>37.192698174137028</v>
      </c>
      <c r="Q22" s="72">
        <f t="shared" si="31"/>
        <v>37.393577351594026</v>
      </c>
      <c r="R22" s="72">
        <f t="shared" si="31"/>
        <v>37.06218453789441</v>
      </c>
      <c r="S22" s="72">
        <f t="shared" si="31"/>
        <v>35.679946008562908</v>
      </c>
      <c r="T22" s="72"/>
      <c r="U22" s="32" t="s">
        <v>60</v>
      </c>
      <c r="V22" s="219"/>
      <c r="W22" s="32"/>
      <c r="Y22" s="27" t="s">
        <v>445</v>
      </c>
      <c r="Z22" s="28">
        <v>4</v>
      </c>
      <c r="AA22" s="27" t="s">
        <v>410</v>
      </c>
      <c r="AB22" s="11"/>
      <c r="AC22" s="15" t="s">
        <v>446</v>
      </c>
      <c r="AD22" s="14">
        <v>618</v>
      </c>
      <c r="AE22" s="13" t="s">
        <v>447</v>
      </c>
      <c r="AF22" s="11"/>
      <c r="AG22" s="249" t="s">
        <v>448</v>
      </c>
      <c r="AH22" s="249"/>
      <c r="AI22" s="249"/>
      <c r="AJ22" s="11"/>
      <c r="AK22" s="27" t="s">
        <v>449</v>
      </c>
      <c r="AL22" s="34">
        <f>AL20*AL21</f>
        <v>2.7399</v>
      </c>
      <c r="AM22" s="32" t="s">
        <v>11</v>
      </c>
    </row>
    <row r="23" spans="2:39" ht="14.4" customHeight="1">
      <c r="B23" s="70" t="s">
        <v>213</v>
      </c>
      <c r="C23" s="74">
        <f t="shared" ref="C23:I23" si="32">2*PI()*C21*C14</f>
        <v>731.01757460863723</v>
      </c>
      <c r="D23" s="74">
        <f t="shared" si="32"/>
        <v>742.16347294518766</v>
      </c>
      <c r="E23" s="74">
        <f t="shared" si="32"/>
        <v>724.22304833425972</v>
      </c>
      <c r="F23" s="74">
        <f t="shared" si="32"/>
        <v>787.38705753801821</v>
      </c>
      <c r="G23" s="74">
        <f t="shared" ref="G23:H23" si="33">2*PI()*G21*G14</f>
        <v>609.99469021748234</v>
      </c>
      <c r="H23" s="74">
        <f t="shared" si="33"/>
        <v>605.16254801036098</v>
      </c>
      <c r="I23" s="74">
        <f t="shared" si="32"/>
        <v>606.43798448121765</v>
      </c>
      <c r="J23" s="74">
        <f t="shared" ref="J23" si="34">2*PI()*J21*J14</f>
        <v>665.79511528251533</v>
      </c>
      <c r="K23" s="74"/>
      <c r="L23" s="74">
        <f t="shared" ref="L23:S23" si="35">2*PI()*L21*L14</f>
        <v>746.64028104770671</v>
      </c>
      <c r="M23" s="74">
        <f t="shared" si="35"/>
        <v>756.83847746817344</v>
      </c>
      <c r="N23" s="74">
        <f t="shared" si="35"/>
        <v>741.53464585447887</v>
      </c>
      <c r="O23" s="74">
        <f t="shared" si="35"/>
        <v>797.46918614353092</v>
      </c>
      <c r="P23" s="74">
        <f t="shared" si="35"/>
        <v>617.39878969067468</v>
      </c>
      <c r="Q23" s="74">
        <f t="shared" si="35"/>
        <v>609.51531083098268</v>
      </c>
      <c r="R23" s="74">
        <f t="shared" si="35"/>
        <v>622.64470023662614</v>
      </c>
      <c r="S23" s="74">
        <f t="shared" si="35"/>
        <v>685.05496336440785</v>
      </c>
      <c r="T23" s="74"/>
      <c r="U23" s="32" t="s">
        <v>229</v>
      </c>
      <c r="V23" s="219"/>
      <c r="W23" s="32"/>
      <c r="Y23" s="27" t="s">
        <v>450</v>
      </c>
      <c r="Z23" s="28">
        <v>8</v>
      </c>
      <c r="AA23" s="27" t="s">
        <v>403</v>
      </c>
      <c r="AB23" s="11"/>
      <c r="AC23" s="15" t="s">
        <v>451</v>
      </c>
      <c r="AD23" s="14">
        <v>1</v>
      </c>
      <c r="AE23" s="13" t="s">
        <v>452</v>
      </c>
      <c r="AF23" s="11"/>
      <c r="AG23" s="13" t="s">
        <v>453</v>
      </c>
      <c r="AH23" s="57" t="s">
        <v>36</v>
      </c>
      <c r="AI23" s="57"/>
      <c r="AJ23" s="11"/>
      <c r="AK23" s="27"/>
      <c r="AL23" s="32"/>
      <c r="AM23" s="32"/>
    </row>
    <row r="24" spans="2:39" ht="14.4" customHeight="1">
      <c r="B24" s="70" t="s">
        <v>214</v>
      </c>
      <c r="C24" s="72">
        <f t="shared" ref="C24:I24" si="36">C23/C20</f>
        <v>203.0604373912881</v>
      </c>
      <c r="D24" s="72">
        <f t="shared" si="36"/>
        <v>224.89802210460235</v>
      </c>
      <c r="E24" s="72">
        <f t="shared" si="36"/>
        <v>150.8798017363041</v>
      </c>
      <c r="F24" s="72">
        <f t="shared" si="36"/>
        <v>374.94621787524676</v>
      </c>
      <c r="G24" s="72">
        <f t="shared" ref="G24:H24" si="37">G23/G20</f>
        <v>217.8552465062437</v>
      </c>
      <c r="H24" s="72">
        <f t="shared" si="37"/>
        <v>201.72084933678698</v>
      </c>
      <c r="I24" s="72">
        <f t="shared" si="36"/>
        <v>233.24537864662216</v>
      </c>
      <c r="J24" s="72">
        <f t="shared" ref="J24" si="38">J23/J20</f>
        <v>350.41848172763969</v>
      </c>
      <c r="K24" s="72"/>
      <c r="L24" s="72">
        <f t="shared" ref="L24:S24" si="39">L23/L20</f>
        <v>207.4000780688074</v>
      </c>
      <c r="M24" s="72">
        <f t="shared" si="39"/>
        <v>229.34499317217379</v>
      </c>
      <c r="N24" s="72">
        <f t="shared" si="39"/>
        <v>154.48638455301645</v>
      </c>
      <c r="O24" s="72">
        <f t="shared" si="39"/>
        <v>379.74723149691948</v>
      </c>
      <c r="P24" s="72">
        <f t="shared" si="39"/>
        <v>220.49956774666953</v>
      </c>
      <c r="Q24" s="72">
        <f t="shared" si="39"/>
        <v>203.17177027699424</v>
      </c>
      <c r="R24" s="72">
        <f t="shared" si="39"/>
        <v>239.4787308602408</v>
      </c>
      <c r="S24" s="72">
        <f t="shared" si="39"/>
        <v>360.55524387600417</v>
      </c>
      <c r="T24" s="72"/>
      <c r="U24" s="32" t="s">
        <v>229</v>
      </c>
      <c r="V24" s="219"/>
      <c r="W24" s="32"/>
      <c r="Y24" s="27" t="s">
        <v>454</v>
      </c>
      <c r="Z24" s="117">
        <f>Z17*(Z21/Z18)*Z23/Z22</f>
        <v>74</v>
      </c>
      <c r="AA24" s="27" t="s">
        <v>379</v>
      </c>
      <c r="AB24" s="11"/>
      <c r="AC24" s="15" t="s">
        <v>69</v>
      </c>
      <c r="AD24" s="14">
        <v>22</v>
      </c>
      <c r="AE24" s="13" t="s">
        <v>70</v>
      </c>
      <c r="AF24" s="11"/>
      <c r="AG24" s="16" t="s">
        <v>372</v>
      </c>
      <c r="AH24" s="17">
        <v>1.75</v>
      </c>
      <c r="AI24" s="16" t="s">
        <v>388</v>
      </c>
      <c r="AJ24" s="11"/>
      <c r="AK24" s="31" t="s">
        <v>455</v>
      </c>
      <c r="AL24" s="32">
        <v>0.48</v>
      </c>
      <c r="AM24" s="32" t="s">
        <v>11</v>
      </c>
    </row>
    <row r="25" spans="2:39" ht="14.4" customHeight="1">
      <c r="B25" s="70" t="s">
        <v>250</v>
      </c>
      <c r="C25" s="85">
        <f t="shared" ref="C25:I25" si="40">C24*(C15/C14)^2</f>
        <v>294.21479697468868</v>
      </c>
      <c r="D25" s="85">
        <f t="shared" si="40"/>
        <v>309.29983354071805</v>
      </c>
      <c r="E25" s="85">
        <f t="shared" si="40"/>
        <v>227.88464071749539</v>
      </c>
      <c r="F25" s="85">
        <f t="shared" si="40"/>
        <v>420.75083699373238</v>
      </c>
      <c r="G25" s="85">
        <f t="shared" ref="G25:H25" si="41">G24*(G15/G14)^2</f>
        <v>502.05688685340743</v>
      </c>
      <c r="H25" s="85">
        <f t="shared" si="41"/>
        <v>459.45797427321315</v>
      </c>
      <c r="I25" s="85">
        <f t="shared" si="40"/>
        <v>606.92225953750642</v>
      </c>
      <c r="J25" s="85">
        <f t="shared" ref="J25" si="42">J24*(J15/J14)^2</f>
        <v>698.10882477646464</v>
      </c>
      <c r="K25" s="85"/>
      <c r="L25" s="85">
        <f t="shared" ref="L25:S25" si="43">L24*(L15/L14)^2</f>
        <v>250.5317906348846</v>
      </c>
      <c r="M25" s="85">
        <f t="shared" si="43"/>
        <v>267.0578394089294</v>
      </c>
      <c r="N25" s="85">
        <f t="shared" si="43"/>
        <v>190.11837431852479</v>
      </c>
      <c r="O25" s="85">
        <f t="shared" si="43"/>
        <v>384.26607082374534</v>
      </c>
      <c r="P25" s="85">
        <f t="shared" si="43"/>
        <v>450.97554865504014</v>
      </c>
      <c r="Q25" s="85">
        <f t="shared" si="43"/>
        <v>430.97252586910491</v>
      </c>
      <c r="R25" s="85">
        <f t="shared" si="43"/>
        <v>478.20026635689135</v>
      </c>
      <c r="S25" s="85">
        <f t="shared" si="43"/>
        <v>551.22738868134718</v>
      </c>
      <c r="T25" s="85"/>
      <c r="U25" s="32" t="s">
        <v>229</v>
      </c>
      <c r="V25" s="219"/>
      <c r="W25" s="32"/>
      <c r="Y25" s="27" t="s">
        <v>456</v>
      </c>
      <c r="Z25" s="35">
        <f>Z19*Z22</f>
        <v>2000</v>
      </c>
      <c r="AA25" s="27" t="s">
        <v>383</v>
      </c>
      <c r="AB25" s="11"/>
      <c r="AC25" s="15" t="s">
        <v>457</v>
      </c>
      <c r="AD25" s="14">
        <v>2</v>
      </c>
      <c r="AE25" s="13"/>
      <c r="AF25" s="11"/>
      <c r="AG25" s="16" t="s">
        <v>458</v>
      </c>
      <c r="AH25" s="18">
        <v>3.8999999999999998E-3</v>
      </c>
      <c r="AI25" s="16" t="s">
        <v>41</v>
      </c>
      <c r="AJ25" s="11"/>
      <c r="AK25" s="27" t="s">
        <v>459</v>
      </c>
      <c r="AL25" s="33">
        <v>5</v>
      </c>
      <c r="AM25" s="32" t="s">
        <v>444</v>
      </c>
    </row>
    <row r="26" spans="2:39" ht="14.4" customHeight="1">
      <c r="B26" s="70" t="s">
        <v>260</v>
      </c>
      <c r="C26" s="85">
        <f t="shared" ref="C26:I26" si="44">C41^2/(C3*1000)*1000</f>
        <v>818.68095192586713</v>
      </c>
      <c r="D26" s="85">
        <f t="shared" si="44"/>
        <v>785.63466012320566</v>
      </c>
      <c r="E26" s="85">
        <f t="shared" si="44"/>
        <v>902.34742676238727</v>
      </c>
      <c r="F26" s="85">
        <f t="shared" si="44"/>
        <v>823.70669998508299</v>
      </c>
      <c r="G26" s="85">
        <f t="shared" ref="G26:H26" si="45">G41^2/(G3*1000)*1000</f>
        <v>893.38555960113968</v>
      </c>
      <c r="H26" s="85">
        <f t="shared" si="45"/>
        <v>931.49205266469539</v>
      </c>
      <c r="I26" s="85">
        <f t="shared" si="44"/>
        <v>816.4480720881902</v>
      </c>
      <c r="J26" s="85">
        <f t="shared" ref="J26" si="46">J41^2/(J3*1000)*1000</f>
        <v>729.62532860482986</v>
      </c>
      <c r="K26" s="85"/>
      <c r="L26" s="85">
        <f t="shared" ref="L26:S26" si="47">L41^2/(L3*1000)*1000</f>
        <v>668.17470914651415</v>
      </c>
      <c r="M26" s="85">
        <f t="shared" si="47"/>
        <v>641.20364506877843</v>
      </c>
      <c r="N26" s="85">
        <f t="shared" si="47"/>
        <v>736.45994573067753</v>
      </c>
      <c r="O26" s="85">
        <f t="shared" si="47"/>
        <v>672.2765240718652</v>
      </c>
      <c r="P26" s="85">
        <f t="shared" si="47"/>
        <v>729.14562753408336</v>
      </c>
      <c r="Q26" s="85">
        <f t="shared" si="47"/>
        <v>760.24662586492104</v>
      </c>
      <c r="R26" s="85">
        <f t="shared" si="47"/>
        <v>666.35232176521572</v>
      </c>
      <c r="S26" s="85">
        <f t="shared" si="47"/>
        <v>729.62532860482986</v>
      </c>
      <c r="T26" s="85"/>
      <c r="U26" s="32" t="s">
        <v>229</v>
      </c>
      <c r="V26" s="219"/>
      <c r="W26" s="32"/>
      <c r="Y26" s="27" t="s">
        <v>460</v>
      </c>
      <c r="Z26" s="35">
        <f>Z20*(Z21/Z18)*Z23</f>
        <v>8000</v>
      </c>
      <c r="AA26" s="27" t="s">
        <v>374</v>
      </c>
      <c r="AB26" s="11"/>
      <c r="AC26" s="15" t="s">
        <v>461</v>
      </c>
      <c r="AD26" s="19">
        <f>AD23*AD24*AD25*2</f>
        <v>88</v>
      </c>
      <c r="AE26" s="13" t="s">
        <v>452</v>
      </c>
      <c r="AF26" s="11"/>
      <c r="AG26" s="16" t="s">
        <v>462</v>
      </c>
      <c r="AH26" s="20">
        <v>45</v>
      </c>
      <c r="AI26" s="16" t="s">
        <v>43</v>
      </c>
      <c r="AJ26" s="11"/>
      <c r="AK26" s="27" t="s">
        <v>463</v>
      </c>
      <c r="AL26" s="34">
        <f>AL24*AL25</f>
        <v>2.4</v>
      </c>
      <c r="AM26" s="32" t="s">
        <v>11</v>
      </c>
    </row>
    <row r="27" spans="2:39" ht="14.4" customHeight="1">
      <c r="B27" s="70"/>
      <c r="C27" s="75"/>
      <c r="D27" s="75"/>
      <c r="E27" s="75"/>
      <c r="F27" s="75"/>
      <c r="G27" s="75"/>
      <c r="H27" s="75"/>
      <c r="I27" s="75"/>
      <c r="J27" s="75"/>
      <c r="K27" s="75"/>
      <c r="L27" s="75"/>
      <c r="M27" s="75"/>
      <c r="N27" s="75"/>
      <c r="O27" s="75"/>
      <c r="P27" s="75"/>
      <c r="Q27" s="75"/>
      <c r="R27" s="75"/>
      <c r="S27" s="75"/>
      <c r="T27" s="75"/>
      <c r="U27" s="32"/>
      <c r="V27" s="219"/>
      <c r="W27" s="32"/>
      <c r="Y27" s="27" t="s">
        <v>464</v>
      </c>
      <c r="Z27" s="35">
        <f>Z25*Z26/1000</f>
        <v>16000</v>
      </c>
      <c r="AA27" s="27" t="s">
        <v>464</v>
      </c>
      <c r="AB27" s="11"/>
      <c r="AC27" s="15" t="s">
        <v>465</v>
      </c>
      <c r="AD27" s="14">
        <v>1</v>
      </c>
      <c r="AE27" s="13" t="s">
        <v>466</v>
      </c>
      <c r="AF27" s="11"/>
      <c r="AG27" s="16" t="s">
        <v>387</v>
      </c>
      <c r="AH27" s="18">
        <f>AH24*(1+AH25*(AH26-20))</f>
        <v>1.9206249999999998</v>
      </c>
      <c r="AI27" s="16" t="s">
        <v>388</v>
      </c>
      <c r="AJ27" s="11"/>
      <c r="AK27" s="27"/>
      <c r="AL27" s="32"/>
      <c r="AM27" s="32"/>
    </row>
    <row r="28" spans="2:39" ht="14.4" customHeight="1">
      <c r="B28" s="70" t="s">
        <v>215</v>
      </c>
      <c r="C28" s="79">
        <f t="shared" ref="C28:I28" si="48">(C3*1000000/C24)^0.5</f>
        <v>1084.8914631550988</v>
      </c>
      <c r="D28" s="79">
        <f t="shared" si="48"/>
        <v>1030.8752964884814</v>
      </c>
      <c r="E28" s="79">
        <f t="shared" si="48"/>
        <v>1179.7611620411515</v>
      </c>
      <c r="F28" s="79">
        <f t="shared" si="48"/>
        <v>781.50768417945937</v>
      </c>
      <c r="G28" s="79">
        <f t="shared" ref="G28:H28" si="49">(G3*1000000/G24)^0.5</f>
        <v>1004.910372038436</v>
      </c>
      <c r="H28" s="79">
        <f t="shared" si="49"/>
        <v>1022.7413936705444</v>
      </c>
      <c r="I28" s="79">
        <f t="shared" si="48"/>
        <v>1010.1408974084896</v>
      </c>
      <c r="J28" s="79">
        <f t="shared" ref="J28" si="50">(J3*1000000/J24)^0.5</f>
        <v>772.28863045718856</v>
      </c>
      <c r="K28" s="79"/>
      <c r="L28" s="79">
        <f t="shared" ref="L28:S28" si="51">(L3*1000000/L24)^0.5</f>
        <v>1073.4813228974901</v>
      </c>
      <c r="M28" s="79">
        <f t="shared" si="51"/>
        <v>1020.8321018174371</v>
      </c>
      <c r="N28" s="79">
        <f t="shared" si="51"/>
        <v>1165.9086989401389</v>
      </c>
      <c r="O28" s="79">
        <f t="shared" si="51"/>
        <v>776.55180407057594</v>
      </c>
      <c r="P28" s="79">
        <f t="shared" si="51"/>
        <v>998.86654874165004</v>
      </c>
      <c r="Q28" s="79">
        <f t="shared" si="51"/>
        <v>1019.0829727748612</v>
      </c>
      <c r="R28" s="79">
        <f t="shared" si="51"/>
        <v>996.90782425022132</v>
      </c>
      <c r="S28" s="79">
        <f t="shared" si="51"/>
        <v>761.35505385674901</v>
      </c>
      <c r="T28" s="79"/>
      <c r="U28" s="32" t="s">
        <v>38</v>
      </c>
      <c r="V28" s="219"/>
      <c r="W28" s="112" t="s">
        <v>344</v>
      </c>
      <c r="Y28" s="11"/>
      <c r="Z28" s="11"/>
      <c r="AA28" s="11"/>
      <c r="AB28" s="11"/>
      <c r="AC28" s="15" t="s">
        <v>467</v>
      </c>
      <c r="AD28" s="14">
        <v>100</v>
      </c>
      <c r="AE28" s="13" t="s">
        <v>468</v>
      </c>
      <c r="AF28" s="11"/>
      <c r="AG28" s="16" t="s">
        <v>391</v>
      </c>
      <c r="AH28" s="22">
        <f>1/(AH27/100000000)</f>
        <v>52066384.64041654</v>
      </c>
      <c r="AI28" s="16" t="s">
        <v>392</v>
      </c>
      <c r="AJ28" s="11"/>
      <c r="AK28" s="31" t="s">
        <v>455</v>
      </c>
      <c r="AL28" s="32">
        <v>0.4133</v>
      </c>
      <c r="AM28" s="32" t="s">
        <v>11</v>
      </c>
    </row>
    <row r="29" spans="2:39" ht="14.4" customHeight="1">
      <c r="B29" s="70" t="s">
        <v>240</v>
      </c>
      <c r="C29" s="74">
        <f t="shared" ref="C29:I29" si="52">C28*C24/1000</f>
        <v>220.29853503034889</v>
      </c>
      <c r="D29" s="74">
        <f t="shared" si="52"/>
        <v>231.84181521675498</v>
      </c>
      <c r="E29" s="74">
        <f t="shared" si="52"/>
        <v>178.00213022496069</v>
      </c>
      <c r="F29" s="74">
        <f t="shared" si="52"/>
        <v>293.0233504235311</v>
      </c>
      <c r="G29" s="74">
        <f t="shared" ref="G29:H29" si="53">G28*G24/1000</f>
        <v>218.92499681711453</v>
      </c>
      <c r="H29" s="74">
        <f t="shared" si="53"/>
        <v>206.30826258311143</v>
      </c>
      <c r="I29" s="74">
        <f t="shared" si="52"/>
        <v>235.61069610248188</v>
      </c>
      <c r="J29" s="74">
        <f t="shared" ref="J29" si="54">J28*J24/1000</f>
        <v>270.62420934032622</v>
      </c>
      <c r="K29" s="74"/>
      <c r="L29" s="74">
        <f t="shared" ref="L29:S29" si="55">L28*L24/1000</f>
        <v>222.64011017434609</v>
      </c>
      <c r="M29" s="74">
        <f t="shared" si="55"/>
        <v>234.12273142125591</v>
      </c>
      <c r="N29" s="74">
        <f t="shared" si="55"/>
        <v>180.1170196181734</v>
      </c>
      <c r="O29" s="74">
        <f t="shared" si="55"/>
        <v>294.89339770973947</v>
      </c>
      <c r="P29" s="74">
        <f t="shared" si="55"/>
        <v>220.24964223414145</v>
      </c>
      <c r="Q29" s="74">
        <f t="shared" si="55"/>
        <v>207.04889163781047</v>
      </c>
      <c r="R29" s="74">
        <f t="shared" si="55"/>
        <v>238.738220536087</v>
      </c>
      <c r="S29" s="74">
        <f t="shared" si="55"/>
        <v>274.51055711954842</v>
      </c>
      <c r="T29" s="74"/>
      <c r="U29" s="32" t="s">
        <v>0</v>
      </c>
      <c r="V29" s="219"/>
      <c r="W29" s="32"/>
      <c r="Y29" s="248" t="s">
        <v>469</v>
      </c>
      <c r="Z29" s="248"/>
      <c r="AA29" s="248"/>
      <c r="AB29" s="11"/>
      <c r="AC29" s="15" t="s">
        <v>470</v>
      </c>
      <c r="AD29" s="14">
        <v>1</v>
      </c>
      <c r="AE29" s="13" t="s">
        <v>471</v>
      </c>
      <c r="AF29" s="11"/>
      <c r="AG29" s="16" t="s">
        <v>395</v>
      </c>
      <c r="AH29" s="57">
        <v>1</v>
      </c>
      <c r="AI29" s="16" t="s">
        <v>396</v>
      </c>
      <c r="AJ29" s="11"/>
      <c r="AK29" s="27" t="s">
        <v>472</v>
      </c>
      <c r="AL29" s="33">
        <v>3</v>
      </c>
      <c r="AM29" s="32" t="s">
        <v>473</v>
      </c>
    </row>
    <row r="30" spans="2:39" ht="14.4" customHeight="1">
      <c r="B30" s="70" t="s">
        <v>239</v>
      </c>
      <c r="C30" s="74">
        <f t="shared" ref="C30:I30" si="56">C28*C23/1000</f>
        <v>793.07472610925606</v>
      </c>
      <c r="D30" s="74">
        <f t="shared" si="56"/>
        <v>765.07799021529138</v>
      </c>
      <c r="E30" s="74">
        <f t="shared" si="56"/>
        <v>854.41022507981131</v>
      </c>
      <c r="F30" s="74">
        <f t="shared" si="56"/>
        <v>615.34903588941529</v>
      </c>
      <c r="G30" s="74">
        <f t="shared" ref="G30:H30" si="57">G28*G23/1000</f>
        <v>612.98999108792077</v>
      </c>
      <c r="H30" s="74">
        <f t="shared" si="57"/>
        <v>618.92478774933431</v>
      </c>
      <c r="I30" s="74">
        <f t="shared" si="56"/>
        <v>612.58780986645297</v>
      </c>
      <c r="J30" s="74">
        <f t="shared" ref="J30" si="58">J28*J23/1000</f>
        <v>514.18599774661971</v>
      </c>
      <c r="K30" s="74"/>
      <c r="L30" s="74">
        <f t="shared" ref="L30:S30" si="59">L28*L23/1000</f>
        <v>801.50439662764609</v>
      </c>
      <c r="M30" s="74">
        <f t="shared" si="59"/>
        <v>772.60501369014457</v>
      </c>
      <c r="N30" s="74">
        <f t="shared" si="59"/>
        <v>864.56169416723219</v>
      </c>
      <c r="O30" s="74">
        <f t="shared" si="59"/>
        <v>619.27613519045292</v>
      </c>
      <c r="P30" s="74">
        <f t="shared" si="59"/>
        <v>616.69899825559605</v>
      </c>
      <c r="Q30" s="74">
        <f t="shared" si="59"/>
        <v>621.14667491343141</v>
      </c>
      <c r="R30" s="74">
        <f t="shared" si="59"/>
        <v>620.71937339382623</v>
      </c>
      <c r="S30" s="74">
        <f t="shared" si="59"/>
        <v>521.57005852714201</v>
      </c>
      <c r="T30" s="74"/>
      <c r="U30" s="32" t="s">
        <v>238</v>
      </c>
      <c r="V30" s="219"/>
      <c r="W30" s="112" t="s">
        <v>345</v>
      </c>
      <c r="Y30" s="15" t="s">
        <v>51</v>
      </c>
      <c r="Z30" s="14">
        <v>19970</v>
      </c>
      <c r="AA30" s="15" t="s">
        <v>382</v>
      </c>
      <c r="AB30" s="11"/>
      <c r="AC30" s="15" t="s">
        <v>474</v>
      </c>
      <c r="AD30" s="19">
        <f>AD28*AD29</f>
        <v>100</v>
      </c>
      <c r="AE30" s="13" t="s">
        <v>71</v>
      </c>
      <c r="AF30" s="11"/>
      <c r="AG30" s="16" t="s">
        <v>51</v>
      </c>
      <c r="AH30" s="23">
        <v>15000</v>
      </c>
      <c r="AI30" s="16" t="s">
        <v>401</v>
      </c>
      <c r="AJ30" s="11"/>
      <c r="AK30" s="27" t="s">
        <v>475</v>
      </c>
      <c r="AL30" s="34">
        <f>AL28*AL29</f>
        <v>1.2399</v>
      </c>
      <c r="AM30" s="32" t="s">
        <v>11</v>
      </c>
    </row>
    <row r="31" spans="2:39" ht="14.4" customHeight="1">
      <c r="B31" s="70" t="s">
        <v>247</v>
      </c>
      <c r="C31" s="74">
        <f t="shared" ref="C31:I31" si="60">((C29)^2+(C30)^2)^0.5</f>
        <v>823.103253383067</v>
      </c>
      <c r="D31" s="74">
        <f t="shared" si="60"/>
        <v>799.43414887961194</v>
      </c>
      <c r="E31" s="74">
        <f t="shared" si="60"/>
        <v>872.75517247711446</v>
      </c>
      <c r="F31" s="74">
        <f t="shared" si="60"/>
        <v>681.55492798707314</v>
      </c>
      <c r="G31" s="74">
        <f t="shared" ref="G31:H31" si="61">((G29)^2+(G30)^2)^0.5</f>
        <v>650.91081063794206</v>
      </c>
      <c r="H31" s="74">
        <f t="shared" si="61"/>
        <v>652.40400987472526</v>
      </c>
      <c r="I31" s="74">
        <f t="shared" si="60"/>
        <v>656.33545151459987</v>
      </c>
      <c r="J31" s="74">
        <f t="shared" ref="J31" si="62">((J29)^2+(J30)^2)^0.5</f>
        <v>581.05481923805053</v>
      </c>
      <c r="K31" s="74"/>
      <c r="L31" s="74">
        <f t="shared" ref="L31:S31" si="63">((L29)^2+(L30)^2)^0.5</f>
        <v>831.85210011870015</v>
      </c>
      <c r="M31" s="74">
        <f t="shared" si="63"/>
        <v>807.29917660511592</v>
      </c>
      <c r="N31" s="74">
        <f t="shared" si="63"/>
        <v>883.12460263399316</v>
      </c>
      <c r="O31" s="74">
        <f t="shared" si="63"/>
        <v>685.90454702474358</v>
      </c>
      <c r="P31" s="74">
        <f t="shared" si="63"/>
        <v>654.84926460501038</v>
      </c>
      <c r="Q31" s="74">
        <f t="shared" si="63"/>
        <v>654.74608458887155</v>
      </c>
      <c r="R31" s="74">
        <f t="shared" si="63"/>
        <v>665.04772644612626</v>
      </c>
      <c r="S31" s="74">
        <f t="shared" si="63"/>
        <v>589.39916179283045</v>
      </c>
      <c r="T31" s="74"/>
      <c r="U31" s="32" t="s">
        <v>0</v>
      </c>
      <c r="V31" s="219"/>
      <c r="W31" s="32"/>
      <c r="Y31" s="15" t="s">
        <v>476</v>
      </c>
      <c r="Z31" s="14">
        <v>50</v>
      </c>
      <c r="AA31" s="15" t="s">
        <v>379</v>
      </c>
      <c r="AB31" s="11"/>
      <c r="AC31" s="13"/>
      <c r="AD31" s="13"/>
      <c r="AE31" s="13"/>
      <c r="AF31" s="11"/>
      <c r="AG31" s="16" t="s">
        <v>142</v>
      </c>
      <c r="AH31" s="24">
        <f>503.3*SQRT((AH27/100000000)/(AH29*AH30))*1000</f>
        <v>0.56951162007826195</v>
      </c>
      <c r="AI31" s="16" t="s">
        <v>144</v>
      </c>
      <c r="AJ31" s="11"/>
      <c r="AK31" s="11"/>
      <c r="AL31" s="12"/>
      <c r="AM31" s="12"/>
    </row>
    <row r="32" spans="2:39" ht="14.4" customHeight="1">
      <c r="B32" s="70" t="s">
        <v>819</v>
      </c>
      <c r="C32" s="78">
        <f t="shared" ref="C32:I32" si="64">C28/C44</f>
        <v>901.29444631346666</v>
      </c>
      <c r="D32" s="78">
        <f t="shared" si="64"/>
        <v>879.04095049405373</v>
      </c>
      <c r="E32" s="78">
        <f t="shared" si="64"/>
        <v>959.95775162283803</v>
      </c>
      <c r="F32" s="78">
        <f t="shared" si="64"/>
        <v>737.74325386540977</v>
      </c>
      <c r="G32" s="78">
        <f t="shared" ref="G32:H32" si="65">G28/G44</f>
        <v>661.96476888246184</v>
      </c>
      <c r="H32" s="78">
        <f t="shared" si="65"/>
        <v>677.67011044023877</v>
      </c>
      <c r="I32" s="78">
        <f t="shared" si="64"/>
        <v>626.2128072495434</v>
      </c>
      <c r="J32" s="78">
        <f t="shared" ref="J32" si="66">J28/J44</f>
        <v>547.15652047151366</v>
      </c>
      <c r="K32" s="78"/>
      <c r="L32" s="78">
        <f t="shared" ref="L32:S32" si="67">L28/L44</f>
        <v>976.71426177699209</v>
      </c>
      <c r="M32" s="78">
        <f t="shared" si="67"/>
        <v>946.01121482660551</v>
      </c>
      <c r="N32" s="78">
        <f t="shared" si="67"/>
        <v>1050.9876224649947</v>
      </c>
      <c r="O32" s="78">
        <f t="shared" si="67"/>
        <v>771.97230733216486</v>
      </c>
      <c r="P32" s="78">
        <f t="shared" si="67"/>
        <v>698.44922953291461</v>
      </c>
      <c r="Q32" s="78">
        <f t="shared" si="67"/>
        <v>699.70734861963945</v>
      </c>
      <c r="R32" s="78">
        <f t="shared" si="67"/>
        <v>705.47815700942374</v>
      </c>
      <c r="S32" s="78">
        <f t="shared" si="67"/>
        <v>615.75471921017618</v>
      </c>
      <c r="T32" s="78"/>
      <c r="U32" s="32" t="s">
        <v>1</v>
      </c>
      <c r="V32" s="219"/>
      <c r="W32" s="32" t="s">
        <v>354</v>
      </c>
      <c r="Y32" s="15" t="s">
        <v>477</v>
      </c>
      <c r="Z32" s="14">
        <v>1864</v>
      </c>
      <c r="AA32" s="15" t="s">
        <v>374</v>
      </c>
      <c r="AB32" s="11"/>
      <c r="AC32" s="36" t="s">
        <v>478</v>
      </c>
      <c r="AD32" s="250" t="s">
        <v>479</v>
      </c>
      <c r="AE32" s="250"/>
      <c r="AF32" s="11"/>
      <c r="AG32" s="16" t="s">
        <v>54</v>
      </c>
      <c r="AH32" s="25">
        <v>6126</v>
      </c>
      <c r="AI32" s="16" t="s">
        <v>412</v>
      </c>
      <c r="AJ32" s="11"/>
      <c r="AK32" s="249" t="s">
        <v>480</v>
      </c>
      <c r="AL32" s="249"/>
      <c r="AM32" s="249"/>
    </row>
    <row r="33" spans="2:39" ht="14.4" customHeight="1">
      <c r="B33" s="70" t="s">
        <v>820</v>
      </c>
      <c r="C33" s="74">
        <f t="shared" ref="C33:I33" si="68">C32*C25/1000</f>
        <v>265.17416253653107</v>
      </c>
      <c r="D33" s="74">
        <f t="shared" si="68"/>
        <v>271.88721966328541</v>
      </c>
      <c r="E33" s="74">
        <f t="shared" si="68"/>
        <v>218.75962733254511</v>
      </c>
      <c r="F33" s="74">
        <f t="shared" si="68"/>
        <v>310.40609155035077</v>
      </c>
      <c r="G33" s="74">
        <f t="shared" ref="G33:H33" si="69">G32*G25/1000</f>
        <v>332.34397107176414</v>
      </c>
      <c r="H33" s="74">
        <f t="shared" si="69"/>
        <v>311.36093616837678</v>
      </c>
      <c r="I33" s="74">
        <f t="shared" si="68"/>
        <v>380.06249192721788</v>
      </c>
      <c r="J33" s="74">
        <f t="shared" ref="J33" si="70">J32*J25/1000</f>
        <v>381.97479547514803</v>
      </c>
      <c r="K33" s="74"/>
      <c r="L33" s="74">
        <f t="shared" ref="L33:S33" si="71">L32*L25/1000</f>
        <v>244.69797294161927</v>
      </c>
      <c r="M33" s="74">
        <f t="shared" si="71"/>
        <v>252.63971108820982</v>
      </c>
      <c r="N33" s="74">
        <f t="shared" si="71"/>
        <v>199.81205821193626</v>
      </c>
      <c r="O33" s="74">
        <f t="shared" si="71"/>
        <v>296.64276532327176</v>
      </c>
      <c r="P33" s="74">
        <f t="shared" si="71"/>
        <v>314.98352449629624</v>
      </c>
      <c r="Q33" s="74">
        <f t="shared" si="71"/>
        <v>301.55464340378035</v>
      </c>
      <c r="R33" s="74">
        <f t="shared" si="71"/>
        <v>337.35984259087525</v>
      </c>
      <c r="S33" s="74">
        <f t="shared" si="71"/>
        <v>339.42086593844158</v>
      </c>
      <c r="T33" s="74"/>
      <c r="U33" s="32" t="s">
        <v>255</v>
      </c>
      <c r="V33" s="219"/>
      <c r="W33" s="112"/>
      <c r="Y33" s="15" t="s">
        <v>481</v>
      </c>
      <c r="Z33" s="14">
        <v>754</v>
      </c>
      <c r="AA33" s="15" t="s">
        <v>482</v>
      </c>
      <c r="AB33" s="11"/>
      <c r="AC33" s="15" t="s">
        <v>483</v>
      </c>
      <c r="AD33" s="14">
        <v>30</v>
      </c>
      <c r="AE33" s="13" t="s">
        <v>484</v>
      </c>
      <c r="AF33" s="11"/>
      <c r="AG33" s="16" t="s">
        <v>485</v>
      </c>
      <c r="AH33" s="25">
        <v>1</v>
      </c>
      <c r="AI33" s="16" t="s">
        <v>412</v>
      </c>
      <c r="AJ33" s="11"/>
      <c r="AK33" s="13" t="s">
        <v>486</v>
      </c>
      <c r="AL33" s="14">
        <v>440</v>
      </c>
      <c r="AM33" s="13" t="s">
        <v>383</v>
      </c>
    </row>
    <row r="34" spans="2:39" ht="14.4" customHeight="1">
      <c r="B34" s="70" t="s">
        <v>251</v>
      </c>
      <c r="C34" s="74">
        <f t="shared" ref="C34:I34" si="72">C32*C22*1000*C15/1000000</f>
        <v>793.07472610925606</v>
      </c>
      <c r="D34" s="74">
        <f t="shared" si="72"/>
        <v>765.07799021529127</v>
      </c>
      <c r="E34" s="74">
        <f t="shared" si="72"/>
        <v>854.41022507981131</v>
      </c>
      <c r="F34" s="74">
        <f t="shared" si="72"/>
        <v>615.34903588941552</v>
      </c>
      <c r="G34" s="74">
        <f t="shared" ref="G34:H34" si="73">G32*G22*1000*G15/1000000</f>
        <v>612.98999108792054</v>
      </c>
      <c r="H34" s="74">
        <f t="shared" si="73"/>
        <v>618.92478774933431</v>
      </c>
      <c r="I34" s="74">
        <f t="shared" si="72"/>
        <v>612.58780986645309</v>
      </c>
      <c r="J34" s="74">
        <f t="shared" ref="J34" si="74">J32*J22*1000*J15/1000000</f>
        <v>514.18599774661959</v>
      </c>
      <c r="K34" s="74"/>
      <c r="L34" s="74">
        <f t="shared" ref="L34:S34" si="75">L32*L22*1000*L15/1000000</f>
        <v>801.50439662764597</v>
      </c>
      <c r="M34" s="74">
        <f t="shared" si="75"/>
        <v>772.60501369014446</v>
      </c>
      <c r="N34" s="74">
        <f t="shared" si="75"/>
        <v>864.56169416723219</v>
      </c>
      <c r="O34" s="74">
        <f t="shared" si="75"/>
        <v>619.27613519045292</v>
      </c>
      <c r="P34" s="74">
        <f t="shared" si="75"/>
        <v>616.69899825559605</v>
      </c>
      <c r="Q34" s="74">
        <f t="shared" si="75"/>
        <v>621.14667491343141</v>
      </c>
      <c r="R34" s="74">
        <f t="shared" si="75"/>
        <v>620.71937339382612</v>
      </c>
      <c r="S34" s="74">
        <f t="shared" si="75"/>
        <v>521.57005852714201</v>
      </c>
      <c r="T34" s="74"/>
      <c r="U34" s="32" t="s">
        <v>255</v>
      </c>
      <c r="V34" s="219"/>
      <c r="W34" s="112"/>
      <c r="Y34" s="15" t="s">
        <v>487</v>
      </c>
      <c r="Z34" s="14">
        <v>5</v>
      </c>
      <c r="AA34" s="15" t="s">
        <v>399</v>
      </c>
      <c r="AB34" s="11"/>
      <c r="AC34" s="15" t="s">
        <v>488</v>
      </c>
      <c r="AD34" s="37">
        <f>AD28*SQRT(2)*SIN(AD33*PI()/180)</f>
        <v>70.710678118654741</v>
      </c>
      <c r="AE34" s="13" t="s">
        <v>489</v>
      </c>
      <c r="AF34" s="11"/>
      <c r="AG34" s="16" t="s">
        <v>416</v>
      </c>
      <c r="AH34" s="26">
        <f>MIN(AH31,AH33)</f>
        <v>0.56951162007826195</v>
      </c>
      <c r="AI34" s="16" t="s">
        <v>412</v>
      </c>
      <c r="AJ34" s="11"/>
      <c r="AK34" s="13" t="s">
        <v>490</v>
      </c>
      <c r="AL34" s="14">
        <v>567</v>
      </c>
      <c r="AM34" s="13" t="s">
        <v>1</v>
      </c>
    </row>
    <row r="35" spans="2:39" ht="14.4" customHeight="1">
      <c r="B35" s="70" t="s">
        <v>248</v>
      </c>
      <c r="C35" s="79">
        <f t="shared" ref="C35:I35" si="76">C36/(C22*C17/1000)</f>
        <v>793.07472610925583</v>
      </c>
      <c r="D35" s="79">
        <f t="shared" si="76"/>
        <v>765.07799021529161</v>
      </c>
      <c r="E35" s="79">
        <f t="shared" si="76"/>
        <v>854.4102250798112</v>
      </c>
      <c r="F35" s="79">
        <f t="shared" si="76"/>
        <v>615.3490358894154</v>
      </c>
      <c r="G35" s="79">
        <f t="shared" ref="G35:H35" si="77">G36/(G22*G17/1000)</f>
        <v>612.98999108792054</v>
      </c>
      <c r="H35" s="79">
        <f t="shared" si="77"/>
        <v>618.92478774933431</v>
      </c>
      <c r="I35" s="79">
        <f t="shared" si="76"/>
        <v>612.58780986645297</v>
      </c>
      <c r="J35" s="79">
        <f t="shared" ref="J35" si="78">J36/(J22*J17/1000)</f>
        <v>514.18599774661993</v>
      </c>
      <c r="K35" s="79"/>
      <c r="L35" s="79">
        <f t="shared" ref="L35:S35" si="79">L36/(L22*L17/1000)</f>
        <v>801.50439662764586</v>
      </c>
      <c r="M35" s="79">
        <f t="shared" si="79"/>
        <v>772.60501369014435</v>
      </c>
      <c r="N35" s="79">
        <f t="shared" si="79"/>
        <v>864.56169416723196</v>
      </c>
      <c r="O35" s="79">
        <f t="shared" si="79"/>
        <v>619.27613519045281</v>
      </c>
      <c r="P35" s="79">
        <f t="shared" si="79"/>
        <v>616.69899825559594</v>
      </c>
      <c r="Q35" s="79">
        <f t="shared" si="79"/>
        <v>621.14667491343118</v>
      </c>
      <c r="R35" s="79">
        <f t="shared" si="79"/>
        <v>620.71937339382634</v>
      </c>
      <c r="S35" s="79">
        <f t="shared" si="79"/>
        <v>521.57005852714201</v>
      </c>
      <c r="T35" s="79"/>
      <c r="U35" s="32" t="s">
        <v>256</v>
      </c>
      <c r="V35" s="219"/>
      <c r="W35" s="112" t="s">
        <v>352</v>
      </c>
      <c r="Y35" s="15" t="s">
        <v>491</v>
      </c>
      <c r="Z35" s="19">
        <f>(Z32*Z34)/(2*3.1415*Z30*(Z31/1000000))</f>
        <v>1485.5962122397345</v>
      </c>
      <c r="AA35" s="15" t="s">
        <v>492</v>
      </c>
      <c r="AB35" s="11"/>
      <c r="AC35" s="15" t="s">
        <v>493</v>
      </c>
      <c r="AD35" s="38">
        <f>AD22*AD26/AD34</f>
        <v>769.10590376098412</v>
      </c>
      <c r="AE35" s="13" t="s">
        <v>494</v>
      </c>
      <c r="AF35" s="11"/>
      <c r="AG35" s="16" t="s">
        <v>495</v>
      </c>
      <c r="AH35" s="25">
        <v>15.9</v>
      </c>
      <c r="AI35" s="16" t="s">
        <v>144</v>
      </c>
      <c r="AJ35" s="11"/>
      <c r="AK35" s="13" t="s">
        <v>496</v>
      </c>
      <c r="AL35" s="21">
        <f>AL33</f>
        <v>440</v>
      </c>
      <c r="AM35" s="13" t="s">
        <v>497</v>
      </c>
    </row>
    <row r="36" spans="2:39" ht="14.4" customHeight="1">
      <c r="B36" s="70" t="s">
        <v>241</v>
      </c>
      <c r="C36" s="79">
        <f t="shared" ref="C36:I36" si="80">C28+C32</f>
        <v>1986.1859094685656</v>
      </c>
      <c r="D36" s="79">
        <f t="shared" si="80"/>
        <v>1909.9162469825351</v>
      </c>
      <c r="E36" s="79">
        <f t="shared" si="80"/>
        <v>2139.7189136639895</v>
      </c>
      <c r="F36" s="79">
        <f t="shared" si="80"/>
        <v>1519.2509380448691</v>
      </c>
      <c r="G36" s="79">
        <f t="shared" ref="G36:H36" si="81">G28+G32</f>
        <v>1666.8751409208978</v>
      </c>
      <c r="H36" s="79">
        <f t="shared" si="81"/>
        <v>1700.4115041107832</v>
      </c>
      <c r="I36" s="79">
        <f t="shared" si="80"/>
        <v>1636.3537046580332</v>
      </c>
      <c r="J36" s="79">
        <f t="shared" ref="J36" si="82">J28+J32</f>
        <v>1319.4451509287023</v>
      </c>
      <c r="K36" s="79"/>
      <c r="L36" s="79">
        <f t="shared" ref="L36:S36" si="83">L28+L32</f>
        <v>2050.1955846744822</v>
      </c>
      <c r="M36" s="79">
        <f t="shared" si="83"/>
        <v>1966.8433166440427</v>
      </c>
      <c r="N36" s="79">
        <f t="shared" si="83"/>
        <v>2216.8963214051337</v>
      </c>
      <c r="O36" s="79">
        <f t="shared" si="83"/>
        <v>1548.5241114027408</v>
      </c>
      <c r="P36" s="79">
        <f t="shared" si="83"/>
        <v>1697.3157782745648</v>
      </c>
      <c r="Q36" s="79">
        <f t="shared" si="83"/>
        <v>1718.7903213945006</v>
      </c>
      <c r="R36" s="79">
        <f t="shared" si="83"/>
        <v>1702.3859812596452</v>
      </c>
      <c r="S36" s="79">
        <f t="shared" si="83"/>
        <v>1377.1097730669253</v>
      </c>
      <c r="T36" s="79"/>
      <c r="U36" s="32" t="s">
        <v>1</v>
      </c>
      <c r="V36" s="219"/>
      <c r="W36" s="112" t="s">
        <v>353</v>
      </c>
      <c r="Y36" s="15" t="s">
        <v>498</v>
      </c>
      <c r="Z36" s="19">
        <f>Z32*Z34</f>
        <v>9320</v>
      </c>
      <c r="AA36" s="15"/>
      <c r="AB36" s="11"/>
      <c r="AC36" s="13"/>
      <c r="AD36" s="13"/>
      <c r="AE36" s="13"/>
      <c r="AF36" s="11"/>
      <c r="AG36" s="16" t="s">
        <v>499</v>
      </c>
      <c r="AH36" s="24">
        <f>(PI()*(AH35/2)^2)-(PI()*(AH35/2-AH34)^2)</f>
        <v>27.428903885187566</v>
      </c>
      <c r="AI36" s="16" t="s">
        <v>151</v>
      </c>
      <c r="AJ36" s="11"/>
      <c r="AK36" s="13" t="s">
        <v>500</v>
      </c>
      <c r="AL36" s="21">
        <f>AL34*1.25</f>
        <v>708.75</v>
      </c>
      <c r="AM36" s="13" t="s">
        <v>501</v>
      </c>
    </row>
    <row r="37" spans="2:39" ht="14.4" customHeight="1">
      <c r="B37" s="70" t="s">
        <v>216</v>
      </c>
      <c r="C37" s="84">
        <f t="shared" ref="C37:I37" si="84">ROUNDUP(COS(PI()*C19/180),3)</f>
        <v>0.84899999999999998</v>
      </c>
      <c r="D37" s="84">
        <f t="shared" si="84"/>
        <v>0.84899999999999998</v>
      </c>
      <c r="E37" s="84">
        <f t="shared" si="84"/>
        <v>0.84899999999999998</v>
      </c>
      <c r="F37" s="84">
        <f t="shared" si="84"/>
        <v>0.84899999999999998</v>
      </c>
      <c r="G37" s="84">
        <f t="shared" ref="G37:H37" si="85">ROUNDUP(COS(PI()*G19/180),3)</f>
        <v>0.84899999999999998</v>
      </c>
      <c r="H37" s="84">
        <f t="shared" si="85"/>
        <v>0.84899999999999998</v>
      </c>
      <c r="I37" s="84">
        <f t="shared" si="84"/>
        <v>0.84899999999999998</v>
      </c>
      <c r="J37" s="84">
        <f t="shared" ref="J37" si="86">ROUNDUP(COS(PI()*J19/180),3)</f>
        <v>0.76700000000000002</v>
      </c>
      <c r="K37" s="84"/>
      <c r="L37" s="84">
        <f t="shared" ref="L37:S37" si="87">ROUNDUP(COS(PI()*L19/180),3)</f>
        <v>0.76700000000000002</v>
      </c>
      <c r="M37" s="84">
        <f t="shared" si="87"/>
        <v>0.76700000000000002</v>
      </c>
      <c r="N37" s="84">
        <f t="shared" si="87"/>
        <v>0.76700000000000002</v>
      </c>
      <c r="O37" s="84">
        <f t="shared" si="87"/>
        <v>0.76700000000000002</v>
      </c>
      <c r="P37" s="84">
        <f t="shared" si="87"/>
        <v>0.76700000000000002</v>
      </c>
      <c r="Q37" s="84">
        <f t="shared" si="87"/>
        <v>0.76700000000000002</v>
      </c>
      <c r="R37" s="84">
        <f t="shared" si="87"/>
        <v>0.76700000000000002</v>
      </c>
      <c r="S37" s="84">
        <f t="shared" si="87"/>
        <v>0.76700000000000002</v>
      </c>
      <c r="T37" s="84"/>
      <c r="U37" s="32"/>
      <c r="V37" s="219"/>
      <c r="W37" s="32"/>
      <c r="Y37" s="15" t="s">
        <v>502</v>
      </c>
      <c r="Z37" s="19">
        <f>Z35*Z36/1000</f>
        <v>13845.756698074327</v>
      </c>
      <c r="AA37" s="15" t="s">
        <v>503</v>
      </c>
      <c r="AB37" s="11"/>
      <c r="AC37" s="36" t="s">
        <v>504</v>
      </c>
      <c r="AD37" s="15"/>
      <c r="AE37" s="15"/>
      <c r="AF37" s="11"/>
      <c r="AG37" s="16" t="s">
        <v>431</v>
      </c>
      <c r="AH37" s="25">
        <v>500</v>
      </c>
      <c r="AI37" s="29" t="s">
        <v>433</v>
      </c>
      <c r="AJ37" s="11"/>
      <c r="AK37" s="11"/>
      <c r="AL37" s="12"/>
      <c r="AM37" s="12"/>
    </row>
    <row r="38" spans="2:39" ht="14.4" customHeight="1">
      <c r="B38" s="70" t="s">
        <v>217</v>
      </c>
      <c r="C38" s="80">
        <f t="shared" ref="C38:I38" si="88">C36*C35/C3/1000</f>
        <v>6.5907692307692294</v>
      </c>
      <c r="D38" s="80">
        <f t="shared" si="88"/>
        <v>6.1139534883720934</v>
      </c>
      <c r="E38" s="80">
        <f t="shared" si="88"/>
        <v>8.7057034220532294</v>
      </c>
      <c r="F38" s="80">
        <f t="shared" si="88"/>
        <v>4.0824000000000007</v>
      </c>
      <c r="G38" s="80">
        <f t="shared" ref="G38:H38" si="89">G36*G35/G3/1000</f>
        <v>4.6444444444444422</v>
      </c>
      <c r="H38" s="80">
        <f t="shared" si="89"/>
        <v>4.9878048780487809</v>
      </c>
      <c r="I38" s="80">
        <f t="shared" si="88"/>
        <v>4.2118081180811817</v>
      </c>
      <c r="J38" s="80">
        <f t="shared" ref="J38" si="90">J36*J35/J3/1000</f>
        <v>3.2461254612546142</v>
      </c>
      <c r="K38" s="80"/>
      <c r="L38" s="80">
        <f t="shared" ref="L38:S38" si="91">L36*L35/L3/1000</f>
        <v>6.8754844144903116</v>
      </c>
      <c r="M38" s="80">
        <f t="shared" si="91"/>
        <v>6.3581297388374036</v>
      </c>
      <c r="N38" s="80">
        <f t="shared" si="91"/>
        <v>9.1268744734625091</v>
      </c>
      <c r="O38" s="80">
        <f t="shared" si="91"/>
        <v>4.1876158382476829</v>
      </c>
      <c r="P38" s="80">
        <f t="shared" si="91"/>
        <v>4.7578770008424609</v>
      </c>
      <c r="Q38" s="80">
        <f t="shared" si="91"/>
        <v>5.0598146588037052</v>
      </c>
      <c r="R38" s="80">
        <f t="shared" si="91"/>
        <v>4.43993260320135</v>
      </c>
      <c r="S38" s="80">
        <f t="shared" si="91"/>
        <v>3.4366470092670598</v>
      </c>
      <c r="T38" s="80"/>
      <c r="U38" s="32"/>
      <c r="V38" s="219"/>
      <c r="W38" s="112" t="s">
        <v>346</v>
      </c>
      <c r="Y38" s="15" t="s">
        <v>505</v>
      </c>
      <c r="Z38" s="21">
        <f>Z37/Z33</f>
        <v>18.363072543865155</v>
      </c>
      <c r="AA38" s="15"/>
      <c r="AB38" s="11"/>
      <c r="AC38" s="15" t="s">
        <v>506</v>
      </c>
      <c r="AD38" s="37">
        <f>AD22*AD26/AD27/1000</f>
        <v>54.384</v>
      </c>
      <c r="AE38" s="13" t="s">
        <v>489</v>
      </c>
      <c r="AF38" s="11"/>
      <c r="AG38" s="16" t="s">
        <v>507</v>
      </c>
      <c r="AH38" s="30">
        <f>AH37/AH36</f>
        <v>18.228945717003846</v>
      </c>
      <c r="AI38" s="29" t="s">
        <v>433</v>
      </c>
      <c r="AJ38" s="11"/>
      <c r="AK38" s="249" t="s">
        <v>508</v>
      </c>
      <c r="AL38" s="249"/>
      <c r="AM38" s="249"/>
    </row>
    <row r="39" spans="2:39" ht="14.4" customHeight="1">
      <c r="B39" s="70"/>
      <c r="C39" s="75"/>
      <c r="D39" s="75"/>
      <c r="E39" s="75"/>
      <c r="F39" s="75"/>
      <c r="G39" s="75"/>
      <c r="H39" s="75"/>
      <c r="I39" s="75"/>
      <c r="J39" s="75"/>
      <c r="K39" s="75"/>
      <c r="L39" s="75"/>
      <c r="M39" s="75"/>
      <c r="N39" s="75"/>
      <c r="O39" s="75"/>
      <c r="P39" s="75"/>
      <c r="Q39" s="75"/>
      <c r="R39" s="75"/>
      <c r="S39" s="75"/>
      <c r="T39" s="75"/>
      <c r="U39" s="32"/>
      <c r="V39" s="219"/>
      <c r="W39" s="32"/>
      <c r="Y39" s="11"/>
      <c r="Z39" s="11"/>
      <c r="AA39" s="11"/>
      <c r="AB39" s="11"/>
      <c r="AC39" s="15" t="s">
        <v>509</v>
      </c>
      <c r="AD39" s="37">
        <f>AD38/SIN(AD33*PI()/180)/SQRT(2)</f>
        <v>76.910590376098412</v>
      </c>
      <c r="AE39" s="13" t="s">
        <v>71</v>
      </c>
      <c r="AF39" s="11"/>
      <c r="AG39" s="16" t="s">
        <v>438</v>
      </c>
      <c r="AH39" s="30">
        <f>AH27/100000000*(AH37^2)/(AH36/1000000)*AH32/1000</f>
        <v>1072.3859764182791</v>
      </c>
      <c r="AI39" s="29" t="s">
        <v>439</v>
      </c>
      <c r="AJ39" s="11"/>
      <c r="AK39" s="13" t="s">
        <v>400</v>
      </c>
      <c r="AL39" s="14">
        <v>0.09</v>
      </c>
      <c r="AM39" s="13" t="s">
        <v>16</v>
      </c>
    </row>
    <row r="40" spans="2:39" ht="14.4" customHeight="1">
      <c r="B40" s="70" t="s">
        <v>218</v>
      </c>
      <c r="C40" s="74">
        <v>1</v>
      </c>
      <c r="D40" s="74">
        <v>1</v>
      </c>
      <c r="E40" s="74">
        <v>1</v>
      </c>
      <c r="F40" s="74">
        <v>1</v>
      </c>
      <c r="G40" s="74">
        <v>1</v>
      </c>
      <c r="H40" s="74">
        <v>1</v>
      </c>
      <c r="I40" s="74">
        <v>1</v>
      </c>
      <c r="J40" s="74">
        <v>1</v>
      </c>
      <c r="K40" s="74"/>
      <c r="L40" s="74">
        <v>1</v>
      </c>
      <c r="M40" s="74">
        <v>1</v>
      </c>
      <c r="N40" s="74">
        <v>1</v>
      </c>
      <c r="O40" s="74">
        <v>1</v>
      </c>
      <c r="P40" s="74">
        <v>1</v>
      </c>
      <c r="Q40" s="74">
        <v>1</v>
      </c>
      <c r="R40" s="74">
        <v>1</v>
      </c>
      <c r="S40" s="74">
        <v>1</v>
      </c>
      <c r="T40" s="74"/>
      <c r="U40" s="32"/>
      <c r="V40" s="219"/>
      <c r="W40" s="32" t="s">
        <v>351</v>
      </c>
      <c r="Y40" s="248" t="s">
        <v>510</v>
      </c>
      <c r="Z40" s="248"/>
      <c r="AA40" s="248"/>
      <c r="AB40" s="11"/>
      <c r="AC40" s="15" t="s">
        <v>474</v>
      </c>
      <c r="AD40" s="38">
        <f>AD39*AD29</f>
        <v>76.910590376098412</v>
      </c>
      <c r="AE40" s="13" t="s">
        <v>468</v>
      </c>
      <c r="AF40" s="11"/>
      <c r="AG40" s="11"/>
      <c r="AH40" s="11"/>
      <c r="AI40" s="11"/>
      <c r="AJ40" s="11"/>
      <c r="AK40" s="13" t="s">
        <v>405</v>
      </c>
      <c r="AL40" s="14">
        <v>90</v>
      </c>
      <c r="AM40" s="13" t="s">
        <v>368</v>
      </c>
    </row>
    <row r="41" spans="2:39" ht="14.4" customHeight="1">
      <c r="B41" s="70" t="s">
        <v>219</v>
      </c>
      <c r="C41" s="74">
        <f>C10/C40*4/PI()/2^0.5*C37</f>
        <v>442.34008128393953</v>
      </c>
      <c r="D41" s="74">
        <f t="shared" ref="D41:I41" si="92">D10/D40*4/PI()/2^0.5*D37</f>
        <v>433.32053236541441</v>
      </c>
      <c r="E41" s="74">
        <f t="shared" si="92"/>
        <v>435.30789060169968</v>
      </c>
      <c r="F41" s="74">
        <f t="shared" si="92"/>
        <v>434.31421148355713</v>
      </c>
      <c r="G41" s="74">
        <f t="shared" ref="G41:H41" si="93">G10/G40*4/PI()/2^0.5*G37</f>
        <v>443.33376040208208</v>
      </c>
      <c r="H41" s="74">
        <f t="shared" si="93"/>
        <v>443.33376040208208</v>
      </c>
      <c r="I41" s="74">
        <f t="shared" si="92"/>
        <v>440.81134417910488</v>
      </c>
      <c r="J41" s="74">
        <f t="shared" ref="J41" si="94">J10/J40*4/PI()/2^0.5*J37</f>
        <v>390.50184849550897</v>
      </c>
      <c r="K41" s="74"/>
      <c r="L41" s="74">
        <f>L10/L40*4/PI()/2^0.5*L37</f>
        <v>399.61701100680995</v>
      </c>
      <c r="M41" s="74">
        <f t="shared" ref="M41:S41" si="95">M10/M40*4/PI()/2^0.5*M37</f>
        <v>391.46860815579845</v>
      </c>
      <c r="N41" s="74">
        <f t="shared" si="95"/>
        <v>393.26401895347897</v>
      </c>
      <c r="O41" s="74">
        <f t="shared" si="95"/>
        <v>392.36631355463879</v>
      </c>
      <c r="P41" s="74">
        <f t="shared" si="95"/>
        <v>400.51471640565012</v>
      </c>
      <c r="Q41" s="74">
        <f t="shared" si="95"/>
        <v>400.51471640565012</v>
      </c>
      <c r="R41" s="74">
        <f t="shared" si="95"/>
        <v>398.235925777825</v>
      </c>
      <c r="S41" s="74">
        <f t="shared" si="95"/>
        <v>390.50184849550897</v>
      </c>
      <c r="T41" s="74"/>
      <c r="U41" s="32" t="s">
        <v>0</v>
      </c>
      <c r="V41" s="219"/>
      <c r="W41" s="32" t="s">
        <v>350</v>
      </c>
      <c r="Y41" s="27" t="s">
        <v>511</v>
      </c>
      <c r="Z41" s="28">
        <v>40</v>
      </c>
      <c r="AA41" s="27" t="s">
        <v>512</v>
      </c>
      <c r="AB41" s="11"/>
      <c r="AC41" s="15" t="s">
        <v>513</v>
      </c>
      <c r="AD41" s="37">
        <f>AD40/AD30*100</f>
        <v>76.910590376098412</v>
      </c>
      <c r="AE41" s="39" t="s">
        <v>514</v>
      </c>
      <c r="AF41" s="11"/>
      <c r="AG41" s="249" t="s">
        <v>515</v>
      </c>
      <c r="AH41" s="249"/>
      <c r="AI41" s="249"/>
      <c r="AJ41" s="11"/>
      <c r="AK41" s="13" t="s">
        <v>516</v>
      </c>
      <c r="AL41" s="21">
        <f>1/(2*3.14*SQRT((AL39/1000000)*(AL40/1000000)))</f>
        <v>55949.710901775994</v>
      </c>
      <c r="AM41" s="13" t="s">
        <v>411</v>
      </c>
    </row>
    <row r="42" spans="2:39" ht="14.4" customHeight="1">
      <c r="B42" s="70" t="s">
        <v>220</v>
      </c>
      <c r="C42" s="81">
        <v>1</v>
      </c>
      <c r="D42" s="81">
        <v>1</v>
      </c>
      <c r="E42" s="81">
        <v>1</v>
      </c>
      <c r="F42" s="81">
        <v>1</v>
      </c>
      <c r="G42" s="81">
        <v>1</v>
      </c>
      <c r="H42" s="81">
        <v>1</v>
      </c>
      <c r="I42" s="81">
        <v>1</v>
      </c>
      <c r="J42" s="81">
        <v>1</v>
      </c>
      <c r="K42" s="207"/>
      <c r="L42" s="81">
        <v>1</v>
      </c>
      <c r="M42" s="81">
        <v>1</v>
      </c>
      <c r="N42" s="81">
        <v>1</v>
      </c>
      <c r="O42" s="81">
        <v>1</v>
      </c>
      <c r="P42" s="81">
        <v>1</v>
      </c>
      <c r="Q42" s="81">
        <v>1</v>
      </c>
      <c r="R42" s="81">
        <v>1</v>
      </c>
      <c r="S42" s="81">
        <v>1</v>
      </c>
      <c r="T42" s="207"/>
      <c r="U42" s="32" t="s">
        <v>230</v>
      </c>
      <c r="V42" s="219">
        <v>8</v>
      </c>
      <c r="W42" s="111" t="s">
        <v>357</v>
      </c>
      <c r="Y42" s="27" t="s">
        <v>517</v>
      </c>
      <c r="Z42" s="28">
        <v>127</v>
      </c>
      <c r="AA42" s="27" t="s">
        <v>1</v>
      </c>
      <c r="AB42" s="11"/>
      <c r="AC42" s="15" t="s">
        <v>518</v>
      </c>
      <c r="AD42" s="37">
        <f>AD41*AD41/100</f>
        <v>59.152389120000016</v>
      </c>
      <c r="AE42" s="39" t="s">
        <v>519</v>
      </c>
      <c r="AF42" s="11"/>
      <c r="AG42" s="13" t="s">
        <v>35</v>
      </c>
      <c r="AH42" s="57" t="s">
        <v>366</v>
      </c>
      <c r="AI42" s="57"/>
      <c r="AJ42" s="11"/>
      <c r="AK42" s="11"/>
      <c r="AL42" s="12"/>
      <c r="AM42" s="12"/>
    </row>
    <row r="43" spans="2:39" ht="14.4" customHeight="1">
      <c r="B43" s="70" t="s">
        <v>821</v>
      </c>
      <c r="C43" s="74">
        <f t="shared" ref="C43:I43" si="96">C33*C42</f>
        <v>265.17416253653107</v>
      </c>
      <c r="D43" s="74">
        <f t="shared" si="96"/>
        <v>271.88721966328541</v>
      </c>
      <c r="E43" s="74">
        <f t="shared" si="96"/>
        <v>218.75962733254511</v>
      </c>
      <c r="F43" s="74">
        <f t="shared" si="96"/>
        <v>310.40609155035077</v>
      </c>
      <c r="G43" s="74">
        <f t="shared" ref="G43:H43" si="97">G33*G42</f>
        <v>332.34397107176414</v>
      </c>
      <c r="H43" s="74">
        <f t="shared" si="97"/>
        <v>311.36093616837678</v>
      </c>
      <c r="I43" s="74">
        <f t="shared" si="96"/>
        <v>380.06249192721788</v>
      </c>
      <c r="J43" s="74">
        <f t="shared" ref="J43" si="98">J33*J42</f>
        <v>381.97479547514803</v>
      </c>
      <c r="K43" s="74"/>
      <c r="L43" s="74">
        <f t="shared" ref="L43:S43" si="99">L33*L42</f>
        <v>244.69797294161927</v>
      </c>
      <c r="M43" s="74">
        <f t="shared" si="99"/>
        <v>252.63971108820982</v>
      </c>
      <c r="N43" s="74">
        <f t="shared" si="99"/>
        <v>199.81205821193626</v>
      </c>
      <c r="O43" s="74">
        <f t="shared" si="99"/>
        <v>296.64276532327176</v>
      </c>
      <c r="P43" s="74">
        <f t="shared" si="99"/>
        <v>314.98352449629624</v>
      </c>
      <c r="Q43" s="74">
        <f t="shared" si="99"/>
        <v>301.55464340378035</v>
      </c>
      <c r="R43" s="74">
        <f t="shared" si="99"/>
        <v>337.35984259087525</v>
      </c>
      <c r="S43" s="74">
        <f t="shared" si="99"/>
        <v>339.42086593844158</v>
      </c>
      <c r="T43" s="74"/>
      <c r="U43" s="32" t="s">
        <v>0</v>
      </c>
      <c r="V43" s="219"/>
      <c r="W43" s="32" t="s">
        <v>347</v>
      </c>
      <c r="Y43" s="27" t="s">
        <v>520</v>
      </c>
      <c r="Z43" s="28">
        <v>401</v>
      </c>
      <c r="AA43" s="27" t="s">
        <v>383</v>
      </c>
      <c r="AB43" s="11"/>
      <c r="AC43" s="11"/>
      <c r="AD43" s="11"/>
      <c r="AE43" s="11"/>
      <c r="AF43" s="11"/>
      <c r="AG43" s="16" t="s">
        <v>372</v>
      </c>
      <c r="AH43" s="17">
        <v>1.75</v>
      </c>
      <c r="AI43" s="16" t="s">
        <v>388</v>
      </c>
      <c r="AJ43" s="11"/>
      <c r="AK43" s="249" t="s">
        <v>521</v>
      </c>
      <c r="AL43" s="249"/>
      <c r="AM43" s="249"/>
    </row>
    <row r="44" spans="2:39" ht="14.4" customHeight="1">
      <c r="B44" s="70" t="s">
        <v>237</v>
      </c>
      <c r="C44" s="206">
        <f t="shared" ref="C44:I44" si="100">C15/C14</f>
        <v>1.2037037037037037</v>
      </c>
      <c r="D44" s="206">
        <f t="shared" si="100"/>
        <v>1.1727272727272728</v>
      </c>
      <c r="E44" s="206">
        <f t="shared" si="100"/>
        <v>1.2289719626168225</v>
      </c>
      <c r="F44" s="206">
        <f t="shared" si="100"/>
        <v>1.0593220338983049</v>
      </c>
      <c r="G44" s="206">
        <f t="shared" ref="G44:H44" si="101">G15/G14</f>
        <v>1.5180722891566263</v>
      </c>
      <c r="H44" s="206">
        <f t="shared" si="101"/>
        <v>1.50920245398773</v>
      </c>
      <c r="I44" s="206">
        <f t="shared" si="100"/>
        <v>1.6130952380952381</v>
      </c>
      <c r="J44" s="206">
        <f t="shared" ref="J44" si="102">J15/J14</f>
        <v>1.4114583333333335</v>
      </c>
      <c r="K44" s="206"/>
      <c r="L44" s="206">
        <f t="shared" ref="L44:S44" si="103">L15/L14</f>
        <v>1.0990740740740739</v>
      </c>
      <c r="M44" s="206">
        <f t="shared" si="103"/>
        <v>1.0790909090909091</v>
      </c>
      <c r="N44" s="206">
        <f t="shared" si="103"/>
        <v>1.1093457943925233</v>
      </c>
      <c r="O44" s="206">
        <f t="shared" si="103"/>
        <v>1.0059322033898304</v>
      </c>
      <c r="P44" s="206">
        <f t="shared" si="103"/>
        <v>1.4301204819277107</v>
      </c>
      <c r="Q44" s="206">
        <f t="shared" si="103"/>
        <v>1.4564417177914109</v>
      </c>
      <c r="R44" s="206">
        <f t="shared" si="103"/>
        <v>1.413095238095238</v>
      </c>
      <c r="S44" s="206">
        <f t="shared" si="103"/>
        <v>1.2364583333333332</v>
      </c>
      <c r="T44" s="206"/>
      <c r="U44" s="32"/>
      <c r="V44" s="219"/>
      <c r="W44" s="32"/>
      <c r="Y44" s="27" t="s">
        <v>522</v>
      </c>
      <c r="Z44" s="28">
        <v>1</v>
      </c>
      <c r="AA44" s="27"/>
      <c r="AB44" s="11"/>
      <c r="AC44" s="249" t="s">
        <v>523</v>
      </c>
      <c r="AD44" s="249"/>
      <c r="AE44" s="249"/>
      <c r="AF44" s="11"/>
      <c r="AG44" s="16" t="s">
        <v>458</v>
      </c>
      <c r="AH44" s="18">
        <v>3.8999999999999998E-3</v>
      </c>
      <c r="AI44" s="16" t="s">
        <v>41</v>
      </c>
      <c r="AJ44" s="11"/>
      <c r="AK44" s="13" t="s">
        <v>365</v>
      </c>
      <c r="AL44" s="14">
        <v>3</v>
      </c>
      <c r="AM44" s="13" t="s">
        <v>0</v>
      </c>
    </row>
    <row r="45" spans="2:39" ht="14.4" customHeight="1">
      <c r="B45" s="70" t="s">
        <v>245</v>
      </c>
      <c r="C45" s="206">
        <f t="shared" ref="C45:I45" si="104">C28/C48</f>
        <v>1.2037037037037037</v>
      </c>
      <c r="D45" s="206">
        <f t="shared" si="104"/>
        <v>1.1727272727272728</v>
      </c>
      <c r="E45" s="206">
        <f t="shared" si="104"/>
        <v>1.2289719626168225</v>
      </c>
      <c r="F45" s="206">
        <f t="shared" si="104"/>
        <v>1.0593220338983049</v>
      </c>
      <c r="G45" s="206">
        <f t="shared" ref="G45:H45" si="105">G28/G48</f>
        <v>1.5180722891566265</v>
      </c>
      <c r="H45" s="206">
        <f t="shared" si="105"/>
        <v>1.50920245398773</v>
      </c>
      <c r="I45" s="206">
        <f t="shared" si="104"/>
        <v>1.6130952380952381</v>
      </c>
      <c r="J45" s="206">
        <f t="shared" ref="J45" si="106">J28/J48</f>
        <v>1.4114583333333333</v>
      </c>
      <c r="K45" s="206"/>
      <c r="L45" s="206">
        <f t="shared" ref="L45:S45" si="107">L28/L48</f>
        <v>1.0990740740740739</v>
      </c>
      <c r="M45" s="206">
        <f t="shared" si="107"/>
        <v>1.0790909090909091</v>
      </c>
      <c r="N45" s="206">
        <f t="shared" si="107"/>
        <v>1.1093457943925233</v>
      </c>
      <c r="O45" s="206">
        <f t="shared" si="107"/>
        <v>1.0059322033898304</v>
      </c>
      <c r="P45" s="206">
        <f t="shared" si="107"/>
        <v>1.4301204819277107</v>
      </c>
      <c r="Q45" s="206">
        <f t="shared" si="107"/>
        <v>1.4564417177914109</v>
      </c>
      <c r="R45" s="206">
        <f t="shared" si="107"/>
        <v>1.413095238095238</v>
      </c>
      <c r="S45" s="206">
        <f t="shared" si="107"/>
        <v>1.2364583333333332</v>
      </c>
      <c r="T45" s="206"/>
      <c r="U45" s="32"/>
      <c r="V45" s="219"/>
      <c r="W45" s="32"/>
      <c r="Y45" s="27" t="s">
        <v>492</v>
      </c>
      <c r="Z45" s="35">
        <f>Z43*0.9/Z44</f>
        <v>360.90000000000003</v>
      </c>
      <c r="AA45" s="27" t="s">
        <v>0</v>
      </c>
      <c r="AB45" s="11"/>
      <c r="AC45" s="15" t="s">
        <v>524</v>
      </c>
      <c r="AD45" s="14">
        <v>5808</v>
      </c>
      <c r="AE45" s="15" t="s">
        <v>68</v>
      </c>
      <c r="AF45" s="11"/>
      <c r="AG45" s="16" t="s">
        <v>462</v>
      </c>
      <c r="AH45" s="20">
        <v>45</v>
      </c>
      <c r="AI45" s="16" t="s">
        <v>43</v>
      </c>
      <c r="AJ45" s="11"/>
      <c r="AK45" s="13" t="s">
        <v>370</v>
      </c>
      <c r="AL45" s="14">
        <v>0.5</v>
      </c>
      <c r="AM45" s="13" t="s">
        <v>37</v>
      </c>
    </row>
    <row r="46" spans="2:39" ht="14.4" customHeight="1">
      <c r="B46" s="70" t="s">
        <v>221</v>
      </c>
      <c r="C46" s="82">
        <f t="shared" ref="C46:I46" si="108">C43/C41*100</f>
        <v>59.948029526701404</v>
      </c>
      <c r="D46" s="82">
        <f t="shared" si="108"/>
        <v>62.745058070316851</v>
      </c>
      <c r="E46" s="82">
        <f t="shared" si="108"/>
        <v>50.253999997603295</v>
      </c>
      <c r="F46" s="82">
        <f t="shared" si="108"/>
        <v>71.470397086488745</v>
      </c>
      <c r="G46" s="82">
        <f t="shared" ref="G46:H46" si="109">G43/G41*100</f>
        <v>74.964733290409555</v>
      </c>
      <c r="H46" s="82">
        <f t="shared" si="109"/>
        <v>70.231722458038746</v>
      </c>
      <c r="I46" s="82">
        <f t="shared" si="108"/>
        <v>86.218854606608247</v>
      </c>
      <c r="J46" s="82">
        <f t="shared" ref="J46" si="110">J43/J41*100</f>
        <v>97.816386003494429</v>
      </c>
      <c r="K46" s="82"/>
      <c r="L46" s="82">
        <f t="shared" ref="L46:S46" si="111">L43/L41*100</f>
        <v>61.233122265020221</v>
      </c>
      <c r="M46" s="82">
        <f t="shared" si="111"/>
        <v>64.536390868833891</v>
      </c>
      <c r="N46" s="82">
        <f t="shared" si="111"/>
        <v>50.808629465685485</v>
      </c>
      <c r="O46" s="82">
        <f t="shared" si="111"/>
        <v>75.603525347484478</v>
      </c>
      <c r="P46" s="82">
        <f t="shared" si="111"/>
        <v>78.64468185415538</v>
      </c>
      <c r="Q46" s="82">
        <f t="shared" si="111"/>
        <v>75.291776070060607</v>
      </c>
      <c r="R46" s="82">
        <f t="shared" si="111"/>
        <v>84.71356318040668</v>
      </c>
      <c r="S46" s="82">
        <f t="shared" si="111"/>
        <v>86.919144492179058</v>
      </c>
      <c r="T46" s="82"/>
      <c r="U46" s="32" t="s">
        <v>2</v>
      </c>
      <c r="V46" s="219"/>
      <c r="W46" s="113" t="s">
        <v>348</v>
      </c>
      <c r="Y46" s="27" t="s">
        <v>525</v>
      </c>
      <c r="Z46" s="35">
        <f>(Z41*1000)/(Z42*Z43*0.9/Z44)</f>
        <v>0.87270886650390644</v>
      </c>
      <c r="AA46" s="27"/>
      <c r="AB46" s="11"/>
      <c r="AC46" s="15" t="s">
        <v>526</v>
      </c>
      <c r="AD46" s="14">
        <v>680</v>
      </c>
      <c r="AE46" s="15" t="s">
        <v>527</v>
      </c>
      <c r="AF46" s="11"/>
      <c r="AG46" s="16" t="s">
        <v>387</v>
      </c>
      <c r="AH46" s="18">
        <f>AH43*(1+AH44*(AH45-20))</f>
        <v>1.9206249999999998</v>
      </c>
      <c r="AI46" s="16" t="s">
        <v>136</v>
      </c>
      <c r="AJ46" s="11"/>
      <c r="AK46" s="13" t="s">
        <v>39</v>
      </c>
      <c r="AL46" s="14">
        <v>1</v>
      </c>
      <c r="AM46" s="13" t="s">
        <v>377</v>
      </c>
    </row>
    <row r="47" spans="2:39" ht="14.4" customHeight="1">
      <c r="B47" s="70"/>
      <c r="C47" s="75"/>
      <c r="D47" s="75"/>
      <c r="E47" s="75"/>
      <c r="F47" s="75"/>
      <c r="G47" s="75"/>
      <c r="H47" s="75"/>
      <c r="I47" s="75"/>
      <c r="J47" s="75"/>
      <c r="K47" s="75"/>
      <c r="L47" s="75"/>
      <c r="M47" s="75"/>
      <c r="N47" s="75"/>
      <c r="O47" s="75"/>
      <c r="P47" s="75"/>
      <c r="Q47" s="75"/>
      <c r="R47" s="75"/>
      <c r="S47" s="75"/>
      <c r="T47" s="75"/>
      <c r="U47" s="32"/>
      <c r="V47" s="219"/>
      <c r="W47" s="32"/>
      <c r="Y47" s="27" t="s">
        <v>528</v>
      </c>
      <c r="Z47" s="118">
        <f>DEGREES(ACOS(Z46))</f>
        <v>29.225030363895115</v>
      </c>
      <c r="AA47" s="27"/>
      <c r="AB47" s="11"/>
      <c r="AC47" s="15" t="s">
        <v>529</v>
      </c>
      <c r="AD47" s="14">
        <v>300</v>
      </c>
      <c r="AE47" s="15" t="s">
        <v>489</v>
      </c>
      <c r="AF47" s="11"/>
      <c r="AG47" s="16" t="s">
        <v>391</v>
      </c>
      <c r="AH47" s="22">
        <f>1/(AH46/100000000)</f>
        <v>52066384.64041654</v>
      </c>
      <c r="AI47" s="16" t="s">
        <v>392</v>
      </c>
      <c r="AJ47" s="11"/>
      <c r="AK47" s="13" t="s">
        <v>381</v>
      </c>
      <c r="AL47" s="14">
        <v>600</v>
      </c>
      <c r="AM47" s="13" t="s">
        <v>382</v>
      </c>
    </row>
    <row r="48" spans="2:39" ht="14.4" customHeight="1">
      <c r="B48" s="70" t="s">
        <v>222</v>
      </c>
      <c r="C48" s="78">
        <f t="shared" ref="C48:I48" si="112">C28/C42/C44</f>
        <v>901.29444631346666</v>
      </c>
      <c r="D48" s="78">
        <f t="shared" si="112"/>
        <v>879.04095049405373</v>
      </c>
      <c r="E48" s="78">
        <f t="shared" si="112"/>
        <v>959.95775162283803</v>
      </c>
      <c r="F48" s="78">
        <f t="shared" si="112"/>
        <v>737.74325386540977</v>
      </c>
      <c r="G48" s="78">
        <f t="shared" ref="G48:H48" si="113">G28/G42/G44</f>
        <v>661.96476888246184</v>
      </c>
      <c r="H48" s="78">
        <f t="shared" si="113"/>
        <v>677.67011044023877</v>
      </c>
      <c r="I48" s="78">
        <f t="shared" si="112"/>
        <v>626.2128072495434</v>
      </c>
      <c r="J48" s="78">
        <f t="shared" ref="J48" si="114">J28/J42/J44</f>
        <v>547.15652047151366</v>
      </c>
      <c r="K48" s="78"/>
      <c r="L48" s="78">
        <f t="shared" ref="L48:S48" si="115">L28/L42/L44</f>
        <v>976.71426177699209</v>
      </c>
      <c r="M48" s="78">
        <f t="shared" si="115"/>
        <v>946.01121482660551</v>
      </c>
      <c r="N48" s="78">
        <f t="shared" si="115"/>
        <v>1050.9876224649947</v>
      </c>
      <c r="O48" s="78">
        <f t="shared" si="115"/>
        <v>771.97230733216486</v>
      </c>
      <c r="P48" s="78">
        <f t="shared" si="115"/>
        <v>698.44922953291461</v>
      </c>
      <c r="Q48" s="78">
        <f t="shared" si="115"/>
        <v>699.70734861963945</v>
      </c>
      <c r="R48" s="78">
        <f t="shared" si="115"/>
        <v>705.47815700942374</v>
      </c>
      <c r="S48" s="78">
        <f t="shared" si="115"/>
        <v>615.75471921017618</v>
      </c>
      <c r="T48" s="78"/>
      <c r="U48" s="32" t="s">
        <v>38</v>
      </c>
      <c r="V48" s="219"/>
      <c r="W48" s="112" t="s">
        <v>349</v>
      </c>
      <c r="Y48" s="11"/>
      <c r="Z48" s="11"/>
      <c r="AA48" s="11"/>
      <c r="AB48" s="11"/>
      <c r="AC48" s="15" t="s">
        <v>530</v>
      </c>
      <c r="AD48" s="21">
        <f>AD45*AD46/AD47</f>
        <v>13164.8</v>
      </c>
      <c r="AE48" s="15" t="s">
        <v>531</v>
      </c>
      <c r="AF48" s="11"/>
      <c r="AG48" s="16" t="s">
        <v>395</v>
      </c>
      <c r="AH48" s="57">
        <v>1</v>
      </c>
      <c r="AI48" s="16" t="s">
        <v>396</v>
      </c>
      <c r="AJ48" s="11"/>
      <c r="AK48" s="13" t="s">
        <v>385</v>
      </c>
      <c r="AL48" s="21">
        <f>(5000*AL44)/(AL45*AL46*AL47)</f>
        <v>50</v>
      </c>
      <c r="AM48" s="13" t="s">
        <v>532</v>
      </c>
    </row>
    <row r="49" spans="2:39" ht="14.4" customHeight="1">
      <c r="B49" s="70" t="s">
        <v>223</v>
      </c>
      <c r="C49" s="74">
        <f t="shared" ref="C49:I49" si="116">ROUND(C48*2^0.5*2/PI(),0)</f>
        <v>811</v>
      </c>
      <c r="D49" s="74">
        <f t="shared" si="116"/>
        <v>791</v>
      </c>
      <c r="E49" s="74">
        <f t="shared" si="116"/>
        <v>864</v>
      </c>
      <c r="F49" s="74">
        <f t="shared" si="116"/>
        <v>664</v>
      </c>
      <c r="G49" s="74">
        <f t="shared" ref="G49:H49" si="117">ROUND(G48*2^0.5*2/PI(),0)</f>
        <v>596</v>
      </c>
      <c r="H49" s="74">
        <f t="shared" si="117"/>
        <v>610</v>
      </c>
      <c r="I49" s="74">
        <f t="shared" si="116"/>
        <v>564</v>
      </c>
      <c r="J49" s="74">
        <f t="shared" ref="J49" si="118">ROUND(J48*2^0.5*2/PI(),0)</f>
        <v>493</v>
      </c>
      <c r="K49" s="74"/>
      <c r="L49" s="74">
        <f t="shared" ref="L49:S49" si="119">ROUND(L48*2^0.5*2/PI(),0)</f>
        <v>879</v>
      </c>
      <c r="M49" s="74">
        <f t="shared" si="119"/>
        <v>852</v>
      </c>
      <c r="N49" s="74">
        <f t="shared" si="119"/>
        <v>946</v>
      </c>
      <c r="O49" s="74">
        <f t="shared" si="119"/>
        <v>695</v>
      </c>
      <c r="P49" s="74">
        <f t="shared" si="119"/>
        <v>629</v>
      </c>
      <c r="Q49" s="74">
        <f t="shared" si="119"/>
        <v>630</v>
      </c>
      <c r="R49" s="74">
        <f t="shared" si="119"/>
        <v>635</v>
      </c>
      <c r="S49" s="74">
        <f t="shared" si="119"/>
        <v>554</v>
      </c>
      <c r="T49" s="74"/>
      <c r="U49" s="32" t="s">
        <v>38</v>
      </c>
      <c r="V49" s="219"/>
      <c r="W49" s="32"/>
      <c r="Y49" s="248" t="s">
        <v>533</v>
      </c>
      <c r="Z49" s="248"/>
      <c r="AA49" s="248"/>
      <c r="AB49" s="11"/>
      <c r="AC49" s="11"/>
      <c r="AD49" s="11"/>
      <c r="AE49" s="11"/>
      <c r="AF49" s="11"/>
      <c r="AG49" s="16" t="s">
        <v>534</v>
      </c>
      <c r="AH49" s="23">
        <v>500</v>
      </c>
      <c r="AI49" s="16" t="s">
        <v>401</v>
      </c>
      <c r="AJ49" s="11"/>
      <c r="AK49" s="11"/>
      <c r="AL49" s="12"/>
      <c r="AM49" s="12"/>
    </row>
    <row r="50" spans="2:39" ht="14.4" customHeight="1">
      <c r="B50" s="70" t="s">
        <v>224</v>
      </c>
      <c r="C50" s="74">
        <f t="shared" ref="C50:I50" si="120">C49/C40</f>
        <v>811</v>
      </c>
      <c r="D50" s="74">
        <f t="shared" si="120"/>
        <v>791</v>
      </c>
      <c r="E50" s="74">
        <f t="shared" si="120"/>
        <v>864</v>
      </c>
      <c r="F50" s="74">
        <f t="shared" si="120"/>
        <v>664</v>
      </c>
      <c r="G50" s="74">
        <f t="shared" ref="G50:H50" si="121">G49/G40</f>
        <v>596</v>
      </c>
      <c r="H50" s="74">
        <f t="shared" si="121"/>
        <v>610</v>
      </c>
      <c r="I50" s="74">
        <f t="shared" si="120"/>
        <v>564</v>
      </c>
      <c r="J50" s="74">
        <f t="shared" ref="J50" si="122">J49/J40</f>
        <v>493</v>
      </c>
      <c r="K50" s="74"/>
      <c r="L50" s="74">
        <f t="shared" ref="L50:S50" si="123">L49/L40</f>
        <v>879</v>
      </c>
      <c r="M50" s="74">
        <f t="shared" si="123"/>
        <v>852</v>
      </c>
      <c r="N50" s="74">
        <f t="shared" si="123"/>
        <v>946</v>
      </c>
      <c r="O50" s="74">
        <f t="shared" si="123"/>
        <v>695</v>
      </c>
      <c r="P50" s="74">
        <f t="shared" si="123"/>
        <v>629</v>
      </c>
      <c r="Q50" s="74">
        <f t="shared" si="123"/>
        <v>630</v>
      </c>
      <c r="R50" s="74">
        <f t="shared" si="123"/>
        <v>635</v>
      </c>
      <c r="S50" s="74">
        <f t="shared" si="123"/>
        <v>554</v>
      </c>
      <c r="T50" s="74"/>
      <c r="U50" s="32" t="s">
        <v>38</v>
      </c>
      <c r="V50" s="219"/>
      <c r="W50" s="32"/>
      <c r="Y50" s="90" t="s">
        <v>535</v>
      </c>
      <c r="Z50" s="119">
        <v>300</v>
      </c>
      <c r="AA50" s="90" t="s">
        <v>369</v>
      </c>
      <c r="AB50" s="11"/>
      <c r="AC50" s="249" t="s">
        <v>536</v>
      </c>
      <c r="AD50" s="249"/>
      <c r="AE50" s="249"/>
      <c r="AF50" s="11"/>
      <c r="AG50" s="16" t="s">
        <v>407</v>
      </c>
      <c r="AH50" s="24">
        <f>503.3*SQRT((AH46/100000000)/(AH48*AH49))*1000</f>
        <v>3.1193436107817618</v>
      </c>
      <c r="AI50" s="16" t="s">
        <v>412</v>
      </c>
      <c r="AJ50" s="11"/>
      <c r="AK50" s="11"/>
      <c r="AL50" s="12"/>
      <c r="AM50" s="12"/>
    </row>
    <row r="51" spans="2:39" ht="14.4" customHeight="1">
      <c r="B51" s="70" t="s">
        <v>225</v>
      </c>
      <c r="C51" s="74">
        <f t="shared" ref="C51:I51" si="124">ROUND(C50/C11,3)</f>
        <v>1.964</v>
      </c>
      <c r="D51" s="74">
        <f t="shared" si="124"/>
        <v>1.8759999999999999</v>
      </c>
      <c r="E51" s="74">
        <f t="shared" si="124"/>
        <v>2.343</v>
      </c>
      <c r="F51" s="74">
        <f t="shared" si="124"/>
        <v>1.6479999999999999</v>
      </c>
      <c r="G51" s="74">
        <f t="shared" ref="G51:H51" si="125">ROUND(G50/G11,3)</f>
        <v>1.571</v>
      </c>
      <c r="H51" s="74">
        <f t="shared" si="125"/>
        <v>1.677</v>
      </c>
      <c r="I51" s="74">
        <f t="shared" si="124"/>
        <v>1.367</v>
      </c>
      <c r="J51" s="74">
        <f t="shared" ref="J51" si="126">ROUND(J50/J11,3)</f>
        <v>1.3340000000000001</v>
      </c>
      <c r="K51" s="74"/>
      <c r="L51" s="74">
        <f t="shared" ref="L51:S51" si="127">ROUND(L50/L11,3)</f>
        <v>2.1280000000000001</v>
      </c>
      <c r="M51" s="74">
        <f t="shared" si="127"/>
        <v>2.0209999999999999</v>
      </c>
      <c r="N51" s="74">
        <f t="shared" si="127"/>
        <v>2.5659999999999998</v>
      </c>
      <c r="O51" s="74">
        <f t="shared" si="127"/>
        <v>1.7250000000000001</v>
      </c>
      <c r="P51" s="74">
        <f t="shared" si="127"/>
        <v>1.6579999999999999</v>
      </c>
      <c r="Q51" s="74">
        <f t="shared" si="127"/>
        <v>1.732</v>
      </c>
      <c r="R51" s="74">
        <f t="shared" si="127"/>
        <v>1.5389999999999999</v>
      </c>
      <c r="S51" s="74">
        <f t="shared" si="127"/>
        <v>1.4990000000000001</v>
      </c>
      <c r="T51" s="74"/>
      <c r="U51" s="32"/>
      <c r="V51" s="219"/>
      <c r="W51" s="32"/>
      <c r="Y51" s="90" t="s">
        <v>537</v>
      </c>
      <c r="Z51" s="119">
        <v>1</v>
      </c>
      <c r="AA51" s="90" t="s">
        <v>369</v>
      </c>
      <c r="AB51" s="11"/>
      <c r="AC51" s="27" t="s">
        <v>538</v>
      </c>
      <c r="AD51" s="28">
        <v>15.4</v>
      </c>
      <c r="AE51" s="27" t="s">
        <v>369</v>
      </c>
      <c r="AF51" s="11"/>
      <c r="AG51" s="16" t="s">
        <v>539</v>
      </c>
      <c r="AH51" s="25">
        <v>16000</v>
      </c>
      <c r="AI51" s="16" t="s">
        <v>412</v>
      </c>
      <c r="AJ51" s="11"/>
      <c r="AK51" s="249" t="s">
        <v>540</v>
      </c>
      <c r="AL51" s="249"/>
      <c r="AM51" s="249"/>
    </row>
    <row r="52" spans="2:39" ht="14.4" customHeight="1">
      <c r="V52" s="220"/>
      <c r="Y52" s="90" t="s">
        <v>541</v>
      </c>
      <c r="Z52" s="119">
        <v>100</v>
      </c>
      <c r="AA52" s="90" t="s">
        <v>369</v>
      </c>
      <c r="AB52" s="11"/>
      <c r="AC52" s="27" t="s">
        <v>542</v>
      </c>
      <c r="AD52" s="28">
        <v>2</v>
      </c>
      <c r="AE52" s="27" t="s">
        <v>369</v>
      </c>
      <c r="AF52" s="11"/>
      <c r="AG52" s="16" t="s">
        <v>485</v>
      </c>
      <c r="AH52" s="25">
        <v>6</v>
      </c>
      <c r="AI52" s="16" t="s">
        <v>412</v>
      </c>
      <c r="AJ52" s="11"/>
      <c r="AK52" s="13" t="s">
        <v>57</v>
      </c>
      <c r="AL52" s="14">
        <v>884.4</v>
      </c>
      <c r="AM52" s="13" t="s">
        <v>13</v>
      </c>
    </row>
    <row r="53" spans="2:39" ht="14.4" customHeight="1">
      <c r="B53" s="89" t="s">
        <v>261</v>
      </c>
      <c r="C53" s="12"/>
      <c r="D53" s="12"/>
      <c r="E53" s="12"/>
      <c r="F53" s="12"/>
      <c r="G53" s="12"/>
      <c r="H53" s="12"/>
      <c r="I53" s="12"/>
      <c r="J53" s="12"/>
      <c r="K53" s="12"/>
      <c r="L53" s="12"/>
      <c r="M53" s="12"/>
      <c r="N53" s="12"/>
      <c r="O53" s="12"/>
      <c r="P53" s="12"/>
      <c r="Q53" s="12"/>
      <c r="R53" s="12"/>
      <c r="S53" s="12"/>
      <c r="T53" s="12"/>
      <c r="V53" s="220"/>
      <c r="Y53" s="90" t="s">
        <v>543</v>
      </c>
      <c r="Z53" s="120">
        <f>12.5*(Z51/10)*(Z52/10)/(Z50/10)</f>
        <v>0.41666666666666669</v>
      </c>
      <c r="AA53" s="90" t="s">
        <v>544</v>
      </c>
      <c r="AB53" s="11"/>
      <c r="AC53" s="27" t="s">
        <v>545</v>
      </c>
      <c r="AD53" s="35">
        <f>AD51+AD52*2</f>
        <v>19.399999999999999</v>
      </c>
      <c r="AE53" s="27" t="s">
        <v>6</v>
      </c>
      <c r="AF53" s="11"/>
      <c r="AG53" s="16" t="s">
        <v>56</v>
      </c>
      <c r="AH53" s="26">
        <f>MIN(AH50,AH52)</f>
        <v>3.1193436107817618</v>
      </c>
      <c r="AI53" s="16" t="s">
        <v>144</v>
      </c>
      <c r="AJ53" s="11"/>
      <c r="AK53" s="13" t="s">
        <v>546</v>
      </c>
      <c r="AL53" s="14">
        <v>0.96</v>
      </c>
      <c r="AM53" s="13" t="s">
        <v>424</v>
      </c>
    </row>
    <row r="54" spans="2:39" ht="14.4" customHeight="1">
      <c r="B54" s="90" t="s">
        <v>262</v>
      </c>
      <c r="C54" s="91">
        <v>2</v>
      </c>
      <c r="D54" s="91">
        <v>2</v>
      </c>
      <c r="E54" s="91">
        <v>2</v>
      </c>
      <c r="F54" s="91">
        <v>2</v>
      </c>
      <c r="G54" s="91"/>
      <c r="H54" s="91"/>
      <c r="I54" s="91">
        <v>2</v>
      </c>
      <c r="J54" s="91"/>
      <c r="K54" s="91"/>
      <c r="L54" s="91"/>
      <c r="M54" s="91"/>
      <c r="N54" s="91"/>
      <c r="O54" s="91"/>
      <c r="P54" s="91"/>
      <c r="Q54" s="91"/>
      <c r="R54" s="91"/>
      <c r="S54" s="91"/>
      <c r="T54" s="91"/>
      <c r="U54" s="90" t="s">
        <v>306</v>
      </c>
      <c r="V54" s="219">
        <v>9</v>
      </c>
      <c r="W54" s="109" t="s">
        <v>317</v>
      </c>
      <c r="Y54" s="12"/>
      <c r="Z54" s="12"/>
      <c r="AA54" s="12"/>
      <c r="AB54" s="12"/>
      <c r="AC54" s="40" t="s">
        <v>547</v>
      </c>
      <c r="AD54" s="41">
        <v>8.8539999999999992E-12</v>
      </c>
      <c r="AE54" s="32"/>
      <c r="AF54" s="12"/>
      <c r="AG54" s="16" t="s">
        <v>72</v>
      </c>
      <c r="AH54" s="25">
        <v>43</v>
      </c>
      <c r="AI54" s="16" t="s">
        <v>144</v>
      </c>
      <c r="AJ54" s="12"/>
      <c r="AK54" s="13" t="s">
        <v>435</v>
      </c>
      <c r="AL54" s="14">
        <v>1456</v>
      </c>
      <c r="AM54" s="13" t="s">
        <v>0</v>
      </c>
    </row>
    <row r="55" spans="2:39" ht="14.4" customHeight="1">
      <c r="B55" s="90" t="s">
        <v>263</v>
      </c>
      <c r="C55" s="92">
        <f t="shared" ref="C55:D55" si="128">C48/C54</f>
        <v>450.64722315673333</v>
      </c>
      <c r="D55" s="92">
        <f t="shared" si="128"/>
        <v>439.52047524702687</v>
      </c>
      <c r="E55" s="92">
        <f t="shared" ref="E55:I55" si="129">E48/E54</f>
        <v>479.97887581141902</v>
      </c>
      <c r="F55" s="92">
        <f t="shared" si="129"/>
        <v>368.87162693270488</v>
      </c>
      <c r="G55" s="92"/>
      <c r="H55" s="92"/>
      <c r="I55" s="92">
        <f t="shared" si="129"/>
        <v>313.1064036247717</v>
      </c>
      <c r="J55" s="92"/>
      <c r="K55" s="92"/>
      <c r="L55" s="92"/>
      <c r="M55" s="92"/>
      <c r="N55" s="92"/>
      <c r="O55" s="92"/>
      <c r="P55" s="92"/>
      <c r="Q55" s="92"/>
      <c r="R55" s="92"/>
      <c r="S55" s="92"/>
      <c r="T55" s="92"/>
      <c r="U55" s="90" t="s">
        <v>1</v>
      </c>
      <c r="V55" s="219"/>
      <c r="W55" s="90" t="s">
        <v>318</v>
      </c>
      <c r="Y55" s="248" t="s">
        <v>548</v>
      </c>
      <c r="Z55" s="248"/>
      <c r="AA55" s="248"/>
      <c r="AB55" s="12"/>
      <c r="AC55" s="40" t="s">
        <v>549</v>
      </c>
      <c r="AD55" s="33">
        <v>2.1</v>
      </c>
      <c r="AE55" s="32" t="s">
        <v>550</v>
      </c>
      <c r="AF55" s="12"/>
      <c r="AG55" s="16" t="s">
        <v>551</v>
      </c>
      <c r="AH55" s="25">
        <v>30</v>
      </c>
      <c r="AI55" s="16" t="s">
        <v>412</v>
      </c>
      <c r="AJ55" s="12"/>
      <c r="AK55" s="13" t="s">
        <v>430</v>
      </c>
      <c r="AL55" s="42">
        <f>(AL54)*(2*3.14*AL53*1000*(AL52/1000000))</f>
        <v>7763.2037683200006</v>
      </c>
      <c r="AM55" s="13" t="s">
        <v>374</v>
      </c>
    </row>
    <row r="56" spans="2:39" ht="14.4" customHeight="1">
      <c r="B56" s="90" t="s">
        <v>264</v>
      </c>
      <c r="C56" s="93">
        <v>3.6</v>
      </c>
      <c r="D56" s="93">
        <v>3.6</v>
      </c>
      <c r="E56" s="93">
        <v>3.6</v>
      </c>
      <c r="F56" s="93">
        <v>3.6</v>
      </c>
      <c r="G56" s="93"/>
      <c r="H56" s="93"/>
      <c r="I56" s="93">
        <v>3.6</v>
      </c>
      <c r="J56" s="93"/>
      <c r="K56" s="93"/>
      <c r="L56" s="93"/>
      <c r="M56" s="93"/>
      <c r="N56" s="93"/>
      <c r="O56" s="93"/>
      <c r="P56" s="93"/>
      <c r="Q56" s="93"/>
      <c r="R56" s="93"/>
      <c r="S56" s="93"/>
      <c r="T56" s="93"/>
      <c r="U56" s="90" t="s">
        <v>307</v>
      </c>
      <c r="V56" s="219">
        <v>10</v>
      </c>
      <c r="W56" s="109" t="s">
        <v>330</v>
      </c>
      <c r="Y56" s="90" t="s">
        <v>552</v>
      </c>
      <c r="Z56" s="119">
        <v>3000</v>
      </c>
      <c r="AA56" s="90" t="s">
        <v>131</v>
      </c>
      <c r="AB56" s="12"/>
      <c r="AC56" s="32" t="s">
        <v>553</v>
      </c>
      <c r="AD56" s="41">
        <f>2*PI()*AD54*AD55/(LN(AD53/AD51))*1000000000</f>
        <v>0.50594615125588516</v>
      </c>
      <c r="AE56" s="32" t="s">
        <v>555</v>
      </c>
      <c r="AF56" s="12"/>
      <c r="AG56" s="16" t="s">
        <v>61</v>
      </c>
      <c r="AH56" s="24">
        <f>(AH54*AH55)-((AH54-2*AH53)*(AH55-2*AH53))</f>
        <v>416.50294892563727</v>
      </c>
      <c r="AI56" s="16" t="s">
        <v>151</v>
      </c>
      <c r="AJ56" s="12"/>
      <c r="AK56" s="12"/>
      <c r="AL56" s="12"/>
      <c r="AM56" s="12"/>
    </row>
    <row r="57" spans="2:39" ht="14.4" customHeight="1">
      <c r="B57" s="90" t="s">
        <v>265</v>
      </c>
      <c r="C57" s="93">
        <v>25</v>
      </c>
      <c r="D57" s="93">
        <v>25</v>
      </c>
      <c r="E57" s="93">
        <v>25</v>
      </c>
      <c r="F57" s="93">
        <v>25</v>
      </c>
      <c r="G57" s="93"/>
      <c r="H57" s="93"/>
      <c r="I57" s="93">
        <v>25</v>
      </c>
      <c r="J57" s="93"/>
      <c r="K57" s="93"/>
      <c r="L57" s="93"/>
      <c r="M57" s="93"/>
      <c r="N57" s="93"/>
      <c r="O57" s="93"/>
      <c r="P57" s="93"/>
      <c r="Q57" s="93"/>
      <c r="R57" s="93"/>
      <c r="S57" s="93"/>
      <c r="T57" s="93"/>
      <c r="U57" s="90" t="s">
        <v>0</v>
      </c>
      <c r="V57" s="219">
        <v>11</v>
      </c>
      <c r="W57" s="109" t="s">
        <v>320</v>
      </c>
      <c r="Y57" s="90" t="s">
        <v>537</v>
      </c>
      <c r="Z57" s="119">
        <v>1</v>
      </c>
      <c r="AA57" s="90" t="s">
        <v>6</v>
      </c>
      <c r="AB57" s="12"/>
      <c r="AC57" s="32" t="s">
        <v>556</v>
      </c>
      <c r="AD57" s="33">
        <v>10</v>
      </c>
      <c r="AE57" s="32" t="s">
        <v>473</v>
      </c>
      <c r="AF57" s="12"/>
      <c r="AG57" s="16" t="s">
        <v>432</v>
      </c>
      <c r="AH57" s="25">
        <v>7200</v>
      </c>
      <c r="AI57" s="29" t="s">
        <v>433</v>
      </c>
      <c r="AJ57" s="12"/>
      <c r="AK57" s="12"/>
      <c r="AL57" s="12"/>
      <c r="AM57" s="12"/>
    </row>
    <row r="58" spans="2:39" ht="14.4" customHeight="1">
      <c r="B58" s="90" t="s">
        <v>266</v>
      </c>
      <c r="C58" s="94">
        <f t="shared" ref="C58:D58" si="130">C57*C56/1000000*C59*1000</f>
        <v>73.681285673328048</v>
      </c>
      <c r="D58" s="94">
        <f t="shared" si="130"/>
        <v>70.707119411088513</v>
      </c>
      <c r="E58" s="94">
        <f t="shared" ref="E58:I58" si="131">E57*E56/1000000*E59*1000</f>
        <v>81.211268408614856</v>
      </c>
      <c r="F58" s="94">
        <f t="shared" si="131"/>
        <v>74.133602998657466</v>
      </c>
      <c r="G58" s="94"/>
      <c r="H58" s="94"/>
      <c r="I58" s="94">
        <f t="shared" si="131"/>
        <v>73.48032648793712</v>
      </c>
      <c r="J58" s="94"/>
      <c r="K58" s="94"/>
      <c r="L58" s="94"/>
      <c r="M58" s="94"/>
      <c r="N58" s="94"/>
      <c r="O58" s="94"/>
      <c r="P58" s="94"/>
      <c r="Q58" s="94"/>
      <c r="R58" s="94"/>
      <c r="S58" s="94"/>
      <c r="T58" s="94"/>
      <c r="U58" s="90" t="s">
        <v>308</v>
      </c>
      <c r="V58" s="219"/>
      <c r="W58" s="90"/>
      <c r="Y58" s="90" t="s">
        <v>557</v>
      </c>
      <c r="Z58" s="119">
        <v>2.1</v>
      </c>
      <c r="AA58" s="90" t="s">
        <v>558</v>
      </c>
      <c r="AB58" s="43"/>
      <c r="AC58" s="32" t="s">
        <v>559</v>
      </c>
      <c r="AD58" s="44">
        <f>AD56*AD57</f>
        <v>5.0594615125588511</v>
      </c>
      <c r="AE58" s="32" t="s">
        <v>554</v>
      </c>
      <c r="AF58" s="12"/>
      <c r="AG58" s="16" t="s">
        <v>507</v>
      </c>
      <c r="AH58" s="30">
        <f>AH57/AH56</f>
        <v>17.286792371031911</v>
      </c>
      <c r="AI58" s="29" t="s">
        <v>433</v>
      </c>
      <c r="AJ58" s="12"/>
      <c r="AK58" s="12"/>
      <c r="AL58" s="12"/>
      <c r="AM58" s="12"/>
    </row>
    <row r="59" spans="2:39" ht="14.4" customHeight="1">
      <c r="B59" s="90" t="s">
        <v>267</v>
      </c>
      <c r="C59" s="92">
        <f t="shared" ref="C59:D59" si="132">C26</f>
        <v>818.68095192586713</v>
      </c>
      <c r="D59" s="92">
        <f t="shared" si="132"/>
        <v>785.63466012320566</v>
      </c>
      <c r="E59" s="92">
        <f t="shared" ref="E59:I59" si="133">E26</f>
        <v>902.34742676238727</v>
      </c>
      <c r="F59" s="92">
        <f t="shared" si="133"/>
        <v>823.70669998508299</v>
      </c>
      <c r="G59" s="92"/>
      <c r="H59" s="92"/>
      <c r="I59" s="92">
        <f t="shared" si="133"/>
        <v>816.4480720881902</v>
      </c>
      <c r="J59" s="92"/>
      <c r="K59" s="92"/>
      <c r="L59" s="92"/>
      <c r="M59" s="92"/>
      <c r="N59" s="92"/>
      <c r="O59" s="92"/>
      <c r="P59" s="92"/>
      <c r="Q59" s="92"/>
      <c r="R59" s="92"/>
      <c r="S59" s="92"/>
      <c r="T59" s="92"/>
      <c r="U59" s="90" t="s">
        <v>17</v>
      </c>
      <c r="V59" s="219"/>
      <c r="W59" s="90" t="s">
        <v>321</v>
      </c>
      <c r="Y59" s="90" t="s">
        <v>560</v>
      </c>
      <c r="Z59" s="120">
        <f>8.854/1000000000000*Z58*(Z56/1000000)/(Z57/1000)*1000000000</f>
        <v>5.5780200000000002E-2</v>
      </c>
      <c r="AA59" s="90" t="s">
        <v>554</v>
      </c>
      <c r="AB59" s="12"/>
      <c r="AC59" s="12"/>
      <c r="AD59" s="12"/>
      <c r="AE59" s="12"/>
      <c r="AF59" s="12"/>
      <c r="AG59" s="16" t="s">
        <v>561</v>
      </c>
      <c r="AH59" s="30">
        <f>AH46/100000000*(AH57^2)/(AH56/1000000)*AH51/1000</f>
        <v>38248.065328450364</v>
      </c>
      <c r="AI59" s="29" t="s">
        <v>439</v>
      </c>
      <c r="AJ59" s="12"/>
      <c r="AK59" s="12"/>
      <c r="AL59" s="12"/>
      <c r="AM59" s="12"/>
    </row>
    <row r="60" spans="2:39" ht="14.4" customHeight="1">
      <c r="B60" s="90" t="s">
        <v>268</v>
      </c>
      <c r="C60" s="95">
        <f t="shared" ref="C60:D60" si="134">C55*1.414</f>
        <v>637.21517354362095</v>
      </c>
      <c r="D60" s="95">
        <f t="shared" si="134"/>
        <v>621.48195199929592</v>
      </c>
      <c r="E60" s="95">
        <f t="shared" ref="E60:I60" si="135">E55*1.414</f>
        <v>678.69013039734648</v>
      </c>
      <c r="F60" s="95">
        <f t="shared" si="135"/>
        <v>521.5844804828447</v>
      </c>
      <c r="G60" s="95"/>
      <c r="H60" s="95"/>
      <c r="I60" s="95">
        <f t="shared" si="135"/>
        <v>442.73245472542715</v>
      </c>
      <c r="J60" s="95"/>
      <c r="K60" s="95"/>
      <c r="L60" s="95"/>
      <c r="M60" s="95"/>
      <c r="N60" s="95"/>
      <c r="O60" s="95"/>
      <c r="P60" s="95"/>
      <c r="Q60" s="95"/>
      <c r="R60" s="95"/>
      <c r="S60" s="95"/>
      <c r="T60" s="95"/>
      <c r="U60" s="90" t="s">
        <v>1</v>
      </c>
      <c r="V60" s="219"/>
      <c r="W60" s="90" t="s">
        <v>331</v>
      </c>
      <c r="Y60" s="12"/>
      <c r="Z60" s="12"/>
      <c r="AA60" s="12"/>
      <c r="AB60" s="12"/>
      <c r="AC60" s="12"/>
      <c r="AD60" s="12"/>
      <c r="AE60" s="12"/>
      <c r="AF60" s="12"/>
      <c r="AG60" s="12"/>
      <c r="AH60" s="12"/>
      <c r="AI60" s="12"/>
      <c r="AJ60" s="12"/>
      <c r="AK60" s="12"/>
      <c r="AL60" s="12"/>
      <c r="AM60" s="12"/>
    </row>
    <row r="61" spans="2:39" ht="14.4" customHeight="1">
      <c r="B61" s="90" t="s">
        <v>269</v>
      </c>
      <c r="C61" s="93">
        <v>25</v>
      </c>
      <c r="D61" s="93">
        <v>25</v>
      </c>
      <c r="E61" s="93">
        <v>25</v>
      </c>
      <c r="F61" s="93">
        <v>25</v>
      </c>
      <c r="G61" s="93"/>
      <c r="H61" s="93"/>
      <c r="I61" s="93">
        <v>25</v>
      </c>
      <c r="J61" s="93"/>
      <c r="K61" s="93"/>
      <c r="L61" s="93"/>
      <c r="M61" s="93"/>
      <c r="N61" s="93"/>
      <c r="O61" s="93"/>
      <c r="P61" s="93"/>
      <c r="Q61" s="93"/>
      <c r="R61" s="93"/>
      <c r="S61" s="93"/>
      <c r="T61" s="93"/>
      <c r="U61" s="90" t="s">
        <v>309</v>
      </c>
      <c r="V61" s="219">
        <v>12</v>
      </c>
      <c r="W61" s="109" t="s">
        <v>322</v>
      </c>
      <c r="Y61" s="251" t="s">
        <v>562</v>
      </c>
      <c r="Z61" s="251"/>
      <c r="AA61" s="251"/>
      <c r="AC61" s="12"/>
      <c r="AD61" s="12"/>
      <c r="AE61" s="12"/>
      <c r="AF61" s="12"/>
      <c r="AG61" s="249" t="s">
        <v>563</v>
      </c>
      <c r="AH61" s="249"/>
      <c r="AI61" s="249"/>
      <c r="AJ61" s="12"/>
      <c r="AK61" s="12"/>
      <c r="AL61" s="12"/>
      <c r="AM61" s="12"/>
    </row>
    <row r="62" spans="2:39" ht="14.4" customHeight="1">
      <c r="B62" s="90" t="s">
        <v>270</v>
      </c>
      <c r="C62" s="94">
        <v>0</v>
      </c>
      <c r="D62" s="94">
        <v>0</v>
      </c>
      <c r="E62" s="94">
        <v>0</v>
      </c>
      <c r="F62" s="94">
        <v>0</v>
      </c>
      <c r="G62" s="94"/>
      <c r="H62" s="94"/>
      <c r="I62" s="94">
        <v>0</v>
      </c>
      <c r="J62" s="94"/>
      <c r="K62" s="94"/>
      <c r="L62" s="94"/>
      <c r="M62" s="94"/>
      <c r="N62" s="94"/>
      <c r="O62" s="94"/>
      <c r="P62" s="94"/>
      <c r="Q62" s="94"/>
      <c r="R62" s="94"/>
      <c r="S62" s="94"/>
      <c r="T62" s="94"/>
      <c r="U62" s="90" t="s">
        <v>309</v>
      </c>
      <c r="V62" s="219"/>
      <c r="W62" s="90"/>
      <c r="Y62" s="121"/>
      <c r="Z62" s="122" t="s">
        <v>564</v>
      </c>
      <c r="AA62" s="122" t="s">
        <v>565</v>
      </c>
      <c r="AB62" s="122" t="s">
        <v>566</v>
      </c>
      <c r="AC62" s="12"/>
      <c r="AD62" s="12"/>
      <c r="AE62" s="12"/>
      <c r="AF62" s="12"/>
      <c r="AG62" s="13" t="s">
        <v>453</v>
      </c>
      <c r="AH62" s="57" t="s">
        <v>366</v>
      </c>
      <c r="AI62" s="57"/>
      <c r="AJ62" s="12"/>
      <c r="AK62" s="12"/>
      <c r="AL62" s="12"/>
      <c r="AM62" s="12"/>
    </row>
    <row r="63" spans="2:39" ht="14.4" customHeight="1">
      <c r="B63" s="90" t="s">
        <v>271</v>
      </c>
      <c r="C63" s="94">
        <v>0</v>
      </c>
      <c r="D63" s="94">
        <v>0</v>
      </c>
      <c r="E63" s="94">
        <v>0</v>
      </c>
      <c r="F63" s="94">
        <v>0</v>
      </c>
      <c r="G63" s="94"/>
      <c r="H63" s="94"/>
      <c r="I63" s="94">
        <v>0</v>
      </c>
      <c r="J63" s="94"/>
      <c r="K63" s="94"/>
      <c r="L63" s="94"/>
      <c r="M63" s="94"/>
      <c r="N63" s="94"/>
      <c r="O63" s="94"/>
      <c r="P63" s="94"/>
      <c r="Q63" s="94"/>
      <c r="R63" s="94"/>
      <c r="S63" s="94"/>
      <c r="T63" s="94"/>
      <c r="U63" s="90" t="s">
        <v>309</v>
      </c>
      <c r="V63" s="219"/>
      <c r="W63" s="90"/>
      <c r="Y63" s="122" t="s">
        <v>567</v>
      </c>
      <c r="Z63" s="122" t="s">
        <v>568</v>
      </c>
      <c r="AA63" s="122" t="s">
        <v>569</v>
      </c>
      <c r="AB63" s="122" t="s">
        <v>570</v>
      </c>
      <c r="AC63" s="12"/>
      <c r="AD63" s="12"/>
      <c r="AE63" s="12"/>
      <c r="AF63" s="12"/>
      <c r="AG63" s="16" t="s">
        <v>372</v>
      </c>
      <c r="AH63" s="17">
        <v>1.75</v>
      </c>
      <c r="AI63" s="16" t="s">
        <v>388</v>
      </c>
      <c r="AJ63" s="12"/>
      <c r="AK63" s="12"/>
      <c r="AL63" s="12"/>
      <c r="AM63" s="12"/>
    </row>
    <row r="64" spans="2:39" ht="14.4" customHeight="1">
      <c r="B64" s="90" t="s">
        <v>272</v>
      </c>
      <c r="C64" s="96">
        <f t="shared" ref="C64:D64" si="136">C61*C59+C62*C59</f>
        <v>20467.023798146678</v>
      </c>
      <c r="D64" s="96">
        <f t="shared" si="136"/>
        <v>19640.866503080142</v>
      </c>
      <c r="E64" s="96">
        <f t="shared" ref="E64:I64" si="137">E61*E59+E62*E59</f>
        <v>22558.685669059683</v>
      </c>
      <c r="F64" s="96">
        <f t="shared" si="137"/>
        <v>20592.667499627074</v>
      </c>
      <c r="G64" s="96"/>
      <c r="H64" s="96"/>
      <c r="I64" s="96">
        <f t="shared" si="137"/>
        <v>20411.201802204756</v>
      </c>
      <c r="J64" s="96"/>
      <c r="K64" s="96"/>
      <c r="L64" s="96"/>
      <c r="M64" s="96"/>
      <c r="N64" s="96"/>
      <c r="O64" s="96"/>
      <c r="P64" s="96"/>
      <c r="Q64" s="96"/>
      <c r="R64" s="96"/>
      <c r="S64" s="96"/>
      <c r="T64" s="96"/>
      <c r="U64" s="90" t="s">
        <v>308</v>
      </c>
      <c r="V64" s="219"/>
      <c r="W64" s="90"/>
      <c r="Y64" s="123">
        <v>0.5</v>
      </c>
      <c r="Z64" s="123"/>
      <c r="AA64" s="123">
        <v>2.5</v>
      </c>
      <c r="AB64" s="123"/>
      <c r="AC64" s="12"/>
      <c r="AD64" s="12"/>
      <c r="AE64" s="12"/>
      <c r="AF64" s="12"/>
      <c r="AG64" s="16" t="s">
        <v>40</v>
      </c>
      <c r="AH64" s="18">
        <v>3.8999999999999998E-3</v>
      </c>
      <c r="AI64" s="16" t="s">
        <v>571</v>
      </c>
      <c r="AJ64" s="12"/>
      <c r="AK64" s="12"/>
      <c r="AL64" s="12"/>
      <c r="AM64" s="12"/>
    </row>
    <row r="65" spans="2:39" ht="14.4" customHeight="1">
      <c r="B65" s="90" t="s">
        <v>273</v>
      </c>
      <c r="C65" s="94">
        <f t="shared" ref="C65:D65" si="138">C59*C63</f>
        <v>0</v>
      </c>
      <c r="D65" s="94">
        <f t="shared" si="138"/>
        <v>0</v>
      </c>
      <c r="E65" s="94">
        <f t="shared" ref="E65:I65" si="139">E59*E63</f>
        <v>0</v>
      </c>
      <c r="F65" s="94">
        <f t="shared" si="139"/>
        <v>0</v>
      </c>
      <c r="G65" s="94"/>
      <c r="H65" s="94"/>
      <c r="I65" s="94">
        <f t="shared" si="139"/>
        <v>0</v>
      </c>
      <c r="J65" s="94"/>
      <c r="K65" s="94"/>
      <c r="L65" s="94"/>
      <c r="M65" s="94"/>
      <c r="N65" s="94"/>
      <c r="O65" s="94"/>
      <c r="P65" s="94"/>
      <c r="Q65" s="94"/>
      <c r="R65" s="94"/>
      <c r="S65" s="94"/>
      <c r="T65" s="94"/>
      <c r="U65" s="90" t="s">
        <v>308</v>
      </c>
      <c r="V65" s="219"/>
      <c r="W65" s="90"/>
      <c r="Y65" s="123">
        <v>0.8</v>
      </c>
      <c r="Z65" s="123">
        <v>1.9</v>
      </c>
      <c r="AA65" s="123">
        <v>1.42</v>
      </c>
      <c r="AB65" s="123"/>
      <c r="AC65" s="12"/>
      <c r="AD65" s="12"/>
      <c r="AE65" s="12"/>
      <c r="AF65" s="12"/>
      <c r="AG65" s="16" t="s">
        <v>42</v>
      </c>
      <c r="AH65" s="20">
        <v>45</v>
      </c>
      <c r="AI65" s="16" t="s">
        <v>43</v>
      </c>
      <c r="AJ65" s="12"/>
      <c r="AK65" s="12"/>
      <c r="AL65" s="12"/>
      <c r="AM65" s="12"/>
    </row>
    <row r="66" spans="2:39" ht="14.4" customHeight="1">
      <c r="B66" s="90" t="s">
        <v>274</v>
      </c>
      <c r="C66" s="93">
        <v>100</v>
      </c>
      <c r="D66" s="93">
        <v>100</v>
      </c>
      <c r="E66" s="93">
        <v>100</v>
      </c>
      <c r="F66" s="93">
        <v>100</v>
      </c>
      <c r="G66" s="93"/>
      <c r="H66" s="93"/>
      <c r="I66" s="93">
        <v>100</v>
      </c>
      <c r="J66" s="93"/>
      <c r="K66" s="93"/>
      <c r="L66" s="93"/>
      <c r="M66" s="93"/>
      <c r="N66" s="93"/>
      <c r="O66" s="93"/>
      <c r="P66" s="93"/>
      <c r="Q66" s="93"/>
      <c r="R66" s="93"/>
      <c r="S66" s="93"/>
      <c r="T66" s="93"/>
      <c r="U66" s="90" t="s">
        <v>2</v>
      </c>
      <c r="V66" s="219">
        <v>13</v>
      </c>
      <c r="W66" s="109" t="s">
        <v>323</v>
      </c>
      <c r="Y66" s="123">
        <v>1</v>
      </c>
      <c r="Z66" s="123">
        <v>1.9</v>
      </c>
      <c r="AA66" s="124">
        <v>1.1000000000000001</v>
      </c>
      <c r="AB66" s="123"/>
      <c r="AC66" s="12"/>
      <c r="AD66" s="12"/>
      <c r="AE66" s="12"/>
      <c r="AF66" s="12"/>
      <c r="AG66" s="16" t="s">
        <v>46</v>
      </c>
      <c r="AH66" s="18">
        <f>AH63*(1+AH64*(AH65-20))</f>
        <v>1.9206249999999998</v>
      </c>
      <c r="AI66" s="16" t="s">
        <v>388</v>
      </c>
      <c r="AJ66" s="12"/>
      <c r="AK66" s="12"/>
      <c r="AL66" s="12"/>
      <c r="AM66" s="12"/>
    </row>
    <row r="67" spans="2:39" ht="14.4" customHeight="1">
      <c r="B67" s="90" t="s">
        <v>275</v>
      </c>
      <c r="C67" s="97">
        <f t="shared" ref="C67:D67" si="140">C64*C66/100</f>
        <v>20467.023798146678</v>
      </c>
      <c r="D67" s="97">
        <f t="shared" si="140"/>
        <v>19640.866503080142</v>
      </c>
      <c r="E67" s="97">
        <f t="shared" ref="E67:I67" si="141">E64*E66/100</f>
        <v>22558.685669059683</v>
      </c>
      <c r="F67" s="97">
        <f t="shared" si="141"/>
        <v>20592.667499627074</v>
      </c>
      <c r="G67" s="97"/>
      <c r="H67" s="97"/>
      <c r="I67" s="97">
        <f t="shared" si="141"/>
        <v>20411.201802204756</v>
      </c>
      <c r="J67" s="97"/>
      <c r="K67" s="97"/>
      <c r="L67" s="97"/>
      <c r="M67" s="97"/>
      <c r="N67" s="97"/>
      <c r="O67" s="97"/>
      <c r="P67" s="97"/>
      <c r="Q67" s="97"/>
      <c r="R67" s="97"/>
      <c r="S67" s="97"/>
      <c r="T67" s="97"/>
      <c r="U67" s="90" t="s">
        <v>308</v>
      </c>
      <c r="V67" s="219"/>
      <c r="W67" s="90"/>
      <c r="Y67" s="123">
        <v>1.2</v>
      </c>
      <c r="Z67" s="123"/>
      <c r="AA67" s="123">
        <v>1.04</v>
      </c>
      <c r="AB67" s="123"/>
      <c r="AC67" s="12"/>
      <c r="AD67" s="12"/>
      <c r="AE67" s="12"/>
      <c r="AF67" s="12"/>
      <c r="AG67" s="16" t="s">
        <v>391</v>
      </c>
      <c r="AH67" s="22">
        <f>1/(AH66/100000000)</f>
        <v>52066384.64041654</v>
      </c>
      <c r="AI67" s="16" t="s">
        <v>392</v>
      </c>
      <c r="AJ67" s="12"/>
      <c r="AK67" s="12"/>
      <c r="AL67" s="12"/>
      <c r="AM67" s="12"/>
    </row>
    <row r="68" spans="2:39" ht="14.4" customHeight="1">
      <c r="B68" s="90" t="s">
        <v>276</v>
      </c>
      <c r="C68" s="95">
        <f t="shared" ref="C68:D68" si="142">C55*0.9</f>
        <v>405.58250084105998</v>
      </c>
      <c r="D68" s="95">
        <f t="shared" si="142"/>
        <v>395.5684277223242</v>
      </c>
      <c r="E68" s="95">
        <f t="shared" ref="E68:I68" si="143">E55*0.9</f>
        <v>431.98098823027715</v>
      </c>
      <c r="F68" s="95">
        <f t="shared" si="143"/>
        <v>331.98446423943443</v>
      </c>
      <c r="G68" s="95"/>
      <c r="H68" s="95"/>
      <c r="I68" s="95">
        <f t="shared" si="143"/>
        <v>281.79576326229454</v>
      </c>
      <c r="J68" s="95"/>
      <c r="K68" s="95"/>
      <c r="L68" s="95"/>
      <c r="M68" s="95"/>
      <c r="N68" s="95"/>
      <c r="O68" s="95"/>
      <c r="P68" s="95"/>
      <c r="Q68" s="95"/>
      <c r="R68" s="95"/>
      <c r="S68" s="95"/>
      <c r="T68" s="95"/>
      <c r="U68" s="90" t="s">
        <v>1</v>
      </c>
      <c r="V68" s="219"/>
      <c r="W68" s="90"/>
      <c r="Y68" s="123">
        <v>2</v>
      </c>
      <c r="Z68" s="123">
        <v>1.1200000000000001</v>
      </c>
      <c r="AA68" s="123">
        <v>0.75</v>
      </c>
      <c r="AB68" s="123"/>
      <c r="AC68" s="12"/>
      <c r="AD68" s="12"/>
      <c r="AE68" s="12"/>
      <c r="AF68" s="12"/>
      <c r="AG68" s="16" t="s">
        <v>395</v>
      </c>
      <c r="AH68" s="57">
        <v>1</v>
      </c>
      <c r="AI68" s="16" t="s">
        <v>396</v>
      </c>
      <c r="AJ68" s="12"/>
      <c r="AK68" s="12"/>
      <c r="AL68" s="12"/>
      <c r="AM68" s="12"/>
    </row>
    <row r="69" spans="2:39" ht="14.4" customHeight="1">
      <c r="B69" s="90" t="s">
        <v>277</v>
      </c>
      <c r="C69" s="98">
        <v>1.35</v>
      </c>
      <c r="D69" s="98">
        <v>1.35</v>
      </c>
      <c r="E69" s="98">
        <v>1.35</v>
      </c>
      <c r="F69" s="98">
        <v>1.35</v>
      </c>
      <c r="G69" s="98"/>
      <c r="H69" s="98"/>
      <c r="I69" s="98">
        <v>1.35</v>
      </c>
      <c r="J69" s="98"/>
      <c r="K69" s="98"/>
      <c r="L69" s="98"/>
      <c r="M69" s="98"/>
      <c r="N69" s="98"/>
      <c r="O69" s="98"/>
      <c r="P69" s="98"/>
      <c r="Q69" s="98"/>
      <c r="R69" s="98"/>
      <c r="S69" s="98"/>
      <c r="T69" s="98"/>
      <c r="U69" s="90" t="s">
        <v>310</v>
      </c>
      <c r="V69" s="219">
        <v>14</v>
      </c>
      <c r="W69" s="109" t="s">
        <v>324</v>
      </c>
      <c r="Y69" s="123">
        <v>3</v>
      </c>
      <c r="Z69" s="123">
        <v>0.71</v>
      </c>
      <c r="AA69" s="123">
        <v>0.57999999999999996</v>
      </c>
      <c r="AB69" s="123"/>
      <c r="AC69" s="12"/>
      <c r="AD69" s="12"/>
      <c r="AE69" s="12"/>
      <c r="AF69" s="12"/>
      <c r="AG69" s="16" t="s">
        <v>539</v>
      </c>
      <c r="AH69" s="25">
        <v>6126</v>
      </c>
      <c r="AI69" s="16" t="s">
        <v>412</v>
      </c>
      <c r="AJ69" s="12"/>
      <c r="AK69" s="12"/>
      <c r="AL69" s="12"/>
      <c r="AM69" s="12"/>
    </row>
    <row r="70" spans="2:39" ht="14.4" customHeight="1">
      <c r="B70" s="90" t="s">
        <v>278</v>
      </c>
      <c r="C70" s="93">
        <v>1.2</v>
      </c>
      <c r="D70" s="93">
        <v>1.2</v>
      </c>
      <c r="E70" s="93">
        <v>1.2</v>
      </c>
      <c r="F70" s="93">
        <v>1.2</v>
      </c>
      <c r="G70" s="93"/>
      <c r="H70" s="93"/>
      <c r="I70" s="93">
        <v>1.2</v>
      </c>
      <c r="J70" s="93"/>
      <c r="K70" s="93"/>
      <c r="L70" s="93"/>
      <c r="M70" s="93"/>
      <c r="N70" s="93"/>
      <c r="O70" s="93"/>
      <c r="P70" s="93"/>
      <c r="Q70" s="93"/>
      <c r="R70" s="93"/>
      <c r="S70" s="93"/>
      <c r="T70" s="93"/>
      <c r="U70" s="90" t="s">
        <v>310</v>
      </c>
      <c r="V70" s="219">
        <v>15</v>
      </c>
      <c r="W70" s="109" t="s">
        <v>332</v>
      </c>
      <c r="Y70" s="123">
        <v>5</v>
      </c>
      <c r="Z70" s="123">
        <v>0.43</v>
      </c>
      <c r="AA70" s="123">
        <v>0.36</v>
      </c>
      <c r="AB70" s="123"/>
      <c r="AC70" s="12"/>
      <c r="AD70" s="12"/>
      <c r="AE70" s="12"/>
      <c r="AF70" s="12"/>
      <c r="AG70" s="16" t="s">
        <v>572</v>
      </c>
      <c r="AH70" s="25">
        <v>2</v>
      </c>
      <c r="AI70" s="16" t="s">
        <v>412</v>
      </c>
      <c r="AJ70" s="12"/>
      <c r="AK70" s="12"/>
      <c r="AL70" s="12"/>
      <c r="AM70" s="12"/>
    </row>
    <row r="71" spans="2:39" ht="14.4" customHeight="1">
      <c r="B71" s="90" t="s">
        <v>221</v>
      </c>
      <c r="C71" s="94">
        <f t="shared" ref="C71:D71" si="144">C46</f>
        <v>59.948029526701404</v>
      </c>
      <c r="D71" s="94">
        <f t="shared" si="144"/>
        <v>62.745058070316851</v>
      </c>
      <c r="E71" s="94">
        <f t="shared" ref="E71:I71" si="145">E46</f>
        <v>50.253999997603295</v>
      </c>
      <c r="F71" s="94">
        <f t="shared" si="145"/>
        <v>71.470397086488745</v>
      </c>
      <c r="G71" s="94"/>
      <c r="H71" s="94"/>
      <c r="I71" s="94">
        <f t="shared" si="145"/>
        <v>86.218854606608247</v>
      </c>
      <c r="J71" s="94"/>
      <c r="K71" s="94"/>
      <c r="L71" s="94"/>
      <c r="M71" s="94"/>
      <c r="N71" s="94"/>
      <c r="O71" s="94"/>
      <c r="P71" s="94"/>
      <c r="Q71" s="94"/>
      <c r="R71" s="94"/>
      <c r="S71" s="94"/>
      <c r="T71" s="94"/>
      <c r="U71" s="90" t="s">
        <v>2</v>
      </c>
      <c r="V71" s="219"/>
      <c r="W71" s="109"/>
      <c r="Y71" s="123">
        <v>6</v>
      </c>
      <c r="Z71" s="123"/>
      <c r="AA71" s="123">
        <v>0.34</v>
      </c>
      <c r="AB71" s="123">
        <v>0.62</v>
      </c>
      <c r="AC71" s="12"/>
      <c r="AD71" s="12"/>
      <c r="AE71" s="12"/>
      <c r="AF71" s="12"/>
      <c r="AG71" s="16" t="s">
        <v>421</v>
      </c>
      <c r="AH71" s="25">
        <v>60</v>
      </c>
      <c r="AI71" s="16" t="s">
        <v>144</v>
      </c>
      <c r="AJ71" s="12"/>
      <c r="AK71" s="12"/>
      <c r="AL71" s="12"/>
      <c r="AM71" s="12"/>
    </row>
    <row r="72" spans="2:39" ht="14.4" customHeight="1">
      <c r="B72" s="90" t="s">
        <v>279</v>
      </c>
      <c r="C72" s="94">
        <f>C19</f>
        <v>32</v>
      </c>
      <c r="D72" s="94">
        <f t="shared" ref="D72:I72" si="146">D19</f>
        <v>32</v>
      </c>
      <c r="E72" s="94">
        <f t="shared" si="146"/>
        <v>32</v>
      </c>
      <c r="F72" s="94">
        <f t="shared" si="146"/>
        <v>32</v>
      </c>
      <c r="G72" s="94"/>
      <c r="H72" s="94"/>
      <c r="I72" s="94">
        <f t="shared" si="146"/>
        <v>32</v>
      </c>
      <c r="J72" s="94"/>
      <c r="K72" s="94"/>
      <c r="L72" s="94"/>
      <c r="M72" s="94"/>
      <c r="N72" s="94"/>
      <c r="O72" s="94"/>
      <c r="P72" s="94"/>
      <c r="Q72" s="94"/>
      <c r="R72" s="94"/>
      <c r="S72" s="94"/>
      <c r="T72" s="94"/>
      <c r="U72" s="90" t="s">
        <v>228</v>
      </c>
      <c r="V72" s="219"/>
      <c r="W72" s="90"/>
      <c r="Y72" s="123">
        <v>8</v>
      </c>
      <c r="Z72" s="123">
        <v>0.3</v>
      </c>
      <c r="AA72" s="123">
        <v>0.25</v>
      </c>
      <c r="AB72" s="123"/>
      <c r="AC72" s="12"/>
      <c r="AD72" s="12"/>
      <c r="AE72" s="12"/>
      <c r="AF72" s="12"/>
      <c r="AG72" s="16" t="s">
        <v>425</v>
      </c>
      <c r="AH72" s="24">
        <f>AH70*AH71</f>
        <v>120</v>
      </c>
      <c r="AI72" s="16" t="s">
        <v>151</v>
      </c>
      <c r="AJ72" s="12"/>
      <c r="AK72" s="12"/>
      <c r="AL72" s="12"/>
      <c r="AM72" s="12"/>
    </row>
    <row r="73" spans="2:39" ht="14.4" customHeight="1">
      <c r="B73" s="90" t="s">
        <v>280</v>
      </c>
      <c r="C73" s="94">
        <f t="shared" ref="C73:D73" si="147">ROUNDUP((C68*C69*((C71*180/100-C72)/180))/2,0)</f>
        <v>116</v>
      </c>
      <c r="D73" s="94">
        <f t="shared" si="147"/>
        <v>121</v>
      </c>
      <c r="E73" s="94">
        <f t="shared" ref="E73:I73" si="148">ROUNDUP((E68*E69*((E71*180/100-E72)/180))/2,0)</f>
        <v>95</v>
      </c>
      <c r="F73" s="94">
        <f t="shared" si="148"/>
        <v>121</v>
      </c>
      <c r="G73" s="94"/>
      <c r="H73" s="94"/>
      <c r="I73" s="94">
        <f t="shared" si="148"/>
        <v>131</v>
      </c>
      <c r="J73" s="94"/>
      <c r="K73" s="94"/>
      <c r="L73" s="94"/>
      <c r="M73" s="94"/>
      <c r="N73" s="94"/>
      <c r="O73" s="94"/>
      <c r="P73" s="94"/>
      <c r="Q73" s="94"/>
      <c r="R73" s="94"/>
      <c r="S73" s="94"/>
      <c r="T73" s="94"/>
      <c r="U73" s="90" t="s">
        <v>308</v>
      </c>
      <c r="V73" s="219"/>
      <c r="W73" s="90"/>
      <c r="Y73" s="123">
        <v>10</v>
      </c>
      <c r="Z73" s="123"/>
      <c r="AA73" s="123"/>
      <c r="AB73" s="123">
        <v>0.45</v>
      </c>
      <c r="AC73" s="12"/>
      <c r="AD73" s="12"/>
      <c r="AE73" s="12"/>
      <c r="AF73" s="12"/>
      <c r="AG73" s="16" t="s">
        <v>432</v>
      </c>
      <c r="AH73" s="25">
        <v>850</v>
      </c>
      <c r="AI73" s="29" t="s">
        <v>433</v>
      </c>
      <c r="AJ73" s="12"/>
      <c r="AK73" s="12"/>
      <c r="AL73" s="12"/>
      <c r="AM73" s="12"/>
    </row>
    <row r="74" spans="2:39" ht="14.4" customHeight="1">
      <c r="B74" s="90" t="s">
        <v>281</v>
      </c>
      <c r="C74" s="94">
        <f t="shared" ref="C74:D74" si="149">ROUNDUP((C68*C70*(1-(C71*180/100-C72)/180))/2,0)</f>
        <v>141</v>
      </c>
      <c r="D74" s="94">
        <f t="shared" si="149"/>
        <v>131</v>
      </c>
      <c r="E74" s="94">
        <f t="shared" ref="E74:I74" si="150">ROUNDUP((E68*E70*(1-(E71*180/100-E72)/180))/2,0)</f>
        <v>176</v>
      </c>
      <c r="F74" s="94">
        <f t="shared" si="150"/>
        <v>93</v>
      </c>
      <c r="G74" s="94"/>
      <c r="H74" s="94"/>
      <c r="I74" s="94">
        <f t="shared" si="150"/>
        <v>54</v>
      </c>
      <c r="J74" s="94"/>
      <c r="K74" s="94"/>
      <c r="L74" s="94"/>
      <c r="M74" s="94"/>
      <c r="N74" s="94"/>
      <c r="O74" s="94"/>
      <c r="P74" s="94"/>
      <c r="Q74" s="94"/>
      <c r="R74" s="94"/>
      <c r="S74" s="94"/>
      <c r="T74" s="94"/>
      <c r="U74" s="90" t="s">
        <v>308</v>
      </c>
      <c r="V74" s="219"/>
      <c r="W74" s="90"/>
      <c r="Y74" s="123">
        <v>15</v>
      </c>
      <c r="Z74" s="123"/>
      <c r="AA74" s="123"/>
      <c r="AB74" s="123">
        <v>0.4</v>
      </c>
      <c r="AC74" s="12"/>
      <c r="AD74" s="12"/>
      <c r="AE74" s="12"/>
      <c r="AF74" s="12"/>
      <c r="AG74" s="16" t="s">
        <v>507</v>
      </c>
      <c r="AH74" s="30">
        <f>AH73/AH72</f>
        <v>7.083333333333333</v>
      </c>
      <c r="AI74" s="29" t="s">
        <v>433</v>
      </c>
      <c r="AJ74" s="12"/>
      <c r="AK74" s="12"/>
      <c r="AL74" s="12"/>
      <c r="AM74" s="12"/>
    </row>
    <row r="75" spans="2:39" ht="14.4" customHeight="1">
      <c r="B75" s="90" t="s">
        <v>282</v>
      </c>
      <c r="C75" s="97">
        <f t="shared" ref="C75:D75" si="151">ROUNDUP(((C68*C69*(((C71*180/100-C72)/180))+(C68*C70*(1-(C71*180/100-C72)/180))))/2,0)</f>
        <v>257</v>
      </c>
      <c r="D75" s="97">
        <f t="shared" si="151"/>
        <v>251</v>
      </c>
      <c r="E75" s="97">
        <f t="shared" ref="E75:I75" si="152">ROUNDUP(((E68*E69*(((E71*180/100-E72)/180))+(E68*E70*(1-(E71*180/100-E72)/180))))/2,0)</f>
        <v>270</v>
      </c>
      <c r="F75" s="97">
        <f t="shared" si="152"/>
        <v>213</v>
      </c>
      <c r="G75" s="97"/>
      <c r="H75" s="97"/>
      <c r="I75" s="97">
        <f t="shared" si="152"/>
        <v>184</v>
      </c>
      <c r="J75" s="97"/>
      <c r="K75" s="97"/>
      <c r="L75" s="97"/>
      <c r="M75" s="97"/>
      <c r="N75" s="97"/>
      <c r="O75" s="97"/>
      <c r="P75" s="97"/>
      <c r="Q75" s="97"/>
      <c r="R75" s="97"/>
      <c r="S75" s="97"/>
      <c r="T75" s="97"/>
      <c r="U75" s="90" t="s">
        <v>308</v>
      </c>
      <c r="V75" s="219"/>
      <c r="W75" s="90"/>
      <c r="Y75" s="123">
        <v>20</v>
      </c>
      <c r="Z75" s="123"/>
      <c r="AA75" s="123"/>
      <c r="AB75" s="123">
        <v>0.35</v>
      </c>
      <c r="AC75" s="12"/>
      <c r="AD75" s="12"/>
      <c r="AE75" s="12"/>
      <c r="AF75" s="12"/>
      <c r="AG75" s="16" t="s">
        <v>438</v>
      </c>
      <c r="AH75" s="30">
        <f>AH66/100000000*(AH73^2)/(AH72/1000000)*AH69/1000</f>
        <v>708.39612265624987</v>
      </c>
      <c r="AI75" s="29" t="s">
        <v>439</v>
      </c>
      <c r="AJ75" s="12"/>
      <c r="AK75" s="12"/>
      <c r="AL75" s="12"/>
      <c r="AM75" s="12"/>
    </row>
    <row r="76" spans="2:39" ht="14.4" customHeight="1">
      <c r="B76" s="90" t="s">
        <v>283</v>
      </c>
      <c r="C76" s="94">
        <f t="shared" ref="C76:D76" si="153">C67+C73</f>
        <v>20583.023798146678</v>
      </c>
      <c r="D76" s="94">
        <f t="shared" si="153"/>
        <v>19761.866503080142</v>
      </c>
      <c r="E76" s="94">
        <f t="shared" ref="E76:I76" si="154">E67+E73</f>
        <v>22653.685669059683</v>
      </c>
      <c r="F76" s="94">
        <f t="shared" si="154"/>
        <v>20713.667499627074</v>
      </c>
      <c r="G76" s="94"/>
      <c r="H76" s="94"/>
      <c r="I76" s="94">
        <f t="shared" si="154"/>
        <v>20542.201802204756</v>
      </c>
      <c r="J76" s="94"/>
      <c r="K76" s="94"/>
      <c r="L76" s="94"/>
      <c r="M76" s="94"/>
      <c r="N76" s="94"/>
      <c r="O76" s="94"/>
      <c r="P76" s="94"/>
      <c r="Q76" s="94"/>
      <c r="R76" s="94"/>
      <c r="S76" s="94"/>
      <c r="T76" s="94"/>
      <c r="U76" s="90" t="s">
        <v>308</v>
      </c>
      <c r="V76" s="219"/>
      <c r="W76" s="90"/>
      <c r="Y76" s="123">
        <v>30</v>
      </c>
      <c r="Z76" s="123"/>
      <c r="AA76" s="123"/>
      <c r="AB76" s="123">
        <v>0.28939999999999999</v>
      </c>
      <c r="AC76" s="12"/>
      <c r="AD76" s="12"/>
      <c r="AE76" s="12"/>
      <c r="AF76" s="12"/>
      <c r="AG76" s="12"/>
      <c r="AH76" s="12"/>
      <c r="AI76" s="12"/>
      <c r="AJ76" s="12"/>
      <c r="AK76" s="12"/>
      <c r="AL76" s="12"/>
      <c r="AM76" s="12"/>
    </row>
    <row r="77" spans="2:39" ht="14.4" customHeight="1">
      <c r="B77" s="90" t="s">
        <v>284</v>
      </c>
      <c r="C77" s="94">
        <f t="shared" ref="C77:D77" si="155">C74+C65</f>
        <v>141</v>
      </c>
      <c r="D77" s="94">
        <f t="shared" si="155"/>
        <v>131</v>
      </c>
      <c r="E77" s="94">
        <f t="shared" ref="E77:I77" si="156">E74+E65</f>
        <v>176</v>
      </c>
      <c r="F77" s="94">
        <f t="shared" si="156"/>
        <v>93</v>
      </c>
      <c r="G77" s="94"/>
      <c r="H77" s="94"/>
      <c r="I77" s="94">
        <f t="shared" si="156"/>
        <v>54</v>
      </c>
      <c r="J77" s="94"/>
      <c r="K77" s="94"/>
      <c r="L77" s="94"/>
      <c r="M77" s="94"/>
      <c r="N77" s="94"/>
      <c r="O77" s="94"/>
      <c r="P77" s="94"/>
      <c r="Q77" s="94"/>
      <c r="R77" s="94"/>
      <c r="S77" s="94"/>
      <c r="T77" s="94"/>
      <c r="U77" s="90" t="s">
        <v>308</v>
      </c>
      <c r="V77" s="219"/>
      <c r="W77" s="90"/>
      <c r="Y77" s="123">
        <v>50</v>
      </c>
      <c r="Z77" s="123"/>
      <c r="AA77" s="123"/>
      <c r="AB77" s="123">
        <v>0.224</v>
      </c>
      <c r="AC77" s="12"/>
      <c r="AD77" s="12"/>
      <c r="AE77" s="12"/>
      <c r="AF77" s="12"/>
      <c r="AG77" s="12"/>
      <c r="AH77" s="12"/>
      <c r="AI77" s="12"/>
      <c r="AJ77" s="12"/>
      <c r="AK77" s="12"/>
      <c r="AL77" s="12"/>
      <c r="AM77" s="12"/>
    </row>
    <row r="78" spans="2:39" ht="14.4" customHeight="1">
      <c r="B78" s="90" t="s">
        <v>285</v>
      </c>
      <c r="C78" s="97">
        <f t="shared" ref="C78:D78" si="157">ROUNDUP((C58+C67+C75),0)</f>
        <v>20798</v>
      </c>
      <c r="D78" s="97">
        <f t="shared" si="157"/>
        <v>19963</v>
      </c>
      <c r="E78" s="97">
        <f t="shared" ref="E78:I78" si="158">ROUNDUP((E58+E67+E75),0)</f>
        <v>22910</v>
      </c>
      <c r="F78" s="97">
        <f t="shared" si="158"/>
        <v>20880</v>
      </c>
      <c r="G78" s="97"/>
      <c r="H78" s="97"/>
      <c r="I78" s="97">
        <f t="shared" si="158"/>
        <v>20669</v>
      </c>
      <c r="J78" s="97"/>
      <c r="K78" s="97"/>
      <c r="L78" s="97"/>
      <c r="M78" s="97"/>
      <c r="N78" s="97"/>
      <c r="O78" s="97"/>
      <c r="P78" s="97"/>
      <c r="Q78" s="97"/>
      <c r="R78" s="97"/>
      <c r="S78" s="97"/>
      <c r="T78" s="97"/>
      <c r="U78" s="90" t="s">
        <v>308</v>
      </c>
      <c r="V78" s="219"/>
      <c r="W78" s="90"/>
      <c r="Y78" s="123">
        <v>100</v>
      </c>
      <c r="Z78" s="123"/>
      <c r="AA78" s="123"/>
      <c r="AB78" s="123">
        <v>0.161</v>
      </c>
      <c r="AC78" s="12"/>
      <c r="AD78" s="12"/>
      <c r="AE78" s="12"/>
      <c r="AF78" s="12"/>
      <c r="AG78" s="12"/>
      <c r="AH78" s="12"/>
      <c r="AI78" s="12"/>
      <c r="AJ78" s="12"/>
      <c r="AK78" s="12"/>
      <c r="AL78" s="12"/>
      <c r="AM78" s="12"/>
    </row>
    <row r="79" spans="2:39" ht="14.4" customHeight="1">
      <c r="B79" s="90" t="s">
        <v>286</v>
      </c>
      <c r="C79" s="99">
        <v>2</v>
      </c>
      <c r="D79" s="99">
        <v>2</v>
      </c>
      <c r="E79" s="99">
        <v>2</v>
      </c>
      <c r="F79" s="99">
        <v>2</v>
      </c>
      <c r="G79" s="99"/>
      <c r="H79" s="99"/>
      <c r="I79" s="99">
        <v>2</v>
      </c>
      <c r="J79" s="99"/>
      <c r="K79" s="99"/>
      <c r="L79" s="99"/>
      <c r="M79" s="99"/>
      <c r="N79" s="99"/>
      <c r="O79" s="99"/>
      <c r="P79" s="99"/>
      <c r="Q79" s="99"/>
      <c r="R79" s="99"/>
      <c r="S79" s="99"/>
      <c r="T79" s="99"/>
      <c r="U79" s="90"/>
      <c r="V79" s="219">
        <v>16</v>
      </c>
      <c r="W79" s="109" t="s">
        <v>325</v>
      </c>
      <c r="Y79" s="123">
        <v>200</v>
      </c>
      <c r="Z79" s="123"/>
      <c r="AA79" s="123"/>
      <c r="AB79" s="123">
        <v>7.7600000000000002E-2</v>
      </c>
      <c r="AC79" s="12"/>
      <c r="AD79" s="12"/>
      <c r="AE79" s="12"/>
      <c r="AF79" s="12"/>
      <c r="AG79" s="12"/>
      <c r="AH79" s="12"/>
      <c r="AI79" s="12"/>
      <c r="AJ79" s="12"/>
      <c r="AK79" s="12"/>
      <c r="AL79" s="12"/>
      <c r="AM79" s="12"/>
    </row>
    <row r="80" spans="2:39" ht="14.4" customHeight="1">
      <c r="B80" s="90" t="s">
        <v>287</v>
      </c>
      <c r="C80" s="100">
        <f t="shared" ref="C80:D80" si="159">C78*C79</f>
        <v>41596</v>
      </c>
      <c r="D80" s="100">
        <f t="shared" si="159"/>
        <v>39926</v>
      </c>
      <c r="E80" s="100">
        <f t="shared" ref="E80:I80" si="160">E78*E79</f>
        <v>45820</v>
      </c>
      <c r="F80" s="100">
        <f t="shared" si="160"/>
        <v>41760</v>
      </c>
      <c r="G80" s="100"/>
      <c r="H80" s="100"/>
      <c r="I80" s="100">
        <f t="shared" si="160"/>
        <v>41338</v>
      </c>
      <c r="J80" s="100"/>
      <c r="K80" s="100"/>
      <c r="L80" s="100"/>
      <c r="M80" s="100"/>
      <c r="N80" s="100"/>
      <c r="O80" s="100"/>
      <c r="P80" s="100"/>
      <c r="Q80" s="100"/>
      <c r="R80" s="100"/>
      <c r="S80" s="100"/>
      <c r="T80" s="100"/>
      <c r="U80" s="90" t="s">
        <v>311</v>
      </c>
      <c r="V80" s="219"/>
      <c r="W80" s="90"/>
      <c r="Y80" s="123">
        <v>300</v>
      </c>
      <c r="Z80" s="123"/>
      <c r="AA80" s="123"/>
      <c r="AB80" s="123">
        <v>5.2400000000000002E-2</v>
      </c>
      <c r="AC80" s="12"/>
      <c r="AD80" s="12"/>
      <c r="AE80" s="12"/>
      <c r="AF80" s="12"/>
      <c r="AG80" s="12"/>
      <c r="AH80" s="12"/>
      <c r="AI80" s="12"/>
      <c r="AJ80" s="12"/>
      <c r="AK80" s="12"/>
      <c r="AL80" s="12"/>
      <c r="AM80" s="12"/>
    </row>
    <row r="81" spans="2:39" ht="14.4" customHeight="1">
      <c r="B81" s="90" t="s">
        <v>288</v>
      </c>
      <c r="C81" s="101">
        <v>2400</v>
      </c>
      <c r="D81" s="101">
        <v>2400</v>
      </c>
      <c r="E81" s="101">
        <v>2400</v>
      </c>
      <c r="F81" s="101">
        <v>2400</v>
      </c>
      <c r="G81" s="101"/>
      <c r="H81" s="101"/>
      <c r="I81" s="101">
        <v>2400</v>
      </c>
      <c r="J81" s="101"/>
      <c r="K81" s="101"/>
      <c r="L81" s="101"/>
      <c r="M81" s="101"/>
      <c r="N81" s="101"/>
      <c r="O81" s="101"/>
      <c r="P81" s="101"/>
      <c r="Q81" s="101"/>
      <c r="R81" s="101"/>
      <c r="S81" s="101"/>
      <c r="T81" s="101"/>
      <c r="U81" s="90" t="s">
        <v>308</v>
      </c>
      <c r="V81" s="219">
        <v>17</v>
      </c>
      <c r="W81" s="109" t="s">
        <v>319</v>
      </c>
      <c r="Y81" s="12"/>
      <c r="Z81" s="12"/>
      <c r="AA81" s="12"/>
      <c r="AB81" s="12"/>
      <c r="AC81" s="12"/>
      <c r="AD81" s="12"/>
      <c r="AE81" s="12"/>
      <c r="AF81" s="12"/>
      <c r="AG81" s="12"/>
      <c r="AH81" s="12"/>
      <c r="AI81" s="12"/>
      <c r="AJ81" s="12"/>
      <c r="AK81" s="12"/>
      <c r="AL81" s="12"/>
      <c r="AM81" s="12"/>
    </row>
    <row r="82" spans="2:39" ht="14.4" customHeight="1">
      <c r="B82" s="90" t="s">
        <v>289</v>
      </c>
      <c r="C82" s="100">
        <f t="shared" ref="C82:D82" si="161">ROUNDUP(C80/C81*100,0)</f>
        <v>1734</v>
      </c>
      <c r="D82" s="100">
        <f t="shared" si="161"/>
        <v>1664</v>
      </c>
      <c r="E82" s="100">
        <f t="shared" ref="E82:I82" si="162">ROUNDUP(E80/E81*100,0)</f>
        <v>1910</v>
      </c>
      <c r="F82" s="100">
        <f t="shared" si="162"/>
        <v>1740</v>
      </c>
      <c r="G82" s="100"/>
      <c r="H82" s="100"/>
      <c r="I82" s="100">
        <f t="shared" si="162"/>
        <v>1723</v>
      </c>
      <c r="J82" s="100"/>
      <c r="K82" s="100"/>
      <c r="L82" s="100"/>
      <c r="M82" s="100"/>
      <c r="N82" s="100"/>
      <c r="O82" s="100"/>
      <c r="P82" s="100"/>
      <c r="Q82" s="100"/>
      <c r="R82" s="100"/>
      <c r="S82" s="100"/>
      <c r="T82" s="100"/>
      <c r="U82" s="90" t="s">
        <v>312</v>
      </c>
      <c r="V82" s="219"/>
      <c r="W82" s="109" t="s">
        <v>326</v>
      </c>
      <c r="Y82" s="251" t="s">
        <v>573</v>
      </c>
      <c r="Z82" s="251"/>
      <c r="AA82" s="251"/>
      <c r="AB82" s="12"/>
      <c r="AC82" s="251" t="s">
        <v>574</v>
      </c>
      <c r="AD82" s="251"/>
      <c r="AE82" s="251"/>
      <c r="AF82" s="12"/>
      <c r="AG82" s="12"/>
      <c r="AH82" s="12"/>
      <c r="AI82" s="12"/>
      <c r="AJ82" s="12"/>
      <c r="AK82" s="12"/>
      <c r="AL82" s="12"/>
      <c r="AM82" s="12"/>
    </row>
    <row r="83" spans="2:39" ht="14.4" customHeight="1">
      <c r="B83" s="90" t="s">
        <v>290</v>
      </c>
      <c r="C83" s="102">
        <v>6.4000000000000001E-2</v>
      </c>
      <c r="D83" s="102">
        <v>6.4000000000000001E-2</v>
      </c>
      <c r="E83" s="102">
        <v>6.4000000000000001E-2</v>
      </c>
      <c r="F83" s="102">
        <v>6.4000000000000001E-2</v>
      </c>
      <c r="G83" s="102"/>
      <c r="H83" s="102"/>
      <c r="I83" s="102">
        <v>6.4000000000000001E-2</v>
      </c>
      <c r="J83" s="102"/>
      <c r="K83" s="102"/>
      <c r="L83" s="102"/>
      <c r="M83" s="102"/>
      <c r="N83" s="102"/>
      <c r="O83" s="102"/>
      <c r="P83" s="102"/>
      <c r="Q83" s="102"/>
      <c r="R83" s="102"/>
      <c r="S83" s="102"/>
      <c r="T83" s="102"/>
      <c r="U83" s="90" t="s">
        <v>313</v>
      </c>
      <c r="V83" s="219">
        <v>18</v>
      </c>
      <c r="W83" s="110" t="s">
        <v>319</v>
      </c>
      <c r="Y83" s="125" t="s">
        <v>575</v>
      </c>
      <c r="Z83" s="125" t="s">
        <v>576</v>
      </c>
      <c r="AA83" s="125"/>
      <c r="AB83" s="12"/>
      <c r="AC83" s="125" t="s">
        <v>577</v>
      </c>
      <c r="AD83" s="125" t="s">
        <v>578</v>
      </c>
      <c r="AE83" s="125" t="s">
        <v>579</v>
      </c>
      <c r="AF83" s="12"/>
      <c r="AG83" s="12"/>
      <c r="AH83" s="12"/>
      <c r="AI83" s="12"/>
      <c r="AJ83" s="12"/>
      <c r="AK83" s="12"/>
      <c r="AL83" s="12"/>
      <c r="AM83" s="12"/>
    </row>
    <row r="84" spans="2:39" ht="14.4" customHeight="1">
      <c r="B84" s="90" t="s">
        <v>291</v>
      </c>
      <c r="C84" s="102">
        <v>0.1</v>
      </c>
      <c r="D84" s="102">
        <v>0.1</v>
      </c>
      <c r="E84" s="102">
        <v>0.1</v>
      </c>
      <c r="F84" s="102">
        <v>0.1</v>
      </c>
      <c r="G84" s="102"/>
      <c r="H84" s="102"/>
      <c r="I84" s="102">
        <v>0.1</v>
      </c>
      <c r="J84" s="102"/>
      <c r="K84" s="102"/>
      <c r="L84" s="102"/>
      <c r="M84" s="102"/>
      <c r="N84" s="102"/>
      <c r="O84" s="102"/>
      <c r="P84" s="102"/>
      <c r="Q84" s="102"/>
      <c r="R84" s="102"/>
      <c r="S84" s="102"/>
      <c r="T84" s="102"/>
      <c r="U84" s="90" t="s">
        <v>314</v>
      </c>
      <c r="V84" s="219">
        <v>19</v>
      </c>
      <c r="W84" s="110" t="s">
        <v>319</v>
      </c>
      <c r="Y84" s="32" t="s">
        <v>580</v>
      </c>
      <c r="Z84" s="32">
        <v>183</v>
      </c>
      <c r="AA84" s="32" t="s">
        <v>581</v>
      </c>
      <c r="AB84" s="12"/>
      <c r="AC84" s="126" t="s">
        <v>582</v>
      </c>
      <c r="AD84" s="126" t="s">
        <v>583</v>
      </c>
      <c r="AE84" s="127" t="s">
        <v>584</v>
      </c>
      <c r="AF84" s="12"/>
      <c r="AG84" s="12"/>
      <c r="AH84" s="12"/>
      <c r="AI84" s="12"/>
      <c r="AJ84" s="12"/>
      <c r="AK84" s="12"/>
      <c r="AL84" s="12"/>
      <c r="AM84" s="12"/>
    </row>
    <row r="85" spans="2:39" ht="14.4" customHeight="1">
      <c r="B85" s="90" t="s">
        <v>292</v>
      </c>
      <c r="C85" s="103">
        <f t="shared" ref="C85:D86" si="163">125-C83*C76</f>
        <v>-1192.3135230813875</v>
      </c>
      <c r="D85" s="103">
        <f t="shared" si="163"/>
        <v>-1139.7594561971291</v>
      </c>
      <c r="E85" s="103">
        <f t="shared" ref="E85:I85" si="164">125-E83*E76</f>
        <v>-1324.8358828198197</v>
      </c>
      <c r="F85" s="103">
        <f t="shared" si="164"/>
        <v>-1200.6747199761328</v>
      </c>
      <c r="G85" s="103"/>
      <c r="H85" s="103"/>
      <c r="I85" s="103">
        <f t="shared" si="164"/>
        <v>-1189.7009153411045</v>
      </c>
      <c r="J85" s="103"/>
      <c r="K85" s="103"/>
      <c r="L85" s="103"/>
      <c r="M85" s="103"/>
      <c r="N85" s="103"/>
      <c r="O85" s="103"/>
      <c r="P85" s="103"/>
      <c r="Q85" s="103"/>
      <c r="R85" s="103"/>
      <c r="S85" s="103"/>
      <c r="T85" s="103"/>
      <c r="U85" s="108" t="s">
        <v>315</v>
      </c>
      <c r="V85" s="219"/>
      <c r="W85" s="109" t="s">
        <v>327</v>
      </c>
      <c r="Y85" s="32" t="s">
        <v>585</v>
      </c>
      <c r="Z85" s="32">
        <v>75</v>
      </c>
      <c r="AA85" s="32" t="s">
        <v>581</v>
      </c>
      <c r="AB85" s="12"/>
      <c r="AC85" s="126" t="s">
        <v>586</v>
      </c>
      <c r="AD85" s="126" t="s">
        <v>587</v>
      </c>
      <c r="AE85" s="127" t="s">
        <v>588</v>
      </c>
      <c r="AF85" s="12"/>
      <c r="AG85" s="12"/>
      <c r="AH85" s="12"/>
      <c r="AI85" s="12"/>
      <c r="AJ85" s="12"/>
      <c r="AK85" s="12"/>
      <c r="AL85" s="12"/>
      <c r="AM85" s="12"/>
    </row>
    <row r="86" spans="2:39" ht="14.4" customHeight="1">
      <c r="B86" s="90" t="s">
        <v>293</v>
      </c>
      <c r="C86" s="92">
        <f t="shared" si="163"/>
        <v>110.9</v>
      </c>
      <c r="D86" s="92">
        <f t="shared" si="163"/>
        <v>111.9</v>
      </c>
      <c r="E86" s="92">
        <f t="shared" ref="E86:I86" si="165">125-E84*E77</f>
        <v>107.4</v>
      </c>
      <c r="F86" s="92">
        <f t="shared" si="165"/>
        <v>115.7</v>
      </c>
      <c r="G86" s="92"/>
      <c r="H86" s="92"/>
      <c r="I86" s="92">
        <f t="shared" si="165"/>
        <v>119.6</v>
      </c>
      <c r="J86" s="92"/>
      <c r="K86" s="92"/>
      <c r="L86" s="92"/>
      <c r="M86" s="92"/>
      <c r="N86" s="92"/>
      <c r="O86" s="92"/>
      <c r="P86" s="92"/>
      <c r="Q86" s="92"/>
      <c r="R86" s="92"/>
      <c r="S86" s="92"/>
      <c r="T86" s="92"/>
      <c r="U86" s="108" t="s">
        <v>315</v>
      </c>
      <c r="V86" s="219"/>
      <c r="W86" s="90"/>
      <c r="Y86" s="32" t="s">
        <v>589</v>
      </c>
      <c r="Z86" s="32">
        <v>9</v>
      </c>
      <c r="AA86" s="32" t="s">
        <v>118</v>
      </c>
      <c r="AB86" s="12"/>
      <c r="AC86" s="126" t="s">
        <v>590</v>
      </c>
      <c r="AD86" s="126" t="s">
        <v>591</v>
      </c>
      <c r="AE86" s="127" t="s">
        <v>592</v>
      </c>
      <c r="AF86" s="12"/>
      <c r="AG86" s="12"/>
      <c r="AH86" s="12"/>
      <c r="AI86" s="12"/>
      <c r="AJ86" s="12"/>
      <c r="AK86" s="12"/>
      <c r="AL86" s="12"/>
      <c r="AM86" s="12"/>
    </row>
    <row r="87" spans="2:39" ht="14.4" customHeight="1">
      <c r="B87" s="90" t="s">
        <v>294</v>
      </c>
      <c r="C87" s="92">
        <f t="shared" ref="C87:D88" si="166">C83*C76</f>
        <v>1317.3135230813875</v>
      </c>
      <c r="D87" s="92">
        <f t="shared" si="166"/>
        <v>1264.7594561971291</v>
      </c>
      <c r="E87" s="92">
        <f t="shared" ref="E87:I87" si="167">E83*E76</f>
        <v>1449.8358828198197</v>
      </c>
      <c r="F87" s="92">
        <f t="shared" si="167"/>
        <v>1325.6747199761328</v>
      </c>
      <c r="G87" s="92"/>
      <c r="H87" s="92"/>
      <c r="I87" s="92">
        <f t="shared" si="167"/>
        <v>1314.7009153411045</v>
      </c>
      <c r="J87" s="92"/>
      <c r="K87" s="92"/>
      <c r="L87" s="92"/>
      <c r="M87" s="92"/>
      <c r="N87" s="92"/>
      <c r="O87" s="92"/>
      <c r="P87" s="92"/>
      <c r="Q87" s="92"/>
      <c r="R87" s="92"/>
      <c r="S87" s="92"/>
      <c r="T87" s="92"/>
      <c r="U87" s="108" t="s">
        <v>315</v>
      </c>
      <c r="V87" s="219"/>
      <c r="W87" s="90"/>
      <c r="Y87" s="32" t="s">
        <v>593</v>
      </c>
      <c r="Z87" s="32">
        <v>6</v>
      </c>
      <c r="AA87" s="32" t="s">
        <v>581</v>
      </c>
      <c r="AB87" s="12"/>
      <c r="AC87" s="126" t="s">
        <v>594</v>
      </c>
      <c r="AD87" s="126" t="s">
        <v>595</v>
      </c>
      <c r="AE87" s="127" t="s">
        <v>596</v>
      </c>
      <c r="AF87" s="12"/>
      <c r="AG87" s="12"/>
      <c r="AH87" s="12"/>
      <c r="AI87" s="12"/>
      <c r="AJ87" s="12"/>
      <c r="AK87" s="12"/>
      <c r="AL87" s="12"/>
      <c r="AM87" s="12"/>
    </row>
    <row r="88" spans="2:39" ht="14.4" customHeight="1">
      <c r="B88" s="90" t="s">
        <v>295</v>
      </c>
      <c r="C88" s="92">
        <f t="shared" si="166"/>
        <v>14.100000000000001</v>
      </c>
      <c r="D88" s="92">
        <f t="shared" si="166"/>
        <v>13.100000000000001</v>
      </c>
      <c r="E88" s="92">
        <f t="shared" ref="E88:I88" si="168">E84*E77</f>
        <v>17.600000000000001</v>
      </c>
      <c r="F88" s="92">
        <f t="shared" si="168"/>
        <v>9.3000000000000007</v>
      </c>
      <c r="G88" s="92"/>
      <c r="H88" s="92"/>
      <c r="I88" s="92">
        <f t="shared" si="168"/>
        <v>5.4</v>
      </c>
      <c r="J88" s="92"/>
      <c r="K88" s="92"/>
      <c r="L88" s="92"/>
      <c r="M88" s="92"/>
      <c r="N88" s="92"/>
      <c r="O88" s="92"/>
      <c r="P88" s="92"/>
      <c r="Q88" s="92"/>
      <c r="R88" s="92"/>
      <c r="S88" s="92"/>
      <c r="T88" s="92"/>
      <c r="U88" s="108" t="s">
        <v>315</v>
      </c>
      <c r="V88" s="219"/>
      <c r="W88" s="90"/>
      <c r="Y88" s="32" t="s">
        <v>597</v>
      </c>
      <c r="Z88" s="32">
        <v>12</v>
      </c>
      <c r="AA88" s="32" t="s">
        <v>581</v>
      </c>
      <c r="AB88" s="12"/>
      <c r="AC88" s="126" t="s">
        <v>598</v>
      </c>
      <c r="AD88" s="126" t="s">
        <v>599</v>
      </c>
      <c r="AE88" s="127" t="s">
        <v>600</v>
      </c>
      <c r="AF88" s="12"/>
      <c r="AG88" s="12"/>
      <c r="AH88" s="12"/>
      <c r="AI88" s="12"/>
      <c r="AJ88" s="12"/>
      <c r="AK88" s="12"/>
      <c r="AL88" s="12"/>
      <c r="AM88" s="12"/>
    </row>
    <row r="89" spans="2:39" ht="14.4" customHeight="1">
      <c r="B89" s="90" t="s">
        <v>296</v>
      </c>
      <c r="C89" s="102">
        <v>0.03</v>
      </c>
      <c r="D89" s="102">
        <v>0.03</v>
      </c>
      <c r="E89" s="102">
        <v>0.03</v>
      </c>
      <c r="F89" s="102">
        <v>0.03</v>
      </c>
      <c r="G89" s="102"/>
      <c r="H89" s="102"/>
      <c r="I89" s="102">
        <v>0.03</v>
      </c>
      <c r="J89" s="102"/>
      <c r="K89" s="102"/>
      <c r="L89" s="102"/>
      <c r="M89" s="102"/>
      <c r="N89" s="102"/>
      <c r="O89" s="102"/>
      <c r="P89" s="102"/>
      <c r="Q89" s="102"/>
      <c r="R89" s="102"/>
      <c r="S89" s="102"/>
      <c r="T89" s="102"/>
      <c r="U89" s="90" t="s">
        <v>314</v>
      </c>
      <c r="V89" s="219">
        <v>20</v>
      </c>
      <c r="W89" s="90" t="s">
        <v>319</v>
      </c>
      <c r="Y89" s="32" t="s">
        <v>601</v>
      </c>
      <c r="Z89" s="32">
        <v>78.540000000000006</v>
      </c>
      <c r="AA89" s="32" t="s">
        <v>581</v>
      </c>
      <c r="AB89" s="12"/>
      <c r="AC89" s="126" t="s">
        <v>602</v>
      </c>
      <c r="AD89" s="126" t="s">
        <v>603</v>
      </c>
      <c r="AE89" s="127" t="s">
        <v>604</v>
      </c>
      <c r="AF89" s="12"/>
      <c r="AG89" s="12"/>
      <c r="AH89" s="12"/>
      <c r="AI89" s="12"/>
      <c r="AJ89" s="12"/>
      <c r="AK89" s="12"/>
      <c r="AL89" s="12"/>
      <c r="AM89" s="12"/>
    </row>
    <row r="90" spans="2:39" ht="14.4" customHeight="1">
      <c r="B90" s="90" t="s">
        <v>297</v>
      </c>
      <c r="C90" s="102">
        <v>0.06</v>
      </c>
      <c r="D90" s="102">
        <v>0.06</v>
      </c>
      <c r="E90" s="102">
        <v>0.06</v>
      </c>
      <c r="F90" s="102">
        <v>0.06</v>
      </c>
      <c r="G90" s="102"/>
      <c r="H90" s="102"/>
      <c r="I90" s="102">
        <v>0.06</v>
      </c>
      <c r="J90" s="102"/>
      <c r="K90" s="102"/>
      <c r="L90" s="102"/>
      <c r="M90" s="102"/>
      <c r="N90" s="102"/>
      <c r="O90" s="102"/>
      <c r="P90" s="102"/>
      <c r="Q90" s="102"/>
      <c r="R90" s="102"/>
      <c r="S90" s="102"/>
      <c r="T90" s="102"/>
      <c r="U90" s="90" t="s">
        <v>314</v>
      </c>
      <c r="V90" s="219">
        <v>21</v>
      </c>
      <c r="W90" s="90" t="s">
        <v>319</v>
      </c>
    </row>
    <row r="91" spans="2:39" ht="14.4" customHeight="1">
      <c r="B91" s="90" t="s">
        <v>298</v>
      </c>
      <c r="C91" s="104">
        <f t="shared" ref="C91:D92" si="169">C85-C89*C76</f>
        <v>-1809.8042370257879</v>
      </c>
      <c r="D91" s="104">
        <f t="shared" si="169"/>
        <v>-1732.6154512895332</v>
      </c>
      <c r="E91" s="104">
        <f t="shared" ref="E91:I91" si="170">E85-E89*E76</f>
        <v>-2004.4464528916101</v>
      </c>
      <c r="F91" s="104">
        <f t="shared" si="170"/>
        <v>-1822.084744964945</v>
      </c>
      <c r="G91" s="104"/>
      <c r="H91" s="104"/>
      <c r="I91" s="104">
        <f t="shared" si="170"/>
        <v>-1805.9669694072472</v>
      </c>
      <c r="J91" s="104"/>
      <c r="K91" s="104"/>
      <c r="L91" s="104"/>
      <c r="M91" s="104"/>
      <c r="N91" s="104"/>
      <c r="O91" s="104"/>
      <c r="P91" s="104"/>
      <c r="Q91" s="104"/>
      <c r="R91" s="104"/>
      <c r="S91" s="104"/>
      <c r="T91" s="104"/>
      <c r="U91" s="108" t="s">
        <v>315</v>
      </c>
      <c r="V91" s="219"/>
      <c r="W91" s="90" t="s">
        <v>327</v>
      </c>
    </row>
    <row r="92" spans="2:39" ht="14.4" customHeight="1">
      <c r="B92" s="90" t="s">
        <v>299</v>
      </c>
      <c r="C92" s="92">
        <f t="shared" si="169"/>
        <v>102.44000000000001</v>
      </c>
      <c r="D92" s="92">
        <f t="shared" si="169"/>
        <v>104.04</v>
      </c>
      <c r="E92" s="92">
        <f t="shared" ref="E92:I92" si="171">E86-E90*E77</f>
        <v>96.84</v>
      </c>
      <c r="F92" s="92">
        <f t="shared" si="171"/>
        <v>110.12</v>
      </c>
      <c r="G92" s="92"/>
      <c r="H92" s="92"/>
      <c r="I92" s="92">
        <f t="shared" si="171"/>
        <v>116.36</v>
      </c>
      <c r="J92" s="92"/>
      <c r="K92" s="92"/>
      <c r="L92" s="92"/>
      <c r="M92" s="92"/>
      <c r="N92" s="92"/>
      <c r="O92" s="92"/>
      <c r="P92" s="92"/>
      <c r="Q92" s="92"/>
      <c r="R92" s="92"/>
      <c r="S92" s="92"/>
      <c r="T92" s="92"/>
      <c r="U92" s="108" t="s">
        <v>315</v>
      </c>
      <c r="V92" s="219"/>
      <c r="W92" s="90"/>
    </row>
    <row r="93" spans="2:39" ht="14.4" customHeight="1">
      <c r="B93" s="90" t="s">
        <v>300</v>
      </c>
      <c r="C93" s="92">
        <f t="shared" ref="C93:D94" si="172">C89*C76</f>
        <v>617.49071394440034</v>
      </c>
      <c r="D93" s="92">
        <f t="shared" si="172"/>
        <v>592.85599509240421</v>
      </c>
      <c r="E93" s="92">
        <f t="shared" ref="E93:I93" si="173">E89*E76</f>
        <v>679.61057007179045</v>
      </c>
      <c r="F93" s="92">
        <f t="shared" si="173"/>
        <v>621.41002498881221</v>
      </c>
      <c r="G93" s="92"/>
      <c r="H93" s="92"/>
      <c r="I93" s="92">
        <f t="shared" si="173"/>
        <v>616.2660540661426</v>
      </c>
      <c r="J93" s="92"/>
      <c r="K93" s="92"/>
      <c r="L93" s="92"/>
      <c r="M93" s="92"/>
      <c r="N93" s="92"/>
      <c r="O93" s="92"/>
      <c r="P93" s="92"/>
      <c r="Q93" s="92"/>
      <c r="R93" s="92"/>
      <c r="S93" s="92"/>
      <c r="T93" s="92"/>
      <c r="U93" s="108" t="s">
        <v>315</v>
      </c>
      <c r="V93" s="219"/>
      <c r="W93" s="90"/>
    </row>
    <row r="94" spans="2:39" ht="14.4" customHeight="1">
      <c r="B94" s="90" t="s">
        <v>301</v>
      </c>
      <c r="C94" s="92">
        <f t="shared" si="172"/>
        <v>8.4599999999999991</v>
      </c>
      <c r="D94" s="92">
        <f t="shared" si="172"/>
        <v>7.8599999999999994</v>
      </c>
      <c r="E94" s="92">
        <f t="shared" ref="E94:I94" si="174">E90*E77</f>
        <v>10.559999999999999</v>
      </c>
      <c r="F94" s="92">
        <f t="shared" si="174"/>
        <v>5.58</v>
      </c>
      <c r="G94" s="92"/>
      <c r="H94" s="92"/>
      <c r="I94" s="92">
        <f t="shared" si="174"/>
        <v>3.2399999999999998</v>
      </c>
      <c r="J94" s="92"/>
      <c r="K94" s="92"/>
      <c r="L94" s="92"/>
      <c r="M94" s="92"/>
      <c r="N94" s="92"/>
      <c r="O94" s="92"/>
      <c r="P94" s="92"/>
      <c r="Q94" s="92"/>
      <c r="R94" s="92"/>
      <c r="S94" s="92"/>
      <c r="T94" s="92"/>
      <c r="U94" s="108" t="s">
        <v>315</v>
      </c>
      <c r="V94" s="219"/>
      <c r="W94" s="90"/>
    </row>
    <row r="95" spans="2:39" ht="14.4" customHeight="1">
      <c r="B95" s="90" t="s">
        <v>302</v>
      </c>
      <c r="C95" s="92">
        <v>60</v>
      </c>
      <c r="D95" s="92">
        <v>60</v>
      </c>
      <c r="E95" s="92">
        <v>60</v>
      </c>
      <c r="F95" s="92">
        <v>60</v>
      </c>
      <c r="G95" s="92"/>
      <c r="H95" s="92"/>
      <c r="I95" s="92">
        <v>60</v>
      </c>
      <c r="J95" s="92"/>
      <c r="K95" s="92"/>
      <c r="L95" s="92"/>
      <c r="M95" s="92"/>
      <c r="N95" s="92"/>
      <c r="O95" s="92"/>
      <c r="P95" s="92"/>
      <c r="Q95" s="92"/>
      <c r="R95" s="92"/>
      <c r="S95" s="92"/>
      <c r="T95" s="92"/>
      <c r="U95" s="108" t="s">
        <v>315</v>
      </c>
      <c r="V95" s="219"/>
      <c r="W95" s="90" t="s">
        <v>328</v>
      </c>
    </row>
    <row r="96" spans="2:39" ht="14.4" customHeight="1">
      <c r="B96" s="90" t="s">
        <v>303</v>
      </c>
      <c r="C96" s="105">
        <v>8</v>
      </c>
      <c r="D96" s="105">
        <v>8</v>
      </c>
      <c r="E96" s="105">
        <v>8</v>
      </c>
      <c r="F96" s="105">
        <v>8</v>
      </c>
      <c r="G96" s="105"/>
      <c r="H96" s="105"/>
      <c r="I96" s="105">
        <v>8</v>
      </c>
      <c r="J96" s="105"/>
      <c r="K96" s="105"/>
      <c r="L96" s="105"/>
      <c r="M96" s="105"/>
      <c r="N96" s="105"/>
      <c r="O96" s="105"/>
      <c r="P96" s="105"/>
      <c r="Q96" s="105"/>
      <c r="R96" s="105"/>
      <c r="S96" s="105"/>
      <c r="T96" s="105"/>
      <c r="U96" s="108" t="s">
        <v>316</v>
      </c>
      <c r="V96" s="219"/>
      <c r="W96" s="90" t="s">
        <v>329</v>
      </c>
    </row>
    <row r="97" spans="2:23" ht="14.4" customHeight="1">
      <c r="B97" s="90" t="s">
        <v>304</v>
      </c>
      <c r="C97" s="106">
        <f t="shared" ref="C97:D97" si="175">C95-(C80/1000*860/C96/60)</f>
        <v>-14.526166666666668</v>
      </c>
      <c r="D97" s="106">
        <f t="shared" si="175"/>
        <v>-11.534083333333328</v>
      </c>
      <c r="E97" s="106">
        <f t="shared" ref="E97:I97" si="176">E95-(E80/1000*860/E96/60)</f>
        <v>-22.094166666666666</v>
      </c>
      <c r="F97" s="106">
        <f t="shared" si="176"/>
        <v>-14.819999999999993</v>
      </c>
      <c r="G97" s="106"/>
      <c r="H97" s="106"/>
      <c r="I97" s="106">
        <f t="shared" si="176"/>
        <v>-14.063916666666671</v>
      </c>
      <c r="J97" s="106"/>
      <c r="K97" s="106"/>
      <c r="L97" s="106"/>
      <c r="M97" s="106"/>
      <c r="N97" s="106"/>
      <c r="O97" s="106"/>
      <c r="P97" s="106"/>
      <c r="Q97" s="106"/>
      <c r="R97" s="106"/>
      <c r="S97" s="106"/>
      <c r="T97" s="106"/>
      <c r="U97" s="108" t="s">
        <v>315</v>
      </c>
      <c r="V97" s="219"/>
      <c r="W97" s="90"/>
    </row>
  </sheetData>
  <mergeCells count="31">
    <mergeCell ref="Y82:AA82"/>
    <mergeCell ref="AC82:AE82"/>
    <mergeCell ref="AC44:AE44"/>
    <mergeCell ref="Y49:AA49"/>
    <mergeCell ref="AC50:AE50"/>
    <mergeCell ref="Y61:AA61"/>
    <mergeCell ref="AG61:AI61"/>
    <mergeCell ref="AD32:AE32"/>
    <mergeCell ref="AK32:AM32"/>
    <mergeCell ref="AK38:AM38"/>
    <mergeCell ref="Y40:AA40"/>
    <mergeCell ref="AG41:AI41"/>
    <mergeCell ref="AK43:AM43"/>
    <mergeCell ref="AK19:AM19"/>
    <mergeCell ref="AC21:AE21"/>
    <mergeCell ref="AG22:AI22"/>
    <mergeCell ref="AK51:AM51"/>
    <mergeCell ref="Y55:AA55"/>
    <mergeCell ref="AG3:AI3"/>
    <mergeCell ref="AK3:AM3"/>
    <mergeCell ref="AC10:AE10"/>
    <mergeCell ref="AK10:AM10"/>
    <mergeCell ref="AC15:AE15"/>
    <mergeCell ref="G2:I2"/>
    <mergeCell ref="C2:F2"/>
    <mergeCell ref="Y29:AA29"/>
    <mergeCell ref="Y3:AA3"/>
    <mergeCell ref="AC3:AE3"/>
    <mergeCell ref="Y16:AA16"/>
    <mergeCell ref="L2:O2"/>
    <mergeCell ref="P2:R2"/>
  </mergeCells>
  <phoneticPr fontId="8" type="noConversion"/>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
  <sheetViews>
    <sheetView workbookViewId="0">
      <selection activeCell="F24" sqref="F24"/>
    </sheetView>
  </sheetViews>
  <sheetFormatPr defaultRowHeight="14.4"/>
  <cols>
    <col min="2" max="2" width="3.19921875" customWidth="1"/>
    <col min="3" max="3" width="52.59765625" customWidth="1"/>
    <col min="4" max="4" width="18.796875" customWidth="1"/>
    <col min="5" max="5" width="4.296875" customWidth="1"/>
    <col min="6" max="6" width="28.796875" bestFit="1" customWidth="1"/>
  </cols>
  <sheetData>
    <row r="1" spans="2:11">
      <c r="F1" t="s">
        <v>121</v>
      </c>
      <c r="I1" t="s">
        <v>120</v>
      </c>
    </row>
    <row r="2" spans="2:11" ht="19.2">
      <c r="C2" s="62" t="s">
        <v>87</v>
      </c>
      <c r="F2" s="61" t="s">
        <v>18</v>
      </c>
      <c r="G2" s="61"/>
      <c r="H2" s="61"/>
      <c r="I2" s="63" t="s">
        <v>18</v>
      </c>
      <c r="J2" s="63"/>
      <c r="K2" s="63"/>
    </row>
    <row r="3" spans="2:11">
      <c r="B3" s="59"/>
      <c r="C3" s="59" t="s">
        <v>86</v>
      </c>
      <c r="D3" s="59" t="s">
        <v>85</v>
      </c>
      <c r="F3" s="61"/>
      <c r="G3" s="61"/>
      <c r="H3" s="61"/>
      <c r="I3" s="63"/>
      <c r="J3" s="63"/>
      <c r="K3" s="63"/>
    </row>
    <row r="4" spans="2:11" s="48" customFormat="1" ht="15.6">
      <c r="B4" s="51">
        <v>1</v>
      </c>
      <c r="C4" s="60" t="s">
        <v>83</v>
      </c>
      <c r="D4" s="67" t="s">
        <v>195</v>
      </c>
      <c r="F4" s="61" t="s">
        <v>3</v>
      </c>
      <c r="G4" s="61">
        <v>23</v>
      </c>
      <c r="H4" s="61" t="s">
        <v>4</v>
      </c>
      <c r="I4" s="63" t="s">
        <v>3</v>
      </c>
      <c r="J4" s="63">
        <v>23</v>
      </c>
      <c r="K4" s="63" t="s">
        <v>4</v>
      </c>
    </row>
    <row r="5" spans="2:11" s="48" customFormat="1" ht="15.6">
      <c r="B5" s="51">
        <v>2</v>
      </c>
      <c r="C5" s="60" t="s">
        <v>1008</v>
      </c>
      <c r="D5" s="51"/>
      <c r="F5" s="61" t="s">
        <v>5</v>
      </c>
      <c r="G5" s="61">
        <v>132</v>
      </c>
      <c r="H5" s="61" t="s">
        <v>6</v>
      </c>
      <c r="I5" s="63" t="s">
        <v>5</v>
      </c>
      <c r="J5" s="63">
        <v>132</v>
      </c>
      <c r="K5" s="63" t="s">
        <v>6</v>
      </c>
    </row>
    <row r="6" spans="2:11" s="48" customFormat="1" ht="15.6">
      <c r="B6" s="51">
        <v>3</v>
      </c>
      <c r="C6" s="60" t="s">
        <v>1009</v>
      </c>
      <c r="D6" s="51"/>
      <c r="F6" s="61" t="s">
        <v>7</v>
      </c>
      <c r="G6" s="61">
        <v>500</v>
      </c>
      <c r="H6" s="61" t="s">
        <v>6</v>
      </c>
      <c r="I6" s="63" t="s">
        <v>7</v>
      </c>
      <c r="J6" s="63">
        <v>550</v>
      </c>
      <c r="K6" s="63" t="s">
        <v>6</v>
      </c>
    </row>
    <row r="7" spans="2:11" s="48" customFormat="1" ht="15.6">
      <c r="B7" s="51">
        <v>4</v>
      </c>
      <c r="C7" s="60" t="s">
        <v>1010</v>
      </c>
      <c r="D7" s="51"/>
      <c r="F7" s="61" t="s">
        <v>8</v>
      </c>
      <c r="G7" s="61">
        <f>(G5*G4)*(G5*G4)/(101.6*(4.5*G5+10*G6))</f>
        <v>16.217629124568223</v>
      </c>
      <c r="H7" s="61" t="s">
        <v>9</v>
      </c>
      <c r="I7" s="63" t="s">
        <v>8</v>
      </c>
      <c r="J7" s="63">
        <f>(J5*J4)*(J5*J4)/(101.6*(4.5*J5+10*J6))</f>
        <v>14.887006452713266</v>
      </c>
      <c r="K7" s="63" t="s">
        <v>9</v>
      </c>
    </row>
    <row r="8" spans="2:11" s="48" customFormat="1" ht="15.6">
      <c r="B8" s="51">
        <v>5</v>
      </c>
      <c r="C8" s="60" t="s">
        <v>1011</v>
      </c>
      <c r="D8" s="51"/>
      <c r="F8" s="61" t="s">
        <v>194</v>
      </c>
      <c r="G8" s="61">
        <f>G7*2/2</f>
        <v>16.217629124568223</v>
      </c>
      <c r="H8" s="61" t="s">
        <v>9</v>
      </c>
      <c r="I8" s="63" t="s">
        <v>19</v>
      </c>
      <c r="J8" s="63">
        <f>J7*2/2</f>
        <v>14.887006452713266</v>
      </c>
      <c r="K8" s="63"/>
    </row>
    <row r="9" spans="2:11" s="48" customFormat="1" ht="15.6">
      <c r="B9" s="51">
        <v>6</v>
      </c>
      <c r="C9" s="60"/>
      <c r="D9" s="51"/>
      <c r="F9" s="65" t="s">
        <v>122</v>
      </c>
      <c r="G9" s="65">
        <v>79.8</v>
      </c>
      <c r="H9" s="65" t="s">
        <v>2</v>
      </c>
      <c r="I9" s="66" t="s">
        <v>122</v>
      </c>
      <c r="J9" s="66">
        <v>79.8</v>
      </c>
      <c r="K9" s="66" t="s">
        <v>2</v>
      </c>
    </row>
    <row r="10" spans="2:11" s="48" customFormat="1" ht="31.2">
      <c r="B10" s="51">
        <v>7</v>
      </c>
      <c r="C10" s="60" t="s">
        <v>84</v>
      </c>
      <c r="D10" s="51"/>
      <c r="F10" s="65" t="s">
        <v>123</v>
      </c>
      <c r="G10" s="65">
        <f>G8*G9/100</f>
        <v>12.941668041405443</v>
      </c>
      <c r="H10" s="61" t="s">
        <v>9</v>
      </c>
      <c r="I10" s="66" t="s">
        <v>123</v>
      </c>
      <c r="J10" s="66">
        <f>J8*J9/100</f>
        <v>11.879831149265184</v>
      </c>
      <c r="K10" s="63" t="s">
        <v>9</v>
      </c>
    </row>
  </sheetData>
  <phoneticPr fontId="8" type="noConversion"/>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4"/>
  <sheetViews>
    <sheetView workbookViewId="0">
      <selection activeCell="F20" sqref="F20"/>
    </sheetView>
  </sheetViews>
  <sheetFormatPr defaultRowHeight="14.4"/>
  <cols>
    <col min="2" max="2" width="22.19921875" bestFit="1" customWidth="1"/>
    <col min="3" max="3" width="55.19921875" customWidth="1"/>
    <col min="4" max="4" width="47.69921875" customWidth="1"/>
  </cols>
  <sheetData>
    <row r="2" spans="2:4" ht="15" thickBot="1"/>
    <row r="3" spans="2:4" ht="16.2" thickBot="1">
      <c r="B3" s="1" t="s">
        <v>20</v>
      </c>
      <c r="C3" s="2" t="s">
        <v>857</v>
      </c>
      <c r="D3" s="2" t="s">
        <v>21</v>
      </c>
    </row>
    <row r="4" spans="2:4" ht="16.2" thickBot="1">
      <c r="B4" s="3" t="s">
        <v>858</v>
      </c>
      <c r="C4" s="1" t="s">
        <v>859</v>
      </c>
      <c r="D4" s="1"/>
    </row>
    <row r="5" spans="2:4" ht="15.6">
      <c r="B5" s="4" t="s">
        <v>22</v>
      </c>
      <c r="C5" s="5" t="s">
        <v>860</v>
      </c>
      <c r="D5" s="5"/>
    </row>
    <row r="6" spans="2:4" ht="15.6">
      <c r="B6" s="4" t="s">
        <v>23</v>
      </c>
      <c r="C6" s="5" t="s">
        <v>861</v>
      </c>
      <c r="D6" s="5"/>
    </row>
    <row r="7" spans="2:4" ht="15.6">
      <c r="B7" s="4" t="s">
        <v>862</v>
      </c>
      <c r="C7" s="6" t="s">
        <v>863</v>
      </c>
      <c r="D7" s="6"/>
    </row>
    <row r="8" spans="2:4" ht="15.6">
      <c r="B8" s="4" t="s">
        <v>24</v>
      </c>
      <c r="C8" s="6" t="s">
        <v>864</v>
      </c>
      <c r="D8" s="6"/>
    </row>
    <row r="9" spans="2:4" ht="15.6">
      <c r="B9" s="4" t="s">
        <v>865</v>
      </c>
      <c r="C9" s="6" t="s">
        <v>866</v>
      </c>
      <c r="D9" s="6"/>
    </row>
    <row r="10" spans="2:4" ht="15.6">
      <c r="B10" s="4" t="s">
        <v>25</v>
      </c>
      <c r="C10" s="7" t="s">
        <v>867</v>
      </c>
      <c r="D10" s="7"/>
    </row>
    <row r="11" spans="2:4" ht="15.6">
      <c r="B11" s="4" t="s">
        <v>26</v>
      </c>
      <c r="C11" s="7" t="s">
        <v>868</v>
      </c>
      <c r="D11" s="7"/>
    </row>
    <row r="12" spans="2:4" ht="15.6">
      <c r="B12" s="4" t="s">
        <v>869</v>
      </c>
      <c r="C12" s="6" t="s">
        <v>690</v>
      </c>
      <c r="D12" s="6"/>
    </row>
    <row r="13" spans="2:4" ht="15.6">
      <c r="B13" s="4" t="s">
        <v>870</v>
      </c>
      <c r="C13" s="6" t="s">
        <v>871</v>
      </c>
      <c r="D13" s="6" t="s">
        <v>872</v>
      </c>
    </row>
    <row r="14" spans="2:4" ht="15.6">
      <c r="B14" s="4" t="s">
        <v>873</v>
      </c>
      <c r="C14" s="7" t="s">
        <v>874</v>
      </c>
      <c r="D14" s="7" t="s">
        <v>875</v>
      </c>
    </row>
    <row r="15" spans="2:4" ht="15.6">
      <c r="B15" s="4" t="s">
        <v>876</v>
      </c>
      <c r="C15" s="64" t="s">
        <v>877</v>
      </c>
      <c r="D15" s="7"/>
    </row>
    <row r="16" spans="2:4" ht="15.6">
      <c r="B16" s="4" t="s">
        <v>878</v>
      </c>
      <c r="C16" s="6" t="s">
        <v>879</v>
      </c>
      <c r="D16" s="7"/>
    </row>
    <row r="17" spans="2:4" ht="15.6">
      <c r="B17" s="4" t="s">
        <v>880</v>
      </c>
      <c r="C17" s="7" t="s">
        <v>881</v>
      </c>
      <c r="D17" s="6"/>
    </row>
    <row r="18" spans="2:4" ht="87" customHeight="1">
      <c r="B18" s="4" t="s">
        <v>882</v>
      </c>
      <c r="C18" s="7" t="s">
        <v>1013</v>
      </c>
      <c r="D18" s="7"/>
    </row>
    <row r="19" spans="2:4" ht="31.2">
      <c r="B19" s="4" t="s">
        <v>883</v>
      </c>
      <c r="C19" s="300" t="s">
        <v>884</v>
      </c>
      <c r="D19" s="300" t="s">
        <v>1012</v>
      </c>
    </row>
    <row r="20" spans="2:4" ht="127.2" customHeight="1">
      <c r="B20" s="4" t="s">
        <v>885</v>
      </c>
      <c r="C20" s="300" t="s">
        <v>886</v>
      </c>
      <c r="D20" s="300"/>
    </row>
    <row r="21" spans="2:4" ht="94.8" customHeight="1">
      <c r="B21" s="4" t="s">
        <v>887</v>
      </c>
      <c r="C21" s="300" t="s">
        <v>1014</v>
      </c>
      <c r="D21" s="300"/>
    </row>
    <row r="22" spans="2:4" ht="13.5" customHeight="1">
      <c r="B22" s="8" t="s">
        <v>27</v>
      </c>
      <c r="C22" s="300" t="s">
        <v>888</v>
      </c>
      <c r="D22" s="300"/>
    </row>
    <row r="23" spans="2:4" ht="15.6">
      <c r="B23" s="4" t="s">
        <v>28</v>
      </c>
      <c r="C23" s="6" t="s">
        <v>889</v>
      </c>
      <c r="D23" s="6"/>
    </row>
    <row r="24" spans="2:4" ht="15.6">
      <c r="B24" s="4" t="s">
        <v>29</v>
      </c>
      <c r="C24" s="4"/>
      <c r="D24" s="4"/>
    </row>
    <row r="25" spans="2:4" ht="15.6">
      <c r="B25" s="4" t="s">
        <v>30</v>
      </c>
      <c r="C25" s="4" t="s">
        <v>890</v>
      </c>
      <c r="D25" s="4"/>
    </row>
    <row r="26" spans="2:4" ht="15.6">
      <c r="B26" s="4" t="s">
        <v>31</v>
      </c>
      <c r="C26" s="4" t="s">
        <v>686</v>
      </c>
      <c r="D26" s="4"/>
    </row>
    <row r="27" spans="2:4" ht="15.6">
      <c r="B27" s="4" t="s">
        <v>891</v>
      </c>
      <c r="C27" s="4" t="s">
        <v>892</v>
      </c>
      <c r="D27" s="4"/>
    </row>
    <row r="28" spans="2:4" ht="15.6">
      <c r="B28" s="9" t="s">
        <v>893</v>
      </c>
      <c r="C28" s="4" t="s">
        <v>894</v>
      </c>
      <c r="D28" s="4"/>
    </row>
    <row r="29" spans="2:4" ht="15.6">
      <c r="B29" s="9" t="s">
        <v>32</v>
      </c>
      <c r="C29" s="9" t="s">
        <v>895</v>
      </c>
      <c r="D29" s="9"/>
    </row>
    <row r="30" spans="2:4" ht="15.6">
      <c r="B30" s="4" t="s">
        <v>33</v>
      </c>
      <c r="C30" s="6" t="s">
        <v>1017</v>
      </c>
      <c r="D30" s="6"/>
    </row>
    <row r="31" spans="2:4" ht="15.6">
      <c r="B31" s="9" t="s">
        <v>34</v>
      </c>
      <c r="C31" s="9" t="s">
        <v>1016</v>
      </c>
      <c r="D31" s="9"/>
    </row>
    <row r="32" spans="2:4" ht="15.6">
      <c r="B32" s="9" t="s">
        <v>896</v>
      </c>
      <c r="C32" s="9" t="s">
        <v>881</v>
      </c>
      <c r="D32" s="9"/>
    </row>
    <row r="33" spans="2:4" ht="15.6">
      <c r="B33" s="9" t="s">
        <v>897</v>
      </c>
      <c r="C33" s="9" t="s">
        <v>881</v>
      </c>
      <c r="D33" s="9"/>
    </row>
    <row r="34" spans="2:4" ht="16.2" thickBot="1">
      <c r="B34" s="10" t="s">
        <v>898</v>
      </c>
      <c r="C34" s="10" t="s">
        <v>1015</v>
      </c>
      <c r="D34" s="10"/>
    </row>
  </sheetData>
  <phoneticPr fontId="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1"/>
  <sheetViews>
    <sheetView tabSelected="1" zoomScaleNormal="100" workbookViewId="0">
      <selection activeCell="J30" sqref="J30"/>
    </sheetView>
  </sheetViews>
  <sheetFormatPr defaultRowHeight="14.4"/>
  <cols>
    <col min="2" max="2" width="10.3984375" bestFit="1" customWidth="1"/>
    <col min="3" max="3" width="15" bestFit="1" customWidth="1"/>
    <col min="4" max="4" width="16.69921875" bestFit="1" customWidth="1"/>
    <col min="5" max="5" width="18.09765625" customWidth="1"/>
    <col min="6" max="6" width="7.59765625" bestFit="1" customWidth="1"/>
  </cols>
  <sheetData>
    <row r="2" spans="2:6" ht="27.6">
      <c r="B2" s="255" t="s">
        <v>899</v>
      </c>
      <c r="C2" s="256"/>
      <c r="D2" s="256"/>
      <c r="E2" s="256"/>
      <c r="F2" s="257"/>
    </row>
    <row r="3" spans="2:6" ht="21">
      <c r="B3" s="258" t="s">
        <v>900</v>
      </c>
      <c r="C3" s="258"/>
      <c r="D3" s="252" t="s">
        <v>901</v>
      </c>
      <c r="E3" s="253"/>
      <c r="F3" s="254"/>
    </row>
    <row r="4" spans="2:6" ht="21">
      <c r="B4" s="45" t="s">
        <v>902</v>
      </c>
      <c r="C4" s="233" t="s">
        <v>1018</v>
      </c>
      <c r="D4" s="46" t="s">
        <v>74</v>
      </c>
      <c r="E4" s="259" t="s">
        <v>1020</v>
      </c>
      <c r="F4" s="260"/>
    </row>
    <row r="5" spans="2:6" ht="21">
      <c r="B5" s="47" t="s">
        <v>903</v>
      </c>
      <c r="C5" s="234"/>
      <c r="D5" s="46" t="s">
        <v>75</v>
      </c>
      <c r="E5" s="252" t="s">
        <v>1019</v>
      </c>
      <c r="F5" s="254"/>
    </row>
    <row r="6" spans="2:6" ht="21">
      <c r="B6" s="252" t="s">
        <v>904</v>
      </c>
      <c r="C6" s="253"/>
      <c r="D6" s="253"/>
      <c r="E6" s="253"/>
      <c r="F6" s="254"/>
    </row>
    <row r="7" spans="2:6" ht="17.399999999999999">
      <c r="B7" s="235">
        <v>1</v>
      </c>
      <c r="C7" s="13" t="s">
        <v>905</v>
      </c>
      <c r="D7" s="52" t="s">
        <v>906</v>
      </c>
      <c r="E7" s="55">
        <v>100</v>
      </c>
      <c r="F7" s="53" t="s">
        <v>907</v>
      </c>
    </row>
    <row r="8" spans="2:6" ht="16.5" hidden="1" customHeight="1">
      <c r="B8" s="237"/>
      <c r="C8" s="237"/>
      <c r="D8" s="52" t="s">
        <v>908</v>
      </c>
      <c r="E8" s="55">
        <v>1</v>
      </c>
      <c r="F8" s="53" t="s">
        <v>909</v>
      </c>
    </row>
    <row r="9" spans="2:6" ht="20.25" hidden="1" customHeight="1">
      <c r="B9" s="237"/>
      <c r="C9" s="237"/>
      <c r="D9" s="54" t="s">
        <v>910</v>
      </c>
      <c r="E9" s="238">
        <f>(10*10^6)/E8</f>
        <v>10000000</v>
      </c>
      <c r="F9" s="239"/>
    </row>
    <row r="10" spans="2:6" ht="16.5" hidden="1" customHeight="1">
      <c r="B10" s="237"/>
      <c r="C10" s="237"/>
      <c r="D10" s="54" t="s">
        <v>911</v>
      </c>
      <c r="E10" s="238">
        <v>100000</v>
      </c>
      <c r="F10" s="239">
        <v>50000</v>
      </c>
    </row>
    <row r="11" spans="2:6" ht="16.5" hidden="1" customHeight="1">
      <c r="B11" s="237"/>
      <c r="C11" s="237"/>
      <c r="D11" s="54" t="s">
        <v>912</v>
      </c>
      <c r="E11" s="238">
        <f>$E9/(E10/10)</f>
        <v>1000</v>
      </c>
      <c r="F11" s="239">
        <f>$E9/(F10/10)</f>
        <v>2000</v>
      </c>
    </row>
    <row r="12" spans="2:6" ht="16.5" hidden="1" customHeight="1">
      <c r="B12" s="237"/>
      <c r="C12" s="237"/>
      <c r="D12" s="54" t="s">
        <v>913</v>
      </c>
      <c r="E12" s="238">
        <f>E11/2</f>
        <v>500</v>
      </c>
      <c r="F12" s="239">
        <f>F11/2</f>
        <v>1000</v>
      </c>
    </row>
    <row r="13" spans="2:6" ht="16.5" customHeight="1">
      <c r="B13" s="261">
        <v>2</v>
      </c>
      <c r="C13" s="263" t="s">
        <v>914</v>
      </c>
      <c r="D13" s="52" t="s">
        <v>915</v>
      </c>
      <c r="E13" s="55">
        <v>350</v>
      </c>
      <c r="F13" s="13" t="s">
        <v>916</v>
      </c>
    </row>
    <row r="14" spans="2:6" ht="17.399999999999999">
      <c r="B14" s="262"/>
      <c r="C14" s="264"/>
      <c r="D14" s="52" t="s">
        <v>917</v>
      </c>
      <c r="E14" s="240">
        <v>35</v>
      </c>
      <c r="F14" s="13" t="s">
        <v>916</v>
      </c>
    </row>
    <row r="15" spans="2:6" ht="17.399999999999999">
      <c r="B15" s="261">
        <v>3</v>
      </c>
      <c r="C15" s="263" t="s">
        <v>918</v>
      </c>
      <c r="D15" s="52" t="s">
        <v>919</v>
      </c>
      <c r="E15" s="55">
        <v>440</v>
      </c>
      <c r="F15" s="13" t="s">
        <v>920</v>
      </c>
    </row>
    <row r="16" spans="2:6" ht="17.399999999999999">
      <c r="B16" s="265"/>
      <c r="C16" s="266"/>
      <c r="D16" s="241" t="s">
        <v>921</v>
      </c>
      <c r="E16" s="55">
        <v>763</v>
      </c>
      <c r="F16" s="13" t="s">
        <v>922</v>
      </c>
    </row>
    <row r="17" spans="2:6" ht="17.399999999999999">
      <c r="B17" s="265"/>
      <c r="C17" s="266"/>
      <c r="D17" s="241" t="s">
        <v>923</v>
      </c>
      <c r="E17" s="55">
        <v>500</v>
      </c>
      <c r="F17" s="13" t="s">
        <v>924</v>
      </c>
    </row>
    <row r="18" spans="2:6" ht="17.399999999999999">
      <c r="B18" s="262"/>
      <c r="C18" s="264"/>
      <c r="D18" s="241" t="s">
        <v>925</v>
      </c>
      <c r="E18" s="55">
        <v>350</v>
      </c>
      <c r="F18" s="13" t="s">
        <v>926</v>
      </c>
    </row>
    <row r="19" spans="2:6" ht="17.399999999999999">
      <c r="B19" s="261">
        <v>4</v>
      </c>
      <c r="C19" s="263" t="s">
        <v>927</v>
      </c>
      <c r="D19" s="52" t="s">
        <v>928</v>
      </c>
      <c r="E19" s="55">
        <v>800</v>
      </c>
      <c r="F19" s="13" t="s">
        <v>929</v>
      </c>
    </row>
    <row r="20" spans="2:6" ht="17.399999999999999">
      <c r="B20" s="262"/>
      <c r="C20" s="264"/>
      <c r="D20" s="241" t="s">
        <v>930</v>
      </c>
      <c r="E20" s="55">
        <v>700</v>
      </c>
      <c r="F20" s="13" t="s">
        <v>931</v>
      </c>
    </row>
    <row r="21" spans="2:6" ht="17.399999999999999">
      <c r="B21" s="261">
        <v>5</v>
      </c>
      <c r="C21" s="263" t="s">
        <v>932</v>
      </c>
      <c r="D21" s="56" t="s">
        <v>933</v>
      </c>
      <c r="E21" s="242">
        <v>6.8</v>
      </c>
      <c r="F21" s="57" t="s">
        <v>934</v>
      </c>
    </row>
    <row r="22" spans="2:6" ht="17.399999999999999">
      <c r="B22" s="265"/>
      <c r="C22" s="266"/>
      <c r="D22" s="56" t="s">
        <v>935</v>
      </c>
      <c r="E22" s="55">
        <v>7</v>
      </c>
      <c r="F22" s="57" t="s">
        <v>936</v>
      </c>
    </row>
    <row r="23" spans="2:6" ht="16.5" customHeight="1">
      <c r="B23" s="265"/>
      <c r="C23" s="266"/>
      <c r="D23" s="56" t="s">
        <v>937</v>
      </c>
      <c r="E23" s="55">
        <v>500</v>
      </c>
      <c r="F23" s="57" t="s">
        <v>938</v>
      </c>
    </row>
    <row r="24" spans="2:6" ht="17.399999999999999">
      <c r="B24" s="265"/>
      <c r="C24" s="266"/>
      <c r="D24" s="56" t="s">
        <v>939</v>
      </c>
      <c r="E24" s="55">
        <v>1050</v>
      </c>
      <c r="F24" s="57" t="s">
        <v>931</v>
      </c>
    </row>
    <row r="25" spans="2:6" ht="17.399999999999999">
      <c r="B25" s="265"/>
      <c r="C25" s="266"/>
      <c r="D25" s="13" t="s">
        <v>940</v>
      </c>
      <c r="E25" s="238">
        <f>(3/(E21/E22))*E23</f>
        <v>1544.1176470588236</v>
      </c>
      <c r="F25" s="57" t="s">
        <v>941</v>
      </c>
    </row>
    <row r="26" spans="2:6" ht="17.399999999999999">
      <c r="B26" s="265"/>
      <c r="C26" s="266"/>
      <c r="D26" s="13" t="s">
        <v>942</v>
      </c>
      <c r="E26" s="238">
        <f>E25*1.11</f>
        <v>1713.9705882352944</v>
      </c>
      <c r="F26" s="57" t="s">
        <v>943</v>
      </c>
    </row>
    <row r="27" spans="2:6" ht="17.399999999999999">
      <c r="B27" s="262"/>
      <c r="C27" s="264"/>
      <c r="D27" s="243" t="s">
        <v>944</v>
      </c>
      <c r="E27" s="55">
        <v>1400</v>
      </c>
      <c r="F27" s="57" t="s">
        <v>945</v>
      </c>
    </row>
    <row r="28" spans="2:6" ht="16.5" customHeight="1">
      <c r="B28" s="261">
        <v>6</v>
      </c>
      <c r="C28" s="267" t="s">
        <v>946</v>
      </c>
      <c r="D28" s="243" t="s">
        <v>947</v>
      </c>
      <c r="E28" s="55">
        <v>350</v>
      </c>
      <c r="F28" s="58" t="s">
        <v>948</v>
      </c>
    </row>
    <row r="29" spans="2:6" ht="16.5" customHeight="1">
      <c r="B29" s="262"/>
      <c r="C29" s="264"/>
      <c r="D29" s="243" t="s">
        <v>917</v>
      </c>
      <c r="E29" s="240">
        <v>35</v>
      </c>
      <c r="F29" s="58" t="s">
        <v>949</v>
      </c>
    </row>
    <row r="30" spans="2:6" ht="17.399999999999999">
      <c r="B30" s="261">
        <v>7</v>
      </c>
      <c r="C30" s="263" t="s">
        <v>950</v>
      </c>
      <c r="D30" s="243" t="s">
        <v>915</v>
      </c>
      <c r="E30" s="55">
        <v>350</v>
      </c>
      <c r="F30" s="58" t="s">
        <v>951</v>
      </c>
    </row>
    <row r="31" spans="2:6" ht="17.399999999999999">
      <c r="B31" s="262"/>
      <c r="C31" s="264"/>
      <c r="D31" s="243" t="s">
        <v>952</v>
      </c>
      <c r="E31" s="240">
        <v>35</v>
      </c>
      <c r="F31" s="58" t="s">
        <v>953</v>
      </c>
    </row>
    <row r="32" spans="2:6" ht="17.399999999999999">
      <c r="B32" s="261">
        <v>8</v>
      </c>
      <c r="C32" s="263" t="s">
        <v>954</v>
      </c>
      <c r="D32" s="243" t="s">
        <v>915</v>
      </c>
      <c r="E32" s="55"/>
      <c r="F32" s="58" t="s">
        <v>955</v>
      </c>
    </row>
    <row r="33" spans="2:6" ht="17.399999999999999">
      <c r="B33" s="262"/>
      <c r="C33" s="264"/>
      <c r="D33" s="243" t="s">
        <v>952</v>
      </c>
      <c r="E33" s="55"/>
      <c r="F33" s="58" t="s">
        <v>956</v>
      </c>
    </row>
    <row r="34" spans="2:6" ht="17.399999999999999">
      <c r="B34" s="261">
        <v>9</v>
      </c>
      <c r="C34" s="263" t="s">
        <v>957</v>
      </c>
      <c r="D34" s="243" t="s">
        <v>958</v>
      </c>
      <c r="E34" s="55">
        <v>74</v>
      </c>
      <c r="F34" s="58" t="s">
        <v>959</v>
      </c>
    </row>
    <row r="35" spans="2:6" ht="17.399999999999999">
      <c r="B35" s="265"/>
      <c r="C35" s="266"/>
      <c r="D35" s="243" t="s">
        <v>960</v>
      </c>
      <c r="E35" s="55">
        <v>2000</v>
      </c>
      <c r="F35" s="58" t="s">
        <v>924</v>
      </c>
    </row>
    <row r="36" spans="2:6" ht="17.399999999999999">
      <c r="B36" s="262"/>
      <c r="C36" s="264"/>
      <c r="D36" s="243" t="s">
        <v>961</v>
      </c>
      <c r="E36" s="55">
        <v>1700</v>
      </c>
      <c r="F36" s="58" t="s">
        <v>962</v>
      </c>
    </row>
    <row r="37" spans="2:6" ht="17.399999999999999">
      <c r="B37" s="235">
        <v>10</v>
      </c>
      <c r="C37" s="13" t="s">
        <v>963</v>
      </c>
      <c r="D37" s="243" t="s">
        <v>76</v>
      </c>
      <c r="E37" s="55">
        <v>1</v>
      </c>
      <c r="F37" s="57" t="s">
        <v>964</v>
      </c>
    </row>
    <row r="38" spans="2:6" ht="17.399999999999999">
      <c r="B38" s="261">
        <v>11</v>
      </c>
      <c r="C38" s="263" t="s">
        <v>965</v>
      </c>
      <c r="D38" s="243" t="s">
        <v>966</v>
      </c>
      <c r="E38" s="55">
        <v>3000</v>
      </c>
      <c r="F38" s="57" t="s">
        <v>956</v>
      </c>
    </row>
    <row r="39" spans="2:6" ht="16.5" customHeight="1">
      <c r="B39" s="265"/>
      <c r="C39" s="266"/>
      <c r="D39" s="243" t="s">
        <v>967</v>
      </c>
      <c r="E39" s="55">
        <v>15000</v>
      </c>
      <c r="F39" s="57" t="s">
        <v>968</v>
      </c>
    </row>
    <row r="40" spans="2:6" ht="17.399999999999999">
      <c r="B40" s="265"/>
      <c r="C40" s="266"/>
      <c r="D40" s="243" t="s">
        <v>969</v>
      </c>
      <c r="E40" s="55">
        <v>12000</v>
      </c>
      <c r="F40" s="57" t="s">
        <v>970</v>
      </c>
    </row>
    <row r="41" spans="2:6" ht="17.399999999999999">
      <c r="B41" s="262"/>
      <c r="C41" s="264"/>
      <c r="D41" s="243" t="s">
        <v>971</v>
      </c>
      <c r="E41" s="55"/>
      <c r="F41" s="57" t="s">
        <v>972</v>
      </c>
    </row>
    <row r="42" spans="2:6" ht="17.399999999999999">
      <c r="B42" s="261">
        <v>12</v>
      </c>
      <c r="C42" s="263" t="s">
        <v>973</v>
      </c>
      <c r="D42" s="243" t="s">
        <v>974</v>
      </c>
      <c r="E42" s="55">
        <v>4</v>
      </c>
      <c r="F42" s="58" t="s">
        <v>975</v>
      </c>
    </row>
    <row r="43" spans="2:6" ht="17.399999999999999" hidden="1">
      <c r="B43" s="265"/>
      <c r="C43" s="266"/>
      <c r="D43" s="239" t="s">
        <v>976</v>
      </c>
      <c r="E43" s="238">
        <f>(100*10^6)/E8</f>
        <v>100000000</v>
      </c>
      <c r="F43" s="13"/>
    </row>
    <row r="44" spans="2:6" ht="17.399999999999999">
      <c r="B44" s="262"/>
      <c r="C44" s="264"/>
      <c r="D44" s="13" t="s">
        <v>977</v>
      </c>
      <c r="E44" s="238">
        <v>400</v>
      </c>
      <c r="F44" s="58" t="s">
        <v>978</v>
      </c>
    </row>
    <row r="45" spans="2:6" ht="17.399999999999999">
      <c r="B45" s="261">
        <v>13</v>
      </c>
      <c r="C45" s="263" t="s">
        <v>979</v>
      </c>
      <c r="D45" s="243" t="s">
        <v>980</v>
      </c>
      <c r="E45" s="243" t="s">
        <v>981</v>
      </c>
      <c r="F45" s="244" t="s">
        <v>983</v>
      </c>
    </row>
    <row r="46" spans="2:6" ht="17.399999999999999">
      <c r="B46" s="265"/>
      <c r="C46" s="266"/>
      <c r="D46" s="243" t="s">
        <v>77</v>
      </c>
      <c r="E46" s="243" t="s">
        <v>984</v>
      </c>
      <c r="F46" s="244" t="s">
        <v>985</v>
      </c>
    </row>
    <row r="47" spans="2:6" ht="17.399999999999999">
      <c r="B47" s="265"/>
      <c r="C47" s="266"/>
      <c r="D47" s="243" t="s">
        <v>78</v>
      </c>
      <c r="E47" s="243" t="s">
        <v>986</v>
      </c>
      <c r="F47" s="244" t="s">
        <v>985</v>
      </c>
    </row>
    <row r="48" spans="2:6" ht="17.399999999999999">
      <c r="B48" s="265"/>
      <c r="C48" s="266"/>
      <c r="D48" s="243" t="s">
        <v>79</v>
      </c>
      <c r="E48" s="243" t="s">
        <v>987</v>
      </c>
      <c r="F48" s="244" t="s">
        <v>988</v>
      </c>
    </row>
    <row r="49" spans="2:6" ht="17.399999999999999">
      <c r="B49" s="265"/>
      <c r="C49" s="266"/>
      <c r="D49" s="243" t="s">
        <v>80</v>
      </c>
      <c r="E49" s="243" t="s">
        <v>989</v>
      </c>
      <c r="F49" s="244" t="s">
        <v>983</v>
      </c>
    </row>
    <row r="50" spans="2:6" ht="17.399999999999999">
      <c r="B50" s="265"/>
      <c r="C50" s="266"/>
      <c r="D50" s="243" t="s">
        <v>81</v>
      </c>
      <c r="E50" s="243" t="s">
        <v>990</v>
      </c>
      <c r="F50" s="244" t="s">
        <v>991</v>
      </c>
    </row>
    <row r="51" spans="2:6" ht="17.399999999999999">
      <c r="B51" s="265"/>
      <c r="C51" s="266"/>
      <c r="D51" s="243" t="s">
        <v>82</v>
      </c>
      <c r="E51" s="243" t="s">
        <v>992</v>
      </c>
      <c r="F51" s="244" t="s">
        <v>988</v>
      </c>
    </row>
    <row r="52" spans="2:6" ht="37.5" customHeight="1">
      <c r="B52" s="265"/>
      <c r="C52" s="266"/>
      <c r="D52" s="243" t="s">
        <v>993</v>
      </c>
      <c r="E52" s="245" t="s">
        <v>994</v>
      </c>
      <c r="F52" s="244" t="s">
        <v>982</v>
      </c>
    </row>
    <row r="53" spans="2:6" ht="17.399999999999999">
      <c r="B53" s="265"/>
      <c r="C53" s="266"/>
      <c r="D53" s="243" t="s">
        <v>995</v>
      </c>
      <c r="E53" s="243" t="s">
        <v>996</v>
      </c>
      <c r="F53" s="244" t="s">
        <v>985</v>
      </c>
    </row>
    <row r="54" spans="2:6" ht="17.399999999999999">
      <c r="B54" s="265"/>
      <c r="C54" s="266"/>
      <c r="D54" s="243" t="s">
        <v>997</v>
      </c>
      <c r="E54" s="246" t="s">
        <v>998</v>
      </c>
      <c r="F54" s="244" t="s">
        <v>983</v>
      </c>
    </row>
    <row r="55" spans="2:6" ht="17.399999999999999">
      <c r="B55" s="265"/>
      <c r="C55" s="266"/>
      <c r="D55" s="243"/>
      <c r="E55" s="246" t="s">
        <v>999</v>
      </c>
      <c r="F55" s="244" t="s">
        <v>985</v>
      </c>
    </row>
    <row r="56" spans="2:6" ht="17.399999999999999">
      <c r="B56" s="265"/>
      <c r="C56" s="266"/>
      <c r="D56" s="243"/>
      <c r="E56" s="246" t="s">
        <v>1000</v>
      </c>
      <c r="F56" s="244" t="s">
        <v>1001</v>
      </c>
    </row>
    <row r="57" spans="2:6" ht="17.399999999999999">
      <c r="B57" s="262"/>
      <c r="C57" s="266"/>
      <c r="D57" s="243"/>
      <c r="E57" s="246" t="s">
        <v>1002</v>
      </c>
      <c r="F57" s="244" t="s">
        <v>985</v>
      </c>
    </row>
    <row r="58" spans="2:6" ht="17.399999999999999">
      <c r="B58" s="235">
        <v>14</v>
      </c>
      <c r="C58" s="126" t="s">
        <v>1003</v>
      </c>
      <c r="D58" s="271" t="s">
        <v>1004</v>
      </c>
      <c r="E58" s="272"/>
      <c r="F58" s="273"/>
    </row>
    <row r="59" spans="2:6" ht="17.399999999999999">
      <c r="B59" s="235">
        <v>15</v>
      </c>
      <c r="C59" s="126" t="s">
        <v>1005</v>
      </c>
      <c r="D59" s="271" t="s">
        <v>1006</v>
      </c>
      <c r="E59" s="272"/>
      <c r="F59" s="273"/>
    </row>
    <row r="60" spans="2:6">
      <c r="B60" s="48"/>
      <c r="C60" s="48"/>
      <c r="D60" s="48"/>
      <c r="E60" s="49"/>
      <c r="F60" s="48"/>
    </row>
    <row r="61" spans="2:6" ht="138" customHeight="1">
      <c r="B61" s="50" t="s">
        <v>1007</v>
      </c>
      <c r="C61" s="268" t="s">
        <v>1021</v>
      </c>
      <c r="D61" s="269"/>
      <c r="E61" s="269"/>
      <c r="F61" s="270"/>
    </row>
  </sheetData>
  <mergeCells count="31">
    <mergeCell ref="C61:F61"/>
    <mergeCell ref="B42:B44"/>
    <mergeCell ref="C42:C44"/>
    <mergeCell ref="B45:B57"/>
    <mergeCell ref="C45:C57"/>
    <mergeCell ref="D58:F58"/>
    <mergeCell ref="D59:F59"/>
    <mergeCell ref="B32:B33"/>
    <mergeCell ref="C32:C33"/>
    <mergeCell ref="B34:B36"/>
    <mergeCell ref="C34:C36"/>
    <mergeCell ref="B38:B41"/>
    <mergeCell ref="C38:C41"/>
    <mergeCell ref="B21:B27"/>
    <mergeCell ref="C21:C27"/>
    <mergeCell ref="B28:B29"/>
    <mergeCell ref="C28:C29"/>
    <mergeCell ref="B30:B31"/>
    <mergeCell ref="C30:C31"/>
    <mergeCell ref="B13:B14"/>
    <mergeCell ref="C13:C14"/>
    <mergeCell ref="B15:B18"/>
    <mergeCell ref="C15:C18"/>
    <mergeCell ref="B19:B20"/>
    <mergeCell ref="C19:C20"/>
    <mergeCell ref="B6:F6"/>
    <mergeCell ref="B2:F2"/>
    <mergeCell ref="B3:C3"/>
    <mergeCell ref="D3:F3"/>
    <mergeCell ref="E4:F4"/>
    <mergeCell ref="E5:F5"/>
  </mergeCells>
  <phoneticPr fontId="8" type="noConversion"/>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0"/>
  <sheetViews>
    <sheetView workbookViewId="0">
      <pane ySplit="1" topLeftCell="A2" activePane="bottomLeft" state="frozen"/>
      <selection pane="bottomLeft" activeCell="K5" sqref="K5"/>
    </sheetView>
  </sheetViews>
  <sheetFormatPr defaultColWidth="8.8984375" defaultRowHeight="17.399999999999999"/>
  <cols>
    <col min="1" max="10" width="8.8984375" style="221"/>
    <col min="11" max="11" width="8.8984375" style="230"/>
    <col min="12" max="13" width="8.8984375" style="221" customWidth="1"/>
    <col min="14" max="14" width="8.8984375" style="221"/>
    <col min="15" max="16" width="8" style="231" customWidth="1"/>
    <col min="17" max="21" width="8.8984375" style="221"/>
    <col min="22" max="22" width="7" style="232" customWidth="1"/>
    <col min="23" max="16384" width="8.8984375" style="221"/>
  </cols>
  <sheetData>
    <row r="1" spans="1:28" ht="28.8">
      <c r="A1" s="274"/>
      <c r="B1" s="209" t="s">
        <v>822</v>
      </c>
      <c r="C1" s="209" t="s">
        <v>823</v>
      </c>
      <c r="D1" s="209" t="s">
        <v>824</v>
      </c>
      <c r="E1" s="209" t="s">
        <v>825</v>
      </c>
      <c r="F1" s="209" t="s">
        <v>808</v>
      </c>
      <c r="G1" s="209" t="s">
        <v>809</v>
      </c>
      <c r="H1" s="208" t="s">
        <v>826</v>
      </c>
      <c r="I1" s="209" t="s">
        <v>827</v>
      </c>
      <c r="J1" s="217" t="s">
        <v>810</v>
      </c>
      <c r="K1" s="210" t="s">
        <v>828</v>
      </c>
      <c r="L1" s="217" t="s">
        <v>829</v>
      </c>
      <c r="M1" s="217" t="s">
        <v>830</v>
      </c>
      <c r="N1" s="217" t="s">
        <v>831</v>
      </c>
      <c r="O1" s="211" t="s">
        <v>811</v>
      </c>
      <c r="P1" s="212" t="s">
        <v>832</v>
      </c>
      <c r="Q1" s="217" t="s">
        <v>833</v>
      </c>
      <c r="R1" s="217" t="s">
        <v>812</v>
      </c>
      <c r="S1" s="217" t="s">
        <v>834</v>
      </c>
      <c r="T1" s="217" t="s">
        <v>835</v>
      </c>
      <c r="U1" s="217" t="s">
        <v>836</v>
      </c>
      <c r="V1" s="213" t="s">
        <v>813</v>
      </c>
      <c r="W1" s="217" t="s">
        <v>814</v>
      </c>
      <c r="X1" s="217" t="s">
        <v>837</v>
      </c>
      <c r="Y1" s="217" t="s">
        <v>815</v>
      </c>
      <c r="Z1" s="217" t="s">
        <v>838</v>
      </c>
      <c r="AA1" s="217" t="s">
        <v>839</v>
      </c>
      <c r="AB1" s="217" t="s">
        <v>816</v>
      </c>
    </row>
    <row r="2" spans="1:28">
      <c r="A2" s="274"/>
      <c r="B2" s="214" t="s">
        <v>15</v>
      </c>
      <c r="C2" s="214" t="s">
        <v>840</v>
      </c>
      <c r="D2" s="214" t="s">
        <v>1</v>
      </c>
      <c r="E2" s="214" t="s">
        <v>841</v>
      </c>
      <c r="F2" s="214" t="s">
        <v>842</v>
      </c>
      <c r="G2" s="214" t="s">
        <v>843</v>
      </c>
      <c r="H2" s="214" t="s">
        <v>16</v>
      </c>
      <c r="I2" s="214" t="s">
        <v>841</v>
      </c>
      <c r="J2" s="214" t="s">
        <v>817</v>
      </c>
      <c r="K2" s="215" t="s">
        <v>844</v>
      </c>
      <c r="L2" s="215"/>
      <c r="M2" s="215"/>
      <c r="N2" s="215" t="s">
        <v>845</v>
      </c>
      <c r="O2" s="215" t="s">
        <v>817</v>
      </c>
      <c r="P2" s="222" t="s">
        <v>846</v>
      </c>
      <c r="Q2" s="222"/>
      <c r="R2" s="222"/>
      <c r="S2" s="222" t="s">
        <v>847</v>
      </c>
      <c r="T2" s="222" t="s">
        <v>818</v>
      </c>
      <c r="U2" s="222" t="s">
        <v>818</v>
      </c>
      <c r="V2" s="223"/>
      <c r="W2" s="222" t="s">
        <v>848</v>
      </c>
      <c r="X2" s="216" t="s">
        <v>1</v>
      </c>
      <c r="Y2" s="216" t="s">
        <v>849</v>
      </c>
      <c r="Z2" s="216" t="s">
        <v>850</v>
      </c>
      <c r="AA2" s="216" t="s">
        <v>817</v>
      </c>
      <c r="AB2" s="216" t="s">
        <v>851</v>
      </c>
    </row>
    <row r="3" spans="1:28">
      <c r="A3" s="275" t="s">
        <v>852</v>
      </c>
      <c r="B3" s="218">
        <v>5</v>
      </c>
      <c r="C3" s="218">
        <v>299</v>
      </c>
      <c r="D3" s="218">
        <v>7</v>
      </c>
      <c r="E3" s="218">
        <v>626.5</v>
      </c>
      <c r="F3" s="218">
        <v>8.02</v>
      </c>
      <c r="G3" s="218">
        <v>34.4</v>
      </c>
      <c r="H3" s="218">
        <v>64.34</v>
      </c>
      <c r="I3" s="218">
        <v>118</v>
      </c>
      <c r="J3" s="224">
        <f>2*3.141592*F3*1000*H3/1000000*I3</f>
        <v>382.57554901884163</v>
      </c>
      <c r="K3" s="224">
        <f>J3-C3</f>
        <v>83.575549018841627</v>
      </c>
      <c r="L3" s="225">
        <f>K3/C3</f>
        <v>0.27951688635064087</v>
      </c>
      <c r="M3" s="225">
        <f>C3/K3</f>
        <v>3.577601385933967</v>
      </c>
      <c r="N3" s="226">
        <v>5</v>
      </c>
      <c r="O3" s="224">
        <f>K3*N3</f>
        <v>417.87774509420814</v>
      </c>
      <c r="P3" s="225">
        <f>B3*1000/O3^2*1000</f>
        <v>28.633307628855697</v>
      </c>
      <c r="Q3" s="225">
        <f>I3*J3/B3/1000</f>
        <v>9.0287829568446636</v>
      </c>
      <c r="R3" s="225">
        <f>I3*K3/B3/1000</f>
        <v>1.9723829568446625</v>
      </c>
      <c r="S3" s="225">
        <f>T3*L3</f>
        <v>7.8317097243695324</v>
      </c>
      <c r="T3" s="227">
        <f t="shared" ref="T3:T29" si="0">I3/2/PI()/F3/K3*1000</f>
        <v>28.018735564136968</v>
      </c>
      <c r="U3" s="228">
        <f t="shared" ref="U3:U29" si="1">T3/N3/N3</f>
        <v>1.1207494225654788</v>
      </c>
      <c r="V3" s="225">
        <f>2*3.141592*F3*1000*(U3/1000000)/(P3/1000)</f>
        <v>1.9723825465020401</v>
      </c>
      <c r="W3" s="226"/>
      <c r="X3" s="229">
        <f>(W3/B3)^0.5*C3</f>
        <v>0</v>
      </c>
      <c r="Y3" s="229">
        <f>(W3/B3)^0.5*K3</f>
        <v>0</v>
      </c>
      <c r="Z3" s="229">
        <f>(W3/B3)^0.5*J3</f>
        <v>0</v>
      </c>
      <c r="AA3" s="229">
        <f>(W3/B3)^0.5*O3</f>
        <v>0</v>
      </c>
      <c r="AB3" s="229">
        <f t="shared" ref="AB3:AB29" si="2">(W3/B3)^0.5*I3</f>
        <v>0</v>
      </c>
    </row>
    <row r="4" spans="1:28">
      <c r="A4" s="276"/>
      <c r="B4" s="218">
        <v>6</v>
      </c>
      <c r="C4" s="218">
        <v>350</v>
      </c>
      <c r="D4" s="218">
        <v>10</v>
      </c>
      <c r="E4" s="218">
        <v>624.1</v>
      </c>
      <c r="F4" s="218">
        <v>7.14</v>
      </c>
      <c r="G4" s="218">
        <v>29.9</v>
      </c>
      <c r="H4" s="218">
        <v>64.34</v>
      </c>
      <c r="I4" s="218">
        <v>164</v>
      </c>
      <c r="J4" s="224">
        <f t="shared" ref="J4:J29" si="3">2*3.141592*F4*1000*H4/1000000*I4</f>
        <v>473.37235817141755</v>
      </c>
      <c r="K4" s="224">
        <f t="shared" ref="K4:K29" si="4">J4-C4</f>
        <v>123.37235817141755</v>
      </c>
      <c r="L4" s="225">
        <f t="shared" ref="L4:L29" si="5">K4/C4</f>
        <v>0.35249245191833584</v>
      </c>
      <c r="M4" s="225">
        <f t="shared" ref="M4:M29" si="6">C4/K4</f>
        <v>2.8369401800174612</v>
      </c>
      <c r="N4" s="226">
        <v>5</v>
      </c>
      <c r="O4" s="224">
        <f t="shared" ref="O4:O12" si="7">K4*N4</f>
        <v>616.86179085708773</v>
      </c>
      <c r="P4" s="225">
        <f t="shared" ref="P4:P28" si="8">B4*1000/O4^2*1000</f>
        <v>15.767960003260416</v>
      </c>
      <c r="Q4" s="225">
        <f t="shared" ref="Q4:Q29" si="9">I4*J4/B4/1000</f>
        <v>12.938844456685414</v>
      </c>
      <c r="R4" s="225">
        <f t="shared" ref="R4:R29" si="10">I4*K4/B4/1000</f>
        <v>3.3721777900187462</v>
      </c>
      <c r="S4" s="225">
        <f t="shared" ref="S4:S29" si="11">T4*L4</f>
        <v>10.444742163693812</v>
      </c>
      <c r="T4" s="227">
        <f t="shared" si="0"/>
        <v>29.631108714105494</v>
      </c>
      <c r="U4" s="228">
        <f t="shared" si="1"/>
        <v>1.1852443485642197</v>
      </c>
      <c r="V4" s="225">
        <f t="shared" ref="V4:V29" si="12">2*3.141592*F4*1000*(U4/1000000)/(P4/1000)</f>
        <v>3.3721770884570783</v>
      </c>
      <c r="W4" s="226"/>
      <c r="X4" s="229">
        <f>(W4/B4)^0.5*C4</f>
        <v>0</v>
      </c>
      <c r="Y4" s="229">
        <f t="shared" ref="Y4:Y29" si="13">(W4/B4)^0.5*K4</f>
        <v>0</v>
      </c>
      <c r="Z4" s="229">
        <f t="shared" ref="Z4:Z29" si="14">(W4/B4)^0.5*J4</f>
        <v>0</v>
      </c>
      <c r="AA4" s="229">
        <f>(W4/B4)^0.5*O4</f>
        <v>0</v>
      </c>
      <c r="AB4" s="229">
        <f t="shared" si="2"/>
        <v>0</v>
      </c>
    </row>
    <row r="5" spans="1:28">
      <c r="A5" s="276"/>
      <c r="B5" s="218">
        <v>8</v>
      </c>
      <c r="C5" s="218">
        <v>400</v>
      </c>
      <c r="D5" s="218">
        <v>13</v>
      </c>
      <c r="E5" s="218">
        <v>610</v>
      </c>
      <c r="F5" s="218">
        <v>6.85</v>
      </c>
      <c r="G5" s="218">
        <v>30</v>
      </c>
      <c r="H5" s="218">
        <v>64.34</v>
      </c>
      <c r="I5" s="218">
        <v>203</v>
      </c>
      <c r="J5" s="224">
        <f t="shared" si="3"/>
        <v>562.14382443060799</v>
      </c>
      <c r="K5" s="224">
        <f t="shared" si="4"/>
        <v>162.14382443060799</v>
      </c>
      <c r="L5" s="225">
        <f t="shared" si="5"/>
        <v>0.40535956107651999</v>
      </c>
      <c r="M5" s="225">
        <f t="shared" si="6"/>
        <v>2.4669456354854038</v>
      </c>
      <c r="N5" s="226">
        <v>5</v>
      </c>
      <c r="O5" s="224">
        <f t="shared" si="7"/>
        <v>810.71912215303996</v>
      </c>
      <c r="P5" s="225">
        <f t="shared" si="8"/>
        <v>12.171641536880967</v>
      </c>
      <c r="Q5" s="225">
        <f t="shared" si="9"/>
        <v>14.264399544926679</v>
      </c>
      <c r="R5" s="225">
        <f t="shared" si="10"/>
        <v>4.1143995449266777</v>
      </c>
      <c r="S5" s="225">
        <f t="shared" si="11"/>
        <v>11.791406367757212</v>
      </c>
      <c r="T5" s="227">
        <f t="shared" si="0"/>
        <v>29.088758475173453</v>
      </c>
      <c r="U5" s="228">
        <f t="shared" si="1"/>
        <v>1.1635503390069382</v>
      </c>
      <c r="V5" s="225">
        <f t="shared" si="12"/>
        <v>4.1143986889501587</v>
      </c>
      <c r="W5" s="226"/>
      <c r="X5" s="229">
        <f>(W5/B5)^0.5*C5</f>
        <v>0</v>
      </c>
      <c r="Y5" s="229">
        <f t="shared" si="13"/>
        <v>0</v>
      </c>
      <c r="Z5" s="229">
        <f t="shared" si="14"/>
        <v>0</v>
      </c>
      <c r="AA5" s="229">
        <f>(W5/B5)^0.5*O5</f>
        <v>0</v>
      </c>
      <c r="AB5" s="229">
        <f t="shared" si="2"/>
        <v>0</v>
      </c>
    </row>
    <row r="6" spans="1:28">
      <c r="A6" s="276"/>
      <c r="B6" s="218">
        <v>11</v>
      </c>
      <c r="C6" s="218">
        <v>449</v>
      </c>
      <c r="D6" s="218">
        <v>16</v>
      </c>
      <c r="E6" s="218">
        <v>618.29999999999995</v>
      </c>
      <c r="F6" s="218">
        <v>6.64</v>
      </c>
      <c r="G6" s="218">
        <v>29.9</v>
      </c>
      <c r="H6" s="218">
        <v>64.34</v>
      </c>
      <c r="I6" s="218">
        <v>242</v>
      </c>
      <c r="J6" s="224">
        <f t="shared" si="3"/>
        <v>649.59740289889282</v>
      </c>
      <c r="K6" s="224">
        <f t="shared" si="4"/>
        <v>200.59740289889282</v>
      </c>
      <c r="L6" s="225">
        <f t="shared" si="5"/>
        <v>0.44676481714675464</v>
      </c>
      <c r="M6" s="225">
        <f t="shared" si="6"/>
        <v>2.238314123270627</v>
      </c>
      <c r="N6" s="226">
        <v>5</v>
      </c>
      <c r="O6" s="224">
        <f t="shared" si="7"/>
        <v>1002.9870144944641</v>
      </c>
      <c r="P6" s="225">
        <f t="shared" si="8"/>
        <v>10.934578947279093</v>
      </c>
      <c r="Q6" s="225">
        <f t="shared" si="9"/>
        <v>14.291142863775644</v>
      </c>
      <c r="R6" s="225">
        <f t="shared" si="10"/>
        <v>4.4131428637756418</v>
      </c>
      <c r="S6" s="225">
        <f t="shared" si="11"/>
        <v>12.918767350550983</v>
      </c>
      <c r="T6" s="227">
        <f t="shared" si="0"/>
        <v>28.916259415985721</v>
      </c>
      <c r="U6" s="228">
        <f t="shared" si="1"/>
        <v>1.1566503766394287</v>
      </c>
      <c r="V6" s="225">
        <f t="shared" si="12"/>
        <v>4.4131419456473377</v>
      </c>
      <c r="W6" s="226"/>
      <c r="X6" s="229">
        <f t="shared" ref="X6:X29" si="15">(W6/B6)^0.5*C6</f>
        <v>0</v>
      </c>
      <c r="Y6" s="229">
        <f t="shared" si="13"/>
        <v>0</v>
      </c>
      <c r="Z6" s="229">
        <f t="shared" si="14"/>
        <v>0</v>
      </c>
      <c r="AA6" s="229">
        <f t="shared" ref="AA6:AA29" si="16">(W6/B6)^0.5*O6</f>
        <v>0</v>
      </c>
      <c r="AB6" s="229">
        <f t="shared" si="2"/>
        <v>0</v>
      </c>
    </row>
    <row r="7" spans="1:28">
      <c r="A7" s="276"/>
      <c r="B7" s="218">
        <v>13</v>
      </c>
      <c r="C7" s="218">
        <v>499</v>
      </c>
      <c r="D7" s="218">
        <v>21</v>
      </c>
      <c r="E7" s="218">
        <v>616.29999999999995</v>
      </c>
      <c r="F7" s="218">
        <v>6.47</v>
      </c>
      <c r="G7" s="218">
        <v>29.9</v>
      </c>
      <c r="H7" s="218">
        <v>64.34</v>
      </c>
      <c r="I7" s="218">
        <v>284</v>
      </c>
      <c r="J7" s="224">
        <f t="shared" si="3"/>
        <v>742.81977240282868</v>
      </c>
      <c r="K7" s="224">
        <f t="shared" si="4"/>
        <v>243.81977240282868</v>
      </c>
      <c r="L7" s="225">
        <f t="shared" si="5"/>
        <v>0.4886167783623821</v>
      </c>
      <c r="M7" s="225">
        <f t="shared" si="6"/>
        <v>2.0465936584321529</v>
      </c>
      <c r="N7" s="226">
        <v>5</v>
      </c>
      <c r="O7" s="224">
        <f t="shared" si="7"/>
        <v>1219.0988620141434</v>
      </c>
      <c r="P7" s="225">
        <f t="shared" si="8"/>
        <v>8.7471283786894265</v>
      </c>
      <c r="Q7" s="225">
        <f t="shared" si="9"/>
        <v>16.22775502787718</v>
      </c>
      <c r="R7" s="225">
        <f t="shared" si="10"/>
        <v>5.326524258646411</v>
      </c>
      <c r="S7" s="225">
        <f t="shared" si="11"/>
        <v>14.000180837129678</v>
      </c>
      <c r="T7" s="227">
        <f t="shared" si="0"/>
        <v>28.652681318172949</v>
      </c>
      <c r="U7" s="228">
        <f t="shared" si="1"/>
        <v>1.1461072527269178</v>
      </c>
      <c r="V7" s="225">
        <f t="shared" si="12"/>
        <v>5.3265231504945048</v>
      </c>
      <c r="W7" s="226"/>
      <c r="X7" s="229">
        <f t="shared" si="15"/>
        <v>0</v>
      </c>
      <c r="Y7" s="229">
        <f t="shared" si="13"/>
        <v>0</v>
      </c>
      <c r="Z7" s="229">
        <f t="shared" si="14"/>
        <v>0</v>
      </c>
      <c r="AA7" s="229">
        <f t="shared" si="16"/>
        <v>0</v>
      </c>
      <c r="AB7" s="229">
        <f t="shared" si="2"/>
        <v>0</v>
      </c>
    </row>
    <row r="8" spans="1:28">
      <c r="A8" s="276"/>
      <c r="B8" s="218">
        <v>16</v>
      </c>
      <c r="C8" s="218">
        <v>550</v>
      </c>
      <c r="D8" s="218">
        <v>26</v>
      </c>
      <c r="E8" s="218">
        <v>612.5</v>
      </c>
      <c r="F8" s="218">
        <v>6.33</v>
      </c>
      <c r="G8" s="218">
        <v>29.9</v>
      </c>
      <c r="H8" s="218">
        <v>64.34</v>
      </c>
      <c r="I8" s="218">
        <v>326</v>
      </c>
      <c r="J8" s="224">
        <f t="shared" si="3"/>
        <v>834.22297164324482</v>
      </c>
      <c r="K8" s="224">
        <f t="shared" si="4"/>
        <v>284.22297164324482</v>
      </c>
      <c r="L8" s="225">
        <f t="shared" si="5"/>
        <v>0.51676903935135421</v>
      </c>
      <c r="M8" s="225">
        <f t="shared" si="6"/>
        <v>1.9351004488488606</v>
      </c>
      <c r="N8" s="226">
        <v>5</v>
      </c>
      <c r="O8" s="224">
        <f t="shared" si="7"/>
        <v>1421.1148582162241</v>
      </c>
      <c r="P8" s="225">
        <f t="shared" si="8"/>
        <v>7.9224885889799657</v>
      </c>
      <c r="Q8" s="225">
        <f t="shared" si="9"/>
        <v>16.997293047231114</v>
      </c>
      <c r="R8" s="225">
        <f t="shared" si="10"/>
        <v>5.7910430472311125</v>
      </c>
      <c r="S8" s="225">
        <f t="shared" si="11"/>
        <v>14.902918698250147</v>
      </c>
      <c r="T8" s="227">
        <f t="shared" si="0"/>
        <v>28.838644662141935</v>
      </c>
      <c r="U8" s="228">
        <f t="shared" si="1"/>
        <v>1.1535457864856773</v>
      </c>
      <c r="V8" s="225">
        <f t="shared" si="12"/>
        <v>5.7910418424388173</v>
      </c>
      <c r="W8" s="226"/>
      <c r="X8" s="229">
        <f t="shared" si="15"/>
        <v>0</v>
      </c>
      <c r="Y8" s="229">
        <f t="shared" si="13"/>
        <v>0</v>
      </c>
      <c r="Z8" s="229">
        <f t="shared" si="14"/>
        <v>0</v>
      </c>
      <c r="AA8" s="229">
        <f t="shared" si="16"/>
        <v>0</v>
      </c>
      <c r="AB8" s="229">
        <f t="shared" si="2"/>
        <v>0</v>
      </c>
    </row>
    <row r="9" spans="1:28">
      <c r="A9" s="276"/>
      <c r="B9" s="218">
        <v>20</v>
      </c>
      <c r="C9" s="218">
        <v>600</v>
      </c>
      <c r="D9" s="218">
        <v>32</v>
      </c>
      <c r="E9" s="218">
        <v>609.29999999999995</v>
      </c>
      <c r="F9" s="218">
        <v>6.22</v>
      </c>
      <c r="G9" s="218">
        <v>29.9</v>
      </c>
      <c r="H9" s="218">
        <v>64.34</v>
      </c>
      <c r="I9" s="218">
        <v>369</v>
      </c>
      <c r="J9" s="224">
        <f t="shared" si="3"/>
        <v>927.8496012057409</v>
      </c>
      <c r="K9" s="224">
        <f t="shared" si="4"/>
        <v>327.8496012057409</v>
      </c>
      <c r="L9" s="225">
        <f t="shared" si="5"/>
        <v>0.54641600200956819</v>
      </c>
      <c r="M9" s="225">
        <f t="shared" si="6"/>
        <v>1.8301074571796476</v>
      </c>
      <c r="N9" s="226">
        <v>5</v>
      </c>
      <c r="O9" s="224">
        <f t="shared" si="7"/>
        <v>1639.2480060287044</v>
      </c>
      <c r="P9" s="225">
        <f t="shared" si="8"/>
        <v>7.4428740107212361</v>
      </c>
      <c r="Q9" s="225">
        <f t="shared" si="9"/>
        <v>17.118825142245921</v>
      </c>
      <c r="R9" s="225">
        <f t="shared" si="10"/>
        <v>6.0488251422459198</v>
      </c>
      <c r="S9" s="225">
        <f t="shared" si="11"/>
        <v>15.736381029182581</v>
      </c>
      <c r="T9" s="227">
        <f t="shared" si="0"/>
        <v>28.799268270527378</v>
      </c>
      <c r="U9" s="228">
        <f t="shared" si="1"/>
        <v>1.1519707308210951</v>
      </c>
      <c r="V9" s="225">
        <f t="shared" si="12"/>
        <v>6.0488238838235819</v>
      </c>
      <c r="W9" s="226"/>
      <c r="X9" s="229">
        <f t="shared" si="15"/>
        <v>0</v>
      </c>
      <c r="Y9" s="229">
        <f t="shared" si="13"/>
        <v>0</v>
      </c>
      <c r="Z9" s="229">
        <f t="shared" si="14"/>
        <v>0</v>
      </c>
      <c r="AA9" s="229">
        <f t="shared" si="16"/>
        <v>0</v>
      </c>
      <c r="AB9" s="229">
        <f t="shared" si="2"/>
        <v>0</v>
      </c>
    </row>
    <row r="10" spans="1:28">
      <c r="A10" s="276"/>
      <c r="B10" s="218">
        <v>23</v>
      </c>
      <c r="C10" s="218">
        <v>649</v>
      </c>
      <c r="D10" s="218">
        <v>38</v>
      </c>
      <c r="E10" s="218">
        <v>609.1</v>
      </c>
      <c r="F10" s="218">
        <v>6.14</v>
      </c>
      <c r="G10" s="218">
        <v>29.9</v>
      </c>
      <c r="H10" s="218">
        <v>64.34</v>
      </c>
      <c r="I10" s="218">
        <v>411</v>
      </c>
      <c r="J10" s="224">
        <f t="shared" si="3"/>
        <v>1020.1664281785024</v>
      </c>
      <c r="K10" s="224">
        <f t="shared" si="4"/>
        <v>371.16642817850243</v>
      </c>
      <c r="L10" s="225">
        <f t="shared" si="5"/>
        <v>0.57190512816410233</v>
      </c>
      <c r="M10" s="225">
        <f t="shared" si="6"/>
        <v>1.7485417611311578</v>
      </c>
      <c r="N10" s="226">
        <v>5</v>
      </c>
      <c r="O10" s="224">
        <f t="shared" si="7"/>
        <v>1855.8321408925121</v>
      </c>
      <c r="P10" s="225">
        <f t="shared" si="8"/>
        <v>6.6780620824406363</v>
      </c>
      <c r="Q10" s="225">
        <f t="shared" si="9"/>
        <v>18.229930520928889</v>
      </c>
      <c r="R10" s="225">
        <f t="shared" si="10"/>
        <v>6.6325826948419344</v>
      </c>
      <c r="S10" s="225">
        <f t="shared" si="11"/>
        <v>16.415302321980946</v>
      </c>
      <c r="T10" s="227">
        <f t="shared" si="0"/>
        <v>28.702841631576945</v>
      </c>
      <c r="U10" s="228">
        <f t="shared" si="1"/>
        <v>1.1481136652630777</v>
      </c>
      <c r="V10" s="225">
        <f t="shared" si="12"/>
        <v>6.6325813149722856</v>
      </c>
      <c r="W10" s="226"/>
      <c r="X10" s="229">
        <f t="shared" si="15"/>
        <v>0</v>
      </c>
      <c r="Y10" s="229">
        <f t="shared" si="13"/>
        <v>0</v>
      </c>
      <c r="Z10" s="229">
        <f t="shared" si="14"/>
        <v>0</v>
      </c>
      <c r="AA10" s="229">
        <f t="shared" si="16"/>
        <v>0</v>
      </c>
      <c r="AB10" s="229">
        <f t="shared" si="2"/>
        <v>0</v>
      </c>
    </row>
    <row r="11" spans="1:28">
      <c r="A11" s="276"/>
      <c r="B11" s="218">
        <v>28</v>
      </c>
      <c r="C11" s="218">
        <v>699</v>
      </c>
      <c r="D11" s="218">
        <v>45</v>
      </c>
      <c r="E11" s="218">
        <v>608.4</v>
      </c>
      <c r="F11" s="218">
        <v>6.07</v>
      </c>
      <c r="G11" s="218">
        <v>29.9</v>
      </c>
      <c r="H11" s="218">
        <v>64.34</v>
      </c>
      <c r="I11" s="218">
        <v>454</v>
      </c>
      <c r="J11" s="224">
        <f t="shared" si="3"/>
        <v>1114.051784178477</v>
      </c>
      <c r="K11" s="224">
        <f t="shared" si="4"/>
        <v>415.05178417847696</v>
      </c>
      <c r="L11" s="225">
        <f t="shared" si="5"/>
        <v>0.59377937650712009</v>
      </c>
      <c r="M11" s="225">
        <f t="shared" si="6"/>
        <v>1.6841272020635913</v>
      </c>
      <c r="N11" s="226">
        <v>5</v>
      </c>
      <c r="O11" s="224">
        <f t="shared" si="7"/>
        <v>2075.2589208923846</v>
      </c>
      <c r="P11" s="225">
        <f t="shared" si="8"/>
        <v>6.5014982872695848</v>
      </c>
      <c r="Q11" s="225">
        <f t="shared" si="9"/>
        <v>18.063553929179591</v>
      </c>
      <c r="R11" s="225">
        <f t="shared" si="10"/>
        <v>6.7297682148938769</v>
      </c>
      <c r="S11" s="225">
        <f t="shared" si="11"/>
        <v>17.029822354769106</v>
      </c>
      <c r="T11" s="227">
        <f t="shared" si="0"/>
        <v>28.680387073977297</v>
      </c>
      <c r="U11" s="228">
        <f t="shared" si="1"/>
        <v>1.1472154829590919</v>
      </c>
      <c r="V11" s="225">
        <f t="shared" si="12"/>
        <v>6.7297668148053535</v>
      </c>
      <c r="W11" s="226"/>
      <c r="X11" s="229">
        <f t="shared" si="15"/>
        <v>0</v>
      </c>
      <c r="Y11" s="229">
        <f t="shared" si="13"/>
        <v>0</v>
      </c>
      <c r="Z11" s="229">
        <f t="shared" si="14"/>
        <v>0</v>
      </c>
      <c r="AA11" s="229">
        <f t="shared" si="16"/>
        <v>0</v>
      </c>
      <c r="AB11" s="229">
        <f t="shared" si="2"/>
        <v>0</v>
      </c>
    </row>
    <row r="12" spans="1:28">
      <c r="A12" s="276"/>
      <c r="B12" s="218">
        <v>32</v>
      </c>
      <c r="C12" s="218">
        <v>749</v>
      </c>
      <c r="D12" s="218">
        <v>53</v>
      </c>
      <c r="E12" s="218">
        <v>607.5</v>
      </c>
      <c r="F12" s="218">
        <v>6.01</v>
      </c>
      <c r="G12" s="218">
        <v>29.9</v>
      </c>
      <c r="H12" s="218">
        <v>64.34</v>
      </c>
      <c r="I12" s="218">
        <v>497</v>
      </c>
      <c r="J12" s="224">
        <f t="shared" si="3"/>
        <v>1207.5126671169633</v>
      </c>
      <c r="K12" s="224">
        <f t="shared" si="4"/>
        <v>458.51266711696326</v>
      </c>
      <c r="L12" s="225">
        <f t="shared" si="5"/>
        <v>0.61216644474894966</v>
      </c>
      <c r="M12" s="225">
        <f t="shared" si="6"/>
        <v>1.633542655886834</v>
      </c>
      <c r="N12" s="226">
        <v>5</v>
      </c>
      <c r="O12" s="224">
        <f t="shared" si="7"/>
        <v>2292.5633355848163</v>
      </c>
      <c r="P12" s="225">
        <f t="shared" si="8"/>
        <v>6.0884577015198174</v>
      </c>
      <c r="Q12" s="225">
        <f t="shared" si="9"/>
        <v>18.754181111160335</v>
      </c>
      <c r="R12" s="225">
        <f t="shared" si="10"/>
        <v>7.1212748611603356</v>
      </c>
      <c r="S12" s="225">
        <f t="shared" si="11"/>
        <v>17.571960998840826</v>
      </c>
      <c r="T12" s="227">
        <f t="shared" si="0"/>
        <v>28.704547839186308</v>
      </c>
      <c r="U12" s="228">
        <f t="shared" si="1"/>
        <v>1.1481819135674525</v>
      </c>
      <c r="V12" s="225">
        <f t="shared" si="12"/>
        <v>7.1212733796211696</v>
      </c>
      <c r="W12" s="226"/>
      <c r="X12" s="229">
        <f t="shared" si="15"/>
        <v>0</v>
      </c>
      <c r="Y12" s="229">
        <f t="shared" si="13"/>
        <v>0</v>
      </c>
      <c r="Z12" s="229">
        <f t="shared" si="14"/>
        <v>0</v>
      </c>
      <c r="AA12" s="229">
        <f t="shared" si="16"/>
        <v>0</v>
      </c>
      <c r="AB12" s="229">
        <f t="shared" si="2"/>
        <v>0</v>
      </c>
    </row>
    <row r="13" spans="1:28">
      <c r="A13" s="277"/>
      <c r="B13" s="218">
        <v>38</v>
      </c>
      <c r="C13" s="218">
        <v>800</v>
      </c>
      <c r="D13" s="218">
        <v>61</v>
      </c>
      <c r="E13" s="218">
        <v>607.29999999999995</v>
      </c>
      <c r="F13" s="218">
        <v>5.96</v>
      </c>
      <c r="G13" s="218">
        <v>29.9</v>
      </c>
      <c r="H13" s="218">
        <v>64.34</v>
      </c>
      <c r="I13" s="218">
        <v>540</v>
      </c>
      <c r="J13" s="224">
        <f t="shared" si="3"/>
        <v>1301.070572469504</v>
      </c>
      <c r="K13" s="224">
        <f t="shared" si="4"/>
        <v>501.07057246950399</v>
      </c>
      <c r="L13" s="225">
        <f t="shared" si="5"/>
        <v>0.62633821558687997</v>
      </c>
      <c r="M13" s="225">
        <f t="shared" si="6"/>
        <v>1.5965814876280513</v>
      </c>
      <c r="N13" s="226">
        <v>5</v>
      </c>
      <c r="O13" s="224">
        <f>K13*N13</f>
        <v>2505.3528623475199</v>
      </c>
      <c r="P13" s="225">
        <f t="shared" si="8"/>
        <v>6.0540470607619286</v>
      </c>
      <c r="Q13" s="225">
        <f t="shared" si="9"/>
        <v>18.488897608777162</v>
      </c>
      <c r="R13" s="225">
        <f t="shared" si="10"/>
        <v>7.1204765561455829</v>
      </c>
      <c r="S13" s="225">
        <f t="shared" si="11"/>
        <v>18.025098420642511</v>
      </c>
      <c r="T13" s="227">
        <f t="shared" si="0"/>
        <v>28.778538451071459</v>
      </c>
      <c r="U13" s="228">
        <f t="shared" si="1"/>
        <v>1.1511415380428585</v>
      </c>
      <c r="V13" s="225">
        <f t="shared" si="12"/>
        <v>7.1204750747725001</v>
      </c>
      <c r="W13" s="226"/>
      <c r="X13" s="229">
        <f t="shared" si="15"/>
        <v>0</v>
      </c>
      <c r="Y13" s="229">
        <f t="shared" si="13"/>
        <v>0</v>
      </c>
      <c r="Z13" s="229">
        <f t="shared" si="14"/>
        <v>0</v>
      </c>
      <c r="AA13" s="229">
        <f t="shared" si="16"/>
        <v>0</v>
      </c>
      <c r="AB13" s="229">
        <f t="shared" si="2"/>
        <v>0</v>
      </c>
    </row>
    <row r="14" spans="1:28">
      <c r="A14" s="275" t="s">
        <v>853</v>
      </c>
      <c r="B14" s="218">
        <v>6</v>
      </c>
      <c r="C14" s="218">
        <v>299</v>
      </c>
      <c r="D14" s="218">
        <v>10</v>
      </c>
      <c r="E14" s="218">
        <v>624.29999999999995</v>
      </c>
      <c r="F14" s="218">
        <v>9.07</v>
      </c>
      <c r="G14" s="218">
        <v>38.1</v>
      </c>
      <c r="H14" s="218">
        <v>64.34</v>
      </c>
      <c r="I14" s="218">
        <v>133</v>
      </c>
      <c r="J14" s="224">
        <f t="shared" si="3"/>
        <v>487.66295124151361</v>
      </c>
      <c r="K14" s="224">
        <f t="shared" si="4"/>
        <v>188.66295124151361</v>
      </c>
      <c r="L14" s="225">
        <f t="shared" si="5"/>
        <v>0.63097977003850703</v>
      </c>
      <c r="M14" s="225">
        <f t="shared" si="6"/>
        <v>1.5848368640074983</v>
      </c>
      <c r="N14" s="226">
        <v>3</v>
      </c>
      <c r="O14" s="224">
        <f t="shared" ref="O14:O29" si="17">K14*N14</f>
        <v>565.98885372454083</v>
      </c>
      <c r="P14" s="225">
        <f t="shared" si="8"/>
        <v>18.729901496382379</v>
      </c>
      <c r="Q14" s="225">
        <f t="shared" si="9"/>
        <v>10.809862085853553</v>
      </c>
      <c r="R14" s="225">
        <f t="shared" si="10"/>
        <v>4.1820287525202184</v>
      </c>
      <c r="S14" s="225">
        <f t="shared" si="11"/>
        <v>7.8053664479621814</v>
      </c>
      <c r="T14" s="227">
        <f t="shared" si="0"/>
        <v>12.37023248381773</v>
      </c>
      <c r="U14" s="228">
        <f t="shared" si="1"/>
        <v>1.3744702759797478</v>
      </c>
      <c r="V14" s="225">
        <f t="shared" si="12"/>
        <v>4.1820278824738413</v>
      </c>
      <c r="W14" s="226"/>
      <c r="X14" s="229">
        <f t="shared" si="15"/>
        <v>0</v>
      </c>
      <c r="Y14" s="229">
        <f t="shared" si="13"/>
        <v>0</v>
      </c>
      <c r="Z14" s="229">
        <f t="shared" si="14"/>
        <v>0</v>
      </c>
      <c r="AA14" s="229">
        <f t="shared" si="16"/>
        <v>0</v>
      </c>
      <c r="AB14" s="229">
        <f t="shared" si="2"/>
        <v>0</v>
      </c>
    </row>
    <row r="15" spans="1:28">
      <c r="A15" s="276"/>
      <c r="B15" s="218">
        <v>10</v>
      </c>
      <c r="C15" s="218">
        <v>350</v>
      </c>
      <c r="D15" s="218">
        <v>16</v>
      </c>
      <c r="E15" s="218">
        <v>619.20000000000005</v>
      </c>
      <c r="F15" s="218">
        <v>8.31</v>
      </c>
      <c r="G15" s="218">
        <v>33.5</v>
      </c>
      <c r="H15" s="218">
        <v>64.34</v>
      </c>
      <c r="I15" s="218">
        <v>193</v>
      </c>
      <c r="J15" s="224">
        <f t="shared" si="3"/>
        <v>648.36440972028493</v>
      </c>
      <c r="K15" s="224">
        <f t="shared" si="4"/>
        <v>298.36440972028493</v>
      </c>
      <c r="L15" s="225">
        <f t="shared" si="5"/>
        <v>0.85246974205795689</v>
      </c>
      <c r="M15" s="225">
        <f t="shared" si="6"/>
        <v>1.1730621635741447</v>
      </c>
      <c r="N15" s="226">
        <v>3</v>
      </c>
      <c r="O15" s="224">
        <f t="shared" si="17"/>
        <v>895.09322916085478</v>
      </c>
      <c r="P15" s="225">
        <f t="shared" si="8"/>
        <v>12.481404440900256</v>
      </c>
      <c r="Q15" s="225">
        <f t="shared" si="9"/>
        <v>12.513433107601498</v>
      </c>
      <c r="R15" s="225">
        <f t="shared" si="10"/>
        <v>5.7584331076014985</v>
      </c>
      <c r="S15" s="225">
        <f t="shared" si="11"/>
        <v>10.561080975326044</v>
      </c>
      <c r="T15" s="227">
        <f t="shared" si="0"/>
        <v>12.388804498597707</v>
      </c>
      <c r="U15" s="228">
        <f t="shared" si="1"/>
        <v>1.376533833177523</v>
      </c>
      <c r="V15" s="225">
        <f t="shared" si="12"/>
        <v>5.7584319095935079</v>
      </c>
      <c r="W15" s="226"/>
      <c r="X15" s="229">
        <f t="shared" si="15"/>
        <v>0</v>
      </c>
      <c r="Y15" s="229">
        <f t="shared" si="13"/>
        <v>0</v>
      </c>
      <c r="Z15" s="229">
        <f t="shared" si="14"/>
        <v>0</v>
      </c>
      <c r="AA15" s="229">
        <f t="shared" si="16"/>
        <v>0</v>
      </c>
      <c r="AB15" s="229">
        <f t="shared" si="2"/>
        <v>0</v>
      </c>
    </row>
    <row r="16" spans="1:28">
      <c r="A16" s="276"/>
      <c r="B16" s="218">
        <v>15</v>
      </c>
      <c r="C16" s="218">
        <v>400</v>
      </c>
      <c r="D16" s="218">
        <v>24</v>
      </c>
      <c r="E16" s="218">
        <v>614.4</v>
      </c>
      <c r="F16" s="218">
        <v>7.92</v>
      </c>
      <c r="G16" s="218">
        <v>30</v>
      </c>
      <c r="H16" s="218">
        <v>64.34</v>
      </c>
      <c r="I16" s="218">
        <v>257</v>
      </c>
      <c r="J16" s="224">
        <f t="shared" si="3"/>
        <v>822.84709359536646</v>
      </c>
      <c r="K16" s="224">
        <f t="shared" si="4"/>
        <v>422.84709359536646</v>
      </c>
      <c r="L16" s="225">
        <f t="shared" si="5"/>
        <v>1.0571177339884161</v>
      </c>
      <c r="M16" s="225">
        <f t="shared" si="6"/>
        <v>0.94596842702381334</v>
      </c>
      <c r="N16" s="226">
        <v>3</v>
      </c>
      <c r="O16" s="224">
        <f t="shared" si="17"/>
        <v>1268.5412807860994</v>
      </c>
      <c r="P16" s="225">
        <f t="shared" si="8"/>
        <v>9.3214194263115395</v>
      </c>
      <c r="Q16" s="225">
        <f t="shared" si="9"/>
        <v>14.098113536933944</v>
      </c>
      <c r="R16" s="225">
        <f t="shared" si="10"/>
        <v>7.2447802036006124</v>
      </c>
      <c r="S16" s="225">
        <f t="shared" si="11"/>
        <v>12.911243805119035</v>
      </c>
      <c r="T16" s="227">
        <f t="shared" si="0"/>
        <v>12.213628993249408</v>
      </c>
      <c r="U16" s="228">
        <f t="shared" si="1"/>
        <v>1.357069888138823</v>
      </c>
      <c r="V16" s="225">
        <f t="shared" si="12"/>
        <v>7.244778696366887</v>
      </c>
      <c r="W16" s="226"/>
      <c r="X16" s="229">
        <f t="shared" si="15"/>
        <v>0</v>
      </c>
      <c r="Y16" s="229">
        <f t="shared" si="13"/>
        <v>0</v>
      </c>
      <c r="Z16" s="229">
        <f t="shared" si="14"/>
        <v>0</v>
      </c>
      <c r="AA16" s="229">
        <f t="shared" si="16"/>
        <v>0</v>
      </c>
      <c r="AB16" s="229">
        <f t="shared" si="2"/>
        <v>0</v>
      </c>
    </row>
    <row r="17" spans="1:28">
      <c r="A17" s="276"/>
      <c r="B17" s="218">
        <v>21</v>
      </c>
      <c r="C17" s="218">
        <v>449</v>
      </c>
      <c r="D17" s="218">
        <v>33</v>
      </c>
      <c r="E17" s="218">
        <v>610</v>
      </c>
      <c r="F17" s="218">
        <v>7.78</v>
      </c>
      <c r="G17" s="218">
        <v>30</v>
      </c>
      <c r="H17" s="218">
        <v>64.34</v>
      </c>
      <c r="I17" s="218">
        <v>308</v>
      </c>
      <c r="J17" s="224">
        <f t="shared" si="3"/>
        <v>968.70412272381441</v>
      </c>
      <c r="K17" s="224">
        <f t="shared" si="4"/>
        <v>519.70412272381441</v>
      </c>
      <c r="L17" s="225">
        <f t="shared" si="5"/>
        <v>1.1574702065118361</v>
      </c>
      <c r="M17" s="225">
        <f t="shared" si="6"/>
        <v>0.8639531232631984</v>
      </c>
      <c r="N17" s="226">
        <v>3</v>
      </c>
      <c r="O17" s="224">
        <f t="shared" si="17"/>
        <v>1559.1123681714432</v>
      </c>
      <c r="P17" s="225">
        <f t="shared" si="8"/>
        <v>8.6390196384172153</v>
      </c>
      <c r="Q17" s="225">
        <f t="shared" si="9"/>
        <v>14.207660466615945</v>
      </c>
      <c r="R17" s="225">
        <f t="shared" si="10"/>
        <v>7.6223271332826119</v>
      </c>
      <c r="S17" s="225">
        <f t="shared" si="11"/>
        <v>14.032818566338152</v>
      </c>
      <c r="T17" s="227">
        <f t="shared" si="0"/>
        <v>12.123697428573644</v>
      </c>
      <c r="U17" s="228">
        <f t="shared" si="1"/>
        <v>1.3470774920637381</v>
      </c>
      <c r="V17" s="225">
        <f t="shared" si="12"/>
        <v>7.6223255475024763</v>
      </c>
      <c r="W17" s="226"/>
      <c r="X17" s="229">
        <f t="shared" si="15"/>
        <v>0</v>
      </c>
      <c r="Y17" s="229">
        <f t="shared" si="13"/>
        <v>0</v>
      </c>
      <c r="Z17" s="229">
        <f t="shared" si="14"/>
        <v>0</v>
      </c>
      <c r="AA17" s="229">
        <f t="shared" si="16"/>
        <v>0</v>
      </c>
      <c r="AB17" s="229">
        <f t="shared" si="2"/>
        <v>0</v>
      </c>
    </row>
    <row r="18" spans="1:28">
      <c r="A18" s="276"/>
      <c r="B18" s="218">
        <v>27</v>
      </c>
      <c r="C18" s="218">
        <v>499</v>
      </c>
      <c r="D18" s="218">
        <v>44</v>
      </c>
      <c r="E18" s="218">
        <v>609</v>
      </c>
      <c r="F18" s="218">
        <v>7.67</v>
      </c>
      <c r="G18" s="218">
        <v>30</v>
      </c>
      <c r="H18" s="218">
        <v>64.34</v>
      </c>
      <c r="I18" s="218">
        <v>359</v>
      </c>
      <c r="J18" s="224">
        <f t="shared" si="3"/>
        <v>1113.1421990467168</v>
      </c>
      <c r="K18" s="224">
        <f t="shared" si="4"/>
        <v>614.14219904671677</v>
      </c>
      <c r="L18" s="225">
        <f t="shared" si="5"/>
        <v>1.2307458898731798</v>
      </c>
      <c r="M18" s="225">
        <f t="shared" si="6"/>
        <v>0.8125154089306309</v>
      </c>
      <c r="N18" s="226">
        <v>3</v>
      </c>
      <c r="O18" s="224">
        <f t="shared" si="17"/>
        <v>1842.4265971401503</v>
      </c>
      <c r="P18" s="225">
        <f t="shared" si="8"/>
        <v>7.9539594991551477</v>
      </c>
      <c r="Q18" s="225">
        <f t="shared" si="9"/>
        <v>14.800668498435975</v>
      </c>
      <c r="R18" s="225">
        <f t="shared" si="10"/>
        <v>8.1658166465841227</v>
      </c>
      <c r="S18" s="225">
        <f t="shared" si="11"/>
        <v>14.928585873178019</v>
      </c>
      <c r="T18" s="227">
        <f t="shared" si="0"/>
        <v>12.129706055501279</v>
      </c>
      <c r="U18" s="228">
        <f t="shared" si="1"/>
        <v>1.3477451172779198</v>
      </c>
      <c r="V18" s="225">
        <f t="shared" si="12"/>
        <v>8.1658149477342086</v>
      </c>
      <c r="W18" s="226"/>
      <c r="X18" s="229">
        <f t="shared" si="15"/>
        <v>0</v>
      </c>
      <c r="Y18" s="229">
        <f t="shared" si="13"/>
        <v>0</v>
      </c>
      <c r="Z18" s="229">
        <f t="shared" si="14"/>
        <v>0</v>
      </c>
      <c r="AA18" s="229">
        <f t="shared" si="16"/>
        <v>0</v>
      </c>
      <c r="AB18" s="229">
        <f t="shared" si="2"/>
        <v>0</v>
      </c>
    </row>
    <row r="19" spans="1:28">
      <c r="A19" s="276"/>
      <c r="B19" s="218">
        <v>35</v>
      </c>
      <c r="C19" s="218">
        <v>550</v>
      </c>
      <c r="D19" s="218">
        <v>57</v>
      </c>
      <c r="E19" s="218">
        <v>607.5</v>
      </c>
      <c r="F19" s="218">
        <v>7.59</v>
      </c>
      <c r="G19" s="218">
        <v>30</v>
      </c>
      <c r="H19" s="218">
        <v>64.34</v>
      </c>
      <c r="I19" s="218">
        <v>411</v>
      </c>
      <c r="J19" s="224">
        <f t="shared" si="3"/>
        <v>1261.0852100773345</v>
      </c>
      <c r="K19" s="224">
        <f t="shared" si="4"/>
        <v>711.08521007733452</v>
      </c>
      <c r="L19" s="225">
        <f t="shared" si="5"/>
        <v>1.2928822001406082</v>
      </c>
      <c r="M19" s="225">
        <f t="shared" si="6"/>
        <v>0.77346567219445383</v>
      </c>
      <c r="N19" s="226">
        <v>3</v>
      </c>
      <c r="O19" s="224">
        <f t="shared" si="17"/>
        <v>2133.2556302320036</v>
      </c>
      <c r="P19" s="225">
        <f t="shared" si="8"/>
        <v>7.6909899402066637</v>
      </c>
      <c r="Q19" s="225">
        <f t="shared" si="9"/>
        <v>14.808743466908128</v>
      </c>
      <c r="R19" s="225">
        <f t="shared" si="10"/>
        <v>8.3501720383367015</v>
      </c>
      <c r="S19" s="225">
        <f t="shared" si="11"/>
        <v>15.669584767222176</v>
      </c>
      <c r="T19" s="227">
        <f t="shared" si="0"/>
        <v>12.119885914987476</v>
      </c>
      <c r="U19" s="228">
        <f t="shared" si="1"/>
        <v>1.3466539905541639</v>
      </c>
      <c r="V19" s="225">
        <f t="shared" si="12"/>
        <v>8.3501703011327333</v>
      </c>
      <c r="W19" s="226"/>
      <c r="X19" s="229">
        <f t="shared" si="15"/>
        <v>0</v>
      </c>
      <c r="Y19" s="229">
        <f t="shared" si="13"/>
        <v>0</v>
      </c>
      <c r="Z19" s="229">
        <f t="shared" si="14"/>
        <v>0</v>
      </c>
      <c r="AA19" s="229">
        <f t="shared" si="16"/>
        <v>0</v>
      </c>
      <c r="AB19" s="229">
        <f t="shared" si="2"/>
        <v>0</v>
      </c>
    </row>
    <row r="20" spans="1:28">
      <c r="A20" s="276"/>
      <c r="B20" s="218">
        <v>43</v>
      </c>
      <c r="C20" s="218">
        <v>600</v>
      </c>
      <c r="D20" s="218">
        <v>71</v>
      </c>
      <c r="E20" s="218">
        <v>606.6</v>
      </c>
      <c r="F20" s="218">
        <v>7.52</v>
      </c>
      <c r="G20" s="218">
        <v>30</v>
      </c>
      <c r="H20" s="218">
        <v>64.34</v>
      </c>
      <c r="I20" s="218">
        <v>464</v>
      </c>
      <c r="J20" s="224">
        <f t="shared" si="3"/>
        <v>1410.5765371322368</v>
      </c>
      <c r="K20" s="224">
        <f t="shared" si="4"/>
        <v>810.57653713223681</v>
      </c>
      <c r="L20" s="225">
        <f t="shared" si="5"/>
        <v>1.3509608952203946</v>
      </c>
      <c r="M20" s="225">
        <f t="shared" si="6"/>
        <v>0.74021387557399343</v>
      </c>
      <c r="N20" s="226">
        <v>3</v>
      </c>
      <c r="O20" s="224">
        <f t="shared" si="17"/>
        <v>2431.7296113967104</v>
      </c>
      <c r="P20" s="225">
        <f t="shared" si="8"/>
        <v>7.2717324100208867</v>
      </c>
      <c r="Q20" s="225">
        <f t="shared" si="9"/>
        <v>15.221104958822275</v>
      </c>
      <c r="R20" s="225">
        <f t="shared" si="10"/>
        <v>8.7466863541711142</v>
      </c>
      <c r="S20" s="225">
        <f t="shared" si="11"/>
        <v>16.366997693847395</v>
      </c>
      <c r="T20" s="227">
        <f t="shared" si="0"/>
        <v>12.115078794473392</v>
      </c>
      <c r="U20" s="228">
        <f t="shared" si="1"/>
        <v>1.3461198660525993</v>
      </c>
      <c r="V20" s="225">
        <f t="shared" si="12"/>
        <v>8.7466845344746886</v>
      </c>
      <c r="W20" s="226"/>
      <c r="X20" s="229">
        <f t="shared" si="15"/>
        <v>0</v>
      </c>
      <c r="Y20" s="229">
        <f t="shared" si="13"/>
        <v>0</v>
      </c>
      <c r="Z20" s="229">
        <f t="shared" si="14"/>
        <v>0</v>
      </c>
      <c r="AA20" s="229">
        <f t="shared" si="16"/>
        <v>0</v>
      </c>
      <c r="AB20" s="229">
        <f t="shared" si="2"/>
        <v>0</v>
      </c>
    </row>
    <row r="21" spans="1:28">
      <c r="A21" s="276"/>
      <c r="B21" s="218">
        <v>53</v>
      </c>
      <c r="C21" s="218">
        <v>649</v>
      </c>
      <c r="D21" s="218">
        <v>88</v>
      </c>
      <c r="E21" s="218">
        <v>605.4</v>
      </c>
      <c r="F21" s="218">
        <v>7.46</v>
      </c>
      <c r="G21" s="218">
        <v>30</v>
      </c>
      <c r="H21" s="218">
        <v>64.34</v>
      </c>
      <c r="I21" s="218">
        <v>517</v>
      </c>
      <c r="J21" s="224">
        <f t="shared" si="3"/>
        <v>1559.1582790553794</v>
      </c>
      <c r="K21" s="224">
        <f t="shared" si="4"/>
        <v>910.15827905537935</v>
      </c>
      <c r="L21" s="225">
        <f t="shared" si="5"/>
        <v>1.4024010463102918</v>
      </c>
      <c r="M21" s="225">
        <f t="shared" si="6"/>
        <v>0.71306278801701817</v>
      </c>
      <c r="N21" s="226">
        <v>3</v>
      </c>
      <c r="O21" s="224">
        <f t="shared" si="17"/>
        <v>2730.4748371661381</v>
      </c>
      <c r="P21" s="225">
        <f t="shared" si="8"/>
        <v>7.1088526490503616</v>
      </c>
      <c r="Q21" s="225">
        <f t="shared" si="9"/>
        <v>15.209147740974172</v>
      </c>
      <c r="R21" s="225">
        <f t="shared" si="10"/>
        <v>8.8783364202194548</v>
      </c>
      <c r="S21" s="225">
        <f t="shared" si="11"/>
        <v>16.995234073974373</v>
      </c>
      <c r="T21" s="227">
        <f t="shared" si="0"/>
        <v>12.118668991789992</v>
      </c>
      <c r="U21" s="228">
        <f t="shared" si="1"/>
        <v>1.3465187768655547</v>
      </c>
      <c r="V21" s="225">
        <f t="shared" si="12"/>
        <v>8.878334573134012</v>
      </c>
      <c r="W21" s="226"/>
      <c r="X21" s="229">
        <f t="shared" si="15"/>
        <v>0</v>
      </c>
      <c r="Y21" s="229">
        <f t="shared" si="13"/>
        <v>0</v>
      </c>
      <c r="Z21" s="229">
        <f t="shared" si="14"/>
        <v>0</v>
      </c>
      <c r="AA21" s="229">
        <f t="shared" si="16"/>
        <v>0</v>
      </c>
      <c r="AB21" s="229">
        <f t="shared" si="2"/>
        <v>0</v>
      </c>
    </row>
    <row r="22" spans="1:28">
      <c r="A22" s="276"/>
      <c r="B22" s="218">
        <v>65</v>
      </c>
      <c r="C22" s="218">
        <v>699</v>
      </c>
      <c r="D22" s="218">
        <v>107</v>
      </c>
      <c r="E22" s="218">
        <v>604.6</v>
      </c>
      <c r="F22" s="218">
        <v>7.42</v>
      </c>
      <c r="G22" s="218">
        <v>30</v>
      </c>
      <c r="H22" s="218">
        <v>64.34</v>
      </c>
      <c r="I22" s="218">
        <v>571</v>
      </c>
      <c r="J22" s="224">
        <f t="shared" si="3"/>
        <v>1712.7771013081797</v>
      </c>
      <c r="K22" s="224">
        <f t="shared" si="4"/>
        <v>1013.7771013081797</v>
      </c>
      <c r="L22" s="225">
        <f t="shared" si="5"/>
        <v>1.4503248945753644</v>
      </c>
      <c r="M22" s="225">
        <f t="shared" si="6"/>
        <v>0.68950067928937164</v>
      </c>
      <c r="N22" s="226">
        <v>3</v>
      </c>
      <c r="O22" s="224">
        <f t="shared" si="17"/>
        <v>3041.331303924539</v>
      </c>
      <c r="P22" s="225">
        <f t="shared" si="8"/>
        <v>7.0272579007622031</v>
      </c>
      <c r="Q22" s="225">
        <f t="shared" si="9"/>
        <v>15.046088074568779</v>
      </c>
      <c r="R22" s="225">
        <f t="shared" si="10"/>
        <v>8.9056419207226245</v>
      </c>
      <c r="S22" s="225">
        <f t="shared" si="11"/>
        <v>17.521656371919889</v>
      </c>
      <c r="T22" s="227">
        <f t="shared" si="0"/>
        <v>12.081193970713709</v>
      </c>
      <c r="U22" s="228">
        <f t="shared" si="1"/>
        <v>1.3423548856348566</v>
      </c>
      <c r="V22" s="225">
        <f t="shared" si="12"/>
        <v>8.9056400679564351</v>
      </c>
      <c r="W22" s="226"/>
      <c r="X22" s="229">
        <f t="shared" si="15"/>
        <v>0</v>
      </c>
      <c r="Y22" s="229">
        <f t="shared" si="13"/>
        <v>0</v>
      </c>
      <c r="Z22" s="229">
        <f t="shared" si="14"/>
        <v>0</v>
      </c>
      <c r="AA22" s="229">
        <f t="shared" si="16"/>
        <v>0</v>
      </c>
      <c r="AB22" s="229">
        <f t="shared" si="2"/>
        <v>0</v>
      </c>
    </row>
    <row r="23" spans="1:28">
      <c r="A23" s="276"/>
      <c r="B23" s="218">
        <v>73</v>
      </c>
      <c r="C23" s="218">
        <v>749</v>
      </c>
      <c r="D23" s="218">
        <v>128</v>
      </c>
      <c r="E23" s="218">
        <v>603.4</v>
      </c>
      <c r="F23" s="218">
        <v>7.37</v>
      </c>
      <c r="G23" s="218">
        <v>30</v>
      </c>
      <c r="H23" s="218">
        <v>64.34</v>
      </c>
      <c r="I23" s="218">
        <v>624</v>
      </c>
      <c r="J23" s="224">
        <f t="shared" si="3"/>
        <v>1859.143498110413</v>
      </c>
      <c r="K23" s="224">
        <f t="shared" si="4"/>
        <v>1110.143498110413</v>
      </c>
      <c r="L23" s="225">
        <f t="shared" si="5"/>
        <v>1.4821675542195101</v>
      </c>
      <c r="M23" s="225">
        <f t="shared" si="6"/>
        <v>0.67468755280275106</v>
      </c>
      <c r="N23" s="226">
        <v>3</v>
      </c>
      <c r="O23" s="224">
        <f t="shared" si="17"/>
        <v>3330.4304943312391</v>
      </c>
      <c r="P23" s="225">
        <f t="shared" si="8"/>
        <v>6.5814579564442139</v>
      </c>
      <c r="Q23" s="225">
        <f t="shared" si="9"/>
        <v>15.891856750971201</v>
      </c>
      <c r="R23" s="225">
        <f t="shared" si="10"/>
        <v>9.4894457920670927</v>
      </c>
      <c r="S23" s="225">
        <f t="shared" si="11"/>
        <v>17.991004648322175</v>
      </c>
      <c r="T23" s="227">
        <f t="shared" si="0"/>
        <v>12.138306898639406</v>
      </c>
      <c r="U23" s="228">
        <f t="shared" si="1"/>
        <v>1.3487007665154895</v>
      </c>
      <c r="V23" s="225">
        <f t="shared" si="12"/>
        <v>9.4894438178439522</v>
      </c>
      <c r="W23" s="226"/>
      <c r="X23" s="229">
        <f t="shared" si="15"/>
        <v>0</v>
      </c>
      <c r="Y23" s="229">
        <f t="shared" si="13"/>
        <v>0</v>
      </c>
      <c r="Z23" s="229">
        <f t="shared" si="14"/>
        <v>0</v>
      </c>
      <c r="AA23" s="229">
        <f t="shared" si="16"/>
        <v>0</v>
      </c>
      <c r="AB23" s="229">
        <f t="shared" si="2"/>
        <v>0</v>
      </c>
    </row>
    <row r="24" spans="1:28">
      <c r="A24" s="277"/>
      <c r="B24" s="218">
        <v>89</v>
      </c>
      <c r="C24" s="218">
        <v>800</v>
      </c>
      <c r="D24" s="218">
        <v>145</v>
      </c>
      <c r="E24" s="218">
        <v>605</v>
      </c>
      <c r="F24" s="218">
        <v>7.34</v>
      </c>
      <c r="G24" s="218">
        <v>30</v>
      </c>
      <c r="H24" s="218">
        <v>64.34</v>
      </c>
      <c r="I24" s="218">
        <v>679</v>
      </c>
      <c r="J24" s="224">
        <f t="shared" si="3"/>
        <v>2014.7755354548417</v>
      </c>
      <c r="K24" s="224">
        <f t="shared" si="4"/>
        <v>1214.7755354548417</v>
      </c>
      <c r="L24" s="225">
        <f t="shared" si="5"/>
        <v>1.5184694193185522</v>
      </c>
      <c r="M24" s="225">
        <f t="shared" si="6"/>
        <v>0.65855787892572304</v>
      </c>
      <c r="N24" s="226">
        <v>3</v>
      </c>
      <c r="O24" s="224">
        <f t="shared" si="17"/>
        <v>3644.3266063645251</v>
      </c>
      <c r="P24" s="225">
        <f t="shared" si="8"/>
        <v>6.7012438733798794</v>
      </c>
      <c r="Q24" s="225">
        <f t="shared" si="9"/>
        <v>15.371152680604915</v>
      </c>
      <c r="R24" s="225">
        <f t="shared" si="10"/>
        <v>9.2677818940880616</v>
      </c>
      <c r="S24" s="225">
        <f t="shared" si="11"/>
        <v>18.403645497172505</v>
      </c>
      <c r="T24" s="227">
        <f t="shared" si="0"/>
        <v>12.119865743118858</v>
      </c>
      <c r="U24" s="228">
        <f t="shared" si="1"/>
        <v>1.3466517492354286</v>
      </c>
      <c r="V24" s="225">
        <f t="shared" si="12"/>
        <v>9.2677799659807878</v>
      </c>
      <c r="W24" s="226"/>
      <c r="X24" s="229">
        <f t="shared" si="15"/>
        <v>0</v>
      </c>
      <c r="Y24" s="229">
        <f t="shared" si="13"/>
        <v>0</v>
      </c>
      <c r="Z24" s="229">
        <f t="shared" si="14"/>
        <v>0</v>
      </c>
      <c r="AA24" s="229">
        <f t="shared" si="16"/>
        <v>0</v>
      </c>
      <c r="AB24" s="229">
        <f t="shared" si="2"/>
        <v>0</v>
      </c>
    </row>
    <row r="25" spans="1:28">
      <c r="A25" s="278" t="s">
        <v>854</v>
      </c>
      <c r="B25" s="218">
        <v>50</v>
      </c>
      <c r="C25" s="218">
        <v>483</v>
      </c>
      <c r="D25" s="218">
        <v>81</v>
      </c>
      <c r="E25" s="218">
        <v>609.20000000000005</v>
      </c>
      <c r="F25" s="218">
        <v>7.27</v>
      </c>
      <c r="G25" s="218">
        <v>30</v>
      </c>
      <c r="H25" s="218">
        <v>64.34</v>
      </c>
      <c r="I25" s="218">
        <v>277</v>
      </c>
      <c r="J25" s="224">
        <f t="shared" si="3"/>
        <v>814.09486332754238</v>
      </c>
      <c r="K25" s="224">
        <f t="shared" si="4"/>
        <v>331.09486332754238</v>
      </c>
      <c r="L25" s="225">
        <f t="shared" si="5"/>
        <v>0.68549661144418716</v>
      </c>
      <c r="M25" s="225">
        <f t="shared" si="6"/>
        <v>1.4587964160657556</v>
      </c>
      <c r="N25" s="226">
        <v>3</v>
      </c>
      <c r="O25" s="224">
        <f t="shared" si="17"/>
        <v>993.28458998262715</v>
      </c>
      <c r="P25" s="225">
        <f t="shared" si="8"/>
        <v>50.678366592659586</v>
      </c>
      <c r="Q25" s="225">
        <f t="shared" si="9"/>
        <v>4.5100855428345845</v>
      </c>
      <c r="R25" s="225">
        <f t="shared" si="10"/>
        <v>1.8342655428345847</v>
      </c>
      <c r="S25" s="225">
        <f t="shared" si="11"/>
        <v>12.555047469949399</v>
      </c>
      <c r="T25" s="227">
        <f t="shared" si="0"/>
        <v>18.315258252697614</v>
      </c>
      <c r="U25" s="228">
        <f t="shared" si="1"/>
        <v>2.0350286947441796</v>
      </c>
      <c r="V25" s="225">
        <f t="shared" si="12"/>
        <v>1.8342651612264746</v>
      </c>
      <c r="W25" s="226">
        <v>350</v>
      </c>
      <c r="X25" s="229">
        <f t="shared" si="15"/>
        <v>1277.8978832441974</v>
      </c>
      <c r="Y25" s="229">
        <f t="shared" si="13"/>
        <v>875.99466873559675</v>
      </c>
      <c r="Z25" s="229">
        <f t="shared" si="14"/>
        <v>2153.892551979794</v>
      </c>
      <c r="AA25" s="229">
        <f t="shared" si="16"/>
        <v>2627.9840062067901</v>
      </c>
      <c r="AB25" s="229">
        <f t="shared" si="2"/>
        <v>732.87311316489161</v>
      </c>
    </row>
    <row r="26" spans="1:28">
      <c r="A26" s="276"/>
      <c r="B26" s="218">
        <v>100</v>
      </c>
      <c r="C26" s="218">
        <v>565</v>
      </c>
      <c r="D26" s="218">
        <v>165</v>
      </c>
      <c r="E26" s="218">
        <v>603.79999999999995</v>
      </c>
      <c r="F26" s="218">
        <v>7.12</v>
      </c>
      <c r="G26" s="218">
        <v>30</v>
      </c>
      <c r="H26" s="218">
        <v>64.34</v>
      </c>
      <c r="I26" s="218">
        <v>375</v>
      </c>
      <c r="J26" s="224">
        <f t="shared" si="3"/>
        <v>1079.3743563552</v>
      </c>
      <c r="K26" s="224">
        <f t="shared" si="4"/>
        <v>514.37435635520001</v>
      </c>
      <c r="L26" s="225">
        <f t="shared" si="5"/>
        <v>0.91039709089415932</v>
      </c>
      <c r="M26" s="225">
        <f t="shared" si="6"/>
        <v>1.0984217875936269</v>
      </c>
      <c r="N26" s="226">
        <v>3</v>
      </c>
      <c r="O26" s="224">
        <f t="shared" si="17"/>
        <v>1543.1230690656</v>
      </c>
      <c r="P26" s="225">
        <f t="shared" si="8"/>
        <v>41.995124423225647</v>
      </c>
      <c r="Q26" s="225">
        <f t="shared" si="9"/>
        <v>4.0476538363320005</v>
      </c>
      <c r="R26" s="225">
        <f t="shared" si="10"/>
        <v>1.9289038363319999</v>
      </c>
      <c r="S26" s="225">
        <f t="shared" si="11"/>
        <v>14.83620952059778</v>
      </c>
      <c r="T26" s="227">
        <f t="shared" si="0"/>
        <v>16.296415782728598</v>
      </c>
      <c r="U26" s="228">
        <f t="shared" si="1"/>
        <v>1.8107128647476218</v>
      </c>
      <c r="V26" s="225">
        <f t="shared" si="12"/>
        <v>1.9289034350349514</v>
      </c>
      <c r="W26" s="226">
        <v>350</v>
      </c>
      <c r="X26" s="229">
        <f t="shared" si="15"/>
        <v>1057.0182117636384</v>
      </c>
      <c r="Y26" s="229">
        <f t="shared" si="13"/>
        <v>962.3063050117629</v>
      </c>
      <c r="Z26" s="229">
        <f t="shared" si="14"/>
        <v>2019.3245167754012</v>
      </c>
      <c r="AA26" s="229">
        <f t="shared" si="16"/>
        <v>2886.9189150352886</v>
      </c>
      <c r="AB26" s="229">
        <f t="shared" si="2"/>
        <v>701.560760020114</v>
      </c>
    </row>
    <row r="27" spans="1:28">
      <c r="A27" s="276"/>
      <c r="B27" s="218">
        <v>150</v>
      </c>
      <c r="C27" s="218">
        <v>671</v>
      </c>
      <c r="D27" s="218">
        <v>251</v>
      </c>
      <c r="E27" s="218">
        <v>596.9</v>
      </c>
      <c r="F27" s="218">
        <v>7.17</v>
      </c>
      <c r="G27" s="218">
        <v>30</v>
      </c>
      <c r="H27" s="218">
        <v>64.34</v>
      </c>
      <c r="I27" s="218">
        <v>495</v>
      </c>
      <c r="J27" s="224">
        <f t="shared" si="3"/>
        <v>1434.7795868382243</v>
      </c>
      <c r="K27" s="224">
        <f t="shared" si="4"/>
        <v>763.7795868382243</v>
      </c>
      <c r="L27" s="225">
        <f t="shared" si="5"/>
        <v>1.1382706212194103</v>
      </c>
      <c r="M27" s="225">
        <f t="shared" si="6"/>
        <v>0.87852570501091976</v>
      </c>
      <c r="N27" s="226">
        <v>3</v>
      </c>
      <c r="O27" s="224">
        <f t="shared" si="17"/>
        <v>2291.3387605146727</v>
      </c>
      <c r="P27" s="225">
        <f t="shared" si="8"/>
        <v>28.570158883980422</v>
      </c>
      <c r="Q27" s="225">
        <f t="shared" si="9"/>
        <v>4.7347726365661398</v>
      </c>
      <c r="R27" s="225">
        <f t="shared" si="10"/>
        <v>2.5204726365661405</v>
      </c>
      <c r="S27" s="225">
        <f t="shared" si="11"/>
        <v>16.375088458594075</v>
      </c>
      <c r="T27" s="227">
        <f t="shared" si="0"/>
        <v>14.385936132702536</v>
      </c>
      <c r="U27" s="228">
        <f t="shared" si="1"/>
        <v>1.5984373480780596</v>
      </c>
      <c r="V27" s="225">
        <f t="shared" si="12"/>
        <v>2.5204721121966975</v>
      </c>
      <c r="W27" s="226">
        <v>350</v>
      </c>
      <c r="X27" s="229">
        <f t="shared" si="15"/>
        <v>1024.9694304384564</v>
      </c>
      <c r="Y27" s="229">
        <f t="shared" si="13"/>
        <v>1166.6925903160868</v>
      </c>
      <c r="Z27" s="229">
        <f t="shared" si="14"/>
        <v>2191.6620207545429</v>
      </c>
      <c r="AA27" s="229">
        <f t="shared" si="16"/>
        <v>3500.07777094826</v>
      </c>
      <c r="AB27" s="229">
        <f t="shared" si="2"/>
        <v>756.12498966771363</v>
      </c>
    </row>
    <row r="28" spans="1:28">
      <c r="A28" s="276"/>
      <c r="B28" s="218">
        <v>201</v>
      </c>
      <c r="C28" s="218">
        <v>691</v>
      </c>
      <c r="D28" s="218">
        <v>337</v>
      </c>
      <c r="E28" s="218">
        <v>594</v>
      </c>
      <c r="F28" s="218">
        <v>7.12</v>
      </c>
      <c r="G28" s="218">
        <v>30</v>
      </c>
      <c r="H28" s="218">
        <v>64.34</v>
      </c>
      <c r="I28" s="218">
        <v>528</v>
      </c>
      <c r="J28" s="224">
        <f t="shared" si="3"/>
        <v>1519.7590937481218</v>
      </c>
      <c r="K28" s="224">
        <f t="shared" si="4"/>
        <v>828.75909374812181</v>
      </c>
      <c r="L28" s="225">
        <f t="shared" si="5"/>
        <v>1.1993619301709433</v>
      </c>
      <c r="M28" s="225">
        <f t="shared" si="6"/>
        <v>0.83377667311607218</v>
      </c>
      <c r="N28" s="226">
        <v>3</v>
      </c>
      <c r="O28" s="224">
        <f t="shared" si="17"/>
        <v>2486.2772812443654</v>
      </c>
      <c r="P28" s="225">
        <f t="shared" si="8"/>
        <v>32.515986480703155</v>
      </c>
      <c r="Q28" s="225">
        <f t="shared" si="9"/>
        <v>3.9922029925323796</v>
      </c>
      <c r="R28" s="225">
        <f t="shared" si="10"/>
        <v>2.177038813427902</v>
      </c>
      <c r="S28" s="225">
        <f t="shared" si="11"/>
        <v>17.080320402063595</v>
      </c>
      <c r="T28" s="227">
        <f t="shared" si="0"/>
        <v>14.241172720589159</v>
      </c>
      <c r="U28" s="228">
        <f t="shared" si="1"/>
        <v>1.5823525245099066</v>
      </c>
      <c r="V28" s="225">
        <f t="shared" si="12"/>
        <v>2.1770383605078378</v>
      </c>
      <c r="W28" s="226">
        <v>350</v>
      </c>
      <c r="X28" s="229">
        <f t="shared" si="15"/>
        <v>911.83034447995203</v>
      </c>
      <c r="Y28" s="229">
        <f t="shared" si="13"/>
        <v>1093.6146019439113</v>
      </c>
      <c r="Z28" s="229">
        <f t="shared" si="14"/>
        <v>2005.4449464238635</v>
      </c>
      <c r="AA28" s="229">
        <f t="shared" si="16"/>
        <v>3280.8438058317342</v>
      </c>
      <c r="AB28" s="229">
        <f t="shared" si="2"/>
        <v>696.73867132476801</v>
      </c>
    </row>
    <row r="29" spans="1:28">
      <c r="A29" s="277"/>
      <c r="B29" s="218"/>
      <c r="C29" s="218"/>
      <c r="D29" s="218"/>
      <c r="E29" s="218"/>
      <c r="F29" s="218"/>
      <c r="G29" s="218">
        <v>30</v>
      </c>
      <c r="H29" s="218">
        <v>64.34</v>
      </c>
      <c r="I29" s="218"/>
      <c r="J29" s="224">
        <f t="shared" si="3"/>
        <v>0</v>
      </c>
      <c r="K29" s="224">
        <f t="shared" si="4"/>
        <v>0</v>
      </c>
      <c r="L29" s="225" t="e">
        <f t="shared" si="5"/>
        <v>#DIV/0!</v>
      </c>
      <c r="M29" s="225" t="e">
        <f t="shared" si="6"/>
        <v>#DIV/0!</v>
      </c>
      <c r="N29" s="226">
        <v>3</v>
      </c>
      <c r="O29" s="225">
        <f t="shared" si="17"/>
        <v>0</v>
      </c>
      <c r="P29" s="225"/>
      <c r="Q29" s="225" t="e">
        <f t="shared" si="9"/>
        <v>#DIV/0!</v>
      </c>
      <c r="R29" s="225" t="e">
        <f t="shared" si="10"/>
        <v>#DIV/0!</v>
      </c>
      <c r="S29" s="225" t="e">
        <f t="shared" si="11"/>
        <v>#DIV/0!</v>
      </c>
      <c r="T29" s="227" t="e">
        <f t="shared" si="0"/>
        <v>#DIV/0!</v>
      </c>
      <c r="U29" s="225" t="e">
        <f t="shared" si="1"/>
        <v>#DIV/0!</v>
      </c>
      <c r="V29" s="225" t="e">
        <f t="shared" si="12"/>
        <v>#DIV/0!</v>
      </c>
      <c r="W29" s="226"/>
      <c r="X29" s="229" t="e">
        <f t="shared" si="15"/>
        <v>#DIV/0!</v>
      </c>
      <c r="Y29" s="229" t="e">
        <f t="shared" si="13"/>
        <v>#DIV/0!</v>
      </c>
      <c r="Z29" s="229" t="e">
        <f t="shared" si="14"/>
        <v>#DIV/0!</v>
      </c>
      <c r="AA29" s="229" t="e">
        <f t="shared" si="16"/>
        <v>#DIV/0!</v>
      </c>
      <c r="AB29" s="229" t="e">
        <f t="shared" si="2"/>
        <v>#DIV/0!</v>
      </c>
    </row>
    <row r="30" spans="1:28">
      <c r="V30" s="230"/>
    </row>
  </sheetData>
  <protectedRanges>
    <protectedRange sqref="G6:G8 B6:B8 B1:G5 H1:H12" name="범위1"/>
    <protectedRange sqref="B17:B19 B14:F16 H14 H16 H18 H20 H22 H24 H26 H28 G14:G29" name="범위1_1"/>
  </protectedRanges>
  <mergeCells count="4">
    <mergeCell ref="A1:A2"/>
    <mergeCell ref="A3:A13"/>
    <mergeCell ref="A14:A24"/>
    <mergeCell ref="A25:A29"/>
  </mergeCells>
  <phoneticPr fontId="8" type="noConversion"/>
  <pageMargins left="0.7" right="0.7" top="0.75" bottom="0.75" header="0.3" footer="0.3"/>
  <pageSetup paperSize="9"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workbookViewId="0">
      <selection activeCell="F25" sqref="F25"/>
    </sheetView>
  </sheetViews>
  <sheetFormatPr defaultRowHeight="14.4"/>
  <cols>
    <col min="13" max="13" width="14.19921875" bestFit="1" customWidth="1"/>
    <col min="14" max="14" width="20.3984375" bestFit="1" customWidth="1"/>
    <col min="17" max="17" width="23.796875" bestFit="1" customWidth="1"/>
    <col min="18" max="18" width="11.3984375" bestFit="1" customWidth="1"/>
    <col min="19" max="19" width="25.09765625" bestFit="1" customWidth="1"/>
    <col min="20" max="20" width="8" bestFit="1" customWidth="1"/>
    <col min="21" max="21" width="10" bestFit="1" customWidth="1"/>
    <col min="22" max="22" width="30.796875" bestFit="1" customWidth="1"/>
  </cols>
  <sheetData>
    <row r="1" spans="1:22" ht="15" thickBot="1"/>
    <row r="2" spans="1:22" ht="18" thickBot="1">
      <c r="A2" s="291" t="s">
        <v>629</v>
      </c>
      <c r="B2" s="281" t="s">
        <v>630</v>
      </c>
      <c r="C2" s="281" t="s">
        <v>631</v>
      </c>
      <c r="D2" s="281" t="s">
        <v>632</v>
      </c>
      <c r="E2" s="281" t="s">
        <v>633</v>
      </c>
      <c r="F2" s="283" t="s">
        <v>634</v>
      </c>
      <c r="G2" s="285" t="s">
        <v>635</v>
      </c>
      <c r="H2" s="281" t="s">
        <v>636</v>
      </c>
      <c r="I2" s="285" t="s">
        <v>637</v>
      </c>
      <c r="J2" s="293" t="s">
        <v>638</v>
      </c>
      <c r="K2" s="281" t="s">
        <v>639</v>
      </c>
      <c r="L2" s="283" t="s">
        <v>640</v>
      </c>
      <c r="M2" s="281" t="s">
        <v>641</v>
      </c>
      <c r="N2" s="281" t="s">
        <v>642</v>
      </c>
      <c r="O2" s="283" t="s">
        <v>643</v>
      </c>
      <c r="P2" s="281" t="s">
        <v>644</v>
      </c>
      <c r="Q2" s="281" t="s">
        <v>645</v>
      </c>
      <c r="R2" s="281"/>
      <c r="S2" s="285" t="s">
        <v>646</v>
      </c>
      <c r="T2" s="287" t="s">
        <v>647</v>
      </c>
      <c r="U2" s="289" t="s">
        <v>648</v>
      </c>
      <c r="V2" s="289" t="s">
        <v>649</v>
      </c>
    </row>
    <row r="3" spans="1:22" ht="18" thickBot="1">
      <c r="A3" s="292"/>
      <c r="B3" s="282"/>
      <c r="C3" s="282"/>
      <c r="D3" s="282"/>
      <c r="E3" s="282"/>
      <c r="F3" s="284"/>
      <c r="G3" s="286"/>
      <c r="H3" s="282"/>
      <c r="I3" s="286"/>
      <c r="J3" s="294"/>
      <c r="K3" s="282"/>
      <c r="L3" s="284"/>
      <c r="M3" s="282"/>
      <c r="N3" s="282"/>
      <c r="O3" s="284"/>
      <c r="P3" s="282"/>
      <c r="Q3" s="171" t="s">
        <v>650</v>
      </c>
      <c r="R3" s="171" t="s">
        <v>651</v>
      </c>
      <c r="S3" s="286"/>
      <c r="T3" s="288"/>
      <c r="U3" s="290"/>
      <c r="V3" s="290"/>
    </row>
    <row r="4" spans="1:22" ht="18" thickTop="1">
      <c r="A4" s="172">
        <v>20</v>
      </c>
      <c r="B4" s="173">
        <v>220</v>
      </c>
      <c r="C4" s="174">
        <f t="shared" ref="C4:C47" si="0">ROUNDUP(A4/(B4*0.9)/3^0.5*1000/0.9,0)</f>
        <v>65</v>
      </c>
      <c r="D4" s="174">
        <f t="shared" ref="D4:D47" si="1">ROUNDUP(B4*2^0.5*0.93,0)</f>
        <v>290</v>
      </c>
      <c r="E4" s="174">
        <f t="shared" ref="E4:E47" si="2">ROUNDUP(A4*1000/D4,0)</f>
        <v>69</v>
      </c>
      <c r="F4" s="175">
        <f t="shared" ref="F4:F47" si="3">30.8*100*C4/(1000*10)</f>
        <v>20.02</v>
      </c>
      <c r="G4" s="176">
        <f t="shared" ref="G4:G47" si="4">C4/(H4*I4)</f>
        <v>1.8571428571428572</v>
      </c>
      <c r="H4" s="173">
        <v>35</v>
      </c>
      <c r="I4" s="173">
        <v>1</v>
      </c>
      <c r="J4" s="173">
        <f t="shared" ref="J4:J47" si="5">L4*0.052</f>
        <v>3.9</v>
      </c>
      <c r="K4" s="173">
        <v>16</v>
      </c>
      <c r="L4" s="173">
        <v>75</v>
      </c>
      <c r="M4" s="173" t="s">
        <v>652</v>
      </c>
      <c r="N4" s="173" t="s">
        <v>653</v>
      </c>
      <c r="O4" s="177">
        <f t="shared" ref="O4:O47" si="6">SUM(C4*1.25)</f>
        <v>81.25</v>
      </c>
      <c r="P4" s="173" t="s">
        <v>654</v>
      </c>
      <c r="Q4" s="173" t="s">
        <v>655</v>
      </c>
      <c r="R4" s="173"/>
      <c r="S4" s="178" t="s">
        <v>656</v>
      </c>
      <c r="T4" s="178" t="s">
        <v>654</v>
      </c>
      <c r="U4" s="173" t="s">
        <v>657</v>
      </c>
      <c r="V4" s="179" t="s">
        <v>658</v>
      </c>
    </row>
    <row r="5" spans="1:22" ht="17.399999999999999">
      <c r="A5" s="172">
        <v>20</v>
      </c>
      <c r="B5" s="173">
        <v>380</v>
      </c>
      <c r="C5" s="174">
        <f t="shared" si="0"/>
        <v>38</v>
      </c>
      <c r="D5" s="174">
        <f t="shared" si="1"/>
        <v>500</v>
      </c>
      <c r="E5" s="174">
        <f t="shared" si="2"/>
        <v>40</v>
      </c>
      <c r="F5" s="175">
        <f t="shared" si="3"/>
        <v>11.704000000000001</v>
      </c>
      <c r="G5" s="176">
        <f t="shared" si="4"/>
        <v>1.52</v>
      </c>
      <c r="H5" s="173">
        <v>25</v>
      </c>
      <c r="I5" s="173">
        <v>1</v>
      </c>
      <c r="J5" s="173">
        <f t="shared" si="5"/>
        <v>2.6</v>
      </c>
      <c r="K5" s="173">
        <v>16</v>
      </c>
      <c r="L5" s="173">
        <v>50</v>
      </c>
      <c r="M5" s="173" t="s">
        <v>659</v>
      </c>
      <c r="N5" s="173" t="s">
        <v>660</v>
      </c>
      <c r="O5" s="177">
        <f t="shared" si="6"/>
        <v>47.5</v>
      </c>
      <c r="P5" s="173" t="s">
        <v>661</v>
      </c>
      <c r="Q5" s="173" t="s">
        <v>655</v>
      </c>
      <c r="R5" s="173"/>
      <c r="S5" s="178" t="s">
        <v>656</v>
      </c>
      <c r="T5" s="178" t="s">
        <v>654</v>
      </c>
      <c r="U5" s="173" t="s">
        <v>657</v>
      </c>
      <c r="V5" s="179" t="s">
        <v>658</v>
      </c>
    </row>
    <row r="6" spans="1:22" ht="17.399999999999999">
      <c r="A6" s="172">
        <v>20</v>
      </c>
      <c r="B6" s="173">
        <v>440</v>
      </c>
      <c r="C6" s="174">
        <f t="shared" si="0"/>
        <v>33</v>
      </c>
      <c r="D6" s="174">
        <f t="shared" si="1"/>
        <v>579</v>
      </c>
      <c r="E6" s="174">
        <f t="shared" si="2"/>
        <v>35</v>
      </c>
      <c r="F6" s="175">
        <f t="shared" si="3"/>
        <v>10.164</v>
      </c>
      <c r="G6" s="176">
        <f t="shared" si="4"/>
        <v>1.32</v>
      </c>
      <c r="H6" s="173">
        <v>25</v>
      </c>
      <c r="I6" s="173">
        <v>1</v>
      </c>
      <c r="J6" s="173">
        <f t="shared" si="5"/>
        <v>2.6</v>
      </c>
      <c r="K6" s="173">
        <v>16</v>
      </c>
      <c r="L6" s="173">
        <v>50</v>
      </c>
      <c r="M6" s="173" t="s">
        <v>659</v>
      </c>
      <c r="N6" s="173" t="s">
        <v>660</v>
      </c>
      <c r="O6" s="177">
        <f t="shared" si="6"/>
        <v>41.25</v>
      </c>
      <c r="P6" s="173" t="s">
        <v>661</v>
      </c>
      <c r="Q6" s="173" t="s">
        <v>655</v>
      </c>
      <c r="R6" s="173"/>
      <c r="S6" s="178" t="s">
        <v>656</v>
      </c>
      <c r="T6" s="178" t="s">
        <v>654</v>
      </c>
      <c r="U6" s="173" t="s">
        <v>657</v>
      </c>
      <c r="V6" s="179" t="s">
        <v>658</v>
      </c>
    </row>
    <row r="7" spans="1:22" ht="17.399999999999999">
      <c r="A7" s="172">
        <v>30</v>
      </c>
      <c r="B7" s="173">
        <v>220</v>
      </c>
      <c r="C7" s="174">
        <f t="shared" si="0"/>
        <v>98</v>
      </c>
      <c r="D7" s="174">
        <f t="shared" si="1"/>
        <v>290</v>
      </c>
      <c r="E7" s="174">
        <f t="shared" si="2"/>
        <v>104</v>
      </c>
      <c r="F7" s="175">
        <f t="shared" si="3"/>
        <v>30.184000000000001</v>
      </c>
      <c r="G7" s="176">
        <f t="shared" si="4"/>
        <v>1.96</v>
      </c>
      <c r="H7" s="173">
        <v>50</v>
      </c>
      <c r="I7" s="173">
        <v>1</v>
      </c>
      <c r="J7" s="173">
        <f t="shared" si="5"/>
        <v>6.5</v>
      </c>
      <c r="K7" s="173">
        <v>16</v>
      </c>
      <c r="L7" s="173">
        <v>125</v>
      </c>
      <c r="M7" s="173" t="s">
        <v>662</v>
      </c>
      <c r="N7" s="173" t="s">
        <v>663</v>
      </c>
      <c r="O7" s="177">
        <f t="shared" si="6"/>
        <v>122.5</v>
      </c>
      <c r="P7" s="173" t="s">
        <v>664</v>
      </c>
      <c r="Q7" s="173" t="s">
        <v>655</v>
      </c>
      <c r="R7" s="180" t="s">
        <v>658</v>
      </c>
      <c r="S7" s="178" t="s">
        <v>656</v>
      </c>
      <c r="T7" s="178" t="s">
        <v>665</v>
      </c>
      <c r="U7" s="173" t="s">
        <v>657</v>
      </c>
      <c r="V7" s="179" t="s">
        <v>658</v>
      </c>
    </row>
    <row r="8" spans="1:22" ht="17.399999999999999">
      <c r="A8" s="172">
        <v>30</v>
      </c>
      <c r="B8" s="173">
        <v>380</v>
      </c>
      <c r="C8" s="174">
        <f t="shared" si="0"/>
        <v>57</v>
      </c>
      <c r="D8" s="174">
        <f t="shared" si="1"/>
        <v>500</v>
      </c>
      <c r="E8" s="174">
        <f t="shared" si="2"/>
        <v>60</v>
      </c>
      <c r="F8" s="175">
        <f t="shared" si="3"/>
        <v>17.556000000000001</v>
      </c>
      <c r="G8" s="176">
        <f t="shared" si="4"/>
        <v>1.6285714285714286</v>
      </c>
      <c r="H8" s="173">
        <v>35</v>
      </c>
      <c r="I8" s="173">
        <v>1</v>
      </c>
      <c r="J8" s="173">
        <f t="shared" si="5"/>
        <v>3.9</v>
      </c>
      <c r="K8" s="173">
        <v>16</v>
      </c>
      <c r="L8" s="173">
        <v>75</v>
      </c>
      <c r="M8" s="173" t="s">
        <v>652</v>
      </c>
      <c r="N8" s="173" t="s">
        <v>653</v>
      </c>
      <c r="O8" s="177">
        <f t="shared" si="6"/>
        <v>71.25</v>
      </c>
      <c r="P8" s="173" t="s">
        <v>654</v>
      </c>
      <c r="Q8" s="173" t="s">
        <v>655</v>
      </c>
      <c r="R8" s="180" t="s">
        <v>658</v>
      </c>
      <c r="S8" s="178" t="s">
        <v>656</v>
      </c>
      <c r="T8" s="178" t="s">
        <v>654</v>
      </c>
      <c r="U8" s="173" t="s">
        <v>657</v>
      </c>
      <c r="V8" s="179" t="s">
        <v>658</v>
      </c>
    </row>
    <row r="9" spans="1:22" ht="17.399999999999999">
      <c r="A9" s="172">
        <v>30</v>
      </c>
      <c r="B9" s="173">
        <v>440</v>
      </c>
      <c r="C9" s="174">
        <f t="shared" si="0"/>
        <v>49</v>
      </c>
      <c r="D9" s="174">
        <f t="shared" si="1"/>
        <v>579</v>
      </c>
      <c r="E9" s="174">
        <f t="shared" si="2"/>
        <v>52</v>
      </c>
      <c r="F9" s="175">
        <f t="shared" si="3"/>
        <v>15.092000000000001</v>
      </c>
      <c r="G9" s="176">
        <f t="shared" si="4"/>
        <v>1.4</v>
      </c>
      <c r="H9" s="173">
        <v>35</v>
      </c>
      <c r="I9" s="173">
        <v>1</v>
      </c>
      <c r="J9" s="173">
        <f t="shared" si="5"/>
        <v>3.9</v>
      </c>
      <c r="K9" s="173">
        <v>16</v>
      </c>
      <c r="L9" s="173">
        <v>75</v>
      </c>
      <c r="M9" s="173" t="s">
        <v>652</v>
      </c>
      <c r="N9" s="173" t="s">
        <v>653</v>
      </c>
      <c r="O9" s="177">
        <f t="shared" si="6"/>
        <v>61.25</v>
      </c>
      <c r="P9" s="173" t="s">
        <v>654</v>
      </c>
      <c r="Q9" s="173" t="s">
        <v>655</v>
      </c>
      <c r="R9" s="180" t="s">
        <v>658</v>
      </c>
      <c r="S9" s="178" t="s">
        <v>656</v>
      </c>
      <c r="T9" s="178" t="s">
        <v>654</v>
      </c>
      <c r="U9" s="173" t="s">
        <v>657</v>
      </c>
      <c r="V9" s="179" t="s">
        <v>658</v>
      </c>
    </row>
    <row r="10" spans="1:22" ht="17.399999999999999">
      <c r="A10" s="172">
        <v>50</v>
      </c>
      <c r="B10" s="173">
        <v>220</v>
      </c>
      <c r="C10" s="174">
        <f t="shared" si="0"/>
        <v>162</v>
      </c>
      <c r="D10" s="174">
        <f t="shared" si="1"/>
        <v>290</v>
      </c>
      <c r="E10" s="174">
        <f t="shared" si="2"/>
        <v>173</v>
      </c>
      <c r="F10" s="175">
        <f t="shared" si="3"/>
        <v>49.896000000000001</v>
      </c>
      <c r="G10" s="176">
        <f t="shared" si="4"/>
        <v>2.3142857142857145</v>
      </c>
      <c r="H10" s="173">
        <v>70</v>
      </c>
      <c r="I10" s="173">
        <v>1</v>
      </c>
      <c r="J10" s="173">
        <f t="shared" si="5"/>
        <v>10.4</v>
      </c>
      <c r="K10" s="173">
        <v>16</v>
      </c>
      <c r="L10" s="173">
        <v>200</v>
      </c>
      <c r="M10" s="173" t="s">
        <v>666</v>
      </c>
      <c r="N10" s="173" t="s">
        <v>667</v>
      </c>
      <c r="O10" s="177">
        <f t="shared" si="6"/>
        <v>202.5</v>
      </c>
      <c r="P10" s="173" t="s">
        <v>668</v>
      </c>
      <c r="Q10" s="173" t="s">
        <v>669</v>
      </c>
      <c r="R10" s="180" t="s">
        <v>658</v>
      </c>
      <c r="S10" s="178" t="s">
        <v>670</v>
      </c>
      <c r="T10" s="178" t="s">
        <v>671</v>
      </c>
      <c r="U10" s="279" t="s">
        <v>672</v>
      </c>
      <c r="V10" s="280"/>
    </row>
    <row r="11" spans="1:22" ht="17.399999999999999">
      <c r="A11" s="172">
        <v>50</v>
      </c>
      <c r="B11" s="173">
        <v>380</v>
      </c>
      <c r="C11" s="174">
        <f t="shared" si="0"/>
        <v>94</v>
      </c>
      <c r="D11" s="174">
        <f t="shared" si="1"/>
        <v>500</v>
      </c>
      <c r="E11" s="174">
        <f t="shared" si="2"/>
        <v>100</v>
      </c>
      <c r="F11" s="175">
        <f t="shared" si="3"/>
        <v>28.952000000000002</v>
      </c>
      <c r="G11" s="176">
        <f t="shared" si="4"/>
        <v>1.3428571428571427</v>
      </c>
      <c r="H11" s="173">
        <v>70</v>
      </c>
      <c r="I11" s="173">
        <v>1</v>
      </c>
      <c r="J11" s="173">
        <f t="shared" si="5"/>
        <v>6.5</v>
      </c>
      <c r="K11" s="173">
        <v>16</v>
      </c>
      <c r="L11" s="173">
        <v>125</v>
      </c>
      <c r="M11" s="173" t="s">
        <v>673</v>
      </c>
      <c r="N11" s="173" t="s">
        <v>663</v>
      </c>
      <c r="O11" s="177">
        <f t="shared" si="6"/>
        <v>117.5</v>
      </c>
      <c r="P11" s="173" t="s">
        <v>664</v>
      </c>
      <c r="Q11" s="173" t="s">
        <v>655</v>
      </c>
      <c r="R11" s="180" t="s">
        <v>658</v>
      </c>
      <c r="S11" s="178" t="s">
        <v>656</v>
      </c>
      <c r="T11" s="178" t="s">
        <v>665</v>
      </c>
      <c r="U11" s="173" t="s">
        <v>657</v>
      </c>
      <c r="V11" s="179" t="s">
        <v>658</v>
      </c>
    </row>
    <row r="12" spans="1:22" ht="17.399999999999999">
      <c r="A12" s="172">
        <v>50</v>
      </c>
      <c r="B12" s="173">
        <v>440</v>
      </c>
      <c r="C12" s="174">
        <f t="shared" si="0"/>
        <v>81</v>
      </c>
      <c r="D12" s="174">
        <f t="shared" si="1"/>
        <v>579</v>
      </c>
      <c r="E12" s="174">
        <f t="shared" si="2"/>
        <v>87</v>
      </c>
      <c r="F12" s="175">
        <f t="shared" si="3"/>
        <v>24.948</v>
      </c>
      <c r="G12" s="176">
        <f t="shared" si="4"/>
        <v>1.1571428571428573</v>
      </c>
      <c r="H12" s="173">
        <v>70</v>
      </c>
      <c r="I12" s="173">
        <v>1</v>
      </c>
      <c r="J12" s="173">
        <f t="shared" si="5"/>
        <v>5.2</v>
      </c>
      <c r="K12" s="173">
        <v>16</v>
      </c>
      <c r="L12" s="173">
        <v>100</v>
      </c>
      <c r="M12" s="173" t="s">
        <v>673</v>
      </c>
      <c r="N12" s="173" t="s">
        <v>663</v>
      </c>
      <c r="O12" s="177">
        <f t="shared" si="6"/>
        <v>101.25</v>
      </c>
      <c r="P12" s="173" t="s">
        <v>664</v>
      </c>
      <c r="Q12" s="173" t="s">
        <v>655</v>
      </c>
      <c r="R12" s="180" t="s">
        <v>658</v>
      </c>
      <c r="S12" s="178" t="s">
        <v>656</v>
      </c>
      <c r="T12" s="178" t="s">
        <v>665</v>
      </c>
      <c r="U12" s="173" t="s">
        <v>657</v>
      </c>
      <c r="V12" s="179" t="s">
        <v>658</v>
      </c>
    </row>
    <row r="13" spans="1:22" ht="17.399999999999999">
      <c r="A13" s="172">
        <v>75</v>
      </c>
      <c r="B13" s="173">
        <v>220</v>
      </c>
      <c r="C13" s="174">
        <f t="shared" si="0"/>
        <v>243</v>
      </c>
      <c r="D13" s="174">
        <f t="shared" si="1"/>
        <v>290</v>
      </c>
      <c r="E13" s="174">
        <f t="shared" si="2"/>
        <v>259</v>
      </c>
      <c r="F13" s="175">
        <f t="shared" si="3"/>
        <v>74.843999999999994</v>
      </c>
      <c r="G13" s="176">
        <f t="shared" si="4"/>
        <v>1.7357142857142858</v>
      </c>
      <c r="H13" s="173">
        <v>70</v>
      </c>
      <c r="I13" s="173">
        <v>2</v>
      </c>
      <c r="J13" s="173">
        <f t="shared" si="5"/>
        <v>15.6</v>
      </c>
      <c r="K13" s="173">
        <v>16</v>
      </c>
      <c r="L13" s="173">
        <v>300</v>
      </c>
      <c r="M13" s="173" t="s">
        <v>674</v>
      </c>
      <c r="N13" s="173" t="s">
        <v>675</v>
      </c>
      <c r="O13" s="177">
        <f t="shared" si="6"/>
        <v>303.75</v>
      </c>
      <c r="P13" s="173" t="s">
        <v>671</v>
      </c>
      <c r="Q13" s="173" t="s">
        <v>669</v>
      </c>
      <c r="R13" s="180" t="s">
        <v>658</v>
      </c>
      <c r="S13" s="178" t="s">
        <v>670</v>
      </c>
      <c r="T13" s="178" t="s">
        <v>671</v>
      </c>
      <c r="U13" s="279" t="s">
        <v>672</v>
      </c>
      <c r="V13" s="280"/>
    </row>
    <row r="14" spans="1:22" ht="17.399999999999999">
      <c r="A14" s="172">
        <v>75</v>
      </c>
      <c r="B14" s="173">
        <v>380</v>
      </c>
      <c r="C14" s="174">
        <f t="shared" si="0"/>
        <v>141</v>
      </c>
      <c r="D14" s="174">
        <f t="shared" si="1"/>
        <v>500</v>
      </c>
      <c r="E14" s="174">
        <f t="shared" si="2"/>
        <v>150</v>
      </c>
      <c r="F14" s="175">
        <f t="shared" si="3"/>
        <v>43.427999999999997</v>
      </c>
      <c r="G14" s="176">
        <f t="shared" si="4"/>
        <v>2.0142857142857142</v>
      </c>
      <c r="H14" s="173">
        <v>70</v>
      </c>
      <c r="I14" s="173">
        <v>1</v>
      </c>
      <c r="J14" s="173">
        <f t="shared" si="5"/>
        <v>9.1</v>
      </c>
      <c r="K14" s="173">
        <v>16</v>
      </c>
      <c r="L14" s="173">
        <v>175</v>
      </c>
      <c r="M14" s="173" t="s">
        <v>666</v>
      </c>
      <c r="N14" s="173" t="s">
        <v>667</v>
      </c>
      <c r="O14" s="177">
        <f t="shared" si="6"/>
        <v>176.25</v>
      </c>
      <c r="P14" s="173" t="s">
        <v>668</v>
      </c>
      <c r="Q14" s="173" t="s">
        <v>669</v>
      </c>
      <c r="R14" s="180" t="s">
        <v>658</v>
      </c>
      <c r="S14" s="178" t="s">
        <v>670</v>
      </c>
      <c r="T14" s="178" t="s">
        <v>668</v>
      </c>
      <c r="U14" s="279" t="s">
        <v>672</v>
      </c>
      <c r="V14" s="280"/>
    </row>
    <row r="15" spans="1:22" ht="17.399999999999999">
      <c r="A15" s="172">
        <v>75</v>
      </c>
      <c r="B15" s="173">
        <v>440</v>
      </c>
      <c r="C15" s="174">
        <f t="shared" si="0"/>
        <v>122</v>
      </c>
      <c r="D15" s="174">
        <f t="shared" si="1"/>
        <v>579</v>
      </c>
      <c r="E15" s="174">
        <f t="shared" si="2"/>
        <v>130</v>
      </c>
      <c r="F15" s="175">
        <f t="shared" si="3"/>
        <v>37.576000000000001</v>
      </c>
      <c r="G15" s="176">
        <f t="shared" si="4"/>
        <v>1.7428571428571429</v>
      </c>
      <c r="H15" s="173">
        <v>70</v>
      </c>
      <c r="I15" s="173">
        <v>1</v>
      </c>
      <c r="J15" s="173">
        <f t="shared" si="5"/>
        <v>7.8</v>
      </c>
      <c r="K15" s="173">
        <v>16</v>
      </c>
      <c r="L15" s="173">
        <v>150</v>
      </c>
      <c r="M15" s="173" t="s">
        <v>666</v>
      </c>
      <c r="N15" s="173" t="s">
        <v>667</v>
      </c>
      <c r="O15" s="177">
        <f t="shared" si="6"/>
        <v>152.5</v>
      </c>
      <c r="P15" s="173" t="s">
        <v>668</v>
      </c>
      <c r="Q15" s="173" t="s">
        <v>669</v>
      </c>
      <c r="R15" s="180" t="s">
        <v>658</v>
      </c>
      <c r="S15" s="178" t="s">
        <v>670</v>
      </c>
      <c r="T15" s="178" t="s">
        <v>668</v>
      </c>
      <c r="U15" s="279" t="s">
        <v>672</v>
      </c>
      <c r="V15" s="280"/>
    </row>
    <row r="16" spans="1:22" ht="17.399999999999999">
      <c r="A16" s="172">
        <v>100</v>
      </c>
      <c r="B16" s="173">
        <v>380</v>
      </c>
      <c r="C16" s="174">
        <f t="shared" si="0"/>
        <v>188</v>
      </c>
      <c r="D16" s="174">
        <f t="shared" si="1"/>
        <v>500</v>
      </c>
      <c r="E16" s="174">
        <f t="shared" si="2"/>
        <v>200</v>
      </c>
      <c r="F16" s="175">
        <f t="shared" si="3"/>
        <v>57.904000000000003</v>
      </c>
      <c r="G16" s="176">
        <f t="shared" si="4"/>
        <v>1.9789473684210526</v>
      </c>
      <c r="H16" s="173">
        <v>95</v>
      </c>
      <c r="I16" s="173">
        <v>1</v>
      </c>
      <c r="J16" s="173">
        <f t="shared" si="5"/>
        <v>10.4</v>
      </c>
      <c r="K16" s="173">
        <v>16</v>
      </c>
      <c r="L16" s="173">
        <v>200</v>
      </c>
      <c r="M16" s="173" t="s">
        <v>666</v>
      </c>
      <c r="N16" s="173" t="s">
        <v>676</v>
      </c>
      <c r="O16" s="177">
        <f t="shared" si="6"/>
        <v>235</v>
      </c>
      <c r="P16" s="173" t="s">
        <v>677</v>
      </c>
      <c r="Q16" s="173" t="s">
        <v>669</v>
      </c>
      <c r="R16" s="180" t="s">
        <v>658</v>
      </c>
      <c r="S16" s="178" t="s">
        <v>670</v>
      </c>
      <c r="T16" s="178" t="s">
        <v>671</v>
      </c>
      <c r="U16" s="279" t="s">
        <v>672</v>
      </c>
      <c r="V16" s="280"/>
    </row>
    <row r="17" spans="1:22" ht="17.399999999999999">
      <c r="A17" s="172">
        <v>100</v>
      </c>
      <c r="B17" s="173">
        <v>440</v>
      </c>
      <c r="C17" s="174">
        <f t="shared" si="0"/>
        <v>162</v>
      </c>
      <c r="D17" s="174">
        <f t="shared" si="1"/>
        <v>579</v>
      </c>
      <c r="E17" s="174">
        <f t="shared" si="2"/>
        <v>173</v>
      </c>
      <c r="F17" s="175">
        <f t="shared" si="3"/>
        <v>49.896000000000001</v>
      </c>
      <c r="G17" s="176">
        <f t="shared" si="4"/>
        <v>1.7052631578947368</v>
      </c>
      <c r="H17" s="173">
        <v>95</v>
      </c>
      <c r="I17" s="173">
        <v>1</v>
      </c>
      <c r="J17" s="173">
        <f t="shared" si="5"/>
        <v>10.4</v>
      </c>
      <c r="K17" s="173">
        <v>16</v>
      </c>
      <c r="L17" s="173">
        <v>200</v>
      </c>
      <c r="M17" s="173" t="s">
        <v>666</v>
      </c>
      <c r="N17" s="173" t="s">
        <v>676</v>
      </c>
      <c r="O17" s="177">
        <f t="shared" si="6"/>
        <v>202.5</v>
      </c>
      <c r="P17" s="173" t="s">
        <v>677</v>
      </c>
      <c r="Q17" s="173" t="s">
        <v>669</v>
      </c>
      <c r="R17" s="180" t="s">
        <v>658</v>
      </c>
      <c r="S17" s="178" t="s">
        <v>670</v>
      </c>
      <c r="T17" s="178" t="s">
        <v>671</v>
      </c>
      <c r="U17" s="279" t="s">
        <v>672</v>
      </c>
      <c r="V17" s="280"/>
    </row>
    <row r="18" spans="1:22" ht="17.399999999999999">
      <c r="A18" s="172">
        <v>125</v>
      </c>
      <c r="B18" s="173">
        <v>380</v>
      </c>
      <c r="C18" s="174">
        <f t="shared" si="0"/>
        <v>235</v>
      </c>
      <c r="D18" s="174">
        <f t="shared" si="1"/>
        <v>500</v>
      </c>
      <c r="E18" s="174">
        <f t="shared" si="2"/>
        <v>250</v>
      </c>
      <c r="F18" s="175">
        <f t="shared" si="3"/>
        <v>72.38</v>
      </c>
      <c r="G18" s="176">
        <f t="shared" si="4"/>
        <v>1.6785714285714286</v>
      </c>
      <c r="H18" s="173">
        <v>70</v>
      </c>
      <c r="I18" s="173">
        <v>2</v>
      </c>
      <c r="J18" s="173">
        <f t="shared" si="5"/>
        <v>13</v>
      </c>
      <c r="K18" s="173">
        <v>16</v>
      </c>
      <c r="L18" s="173">
        <v>250</v>
      </c>
      <c r="M18" s="173" t="s">
        <v>674</v>
      </c>
      <c r="N18" s="173" t="s">
        <v>675</v>
      </c>
      <c r="O18" s="177">
        <f t="shared" si="6"/>
        <v>293.75</v>
      </c>
      <c r="P18" s="173" t="s">
        <v>671</v>
      </c>
      <c r="Q18" s="173" t="s">
        <v>669</v>
      </c>
      <c r="R18" s="180" t="s">
        <v>658</v>
      </c>
      <c r="S18" s="178" t="s">
        <v>678</v>
      </c>
      <c r="T18" s="178" t="s">
        <v>671</v>
      </c>
      <c r="U18" s="279" t="s">
        <v>672</v>
      </c>
      <c r="V18" s="280"/>
    </row>
    <row r="19" spans="1:22" ht="17.399999999999999">
      <c r="A19" s="172">
        <v>125</v>
      </c>
      <c r="B19" s="173">
        <v>440</v>
      </c>
      <c r="C19" s="174">
        <f t="shared" si="0"/>
        <v>203</v>
      </c>
      <c r="D19" s="174">
        <f t="shared" si="1"/>
        <v>579</v>
      </c>
      <c r="E19" s="174">
        <f t="shared" si="2"/>
        <v>216</v>
      </c>
      <c r="F19" s="175">
        <f t="shared" si="3"/>
        <v>62.524000000000001</v>
      </c>
      <c r="G19" s="176">
        <f t="shared" si="4"/>
        <v>1.45</v>
      </c>
      <c r="H19" s="173">
        <v>70</v>
      </c>
      <c r="I19" s="173">
        <v>2</v>
      </c>
      <c r="J19" s="173">
        <f t="shared" si="5"/>
        <v>13</v>
      </c>
      <c r="K19" s="173">
        <v>16</v>
      </c>
      <c r="L19" s="173">
        <v>250</v>
      </c>
      <c r="M19" s="173" t="s">
        <v>679</v>
      </c>
      <c r="N19" s="173" t="s">
        <v>676</v>
      </c>
      <c r="O19" s="177">
        <f t="shared" si="6"/>
        <v>253.75</v>
      </c>
      <c r="P19" s="173" t="s">
        <v>671</v>
      </c>
      <c r="Q19" s="173" t="s">
        <v>669</v>
      </c>
      <c r="R19" s="180" t="s">
        <v>658</v>
      </c>
      <c r="S19" s="178" t="s">
        <v>678</v>
      </c>
      <c r="T19" s="178" t="s">
        <v>671</v>
      </c>
      <c r="U19" s="279" t="s">
        <v>672</v>
      </c>
      <c r="V19" s="280"/>
    </row>
    <row r="20" spans="1:22" ht="17.399999999999999">
      <c r="A20" s="172">
        <v>150</v>
      </c>
      <c r="B20" s="173">
        <v>380</v>
      </c>
      <c r="C20" s="174">
        <f t="shared" si="0"/>
        <v>282</v>
      </c>
      <c r="D20" s="174">
        <f t="shared" si="1"/>
        <v>500</v>
      </c>
      <c r="E20" s="174">
        <f t="shared" si="2"/>
        <v>300</v>
      </c>
      <c r="F20" s="175">
        <f t="shared" si="3"/>
        <v>86.855999999999995</v>
      </c>
      <c r="G20" s="176">
        <f t="shared" si="4"/>
        <v>2.0142857142857142</v>
      </c>
      <c r="H20" s="173">
        <v>70</v>
      </c>
      <c r="I20" s="173">
        <v>2</v>
      </c>
      <c r="J20" s="173">
        <f t="shared" si="5"/>
        <v>15.6</v>
      </c>
      <c r="K20" s="173">
        <v>25</v>
      </c>
      <c r="L20" s="173">
        <v>300</v>
      </c>
      <c r="M20" s="173" t="s">
        <v>674</v>
      </c>
      <c r="N20" s="173" t="s">
        <v>675</v>
      </c>
      <c r="O20" s="177">
        <f t="shared" si="6"/>
        <v>352.5</v>
      </c>
      <c r="P20" s="173" t="s">
        <v>680</v>
      </c>
      <c r="Q20" s="173" t="s">
        <v>669</v>
      </c>
      <c r="R20" s="180" t="s">
        <v>658</v>
      </c>
      <c r="S20" s="178" t="s">
        <v>678</v>
      </c>
      <c r="T20" s="178" t="s">
        <v>680</v>
      </c>
      <c r="U20" s="279" t="s">
        <v>672</v>
      </c>
      <c r="V20" s="280"/>
    </row>
    <row r="21" spans="1:22" ht="17.399999999999999">
      <c r="A21" s="172">
        <v>150</v>
      </c>
      <c r="B21" s="173">
        <v>440</v>
      </c>
      <c r="C21" s="174">
        <f t="shared" si="0"/>
        <v>243</v>
      </c>
      <c r="D21" s="174">
        <f t="shared" si="1"/>
        <v>579</v>
      </c>
      <c r="E21" s="174">
        <f t="shared" si="2"/>
        <v>260</v>
      </c>
      <c r="F21" s="175">
        <f t="shared" si="3"/>
        <v>74.843999999999994</v>
      </c>
      <c r="G21" s="176">
        <f t="shared" si="4"/>
        <v>1.7357142857142858</v>
      </c>
      <c r="H21" s="173">
        <v>70</v>
      </c>
      <c r="I21" s="173">
        <v>2</v>
      </c>
      <c r="J21" s="173">
        <f t="shared" si="5"/>
        <v>15.6</v>
      </c>
      <c r="K21" s="173">
        <v>25</v>
      </c>
      <c r="L21" s="173">
        <v>300</v>
      </c>
      <c r="M21" s="173" t="s">
        <v>674</v>
      </c>
      <c r="N21" s="173" t="s">
        <v>675</v>
      </c>
      <c r="O21" s="177">
        <f t="shared" si="6"/>
        <v>303.75</v>
      </c>
      <c r="P21" s="173" t="s">
        <v>671</v>
      </c>
      <c r="Q21" s="173" t="s">
        <v>669</v>
      </c>
      <c r="R21" s="180" t="s">
        <v>658</v>
      </c>
      <c r="S21" s="178" t="s">
        <v>678</v>
      </c>
      <c r="T21" s="178" t="s">
        <v>680</v>
      </c>
      <c r="U21" s="279" t="s">
        <v>672</v>
      </c>
      <c r="V21" s="280"/>
    </row>
    <row r="22" spans="1:22" ht="17.399999999999999">
      <c r="A22" s="172">
        <v>200</v>
      </c>
      <c r="B22" s="173">
        <v>380</v>
      </c>
      <c r="C22" s="174">
        <f t="shared" si="0"/>
        <v>376</v>
      </c>
      <c r="D22" s="174">
        <f t="shared" si="1"/>
        <v>500</v>
      </c>
      <c r="E22" s="174">
        <f t="shared" si="2"/>
        <v>400</v>
      </c>
      <c r="F22" s="175">
        <f t="shared" si="3"/>
        <v>115.80800000000001</v>
      </c>
      <c r="G22" s="176">
        <f t="shared" si="4"/>
        <v>1.9789473684210526</v>
      </c>
      <c r="H22" s="173">
        <v>95</v>
      </c>
      <c r="I22" s="173">
        <v>2</v>
      </c>
      <c r="J22" s="173">
        <f t="shared" si="5"/>
        <v>20.8</v>
      </c>
      <c r="K22" s="173">
        <v>25</v>
      </c>
      <c r="L22" s="173">
        <v>400</v>
      </c>
      <c r="M22" s="173" t="s">
        <v>681</v>
      </c>
      <c r="N22" s="173" t="s">
        <v>675</v>
      </c>
      <c r="O22" s="177">
        <f t="shared" si="6"/>
        <v>470</v>
      </c>
      <c r="P22" s="173" t="s">
        <v>682</v>
      </c>
      <c r="Q22" s="173" t="s">
        <v>683</v>
      </c>
      <c r="R22" s="180" t="s">
        <v>658</v>
      </c>
      <c r="S22" s="178" t="s">
        <v>678</v>
      </c>
      <c r="T22" s="178" t="s">
        <v>682</v>
      </c>
      <c r="U22" s="279" t="s">
        <v>672</v>
      </c>
      <c r="V22" s="280"/>
    </row>
    <row r="23" spans="1:22" ht="17.399999999999999">
      <c r="A23" s="172">
        <v>200</v>
      </c>
      <c r="B23" s="173">
        <v>440</v>
      </c>
      <c r="C23" s="174">
        <f t="shared" si="0"/>
        <v>324</v>
      </c>
      <c r="D23" s="174">
        <f t="shared" si="1"/>
        <v>579</v>
      </c>
      <c r="E23" s="174">
        <f t="shared" si="2"/>
        <v>346</v>
      </c>
      <c r="F23" s="175">
        <f t="shared" si="3"/>
        <v>99.792000000000002</v>
      </c>
      <c r="G23" s="176">
        <f t="shared" si="4"/>
        <v>1.7052631578947368</v>
      </c>
      <c r="H23" s="173">
        <v>95</v>
      </c>
      <c r="I23" s="173">
        <v>2</v>
      </c>
      <c r="J23" s="173">
        <f t="shared" si="5"/>
        <v>20.8</v>
      </c>
      <c r="K23" s="173">
        <v>25</v>
      </c>
      <c r="L23" s="173">
        <v>400</v>
      </c>
      <c r="M23" s="173" t="s">
        <v>681</v>
      </c>
      <c r="N23" s="173" t="s">
        <v>675</v>
      </c>
      <c r="O23" s="177">
        <f t="shared" si="6"/>
        <v>405</v>
      </c>
      <c r="P23" s="173" t="s">
        <v>680</v>
      </c>
      <c r="Q23" s="173" t="s">
        <v>683</v>
      </c>
      <c r="R23" s="180" t="s">
        <v>658</v>
      </c>
      <c r="S23" s="178" t="s">
        <v>678</v>
      </c>
      <c r="T23" s="178" t="s">
        <v>682</v>
      </c>
      <c r="U23" s="279" t="s">
        <v>672</v>
      </c>
      <c r="V23" s="280"/>
    </row>
    <row r="24" spans="1:22" ht="17.399999999999999">
      <c r="A24" s="172">
        <v>250</v>
      </c>
      <c r="B24" s="173">
        <v>380</v>
      </c>
      <c r="C24" s="174">
        <f t="shared" si="0"/>
        <v>469</v>
      </c>
      <c r="D24" s="174">
        <f t="shared" si="1"/>
        <v>500</v>
      </c>
      <c r="E24" s="174">
        <f t="shared" si="2"/>
        <v>500</v>
      </c>
      <c r="F24" s="175">
        <f t="shared" si="3"/>
        <v>144.452</v>
      </c>
      <c r="G24" s="176">
        <f t="shared" si="4"/>
        <v>1.9541666666666666</v>
      </c>
      <c r="H24" s="173">
        <v>120</v>
      </c>
      <c r="I24" s="173">
        <v>2</v>
      </c>
      <c r="J24" s="173">
        <f t="shared" si="5"/>
        <v>26</v>
      </c>
      <c r="K24" s="173">
        <v>35</v>
      </c>
      <c r="L24" s="173">
        <v>500</v>
      </c>
      <c r="M24" s="173" t="s">
        <v>684</v>
      </c>
      <c r="N24" s="173" t="s">
        <v>685</v>
      </c>
      <c r="O24" s="177">
        <f t="shared" si="6"/>
        <v>586.25</v>
      </c>
      <c r="P24" s="173" t="s">
        <v>686</v>
      </c>
      <c r="Q24" s="173" t="s">
        <v>683</v>
      </c>
      <c r="R24" s="180" t="s">
        <v>658</v>
      </c>
      <c r="S24" s="178" t="s">
        <v>687</v>
      </c>
      <c r="T24" s="178" t="s">
        <v>686</v>
      </c>
      <c r="U24" s="279" t="s">
        <v>672</v>
      </c>
      <c r="V24" s="280"/>
    </row>
    <row r="25" spans="1:22" ht="17.399999999999999">
      <c r="A25" s="172">
        <v>250</v>
      </c>
      <c r="B25" s="173">
        <v>440</v>
      </c>
      <c r="C25" s="174">
        <f t="shared" si="0"/>
        <v>405</v>
      </c>
      <c r="D25" s="174">
        <f t="shared" si="1"/>
        <v>579</v>
      </c>
      <c r="E25" s="174">
        <f t="shared" si="2"/>
        <v>432</v>
      </c>
      <c r="F25" s="175">
        <f t="shared" si="3"/>
        <v>124.74</v>
      </c>
      <c r="G25" s="176">
        <f t="shared" si="4"/>
        <v>1.6875</v>
      </c>
      <c r="H25" s="173">
        <v>120</v>
      </c>
      <c r="I25" s="173">
        <v>2</v>
      </c>
      <c r="J25" s="173">
        <f t="shared" si="5"/>
        <v>26</v>
      </c>
      <c r="K25" s="173">
        <v>35</v>
      </c>
      <c r="L25" s="173">
        <v>500</v>
      </c>
      <c r="M25" s="173" t="s">
        <v>684</v>
      </c>
      <c r="N25" s="173" t="s">
        <v>688</v>
      </c>
      <c r="O25" s="177">
        <f t="shared" si="6"/>
        <v>506.25</v>
      </c>
      <c r="P25" s="173" t="s">
        <v>682</v>
      </c>
      <c r="Q25" s="173" t="s">
        <v>683</v>
      </c>
      <c r="R25" s="180" t="s">
        <v>658</v>
      </c>
      <c r="S25" s="178" t="s">
        <v>687</v>
      </c>
      <c r="T25" s="178" t="s">
        <v>686</v>
      </c>
      <c r="U25" s="279" t="s">
        <v>672</v>
      </c>
      <c r="V25" s="280"/>
    </row>
    <row r="26" spans="1:22" ht="17.399999999999999">
      <c r="A26" s="172">
        <v>300</v>
      </c>
      <c r="B26" s="173">
        <v>380</v>
      </c>
      <c r="C26" s="174">
        <f t="shared" si="0"/>
        <v>563</v>
      </c>
      <c r="D26" s="174">
        <f t="shared" si="1"/>
        <v>500</v>
      </c>
      <c r="E26" s="174">
        <f t="shared" si="2"/>
        <v>600</v>
      </c>
      <c r="F26" s="175">
        <f t="shared" si="3"/>
        <v>173.404</v>
      </c>
      <c r="G26" s="176">
        <f t="shared" si="4"/>
        <v>1.8766666666666667</v>
      </c>
      <c r="H26" s="173">
        <v>150</v>
      </c>
      <c r="I26" s="173">
        <v>2</v>
      </c>
      <c r="J26" s="173">
        <f t="shared" si="5"/>
        <v>32.76</v>
      </c>
      <c r="K26" s="173">
        <v>35</v>
      </c>
      <c r="L26" s="173">
        <v>630</v>
      </c>
      <c r="M26" s="173" t="s">
        <v>689</v>
      </c>
      <c r="N26" s="173" t="s">
        <v>685</v>
      </c>
      <c r="O26" s="177">
        <f t="shared" si="6"/>
        <v>703.75</v>
      </c>
      <c r="P26" s="173" t="s">
        <v>690</v>
      </c>
      <c r="Q26" s="173" t="s">
        <v>683</v>
      </c>
      <c r="R26" s="180" t="s">
        <v>658</v>
      </c>
      <c r="S26" s="178" t="s">
        <v>687</v>
      </c>
      <c r="T26" s="178" t="s">
        <v>690</v>
      </c>
      <c r="U26" s="279" t="s">
        <v>672</v>
      </c>
      <c r="V26" s="280"/>
    </row>
    <row r="27" spans="1:22" ht="17.399999999999999">
      <c r="A27" s="172">
        <v>300</v>
      </c>
      <c r="B27" s="173">
        <v>440</v>
      </c>
      <c r="C27" s="174">
        <f t="shared" si="0"/>
        <v>486</v>
      </c>
      <c r="D27" s="174">
        <f t="shared" si="1"/>
        <v>579</v>
      </c>
      <c r="E27" s="174">
        <f t="shared" si="2"/>
        <v>519</v>
      </c>
      <c r="F27" s="175">
        <f t="shared" si="3"/>
        <v>149.68799999999999</v>
      </c>
      <c r="G27" s="176">
        <f t="shared" si="4"/>
        <v>1.62</v>
      </c>
      <c r="H27" s="173">
        <v>150</v>
      </c>
      <c r="I27" s="173">
        <v>2</v>
      </c>
      <c r="J27" s="173">
        <f t="shared" si="5"/>
        <v>32.76</v>
      </c>
      <c r="K27" s="173">
        <v>35</v>
      </c>
      <c r="L27" s="173">
        <v>630</v>
      </c>
      <c r="M27" s="173" t="s">
        <v>689</v>
      </c>
      <c r="N27" s="173" t="s">
        <v>685</v>
      </c>
      <c r="O27" s="177">
        <f t="shared" si="6"/>
        <v>607.5</v>
      </c>
      <c r="P27" s="173" t="s">
        <v>686</v>
      </c>
      <c r="Q27" s="173" t="s">
        <v>683</v>
      </c>
      <c r="R27" s="180" t="s">
        <v>658</v>
      </c>
      <c r="S27" s="178" t="s">
        <v>687</v>
      </c>
      <c r="T27" s="178" t="s">
        <v>690</v>
      </c>
      <c r="U27" s="279" t="s">
        <v>672</v>
      </c>
      <c r="V27" s="280"/>
    </row>
    <row r="28" spans="1:22" ht="17.399999999999999">
      <c r="A28" s="172">
        <v>350</v>
      </c>
      <c r="B28" s="173">
        <v>440</v>
      </c>
      <c r="C28" s="174">
        <f t="shared" si="0"/>
        <v>567</v>
      </c>
      <c r="D28" s="174">
        <f t="shared" si="1"/>
        <v>579</v>
      </c>
      <c r="E28" s="174">
        <f t="shared" si="2"/>
        <v>605</v>
      </c>
      <c r="F28" s="175">
        <f t="shared" si="3"/>
        <v>174.636</v>
      </c>
      <c r="G28" s="176">
        <f t="shared" si="4"/>
        <v>1.89</v>
      </c>
      <c r="H28" s="173">
        <v>150</v>
      </c>
      <c r="I28" s="173">
        <v>2</v>
      </c>
      <c r="J28" s="173">
        <f t="shared" si="5"/>
        <v>36.4</v>
      </c>
      <c r="K28" s="173">
        <v>50</v>
      </c>
      <c r="L28" s="173">
        <v>700</v>
      </c>
      <c r="M28" s="173" t="s">
        <v>691</v>
      </c>
      <c r="N28" s="173" t="s">
        <v>692</v>
      </c>
      <c r="O28" s="177">
        <f t="shared" si="6"/>
        <v>708.75</v>
      </c>
      <c r="P28" s="173" t="s">
        <v>690</v>
      </c>
      <c r="Q28" s="173" t="s">
        <v>683</v>
      </c>
      <c r="R28" s="180" t="s">
        <v>658</v>
      </c>
      <c r="S28" s="178" t="s">
        <v>687</v>
      </c>
      <c r="T28" s="178" t="s">
        <v>690</v>
      </c>
      <c r="U28" s="279" t="s">
        <v>672</v>
      </c>
      <c r="V28" s="280"/>
    </row>
    <row r="29" spans="1:22" ht="17.399999999999999">
      <c r="A29" s="172">
        <v>400</v>
      </c>
      <c r="B29" s="173">
        <v>440</v>
      </c>
      <c r="C29" s="174">
        <f t="shared" si="0"/>
        <v>648</v>
      </c>
      <c r="D29" s="174">
        <f t="shared" si="1"/>
        <v>579</v>
      </c>
      <c r="E29" s="174">
        <f t="shared" si="2"/>
        <v>691</v>
      </c>
      <c r="F29" s="175">
        <f t="shared" si="3"/>
        <v>199.584</v>
      </c>
      <c r="G29" s="176">
        <f t="shared" si="4"/>
        <v>2.16</v>
      </c>
      <c r="H29" s="173">
        <v>150</v>
      </c>
      <c r="I29" s="173">
        <v>2</v>
      </c>
      <c r="J29" s="173">
        <f t="shared" si="5"/>
        <v>41.6</v>
      </c>
      <c r="K29" s="173">
        <v>50</v>
      </c>
      <c r="L29" s="173">
        <v>800</v>
      </c>
      <c r="M29" s="173" t="s">
        <v>691</v>
      </c>
      <c r="N29" s="173" t="s">
        <v>692</v>
      </c>
      <c r="O29" s="177">
        <f t="shared" si="6"/>
        <v>810</v>
      </c>
      <c r="P29" s="173" t="s">
        <v>690</v>
      </c>
      <c r="Q29" s="173" t="s">
        <v>693</v>
      </c>
      <c r="R29" s="180" t="s">
        <v>658</v>
      </c>
      <c r="S29" s="178" t="s">
        <v>687</v>
      </c>
      <c r="T29" s="178" t="s">
        <v>694</v>
      </c>
      <c r="U29" s="279" t="s">
        <v>672</v>
      </c>
      <c r="V29" s="280"/>
    </row>
    <row r="30" spans="1:22" ht="17.399999999999999">
      <c r="A30" s="172">
        <v>450</v>
      </c>
      <c r="B30" s="173">
        <v>440</v>
      </c>
      <c r="C30" s="174">
        <f t="shared" si="0"/>
        <v>729</v>
      </c>
      <c r="D30" s="174">
        <f t="shared" si="1"/>
        <v>579</v>
      </c>
      <c r="E30" s="174">
        <f t="shared" si="2"/>
        <v>778</v>
      </c>
      <c r="F30" s="175"/>
      <c r="G30" s="176">
        <f t="shared" si="4"/>
        <v>1.9702702702702704</v>
      </c>
      <c r="H30" s="173">
        <v>185</v>
      </c>
      <c r="I30" s="173">
        <v>2</v>
      </c>
      <c r="J30" s="173">
        <f t="shared" si="5"/>
        <v>41.6</v>
      </c>
      <c r="K30" s="173">
        <v>50</v>
      </c>
      <c r="L30" s="173">
        <v>800</v>
      </c>
      <c r="M30" s="173" t="s">
        <v>691</v>
      </c>
      <c r="N30" s="173" t="s">
        <v>695</v>
      </c>
      <c r="O30" s="177">
        <f t="shared" si="6"/>
        <v>911.25</v>
      </c>
      <c r="P30" s="173" t="s">
        <v>696</v>
      </c>
      <c r="Q30" s="173" t="s">
        <v>693</v>
      </c>
      <c r="R30" s="180" t="s">
        <v>658</v>
      </c>
      <c r="S30" s="178" t="s">
        <v>687</v>
      </c>
      <c r="T30" s="178" t="s">
        <v>694</v>
      </c>
      <c r="U30" s="279" t="s">
        <v>672</v>
      </c>
      <c r="V30" s="280"/>
    </row>
    <row r="31" spans="1:22" ht="17.399999999999999">
      <c r="A31" s="172">
        <v>500</v>
      </c>
      <c r="B31" s="173">
        <v>440</v>
      </c>
      <c r="C31" s="174">
        <f t="shared" si="0"/>
        <v>810</v>
      </c>
      <c r="D31" s="174">
        <f t="shared" si="1"/>
        <v>579</v>
      </c>
      <c r="E31" s="174">
        <f t="shared" si="2"/>
        <v>864</v>
      </c>
      <c r="F31" s="175">
        <f t="shared" si="3"/>
        <v>249.48</v>
      </c>
      <c r="G31" s="176">
        <f t="shared" si="4"/>
        <v>2.189189189189189</v>
      </c>
      <c r="H31" s="173">
        <v>185</v>
      </c>
      <c r="I31" s="173">
        <v>2</v>
      </c>
      <c r="J31" s="173">
        <f t="shared" si="5"/>
        <v>52</v>
      </c>
      <c r="K31" s="173">
        <v>70</v>
      </c>
      <c r="L31" s="173">
        <v>1000</v>
      </c>
      <c r="M31" s="173" t="s">
        <v>697</v>
      </c>
      <c r="N31" s="173" t="s">
        <v>698</v>
      </c>
      <c r="O31" s="177">
        <f t="shared" si="6"/>
        <v>1012.5</v>
      </c>
      <c r="P31" s="173" t="s">
        <v>694</v>
      </c>
      <c r="Q31" s="173" t="s">
        <v>693</v>
      </c>
      <c r="R31" s="180" t="s">
        <v>658</v>
      </c>
      <c r="S31" s="178" t="s">
        <v>699</v>
      </c>
      <c r="T31" s="178" t="s">
        <v>700</v>
      </c>
      <c r="U31" s="279" t="s">
        <v>672</v>
      </c>
      <c r="V31" s="280"/>
    </row>
    <row r="32" spans="1:22" ht="17.399999999999999">
      <c r="A32" s="172">
        <v>600</v>
      </c>
      <c r="B32" s="173">
        <v>460</v>
      </c>
      <c r="C32" s="174">
        <f t="shared" si="0"/>
        <v>930</v>
      </c>
      <c r="D32" s="174">
        <f t="shared" si="1"/>
        <v>606</v>
      </c>
      <c r="E32" s="174">
        <f t="shared" si="2"/>
        <v>991</v>
      </c>
      <c r="F32" s="175">
        <f t="shared" si="3"/>
        <v>286.44</v>
      </c>
      <c r="G32" s="176">
        <f t="shared" si="4"/>
        <v>1.6756756756756757</v>
      </c>
      <c r="H32" s="173">
        <v>185</v>
      </c>
      <c r="I32" s="173">
        <v>3</v>
      </c>
      <c r="J32" s="173">
        <f t="shared" si="5"/>
        <v>62.4</v>
      </c>
      <c r="K32" s="173">
        <v>70</v>
      </c>
      <c r="L32" s="173">
        <v>1200</v>
      </c>
      <c r="M32" s="173" t="s">
        <v>701</v>
      </c>
      <c r="N32" s="173" t="s">
        <v>698</v>
      </c>
      <c r="O32" s="177">
        <f t="shared" si="6"/>
        <v>1162.5</v>
      </c>
      <c r="P32" s="173" t="s">
        <v>702</v>
      </c>
      <c r="Q32" s="173" t="s">
        <v>693</v>
      </c>
      <c r="R32" s="180" t="s">
        <v>658</v>
      </c>
      <c r="S32" s="178" t="s">
        <v>703</v>
      </c>
      <c r="T32" s="178" t="s">
        <v>700</v>
      </c>
      <c r="U32" s="173" t="s">
        <v>704</v>
      </c>
      <c r="V32" s="181" t="s">
        <v>705</v>
      </c>
    </row>
    <row r="33" spans="1:22" ht="17.399999999999999">
      <c r="A33" s="172">
        <v>700</v>
      </c>
      <c r="B33" s="173">
        <v>460</v>
      </c>
      <c r="C33" s="174">
        <f t="shared" si="0"/>
        <v>1085</v>
      </c>
      <c r="D33" s="174">
        <f t="shared" si="1"/>
        <v>606</v>
      </c>
      <c r="E33" s="174">
        <f t="shared" si="2"/>
        <v>1156</v>
      </c>
      <c r="F33" s="175">
        <f t="shared" si="3"/>
        <v>334.18</v>
      </c>
      <c r="G33" s="176">
        <f t="shared" si="4"/>
        <v>1.4662162162162162</v>
      </c>
      <c r="H33" s="173">
        <v>185</v>
      </c>
      <c r="I33" s="173">
        <v>4</v>
      </c>
      <c r="J33" s="173">
        <f t="shared" si="5"/>
        <v>65</v>
      </c>
      <c r="K33" s="173">
        <v>70</v>
      </c>
      <c r="L33" s="173">
        <v>1250</v>
      </c>
      <c r="M33" s="173" t="s">
        <v>706</v>
      </c>
      <c r="N33" s="173" t="s">
        <v>707</v>
      </c>
      <c r="O33" s="177">
        <f t="shared" si="6"/>
        <v>1356.25</v>
      </c>
      <c r="P33" s="180" t="s">
        <v>658</v>
      </c>
      <c r="Q33" s="173" t="s">
        <v>693</v>
      </c>
      <c r="R33" s="180" t="s">
        <v>658</v>
      </c>
      <c r="S33" s="178" t="s">
        <v>708</v>
      </c>
      <c r="T33" s="178" t="s">
        <v>700</v>
      </c>
      <c r="U33" s="173" t="s">
        <v>704</v>
      </c>
      <c r="V33" s="181" t="s">
        <v>705</v>
      </c>
    </row>
    <row r="34" spans="1:22" ht="17.399999999999999">
      <c r="A34" s="172">
        <v>750</v>
      </c>
      <c r="B34" s="173">
        <v>460</v>
      </c>
      <c r="C34" s="174">
        <f t="shared" si="0"/>
        <v>1163</v>
      </c>
      <c r="D34" s="174">
        <f t="shared" si="1"/>
        <v>606</v>
      </c>
      <c r="E34" s="174">
        <f t="shared" si="2"/>
        <v>1238</v>
      </c>
      <c r="F34" s="175">
        <f t="shared" si="3"/>
        <v>358.20400000000001</v>
      </c>
      <c r="G34" s="176">
        <f t="shared" si="4"/>
        <v>1.5716216216216217</v>
      </c>
      <c r="H34" s="173">
        <v>185</v>
      </c>
      <c r="I34" s="173">
        <v>4</v>
      </c>
      <c r="J34" s="173">
        <f t="shared" si="5"/>
        <v>65</v>
      </c>
      <c r="K34" s="173">
        <v>70</v>
      </c>
      <c r="L34" s="173">
        <v>1250</v>
      </c>
      <c r="M34" s="173" t="s">
        <v>706</v>
      </c>
      <c r="N34" s="173" t="s">
        <v>707</v>
      </c>
      <c r="O34" s="177">
        <f t="shared" si="6"/>
        <v>1453.75</v>
      </c>
      <c r="P34" s="180" t="s">
        <v>658</v>
      </c>
      <c r="Q34" s="173" t="s">
        <v>693</v>
      </c>
      <c r="R34" s="180" t="s">
        <v>658</v>
      </c>
      <c r="S34" s="178" t="s">
        <v>708</v>
      </c>
      <c r="T34" s="178" t="s">
        <v>196</v>
      </c>
      <c r="U34" s="173" t="s">
        <v>704</v>
      </c>
      <c r="V34" s="181" t="s">
        <v>705</v>
      </c>
    </row>
    <row r="35" spans="1:22" ht="17.399999999999999">
      <c r="A35" s="172">
        <v>800</v>
      </c>
      <c r="B35" s="173">
        <v>460</v>
      </c>
      <c r="C35" s="174">
        <f t="shared" si="0"/>
        <v>1240</v>
      </c>
      <c r="D35" s="174">
        <f t="shared" si="1"/>
        <v>606</v>
      </c>
      <c r="E35" s="174">
        <f t="shared" si="2"/>
        <v>1321</v>
      </c>
      <c r="F35" s="175">
        <f t="shared" si="3"/>
        <v>381.92</v>
      </c>
      <c r="G35" s="176">
        <f t="shared" si="4"/>
        <v>1.6756756756756757</v>
      </c>
      <c r="H35" s="173">
        <v>185</v>
      </c>
      <c r="I35" s="173">
        <v>4</v>
      </c>
      <c r="J35" s="173">
        <f t="shared" si="5"/>
        <v>83.2</v>
      </c>
      <c r="K35" s="173">
        <v>95</v>
      </c>
      <c r="L35" s="173">
        <v>1600</v>
      </c>
      <c r="M35" s="173" t="s">
        <v>709</v>
      </c>
      <c r="N35" s="173" t="s">
        <v>710</v>
      </c>
      <c r="O35" s="177">
        <f t="shared" si="6"/>
        <v>1550</v>
      </c>
      <c r="P35" s="180" t="s">
        <v>658</v>
      </c>
      <c r="Q35" s="173" t="s">
        <v>693</v>
      </c>
      <c r="R35" s="180" t="s">
        <v>658</v>
      </c>
      <c r="S35" s="178" t="s">
        <v>708</v>
      </c>
      <c r="T35" s="178" t="s">
        <v>196</v>
      </c>
      <c r="U35" s="173" t="s">
        <v>704</v>
      </c>
      <c r="V35" s="181" t="s">
        <v>705</v>
      </c>
    </row>
    <row r="36" spans="1:22" ht="17.399999999999999">
      <c r="A36" s="172">
        <v>1000</v>
      </c>
      <c r="B36" s="173">
        <v>460</v>
      </c>
      <c r="C36" s="174">
        <f t="shared" si="0"/>
        <v>1550</v>
      </c>
      <c r="D36" s="174">
        <f t="shared" si="1"/>
        <v>606</v>
      </c>
      <c r="E36" s="174">
        <f t="shared" si="2"/>
        <v>1651</v>
      </c>
      <c r="F36" s="175">
        <f t="shared" si="3"/>
        <v>477.4</v>
      </c>
      <c r="G36" s="176">
        <f t="shared" si="4"/>
        <v>1.6145833333333333</v>
      </c>
      <c r="H36" s="173">
        <v>240</v>
      </c>
      <c r="I36" s="173">
        <v>4</v>
      </c>
      <c r="J36" s="173">
        <f t="shared" si="5"/>
        <v>104</v>
      </c>
      <c r="K36" s="173">
        <v>120</v>
      </c>
      <c r="L36" s="173">
        <v>2000</v>
      </c>
      <c r="M36" s="173" t="s">
        <v>711</v>
      </c>
      <c r="N36" s="173" t="s">
        <v>712</v>
      </c>
      <c r="O36" s="177">
        <f t="shared" si="6"/>
        <v>1937.5</v>
      </c>
      <c r="P36" s="180" t="s">
        <v>658</v>
      </c>
      <c r="Q36" s="173" t="s">
        <v>713</v>
      </c>
      <c r="R36" s="173" t="s">
        <v>714</v>
      </c>
      <c r="S36" s="178" t="s">
        <v>708</v>
      </c>
      <c r="T36" s="178" t="s">
        <v>715</v>
      </c>
      <c r="U36" s="173" t="s">
        <v>704</v>
      </c>
      <c r="V36" s="181" t="s">
        <v>705</v>
      </c>
    </row>
    <row r="37" spans="1:22" ht="17.399999999999999">
      <c r="A37" s="172">
        <v>1200</v>
      </c>
      <c r="B37" s="173">
        <v>460</v>
      </c>
      <c r="C37" s="174">
        <f t="shared" si="0"/>
        <v>1860</v>
      </c>
      <c r="D37" s="174">
        <f t="shared" si="1"/>
        <v>606</v>
      </c>
      <c r="E37" s="174">
        <f t="shared" si="2"/>
        <v>1981</v>
      </c>
      <c r="F37" s="175">
        <f t="shared" si="3"/>
        <v>572.88</v>
      </c>
      <c r="G37" s="176">
        <f t="shared" si="4"/>
        <v>1.55</v>
      </c>
      <c r="H37" s="173">
        <v>300</v>
      </c>
      <c r="I37" s="173">
        <v>4</v>
      </c>
      <c r="J37" s="173">
        <f t="shared" si="5"/>
        <v>130</v>
      </c>
      <c r="K37" s="173">
        <v>150</v>
      </c>
      <c r="L37" s="173">
        <v>2500</v>
      </c>
      <c r="M37" s="173" t="s">
        <v>716</v>
      </c>
      <c r="N37" s="173" t="s">
        <v>717</v>
      </c>
      <c r="O37" s="177">
        <f t="shared" si="6"/>
        <v>2325</v>
      </c>
      <c r="P37" s="180" t="s">
        <v>658</v>
      </c>
      <c r="Q37" s="173"/>
      <c r="R37" s="173" t="s">
        <v>714</v>
      </c>
      <c r="S37" s="178" t="s">
        <v>708</v>
      </c>
      <c r="T37" s="178" t="s">
        <v>715</v>
      </c>
      <c r="U37" s="173" t="s">
        <v>704</v>
      </c>
      <c r="V37" s="181" t="s">
        <v>718</v>
      </c>
    </row>
    <row r="38" spans="1:22" ht="17.399999999999999">
      <c r="A38" s="172">
        <v>1250</v>
      </c>
      <c r="B38" s="173">
        <v>460</v>
      </c>
      <c r="C38" s="174">
        <f t="shared" si="0"/>
        <v>1937</v>
      </c>
      <c r="D38" s="174">
        <f t="shared" si="1"/>
        <v>606</v>
      </c>
      <c r="E38" s="174">
        <f t="shared" si="2"/>
        <v>2063</v>
      </c>
      <c r="F38" s="175">
        <f t="shared" si="3"/>
        <v>596.596</v>
      </c>
      <c r="G38" s="176">
        <f t="shared" si="4"/>
        <v>1.6141666666666667</v>
      </c>
      <c r="H38" s="173">
        <v>300</v>
      </c>
      <c r="I38" s="173">
        <v>4</v>
      </c>
      <c r="J38" s="173">
        <f t="shared" si="5"/>
        <v>130</v>
      </c>
      <c r="K38" s="173">
        <v>150</v>
      </c>
      <c r="L38" s="173">
        <v>2500</v>
      </c>
      <c r="M38" s="173" t="s">
        <v>716</v>
      </c>
      <c r="N38" s="173" t="s">
        <v>717</v>
      </c>
      <c r="O38" s="177">
        <f t="shared" si="6"/>
        <v>2421.25</v>
      </c>
      <c r="P38" s="180" t="s">
        <v>658</v>
      </c>
      <c r="Q38" s="173"/>
      <c r="R38" s="173" t="s">
        <v>714</v>
      </c>
      <c r="S38" s="178" t="s">
        <v>708</v>
      </c>
      <c r="T38" s="178" t="s">
        <v>715</v>
      </c>
      <c r="U38" s="173" t="s">
        <v>704</v>
      </c>
      <c r="V38" s="181" t="s">
        <v>718</v>
      </c>
    </row>
    <row r="39" spans="1:22" ht="17.399999999999999">
      <c r="A39" s="172">
        <v>1500</v>
      </c>
      <c r="B39" s="173">
        <v>460</v>
      </c>
      <c r="C39" s="174">
        <f t="shared" si="0"/>
        <v>2325</v>
      </c>
      <c r="D39" s="174">
        <f t="shared" si="1"/>
        <v>606</v>
      </c>
      <c r="E39" s="174">
        <f t="shared" si="2"/>
        <v>2476</v>
      </c>
      <c r="F39" s="175">
        <f t="shared" si="3"/>
        <v>716.1</v>
      </c>
      <c r="G39" s="176">
        <f t="shared" si="4"/>
        <v>1.55</v>
      </c>
      <c r="H39" s="173">
        <v>300</v>
      </c>
      <c r="I39" s="173">
        <v>5</v>
      </c>
      <c r="J39" s="173">
        <f t="shared" si="5"/>
        <v>130</v>
      </c>
      <c r="K39" s="173">
        <v>150</v>
      </c>
      <c r="L39" s="173">
        <v>2500</v>
      </c>
      <c r="M39" s="173" t="s">
        <v>716</v>
      </c>
      <c r="N39" s="173" t="s">
        <v>717</v>
      </c>
      <c r="O39" s="177">
        <f t="shared" si="6"/>
        <v>2906.25</v>
      </c>
      <c r="P39" s="180" t="s">
        <v>658</v>
      </c>
      <c r="Q39" s="173" t="s">
        <v>719</v>
      </c>
      <c r="R39" s="173" t="s">
        <v>714</v>
      </c>
      <c r="S39" s="178" t="s">
        <v>708</v>
      </c>
      <c r="T39" s="178" t="s">
        <v>720</v>
      </c>
      <c r="U39" s="173" t="s">
        <v>704</v>
      </c>
      <c r="V39" s="181" t="s">
        <v>718</v>
      </c>
    </row>
    <row r="40" spans="1:22" ht="17.399999999999999">
      <c r="A40" s="172">
        <v>1500</v>
      </c>
      <c r="B40" s="173">
        <v>650</v>
      </c>
      <c r="C40" s="174">
        <f t="shared" si="0"/>
        <v>1645</v>
      </c>
      <c r="D40" s="174">
        <f t="shared" si="1"/>
        <v>855</v>
      </c>
      <c r="E40" s="174">
        <f t="shared" si="2"/>
        <v>1755</v>
      </c>
      <c r="F40" s="175">
        <f t="shared" si="3"/>
        <v>506.66</v>
      </c>
      <c r="G40" s="176">
        <f t="shared" si="4"/>
        <v>1.7135416666666667</v>
      </c>
      <c r="H40" s="173">
        <v>240</v>
      </c>
      <c r="I40" s="173">
        <v>4</v>
      </c>
      <c r="J40" s="173">
        <f t="shared" si="5"/>
        <v>104</v>
      </c>
      <c r="K40" s="173">
        <v>120</v>
      </c>
      <c r="L40" s="173">
        <v>2000</v>
      </c>
      <c r="M40" s="173" t="s">
        <v>711</v>
      </c>
      <c r="N40" s="173" t="s">
        <v>712</v>
      </c>
      <c r="O40" s="177">
        <f t="shared" si="6"/>
        <v>2056.25</v>
      </c>
      <c r="P40" s="180" t="s">
        <v>658</v>
      </c>
      <c r="Q40" s="173"/>
      <c r="R40" s="173" t="s">
        <v>714</v>
      </c>
      <c r="S40" s="178" t="s">
        <v>708</v>
      </c>
      <c r="T40" s="178" t="s">
        <v>715</v>
      </c>
      <c r="U40" s="173" t="s">
        <v>704</v>
      </c>
      <c r="V40" s="181" t="s">
        <v>718</v>
      </c>
    </row>
    <row r="41" spans="1:22" ht="17.399999999999999">
      <c r="A41" s="172">
        <v>1600</v>
      </c>
      <c r="B41" s="173">
        <v>690</v>
      </c>
      <c r="C41" s="174">
        <f>ROUNDUP(A41/(B41*0.9)/3^0.5*1000/0.9,0)</f>
        <v>1653</v>
      </c>
      <c r="D41" s="174">
        <f>ROUNDUP(B41*2^0.5*0.93,0)</f>
        <v>908</v>
      </c>
      <c r="E41" s="174">
        <f>ROUNDUP(A41*1000/D41,0)</f>
        <v>1763</v>
      </c>
      <c r="F41" s="175">
        <f>30.8*100*C41/(1000*10)</f>
        <v>509.12400000000002</v>
      </c>
      <c r="G41" s="176">
        <f>C41/(H41*I41)</f>
        <v>1.721875</v>
      </c>
      <c r="H41" s="173">
        <v>240</v>
      </c>
      <c r="I41" s="173">
        <v>4</v>
      </c>
      <c r="J41" s="173">
        <f>L41*0.052</f>
        <v>104</v>
      </c>
      <c r="K41" s="173">
        <v>120</v>
      </c>
      <c r="L41" s="173">
        <v>2000</v>
      </c>
      <c r="M41" s="173" t="s">
        <v>711</v>
      </c>
      <c r="N41" s="173" t="s">
        <v>712</v>
      </c>
      <c r="O41" s="177">
        <f>SUM(C41*1.25)</f>
        <v>2066.25</v>
      </c>
      <c r="P41" s="180" t="s">
        <v>658</v>
      </c>
      <c r="Q41" s="173"/>
      <c r="R41" s="173" t="s">
        <v>714</v>
      </c>
      <c r="S41" s="178" t="s">
        <v>708</v>
      </c>
      <c r="T41" s="178" t="s">
        <v>715</v>
      </c>
      <c r="U41" s="173" t="s">
        <v>704</v>
      </c>
      <c r="V41" s="181" t="s">
        <v>721</v>
      </c>
    </row>
    <row r="42" spans="1:22" ht="17.399999999999999">
      <c r="A42" s="172">
        <v>2000</v>
      </c>
      <c r="B42" s="173">
        <v>460</v>
      </c>
      <c r="C42" s="174">
        <f t="shared" si="0"/>
        <v>3100</v>
      </c>
      <c r="D42" s="174">
        <f t="shared" si="1"/>
        <v>606</v>
      </c>
      <c r="E42" s="174">
        <f t="shared" si="2"/>
        <v>3301</v>
      </c>
      <c r="F42" s="175">
        <f t="shared" si="3"/>
        <v>954.8</v>
      </c>
      <c r="G42" s="176">
        <f t="shared" si="4"/>
        <v>1.2916666666666667</v>
      </c>
      <c r="H42" s="173">
        <v>400</v>
      </c>
      <c r="I42" s="173">
        <v>6</v>
      </c>
      <c r="J42" s="173">
        <f t="shared" si="5"/>
        <v>166.4</v>
      </c>
      <c r="K42" s="173">
        <v>185</v>
      </c>
      <c r="L42" s="173">
        <v>3200</v>
      </c>
      <c r="M42" s="173" t="s">
        <v>722</v>
      </c>
      <c r="N42" s="173" t="s">
        <v>723</v>
      </c>
      <c r="O42" s="177">
        <f t="shared" si="6"/>
        <v>3875</v>
      </c>
      <c r="P42" s="180" t="s">
        <v>658</v>
      </c>
      <c r="Q42" s="173" t="s">
        <v>724</v>
      </c>
      <c r="R42" s="173" t="s">
        <v>725</v>
      </c>
      <c r="S42" s="178" t="s">
        <v>708</v>
      </c>
      <c r="T42" s="178" t="s">
        <v>726</v>
      </c>
      <c r="U42" s="173" t="s">
        <v>704</v>
      </c>
      <c r="V42" s="181" t="s">
        <v>727</v>
      </c>
    </row>
    <row r="43" spans="1:22" ht="17.399999999999999">
      <c r="A43" s="172">
        <v>2000</v>
      </c>
      <c r="B43" s="173">
        <v>650</v>
      </c>
      <c r="C43" s="174">
        <f t="shared" si="0"/>
        <v>2194</v>
      </c>
      <c r="D43" s="174">
        <f t="shared" si="1"/>
        <v>855</v>
      </c>
      <c r="E43" s="174">
        <f t="shared" si="2"/>
        <v>2340</v>
      </c>
      <c r="F43" s="175">
        <f t="shared" si="3"/>
        <v>675.75199999999995</v>
      </c>
      <c r="G43" s="176">
        <f t="shared" si="4"/>
        <v>1.4626666666666666</v>
      </c>
      <c r="H43" s="173">
        <v>300</v>
      </c>
      <c r="I43" s="173">
        <v>5</v>
      </c>
      <c r="J43" s="173">
        <f t="shared" si="5"/>
        <v>130</v>
      </c>
      <c r="K43" s="173">
        <v>150</v>
      </c>
      <c r="L43" s="173">
        <v>2500</v>
      </c>
      <c r="M43" s="173" t="s">
        <v>716</v>
      </c>
      <c r="N43" s="173" t="s">
        <v>717</v>
      </c>
      <c r="O43" s="177">
        <f t="shared" si="6"/>
        <v>2742.5</v>
      </c>
      <c r="P43" s="180" t="s">
        <v>658</v>
      </c>
      <c r="Q43" s="173" t="s">
        <v>719</v>
      </c>
      <c r="R43" s="173" t="s">
        <v>714</v>
      </c>
      <c r="S43" s="178" t="s">
        <v>708</v>
      </c>
      <c r="T43" s="178" t="s">
        <v>720</v>
      </c>
      <c r="U43" s="173" t="s">
        <v>704</v>
      </c>
      <c r="V43" s="181" t="s">
        <v>718</v>
      </c>
    </row>
    <row r="44" spans="1:22" ht="17.399999999999999">
      <c r="A44" s="172">
        <v>2500</v>
      </c>
      <c r="B44" s="173">
        <v>460</v>
      </c>
      <c r="C44" s="174">
        <f t="shared" si="0"/>
        <v>3874</v>
      </c>
      <c r="D44" s="174">
        <f t="shared" si="1"/>
        <v>606</v>
      </c>
      <c r="E44" s="174">
        <f t="shared" si="2"/>
        <v>4126</v>
      </c>
      <c r="F44" s="175">
        <f t="shared" si="3"/>
        <v>1193.192</v>
      </c>
      <c r="G44" s="176">
        <f t="shared" si="4"/>
        <v>1.6141666666666667</v>
      </c>
      <c r="H44" s="173">
        <v>400</v>
      </c>
      <c r="I44" s="173">
        <v>6</v>
      </c>
      <c r="J44" s="173">
        <f t="shared" si="5"/>
        <v>208</v>
      </c>
      <c r="K44" s="173">
        <v>240</v>
      </c>
      <c r="L44" s="173">
        <v>4000</v>
      </c>
      <c r="M44" s="173" t="s">
        <v>728</v>
      </c>
      <c r="N44" s="173" t="s">
        <v>723</v>
      </c>
      <c r="O44" s="177">
        <f t="shared" si="6"/>
        <v>4842.5</v>
      </c>
      <c r="P44" s="180" t="s">
        <v>658</v>
      </c>
      <c r="Q44" s="173" t="s">
        <v>724</v>
      </c>
      <c r="R44" s="173" t="s">
        <v>725</v>
      </c>
      <c r="S44" s="178" t="s">
        <v>708</v>
      </c>
      <c r="T44" s="178" t="s">
        <v>729</v>
      </c>
      <c r="U44" s="173" t="s">
        <v>704</v>
      </c>
      <c r="V44" s="181" t="s">
        <v>727</v>
      </c>
    </row>
    <row r="45" spans="1:22" ht="17.399999999999999">
      <c r="A45" s="182">
        <v>2500</v>
      </c>
      <c r="B45" s="173">
        <v>650</v>
      </c>
      <c r="C45" s="174">
        <f t="shared" si="0"/>
        <v>2742</v>
      </c>
      <c r="D45" s="174">
        <f t="shared" si="1"/>
        <v>855</v>
      </c>
      <c r="E45" s="174">
        <f t="shared" si="2"/>
        <v>2924</v>
      </c>
      <c r="F45" s="183"/>
      <c r="G45" s="176">
        <f t="shared" si="4"/>
        <v>1.1425000000000001</v>
      </c>
      <c r="H45" s="173">
        <v>400</v>
      </c>
      <c r="I45" s="173">
        <v>6</v>
      </c>
      <c r="J45" s="173">
        <f t="shared" si="5"/>
        <v>166.4</v>
      </c>
      <c r="K45" s="173">
        <v>185</v>
      </c>
      <c r="L45" s="173">
        <v>3200</v>
      </c>
      <c r="M45" s="173" t="s">
        <v>722</v>
      </c>
      <c r="N45" s="173" t="s">
        <v>723</v>
      </c>
      <c r="O45" s="177">
        <f t="shared" si="6"/>
        <v>3427.5</v>
      </c>
      <c r="P45" s="180" t="s">
        <v>658</v>
      </c>
      <c r="Q45" s="173" t="s">
        <v>724</v>
      </c>
      <c r="R45" s="173" t="s">
        <v>725</v>
      </c>
      <c r="S45" s="178" t="s">
        <v>708</v>
      </c>
      <c r="T45" s="178" t="s">
        <v>726</v>
      </c>
      <c r="U45" s="173" t="s">
        <v>704</v>
      </c>
      <c r="V45" s="181" t="s">
        <v>727</v>
      </c>
    </row>
    <row r="46" spans="1:22" ht="17.399999999999999">
      <c r="A46" s="182">
        <v>3000</v>
      </c>
      <c r="B46" s="184">
        <v>460</v>
      </c>
      <c r="C46" s="185">
        <f>ROUNDUP(A46/(B46*0.9)/3^0.5*1000/0.9,0)</f>
        <v>4649</v>
      </c>
      <c r="D46" s="185">
        <f t="shared" si="1"/>
        <v>606</v>
      </c>
      <c r="E46" s="185">
        <f t="shared" si="2"/>
        <v>4951</v>
      </c>
      <c r="F46" s="183">
        <f>30.8*100*C46/(1000*10)</f>
        <v>1431.8920000000001</v>
      </c>
      <c r="G46" s="186">
        <f t="shared" si="4"/>
        <v>1.5496666666666667</v>
      </c>
      <c r="H46" s="184">
        <v>500</v>
      </c>
      <c r="I46" s="184">
        <v>6</v>
      </c>
      <c r="J46" s="184">
        <f t="shared" si="5"/>
        <v>208</v>
      </c>
      <c r="K46" s="184">
        <v>240</v>
      </c>
      <c r="L46" s="184">
        <v>4000</v>
      </c>
      <c r="M46" s="184" t="s">
        <v>728</v>
      </c>
      <c r="N46" s="184" t="s">
        <v>723</v>
      </c>
      <c r="O46" s="187">
        <f t="shared" si="6"/>
        <v>5811.25</v>
      </c>
      <c r="P46" s="188" t="s">
        <v>658</v>
      </c>
      <c r="Q46" s="184" t="s">
        <v>724</v>
      </c>
      <c r="R46" s="184" t="s">
        <v>725</v>
      </c>
      <c r="S46" s="178" t="s">
        <v>708</v>
      </c>
      <c r="T46" s="189" t="s">
        <v>730</v>
      </c>
      <c r="U46" s="184" t="s">
        <v>731</v>
      </c>
      <c r="V46" s="190" t="s">
        <v>732</v>
      </c>
    </row>
    <row r="47" spans="1:22" ht="18" thickBot="1">
      <c r="A47" s="191">
        <v>3000</v>
      </c>
      <c r="B47" s="192">
        <v>650</v>
      </c>
      <c r="C47" s="193">
        <f t="shared" si="0"/>
        <v>3290</v>
      </c>
      <c r="D47" s="193">
        <f t="shared" si="1"/>
        <v>855</v>
      </c>
      <c r="E47" s="193">
        <f t="shared" si="2"/>
        <v>3509</v>
      </c>
      <c r="F47" s="194">
        <f t="shared" si="3"/>
        <v>1013.32</v>
      </c>
      <c r="G47" s="195">
        <f t="shared" si="4"/>
        <v>1.3708333333333333</v>
      </c>
      <c r="H47" s="192">
        <v>400</v>
      </c>
      <c r="I47" s="192">
        <v>6</v>
      </c>
      <c r="J47" s="192">
        <f t="shared" si="5"/>
        <v>166.4</v>
      </c>
      <c r="K47" s="192">
        <v>185</v>
      </c>
      <c r="L47" s="192">
        <v>3200</v>
      </c>
      <c r="M47" s="192" t="s">
        <v>722</v>
      </c>
      <c r="N47" s="192" t="s">
        <v>723</v>
      </c>
      <c r="O47" s="196">
        <f t="shared" si="6"/>
        <v>4112.5</v>
      </c>
      <c r="P47" s="197" t="s">
        <v>658</v>
      </c>
      <c r="Q47" s="192" t="s">
        <v>724</v>
      </c>
      <c r="R47" s="192" t="s">
        <v>725</v>
      </c>
      <c r="S47" s="198" t="s">
        <v>733</v>
      </c>
      <c r="T47" s="192" t="s">
        <v>734</v>
      </c>
      <c r="U47" s="192" t="s">
        <v>735</v>
      </c>
      <c r="V47" s="199" t="s">
        <v>736</v>
      </c>
    </row>
  </sheetData>
  <mergeCells count="41">
    <mergeCell ref="L2:L3"/>
    <mergeCell ref="A2:A3"/>
    <mergeCell ref="B2:B3"/>
    <mergeCell ref="C2:C3"/>
    <mergeCell ref="D2:D3"/>
    <mergeCell ref="E2:E3"/>
    <mergeCell ref="F2:F3"/>
    <mergeCell ref="G2:G3"/>
    <mergeCell ref="H2:H3"/>
    <mergeCell ref="I2:I3"/>
    <mergeCell ref="J2:J3"/>
    <mergeCell ref="K2:K3"/>
    <mergeCell ref="U14:V14"/>
    <mergeCell ref="M2:M3"/>
    <mergeCell ref="N2:N3"/>
    <mergeCell ref="O2:O3"/>
    <mergeCell ref="P2:P3"/>
    <mergeCell ref="Q2:R2"/>
    <mergeCell ref="S2:S3"/>
    <mergeCell ref="T2:T3"/>
    <mergeCell ref="U2:U3"/>
    <mergeCell ref="V2:V3"/>
    <mergeCell ref="U10:V10"/>
    <mergeCell ref="U13:V13"/>
    <mergeCell ref="U26:V26"/>
    <mergeCell ref="U15:V15"/>
    <mergeCell ref="U16:V16"/>
    <mergeCell ref="U17:V17"/>
    <mergeCell ref="U18:V18"/>
    <mergeCell ref="U19:V19"/>
    <mergeCell ref="U20:V20"/>
    <mergeCell ref="U21:V21"/>
    <mergeCell ref="U22:V22"/>
    <mergeCell ref="U23:V23"/>
    <mergeCell ref="U24:V24"/>
    <mergeCell ref="U25:V25"/>
    <mergeCell ref="U27:V27"/>
    <mergeCell ref="U28:V28"/>
    <mergeCell ref="U29:V29"/>
    <mergeCell ref="U30:V30"/>
    <mergeCell ref="U31:V31"/>
  </mergeCells>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6"/>
  <sheetViews>
    <sheetView zoomScale="76" zoomScaleNormal="76" workbookViewId="0">
      <selection activeCell="F38" sqref="F38"/>
    </sheetView>
  </sheetViews>
  <sheetFormatPr defaultRowHeight="14.4"/>
  <cols>
    <col min="2" max="2" width="15.59765625" customWidth="1"/>
    <col min="3" max="3" width="44.796875" bestFit="1" customWidth="1"/>
    <col min="4" max="4" width="8.8984375" bestFit="1" customWidth="1"/>
    <col min="7" max="7" width="61.09765625" bestFit="1" customWidth="1"/>
  </cols>
  <sheetData>
    <row r="2" spans="2:7">
      <c r="D2" t="s">
        <v>737</v>
      </c>
    </row>
    <row r="3" spans="2:7" ht="17.399999999999999">
      <c r="B3" s="90"/>
      <c r="C3" s="90"/>
      <c r="D3" s="90" t="s">
        <v>738</v>
      </c>
      <c r="E3" s="90" t="s">
        <v>739</v>
      </c>
      <c r="F3" s="90"/>
      <c r="G3" s="90" t="s">
        <v>740</v>
      </c>
    </row>
    <row r="4" spans="2:7" ht="17.399999999999999">
      <c r="B4" s="90"/>
      <c r="C4" s="90" t="s">
        <v>741</v>
      </c>
      <c r="D4" s="119">
        <v>1500</v>
      </c>
      <c r="E4" s="119">
        <v>1500</v>
      </c>
      <c r="F4" s="90" t="s">
        <v>742</v>
      </c>
      <c r="G4" s="90" t="s">
        <v>321</v>
      </c>
    </row>
    <row r="5" spans="2:7" ht="17.399999999999999">
      <c r="B5" s="295" t="s">
        <v>743</v>
      </c>
      <c r="C5" s="90" t="s">
        <v>744</v>
      </c>
      <c r="D5" s="91">
        <v>18.5</v>
      </c>
      <c r="E5" s="91">
        <v>18.5</v>
      </c>
      <c r="F5" s="90" t="s">
        <v>307</v>
      </c>
      <c r="G5" s="90" t="s">
        <v>745</v>
      </c>
    </row>
    <row r="6" spans="2:7" ht="17.399999999999999">
      <c r="B6" s="295"/>
      <c r="C6" s="90" t="s">
        <v>746</v>
      </c>
      <c r="D6" s="91">
        <v>25</v>
      </c>
      <c r="E6" s="91">
        <v>25</v>
      </c>
      <c r="F6" s="90" t="s">
        <v>747</v>
      </c>
      <c r="G6" s="90" t="s">
        <v>748</v>
      </c>
    </row>
    <row r="7" spans="2:7" ht="17.399999999999999">
      <c r="B7" s="295"/>
      <c r="C7" s="90" t="s">
        <v>266</v>
      </c>
      <c r="D7" s="200">
        <f>D6*D5/1000000*D8*1000</f>
        <v>4.4400000000000004</v>
      </c>
      <c r="E7" s="200">
        <f>E6*E5/1000000*E8*1000</f>
        <v>4.4400000000000004</v>
      </c>
      <c r="F7" s="90" t="s">
        <v>749</v>
      </c>
      <c r="G7" s="90"/>
    </row>
    <row r="8" spans="2:7" ht="17.399999999999999">
      <c r="B8" s="261" t="s">
        <v>750</v>
      </c>
      <c r="C8" s="90" t="s">
        <v>751</v>
      </c>
      <c r="D8" s="119">
        <v>9.6</v>
      </c>
      <c r="E8" s="119">
        <v>9.6</v>
      </c>
      <c r="F8" s="90" t="s">
        <v>752</v>
      </c>
      <c r="G8" s="90" t="s">
        <v>321</v>
      </c>
    </row>
    <row r="9" spans="2:7" ht="17.399999999999999">
      <c r="B9" s="265"/>
      <c r="C9" s="90" t="s">
        <v>753</v>
      </c>
      <c r="D9" s="91">
        <v>1060</v>
      </c>
      <c r="E9" s="91">
        <v>2121</v>
      </c>
      <c r="F9" s="90" t="s">
        <v>742</v>
      </c>
      <c r="G9" s="90" t="s">
        <v>754</v>
      </c>
    </row>
    <row r="10" spans="2:7" ht="17.399999999999999">
      <c r="B10" s="265"/>
      <c r="C10" s="90" t="s">
        <v>755</v>
      </c>
      <c r="D10" s="91">
        <v>170</v>
      </c>
      <c r="E10" s="91">
        <v>350</v>
      </c>
      <c r="F10" s="90" t="s">
        <v>756</v>
      </c>
      <c r="G10" s="109" t="s">
        <v>757</v>
      </c>
    </row>
    <row r="11" spans="2:7" ht="17.399999999999999">
      <c r="B11" s="265"/>
      <c r="C11" s="90" t="s">
        <v>270</v>
      </c>
      <c r="D11" s="201">
        <v>0</v>
      </c>
      <c r="E11" s="201">
        <v>0</v>
      </c>
      <c r="F11" s="90" t="s">
        <v>309</v>
      </c>
      <c r="G11" s="90"/>
    </row>
    <row r="12" spans="2:7" ht="17.399999999999999">
      <c r="B12" s="265"/>
      <c r="C12" s="90" t="s">
        <v>758</v>
      </c>
      <c r="D12" s="201">
        <v>0</v>
      </c>
      <c r="E12" s="201">
        <v>0</v>
      </c>
      <c r="F12" s="90" t="s">
        <v>759</v>
      </c>
      <c r="G12" s="90"/>
    </row>
    <row r="13" spans="2:7" ht="17.399999999999999">
      <c r="B13" s="265"/>
      <c r="C13" s="90" t="s">
        <v>760</v>
      </c>
      <c r="D13" s="202">
        <f>D10*D8+D11*D8</f>
        <v>1632</v>
      </c>
      <c r="E13" s="202">
        <f>E10*E8+E11*E8</f>
        <v>3360</v>
      </c>
      <c r="F13" s="90" t="s">
        <v>308</v>
      </c>
      <c r="G13" s="90"/>
    </row>
    <row r="14" spans="2:7" ht="17.399999999999999">
      <c r="B14" s="265"/>
      <c r="C14" s="90" t="s">
        <v>761</v>
      </c>
      <c r="D14" s="201">
        <f>D8*D12</f>
        <v>0</v>
      </c>
      <c r="E14" s="201">
        <f>E8*E12</f>
        <v>0</v>
      </c>
      <c r="F14" s="90" t="s">
        <v>749</v>
      </c>
      <c r="G14" s="90"/>
    </row>
    <row r="15" spans="2:7" ht="17.399999999999999">
      <c r="B15" s="265"/>
      <c r="C15" s="90" t="s">
        <v>274</v>
      </c>
      <c r="D15" s="91">
        <v>100</v>
      </c>
      <c r="E15" s="91">
        <v>95</v>
      </c>
      <c r="F15" s="90" t="s">
        <v>2</v>
      </c>
      <c r="G15" s="109" t="s">
        <v>323</v>
      </c>
    </row>
    <row r="16" spans="2:7" ht="17.399999999999999">
      <c r="B16" s="262"/>
      <c r="C16" s="90" t="s">
        <v>762</v>
      </c>
      <c r="D16" s="203">
        <f>D13*D15/100</f>
        <v>1632</v>
      </c>
      <c r="E16" s="203">
        <f>E13*E15/100</f>
        <v>3192</v>
      </c>
      <c r="F16" s="90" t="s">
        <v>308</v>
      </c>
      <c r="G16" s="90"/>
    </row>
    <row r="17" spans="2:7" ht="17.399999999999999">
      <c r="B17" s="295" t="s">
        <v>763</v>
      </c>
      <c r="C17" s="90" t="s">
        <v>764</v>
      </c>
      <c r="D17" s="200">
        <f>D4*0.9</f>
        <v>1350</v>
      </c>
      <c r="E17" s="200">
        <f>E4*0.9</f>
        <v>1350</v>
      </c>
      <c r="F17" s="90" t="s">
        <v>742</v>
      </c>
      <c r="G17" s="90"/>
    </row>
    <row r="18" spans="2:7" ht="17.399999999999999">
      <c r="B18" s="295"/>
      <c r="C18" s="90" t="s">
        <v>277</v>
      </c>
      <c r="D18" s="91">
        <v>2</v>
      </c>
      <c r="E18" s="91">
        <v>1.5</v>
      </c>
      <c r="F18" s="90" t="s">
        <v>765</v>
      </c>
      <c r="G18" s="109" t="s">
        <v>766</v>
      </c>
    </row>
    <row r="19" spans="2:7" ht="17.399999999999999">
      <c r="B19" s="295"/>
      <c r="C19" s="90" t="s">
        <v>767</v>
      </c>
      <c r="D19" s="91">
        <v>1</v>
      </c>
      <c r="E19" s="91">
        <v>1.3</v>
      </c>
      <c r="F19" s="90" t="s">
        <v>310</v>
      </c>
      <c r="G19" s="109" t="s">
        <v>768</v>
      </c>
    </row>
    <row r="20" spans="2:7" ht="17.399999999999999">
      <c r="B20" s="295"/>
      <c r="C20" s="90" t="s">
        <v>221</v>
      </c>
      <c r="D20" s="91">
        <v>70</v>
      </c>
      <c r="E20" s="91">
        <v>100</v>
      </c>
      <c r="F20" s="90" t="s">
        <v>769</v>
      </c>
      <c r="G20" s="109" t="s">
        <v>770</v>
      </c>
    </row>
    <row r="21" spans="2:7" ht="17.399999999999999">
      <c r="B21" s="295"/>
      <c r="C21" s="90" t="s">
        <v>771</v>
      </c>
      <c r="D21" s="91">
        <v>30</v>
      </c>
      <c r="E21" s="91">
        <v>30</v>
      </c>
      <c r="F21" s="90" t="s">
        <v>772</v>
      </c>
      <c r="G21" s="90" t="s">
        <v>773</v>
      </c>
    </row>
    <row r="22" spans="2:7" ht="17.399999999999999">
      <c r="B22" s="295"/>
      <c r="C22" s="90" t="s">
        <v>774</v>
      </c>
      <c r="D22" s="200">
        <f>ROUNDUP((D17*D18*((180-D21)/180))/2,0)</f>
        <v>1125</v>
      </c>
      <c r="E22" s="200">
        <f>ROUNDUP((E17*E18*((E20*180/100-E21)/180))/2,0)</f>
        <v>844</v>
      </c>
      <c r="F22" s="90" t="s">
        <v>775</v>
      </c>
      <c r="G22" s="90"/>
    </row>
    <row r="23" spans="2:7" ht="17.399999999999999">
      <c r="B23" s="295"/>
      <c r="C23" s="90" t="s">
        <v>281</v>
      </c>
      <c r="D23" s="200">
        <f>ROUNDUP((D17*D19*(D21/180))/2,0)</f>
        <v>113</v>
      </c>
      <c r="E23" s="200">
        <f>ROUNDUP((E17*E19*(1-(E20*180/100-E21)/180))/2,0)</f>
        <v>147</v>
      </c>
      <c r="F23" s="90" t="s">
        <v>749</v>
      </c>
      <c r="G23" s="90"/>
    </row>
    <row r="24" spans="2:7" ht="17.399999999999999">
      <c r="B24" s="295"/>
      <c r="C24" s="90" t="s">
        <v>776</v>
      </c>
      <c r="D24" s="203">
        <f>ROUNDUP(((D17*D18*((180-D21)/180))+(D17*D19*(D21/180)))/2,0)</f>
        <v>1238</v>
      </c>
      <c r="E24" s="203">
        <f>ROUNDUP(((E17*E18*(((E20*180/100-E21)/180))+(E17*E19*(1-(E20*180/100-E21)/180))))/2,0)</f>
        <v>990</v>
      </c>
      <c r="F24" s="90" t="s">
        <v>749</v>
      </c>
      <c r="G24" s="90"/>
    </row>
    <row r="25" spans="2:7" ht="17.399999999999999">
      <c r="B25" s="295" t="s">
        <v>777</v>
      </c>
      <c r="C25" s="90" t="s">
        <v>778</v>
      </c>
      <c r="D25" s="202">
        <f>D16+D22</f>
        <v>2757</v>
      </c>
      <c r="E25" s="202">
        <f>E16+E22</f>
        <v>4036</v>
      </c>
      <c r="F25" s="90" t="s">
        <v>749</v>
      </c>
      <c r="G25" s="90"/>
    </row>
    <row r="26" spans="2:7" ht="17.399999999999999">
      <c r="B26" s="295"/>
      <c r="C26" s="90" t="s">
        <v>779</v>
      </c>
      <c r="D26" s="202">
        <f>D23+D14</f>
        <v>113</v>
      </c>
      <c r="E26" s="202">
        <f>E23+E14</f>
        <v>147</v>
      </c>
      <c r="F26" s="90" t="s">
        <v>308</v>
      </c>
      <c r="G26" s="90"/>
    </row>
    <row r="27" spans="2:7" ht="17.399999999999999">
      <c r="B27" s="295"/>
      <c r="C27" s="90" t="s">
        <v>780</v>
      </c>
      <c r="D27" s="200">
        <f>ROUNDUP((D7+D16+D24),0)</f>
        <v>2875</v>
      </c>
      <c r="E27" s="200">
        <f>ROUNDUP((E7+E16+E24),0)</f>
        <v>4187</v>
      </c>
      <c r="F27" s="90" t="s">
        <v>781</v>
      </c>
      <c r="G27" s="90"/>
    </row>
    <row r="28" spans="2:7" ht="17.399999999999999">
      <c r="B28" s="295"/>
      <c r="C28" s="90" t="s">
        <v>286</v>
      </c>
      <c r="D28" s="91">
        <v>1</v>
      </c>
      <c r="E28" s="91">
        <v>1</v>
      </c>
      <c r="F28" s="90"/>
      <c r="G28" s="109" t="s">
        <v>782</v>
      </c>
    </row>
    <row r="29" spans="2:7" ht="17.399999999999999">
      <c r="B29" s="295"/>
      <c r="C29" s="90" t="s">
        <v>783</v>
      </c>
      <c r="D29" s="203">
        <f>D27*D28</f>
        <v>2875</v>
      </c>
      <c r="E29" s="203">
        <f>E27*E28</f>
        <v>4187</v>
      </c>
      <c r="F29" s="90" t="s">
        <v>784</v>
      </c>
      <c r="G29" s="90"/>
    </row>
    <row r="30" spans="2:7" ht="17.399999999999999">
      <c r="B30" s="295" t="s">
        <v>785</v>
      </c>
      <c r="C30" s="90" t="s">
        <v>288</v>
      </c>
      <c r="D30" s="204">
        <v>13500</v>
      </c>
      <c r="E30" s="204">
        <v>13500</v>
      </c>
      <c r="F30" s="90" t="s">
        <v>749</v>
      </c>
      <c r="G30" s="90" t="s">
        <v>745</v>
      </c>
    </row>
    <row r="31" spans="2:7" ht="17.399999999999999">
      <c r="B31" s="295"/>
      <c r="C31" s="90" t="s">
        <v>786</v>
      </c>
      <c r="D31" s="203">
        <f>ROUNDUP(D29/D30*100,0)</f>
        <v>22</v>
      </c>
      <c r="E31" s="203">
        <f>ROUNDUP(E29/E30*100,0)</f>
        <v>32</v>
      </c>
      <c r="F31" s="90" t="s">
        <v>769</v>
      </c>
      <c r="G31" s="90"/>
    </row>
    <row r="32" spans="2:7" ht="17.399999999999999">
      <c r="B32" s="261" t="s">
        <v>787</v>
      </c>
      <c r="C32" s="90" t="s">
        <v>788</v>
      </c>
      <c r="D32" s="119">
        <v>6.4000000000000001E-2</v>
      </c>
      <c r="E32" s="119">
        <v>6.4000000000000001E-2</v>
      </c>
      <c r="F32" s="90" t="s">
        <v>313</v>
      </c>
      <c r="G32" s="90" t="s">
        <v>745</v>
      </c>
    </row>
    <row r="33" spans="2:7" ht="17.399999999999999">
      <c r="B33" s="265"/>
      <c r="C33" s="90" t="s">
        <v>291</v>
      </c>
      <c r="D33" s="119">
        <v>0.1</v>
      </c>
      <c r="E33" s="119">
        <v>0.1</v>
      </c>
      <c r="F33" s="90" t="s">
        <v>789</v>
      </c>
      <c r="G33" s="90" t="s">
        <v>790</v>
      </c>
    </row>
    <row r="34" spans="2:7" ht="17.399999999999999">
      <c r="B34" s="265"/>
      <c r="C34" s="90" t="s">
        <v>791</v>
      </c>
      <c r="D34" s="103">
        <f>125-D32*D25</f>
        <v>-51.448000000000008</v>
      </c>
      <c r="E34" s="103">
        <f>125-E32*E25</f>
        <v>-133.30400000000003</v>
      </c>
      <c r="F34" s="108" t="s">
        <v>792</v>
      </c>
      <c r="G34" s="90" t="s">
        <v>793</v>
      </c>
    </row>
    <row r="35" spans="2:7" ht="17.399999999999999">
      <c r="B35" s="265"/>
      <c r="C35" s="90" t="s">
        <v>794</v>
      </c>
      <c r="D35" s="205">
        <f>125-D33*D26</f>
        <v>113.7</v>
      </c>
      <c r="E35" s="205">
        <f>125-E33*E26</f>
        <v>110.3</v>
      </c>
      <c r="F35" s="108" t="s">
        <v>792</v>
      </c>
      <c r="G35" s="90"/>
    </row>
    <row r="36" spans="2:7" ht="17.399999999999999">
      <c r="B36" s="265"/>
      <c r="C36" s="90" t="s">
        <v>795</v>
      </c>
      <c r="D36" s="205">
        <f>D32*D25</f>
        <v>176.44800000000001</v>
      </c>
      <c r="E36" s="205">
        <f>E32*E25</f>
        <v>258.30400000000003</v>
      </c>
      <c r="F36" s="108" t="s">
        <v>792</v>
      </c>
      <c r="G36" s="90"/>
    </row>
    <row r="37" spans="2:7" ht="17.399999999999999">
      <c r="B37" s="262"/>
      <c r="C37" s="90" t="s">
        <v>796</v>
      </c>
      <c r="D37" s="205">
        <f>D33*D26</f>
        <v>11.3</v>
      </c>
      <c r="E37" s="205">
        <f>E33*E26</f>
        <v>14.700000000000001</v>
      </c>
      <c r="F37" s="108" t="s">
        <v>797</v>
      </c>
      <c r="G37" s="90"/>
    </row>
    <row r="38" spans="2:7" ht="17.399999999999999">
      <c r="B38" s="261" t="s">
        <v>798</v>
      </c>
      <c r="C38" s="90" t="s">
        <v>799</v>
      </c>
      <c r="D38" s="119">
        <v>0.03</v>
      </c>
      <c r="E38" s="119">
        <v>0.03</v>
      </c>
      <c r="F38" s="90" t="s">
        <v>789</v>
      </c>
      <c r="G38" s="90" t="s">
        <v>745</v>
      </c>
    </row>
    <row r="39" spans="2:7" ht="17.399999999999999">
      <c r="B39" s="265"/>
      <c r="C39" s="90" t="s">
        <v>800</v>
      </c>
      <c r="D39" s="119">
        <v>0.06</v>
      </c>
      <c r="E39" s="119">
        <v>0.06</v>
      </c>
      <c r="F39" s="90" t="s">
        <v>789</v>
      </c>
      <c r="G39" s="90" t="s">
        <v>790</v>
      </c>
    </row>
    <row r="40" spans="2:7" ht="17.399999999999999">
      <c r="B40" s="265"/>
      <c r="C40" s="90" t="s">
        <v>298</v>
      </c>
      <c r="D40" s="103">
        <f>D34-D38*D25</f>
        <v>-134.15800000000002</v>
      </c>
      <c r="E40" s="103">
        <f>E34-E38*E25</f>
        <v>-254.38400000000001</v>
      </c>
      <c r="F40" s="108" t="s">
        <v>792</v>
      </c>
      <c r="G40" s="90" t="s">
        <v>327</v>
      </c>
    </row>
    <row r="41" spans="2:7" ht="17.399999999999999">
      <c r="B41" s="265"/>
      <c r="C41" s="90" t="s">
        <v>801</v>
      </c>
      <c r="D41" s="205">
        <f>D35-D39*D26</f>
        <v>106.92</v>
      </c>
      <c r="E41" s="205">
        <f>E35-E39*E26</f>
        <v>101.47999999999999</v>
      </c>
      <c r="F41" s="108" t="s">
        <v>792</v>
      </c>
      <c r="G41" s="90"/>
    </row>
    <row r="42" spans="2:7" ht="17.399999999999999">
      <c r="B42" s="265"/>
      <c r="C42" s="90" t="s">
        <v>300</v>
      </c>
      <c r="D42" s="205">
        <f>D38*D25</f>
        <v>82.71</v>
      </c>
      <c r="E42" s="205">
        <f>E38*E25</f>
        <v>121.08</v>
      </c>
      <c r="F42" s="108" t="s">
        <v>797</v>
      </c>
      <c r="G42" s="90"/>
    </row>
    <row r="43" spans="2:7" ht="17.399999999999999">
      <c r="B43" s="262"/>
      <c r="C43" s="90" t="s">
        <v>802</v>
      </c>
      <c r="D43" s="205">
        <f>D39*D26</f>
        <v>6.7799999999999994</v>
      </c>
      <c r="E43" s="205">
        <f>E39*E26</f>
        <v>8.82</v>
      </c>
      <c r="F43" s="108" t="s">
        <v>792</v>
      </c>
      <c r="G43" s="90"/>
    </row>
    <row r="44" spans="2:7" ht="17.399999999999999">
      <c r="B44" s="261" t="s">
        <v>803</v>
      </c>
      <c r="C44" s="90" t="s">
        <v>804</v>
      </c>
      <c r="D44" s="205">
        <v>60</v>
      </c>
      <c r="E44" s="205">
        <v>60</v>
      </c>
      <c r="F44" s="108" t="s">
        <v>797</v>
      </c>
      <c r="G44" s="90" t="s">
        <v>805</v>
      </c>
    </row>
    <row r="45" spans="2:7" ht="17.399999999999999">
      <c r="B45" s="265"/>
      <c r="C45" s="90" t="s">
        <v>806</v>
      </c>
      <c r="D45" s="119">
        <v>8</v>
      </c>
      <c r="E45" s="119">
        <v>8</v>
      </c>
      <c r="F45" s="108" t="s">
        <v>807</v>
      </c>
      <c r="G45" s="90" t="s">
        <v>329</v>
      </c>
    </row>
    <row r="46" spans="2:7" ht="17.399999999999999">
      <c r="B46" s="262"/>
      <c r="C46" s="90" t="s">
        <v>304</v>
      </c>
      <c r="D46" s="205">
        <f>D44-(D29/1000*860/D45/60)</f>
        <v>54.848958333333336</v>
      </c>
      <c r="E46" s="205">
        <f>E44-(E29/1000*860/E45/60)</f>
        <v>52.498291666666667</v>
      </c>
      <c r="F46" s="108" t="s">
        <v>792</v>
      </c>
      <c r="G46" s="90"/>
    </row>
  </sheetData>
  <mergeCells count="8">
    <mergeCell ref="B38:B43"/>
    <mergeCell ref="B44:B46"/>
    <mergeCell ref="B5:B7"/>
    <mergeCell ref="B8:B16"/>
    <mergeCell ref="B17:B24"/>
    <mergeCell ref="B25:B29"/>
    <mergeCell ref="B30:B31"/>
    <mergeCell ref="B32:B37"/>
  </mergeCells>
  <phoneticPr fontId="8" type="noConversion"/>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S51"/>
  <sheetViews>
    <sheetView zoomScale="84" zoomScaleNormal="84" workbookViewId="0">
      <selection activeCell="E29" sqref="E29"/>
    </sheetView>
  </sheetViews>
  <sheetFormatPr defaultColWidth="8.8984375" defaultRowHeight="17.399999999999999"/>
  <cols>
    <col min="1" max="1" width="8.8984375" style="130"/>
    <col min="2" max="2" width="21.3984375" style="130" bestFit="1" customWidth="1"/>
    <col min="3" max="3" width="9.3984375" style="130" bestFit="1" customWidth="1"/>
    <col min="4" max="4" width="9.59765625" style="130" bestFit="1" customWidth="1"/>
    <col min="5" max="5" width="10.796875" style="130" customWidth="1"/>
    <col min="6" max="6" width="8.8984375" style="130"/>
    <col min="7" max="7" width="33" style="130" customWidth="1"/>
    <col min="8" max="8" width="11.19921875" style="130" customWidth="1"/>
    <col min="9" max="9" width="12.296875" style="130" customWidth="1"/>
    <col min="10" max="11" width="8.8984375" style="130"/>
    <col min="12" max="12" width="11.69921875" style="130" customWidth="1"/>
    <col min="13" max="13" width="19.09765625" style="130" bestFit="1" customWidth="1"/>
    <col min="14" max="14" width="14.796875" style="130" customWidth="1"/>
    <col min="15" max="16" width="8.8984375" style="130"/>
    <col min="17" max="17" width="17.59765625" style="130" bestFit="1" customWidth="1"/>
    <col min="18" max="18" width="10.3984375" style="130" bestFit="1" customWidth="1"/>
    <col min="19" max="16384" width="8.8984375" style="130"/>
  </cols>
  <sheetData>
    <row r="2" spans="2:19">
      <c r="B2" s="296" t="s">
        <v>88</v>
      </c>
      <c r="C2" s="296"/>
      <c r="D2" s="128"/>
      <c r="E2" s="129"/>
      <c r="F2" s="129"/>
      <c r="G2" s="128"/>
      <c r="H2" s="128"/>
      <c r="I2" s="128"/>
      <c r="J2" s="128"/>
      <c r="K2" s="128"/>
      <c r="L2" s="128"/>
      <c r="M2" s="128"/>
      <c r="N2" s="128"/>
      <c r="O2" s="128"/>
      <c r="P2" s="128"/>
    </row>
    <row r="3" spans="2:19">
      <c r="B3" s="128"/>
      <c r="C3" s="128"/>
      <c r="D3" s="128"/>
      <c r="E3" s="129"/>
      <c r="F3" s="129"/>
      <c r="G3" s="128"/>
      <c r="H3" s="128"/>
      <c r="I3" s="128"/>
      <c r="J3" s="128"/>
      <c r="K3" s="128"/>
      <c r="L3" s="128"/>
      <c r="M3" s="128"/>
      <c r="N3" s="128"/>
      <c r="O3" s="128"/>
      <c r="P3" s="128"/>
    </row>
    <row r="4" spans="2:19">
      <c r="B4" s="131" t="s">
        <v>89</v>
      </c>
      <c r="C4" s="132">
        <v>70</v>
      </c>
      <c r="D4" s="131" t="s">
        <v>15</v>
      </c>
      <c r="E4" s="129"/>
      <c r="F4" s="129"/>
      <c r="G4" s="128"/>
      <c r="H4" s="128"/>
      <c r="I4" s="128"/>
      <c r="J4" s="128"/>
      <c r="K4" s="128"/>
      <c r="L4" s="128"/>
      <c r="M4" s="128"/>
      <c r="N4" s="128"/>
      <c r="O4" s="128"/>
      <c r="P4" s="128"/>
    </row>
    <row r="5" spans="2:19">
      <c r="B5" s="133" t="s">
        <v>124</v>
      </c>
      <c r="C5" s="134">
        <v>440</v>
      </c>
      <c r="D5" s="133" t="s">
        <v>0</v>
      </c>
      <c r="E5" s="129"/>
      <c r="F5" s="129"/>
      <c r="G5" s="297" t="s">
        <v>605</v>
      </c>
      <c r="H5" s="298"/>
      <c r="I5" s="299"/>
      <c r="J5" s="128"/>
      <c r="K5" s="128"/>
      <c r="L5" s="128"/>
      <c r="M5" s="128"/>
      <c r="N5" s="128"/>
      <c r="O5" s="128"/>
      <c r="P5" s="128"/>
      <c r="Q5" s="249" t="s">
        <v>73</v>
      </c>
      <c r="R5" s="249"/>
      <c r="S5" s="249"/>
    </row>
    <row r="6" spans="2:19">
      <c r="B6" s="133" t="s">
        <v>126</v>
      </c>
      <c r="C6" s="135">
        <v>0.03</v>
      </c>
      <c r="D6" s="133"/>
      <c r="E6" s="129"/>
      <c r="F6" s="129"/>
      <c r="G6" s="131" t="s">
        <v>90</v>
      </c>
      <c r="H6" s="136">
        <v>25</v>
      </c>
      <c r="I6" s="131" t="s">
        <v>6</v>
      </c>
      <c r="J6" s="128"/>
      <c r="K6" s="128"/>
      <c r="L6" s="128"/>
      <c r="M6" s="137" t="s">
        <v>127</v>
      </c>
      <c r="N6" s="138" t="s">
        <v>606</v>
      </c>
      <c r="O6" s="137"/>
      <c r="P6" s="128"/>
      <c r="Q6" s="13" t="s">
        <v>35</v>
      </c>
      <c r="R6" s="57" t="s">
        <v>36</v>
      </c>
      <c r="S6" s="57"/>
    </row>
    <row r="7" spans="2:19">
      <c r="B7" s="133" t="s">
        <v>128</v>
      </c>
      <c r="C7" s="139">
        <f>C5*C6</f>
        <v>13.2</v>
      </c>
      <c r="D7" s="133" t="s">
        <v>0</v>
      </c>
      <c r="E7" s="129"/>
      <c r="F7" s="129"/>
      <c r="G7" s="131" t="s">
        <v>129</v>
      </c>
      <c r="H7" s="136">
        <v>32</v>
      </c>
      <c r="I7" s="131" t="s">
        <v>6</v>
      </c>
      <c r="J7" s="128"/>
      <c r="K7" s="128"/>
      <c r="L7" s="128"/>
      <c r="M7" s="137" t="s">
        <v>130</v>
      </c>
      <c r="N7" s="140">
        <f>R16</f>
        <v>30</v>
      </c>
      <c r="O7" s="137" t="s">
        <v>131</v>
      </c>
      <c r="P7" s="128"/>
      <c r="Q7" s="16" t="s">
        <v>135</v>
      </c>
      <c r="R7" s="17">
        <v>1.75</v>
      </c>
      <c r="S7" s="16" t="s">
        <v>136</v>
      </c>
    </row>
    <row r="8" spans="2:19">
      <c r="B8" s="133" t="s">
        <v>132</v>
      </c>
      <c r="C8" s="139">
        <f>(0.30137/(PI()/6))*100</f>
        <v>57.557430239525409</v>
      </c>
      <c r="D8" s="133" t="s">
        <v>2</v>
      </c>
      <c r="E8" s="129"/>
      <c r="F8" s="129"/>
      <c r="G8" s="131" t="s">
        <v>133</v>
      </c>
      <c r="H8" s="136">
        <v>80</v>
      </c>
      <c r="I8" s="131" t="s">
        <v>6</v>
      </c>
      <c r="J8" s="128"/>
      <c r="K8" s="128"/>
      <c r="L8" s="128"/>
      <c r="M8" s="137" t="s">
        <v>134</v>
      </c>
      <c r="N8" s="136">
        <v>20</v>
      </c>
      <c r="O8" s="137" t="s">
        <v>45</v>
      </c>
      <c r="P8" s="128"/>
      <c r="Q8" s="16" t="s">
        <v>40</v>
      </c>
      <c r="R8" s="18">
        <v>3.8999999999999998E-3</v>
      </c>
      <c r="S8" s="16" t="s">
        <v>41</v>
      </c>
    </row>
    <row r="9" spans="2:19">
      <c r="B9" s="133" t="s">
        <v>91</v>
      </c>
      <c r="C9" s="134">
        <v>360</v>
      </c>
      <c r="D9" s="133" t="s">
        <v>10</v>
      </c>
      <c r="E9" s="129"/>
      <c r="F9" s="129"/>
      <c r="G9" s="131" t="s">
        <v>137</v>
      </c>
      <c r="H9" s="136">
        <v>165</v>
      </c>
      <c r="I9" s="131" t="s">
        <v>6</v>
      </c>
      <c r="J9" s="128"/>
      <c r="K9" s="128"/>
      <c r="L9" s="128"/>
      <c r="M9" s="137" t="s">
        <v>138</v>
      </c>
      <c r="N9" s="141">
        <v>2</v>
      </c>
      <c r="O9" s="137" t="s">
        <v>97</v>
      </c>
      <c r="P9" s="128"/>
      <c r="Q9" s="16" t="s">
        <v>42</v>
      </c>
      <c r="R9" s="20">
        <v>45</v>
      </c>
      <c r="S9" s="16" t="s">
        <v>43</v>
      </c>
    </row>
    <row r="10" spans="2:19">
      <c r="B10" s="133" t="s">
        <v>92</v>
      </c>
      <c r="C10" s="139">
        <f>C8/100*1000/C9</f>
        <v>1.5988175066534835</v>
      </c>
      <c r="D10" s="133" t="s">
        <v>98</v>
      </c>
      <c r="E10" s="129"/>
      <c r="F10" s="129"/>
      <c r="G10" s="131" t="s">
        <v>99</v>
      </c>
      <c r="H10" s="142">
        <f>2*H6+H7</f>
        <v>82</v>
      </c>
      <c r="I10" s="131" t="s">
        <v>6</v>
      </c>
      <c r="J10" s="128"/>
      <c r="K10" s="128"/>
      <c r="L10" s="128"/>
      <c r="M10" s="137" t="s">
        <v>100</v>
      </c>
      <c r="N10" s="143">
        <f>C14/N7</f>
        <v>4.3631005284944671</v>
      </c>
      <c r="O10" s="137" t="s">
        <v>139</v>
      </c>
      <c r="P10" s="128"/>
      <c r="Q10" s="16" t="s">
        <v>46</v>
      </c>
      <c r="R10" s="18">
        <f>R7*(1+R8*(R9-20))</f>
        <v>1.9206249999999998</v>
      </c>
      <c r="S10" s="16" t="s">
        <v>136</v>
      </c>
    </row>
    <row r="11" spans="2:19">
      <c r="B11" s="133" t="s">
        <v>101</v>
      </c>
      <c r="C11" s="135">
        <v>90</v>
      </c>
      <c r="D11" s="133" t="s">
        <v>2</v>
      </c>
      <c r="E11" s="129"/>
      <c r="F11" s="129"/>
      <c r="G11" s="144"/>
      <c r="H11" s="170"/>
      <c r="I11" s="131"/>
      <c r="J11" s="128"/>
      <c r="K11" s="128"/>
      <c r="L11" s="128"/>
      <c r="M11" s="128"/>
      <c r="N11" s="128"/>
      <c r="O11" s="128"/>
      <c r="P11" s="128"/>
      <c r="Q11" s="16" t="s">
        <v>47</v>
      </c>
      <c r="R11" s="22">
        <f>1/(R10/100000000)</f>
        <v>52066384.64041654</v>
      </c>
      <c r="S11" s="16" t="s">
        <v>48</v>
      </c>
    </row>
    <row r="12" spans="2:19">
      <c r="B12" s="133" t="s">
        <v>93</v>
      </c>
      <c r="C12" s="139">
        <f>C5*C11/100</f>
        <v>396</v>
      </c>
      <c r="D12" s="133" t="s">
        <v>0</v>
      </c>
      <c r="E12" s="129"/>
      <c r="F12" s="129"/>
      <c r="G12" s="131" t="s">
        <v>627</v>
      </c>
      <c r="H12" s="146">
        <f>H8+E38*C37/2</f>
        <v>83.1</v>
      </c>
      <c r="I12" s="131" t="s">
        <v>628</v>
      </c>
      <c r="J12" s="128"/>
      <c r="K12" s="128"/>
      <c r="L12" s="128"/>
      <c r="M12" s="131" t="s">
        <v>102</v>
      </c>
      <c r="N12" s="131"/>
      <c r="O12" s="131"/>
      <c r="P12" s="128"/>
      <c r="Q12" s="16" t="s">
        <v>49</v>
      </c>
      <c r="R12" s="57">
        <v>1</v>
      </c>
      <c r="S12" s="16" t="s">
        <v>50</v>
      </c>
    </row>
    <row r="13" spans="2:19">
      <c r="B13" s="133" t="s">
        <v>140</v>
      </c>
      <c r="C13" s="139">
        <f>C12*2^0.5*3/PI()</f>
        <v>534.78789179732109</v>
      </c>
      <c r="D13" s="133" t="s">
        <v>0</v>
      </c>
      <c r="E13" s="129"/>
      <c r="F13" s="129"/>
      <c r="G13" s="144" t="s">
        <v>607</v>
      </c>
      <c r="H13" s="131">
        <v>94.5</v>
      </c>
      <c r="I13" s="144" t="s">
        <v>2</v>
      </c>
      <c r="J13" s="128"/>
      <c r="K13" s="128"/>
      <c r="L13" s="128"/>
      <c r="M13" s="131" t="s">
        <v>141</v>
      </c>
      <c r="N13" s="145">
        <f>C7*C10</f>
        <v>21.104391087825981</v>
      </c>
      <c r="O13" s="131" t="s">
        <v>103</v>
      </c>
      <c r="P13" s="128"/>
      <c r="Q13" s="16" t="s">
        <v>54</v>
      </c>
      <c r="R13" s="25">
        <v>17304</v>
      </c>
      <c r="S13" s="16" t="s">
        <v>52</v>
      </c>
    </row>
    <row r="14" spans="2:19">
      <c r="B14" s="133" t="s">
        <v>104</v>
      </c>
      <c r="C14" s="139">
        <f>C4/C13*1000</f>
        <v>130.893015854834</v>
      </c>
      <c r="D14" s="133" t="s">
        <v>1</v>
      </c>
      <c r="E14" s="129"/>
      <c r="F14" s="129"/>
      <c r="G14" s="131" t="s">
        <v>105</v>
      </c>
      <c r="H14" s="146">
        <f>2*H6+H12</f>
        <v>133.1</v>
      </c>
      <c r="I14" s="131" t="s">
        <v>6</v>
      </c>
      <c r="J14" s="128"/>
      <c r="K14" s="128"/>
      <c r="L14" s="128"/>
      <c r="M14" s="128"/>
      <c r="N14" s="128"/>
      <c r="O14" s="128"/>
      <c r="P14" s="128"/>
      <c r="Q14" s="16" t="s">
        <v>55</v>
      </c>
      <c r="R14" s="25">
        <v>3</v>
      </c>
      <c r="S14" s="16" t="s">
        <v>52</v>
      </c>
    </row>
    <row r="15" spans="2:19">
      <c r="B15" s="133" t="s">
        <v>106</v>
      </c>
      <c r="C15" s="134">
        <v>11.8</v>
      </c>
      <c r="D15" s="133" t="s">
        <v>2</v>
      </c>
      <c r="E15" s="129"/>
      <c r="F15" s="129"/>
      <c r="G15" s="144" t="s">
        <v>608</v>
      </c>
      <c r="H15" s="136">
        <v>8</v>
      </c>
      <c r="I15" s="144" t="s">
        <v>609</v>
      </c>
      <c r="J15" s="128"/>
      <c r="K15" s="128"/>
      <c r="L15" s="128"/>
      <c r="M15" s="128"/>
      <c r="N15" s="128"/>
      <c r="O15" s="128"/>
      <c r="P15" s="128"/>
      <c r="Q15" s="16" t="s">
        <v>58</v>
      </c>
      <c r="R15" s="25">
        <v>10</v>
      </c>
      <c r="S15" s="16" t="s">
        <v>52</v>
      </c>
    </row>
    <row r="16" spans="2:19">
      <c r="B16" s="133" t="s">
        <v>143</v>
      </c>
      <c r="C16" s="139">
        <f>C14*C15/100</f>
        <v>15.445375870870414</v>
      </c>
      <c r="D16" s="133" t="s">
        <v>1</v>
      </c>
      <c r="E16" s="129"/>
      <c r="F16" s="129"/>
      <c r="G16" s="131" t="s">
        <v>94</v>
      </c>
      <c r="H16" s="146">
        <f>(H6)*H9/100*H13/100</f>
        <v>38.981250000000003</v>
      </c>
      <c r="I16" s="131" t="s">
        <v>118</v>
      </c>
      <c r="J16" s="147" t="s">
        <v>107</v>
      </c>
      <c r="K16" s="128"/>
      <c r="L16" s="128"/>
      <c r="M16" s="128"/>
      <c r="N16" s="128"/>
      <c r="O16" s="128"/>
      <c r="P16" s="128"/>
      <c r="Q16" s="16" t="s">
        <v>61</v>
      </c>
      <c r="R16" s="26">
        <f>R14*R15</f>
        <v>30</v>
      </c>
      <c r="S16" s="16" t="s">
        <v>62</v>
      </c>
    </row>
    <row r="17" spans="2:19">
      <c r="B17" s="133" t="s">
        <v>108</v>
      </c>
      <c r="C17" s="139">
        <f>C7*C10/C16</f>
        <v>1.366388960959398</v>
      </c>
      <c r="D17" s="133" t="s">
        <v>109</v>
      </c>
      <c r="E17" s="129"/>
      <c r="F17" s="129"/>
      <c r="G17" s="131" t="s">
        <v>145</v>
      </c>
      <c r="H17" s="131">
        <f>(H10*H14*H9-H8*H7*H9)/1000*7.83/1000</f>
        <v>10.793208689999998</v>
      </c>
      <c r="I17" s="131" t="s">
        <v>110</v>
      </c>
      <c r="J17" s="148">
        <f>H17*2200/10000</f>
        <v>2.3745059117999996</v>
      </c>
      <c r="K17" s="128" t="s">
        <v>117</v>
      </c>
      <c r="L17" s="128"/>
      <c r="M17" s="128"/>
      <c r="N17" s="128"/>
      <c r="O17" s="128"/>
      <c r="P17" s="128"/>
      <c r="Q17" s="16" t="s">
        <v>63</v>
      </c>
      <c r="R17" s="25">
        <v>130</v>
      </c>
      <c r="S17" s="29" t="s">
        <v>64</v>
      </c>
    </row>
    <row r="18" spans="2:19">
      <c r="B18" s="133" t="s">
        <v>146</v>
      </c>
      <c r="C18" s="134">
        <v>88.7</v>
      </c>
      <c r="D18" s="133" t="s">
        <v>10</v>
      </c>
      <c r="E18" s="129"/>
      <c r="F18" s="129"/>
      <c r="G18" s="149"/>
      <c r="H18" s="149"/>
      <c r="I18" s="149"/>
      <c r="J18" s="150" t="s">
        <v>610</v>
      </c>
      <c r="K18" s="128"/>
      <c r="L18" s="128"/>
      <c r="M18" s="151"/>
      <c r="N18" s="128"/>
      <c r="O18" s="128"/>
      <c r="P18" s="128"/>
      <c r="Q18" s="16" t="s">
        <v>65</v>
      </c>
      <c r="R18" s="152">
        <f>R17/R16</f>
        <v>4.333333333333333</v>
      </c>
      <c r="S18" s="29" t="s">
        <v>64</v>
      </c>
    </row>
    <row r="19" spans="2:19">
      <c r="B19" s="133" t="s">
        <v>148</v>
      </c>
      <c r="C19" s="139">
        <f>(4*PI()^2*C17/1000*C18^2)^-1*1000000</f>
        <v>2356.2354129819719</v>
      </c>
      <c r="D19" s="133" t="s">
        <v>16</v>
      </c>
      <c r="E19" s="129"/>
      <c r="F19" s="129"/>
      <c r="G19" s="147"/>
      <c r="H19" s="147"/>
      <c r="I19" s="147"/>
      <c r="J19" s="128">
        <f>H17*13.32</f>
        <v>143.76553975079997</v>
      </c>
      <c r="K19" s="150" t="s">
        <v>308</v>
      </c>
      <c r="L19" s="128"/>
      <c r="M19" s="151" t="s">
        <v>147</v>
      </c>
      <c r="N19" s="128"/>
      <c r="O19" s="128"/>
      <c r="P19" s="128"/>
      <c r="Q19" s="16" t="s">
        <v>66</v>
      </c>
      <c r="R19" s="30">
        <f>R10/100000000*(R17^2)/(R16/1000000)*R13/1000</f>
        <v>187.22098849999998</v>
      </c>
      <c r="S19" s="29" t="s">
        <v>67</v>
      </c>
    </row>
    <row r="20" spans="2:19">
      <c r="B20" s="131" t="s">
        <v>111</v>
      </c>
      <c r="C20" s="131">
        <f>C14*1.4</f>
        <v>183.2502221967676</v>
      </c>
      <c r="D20" s="131" t="s">
        <v>1</v>
      </c>
      <c r="E20" s="129"/>
      <c r="F20" s="129"/>
      <c r="G20" s="147"/>
      <c r="H20" s="147"/>
      <c r="I20" s="147"/>
      <c r="J20" s="128"/>
      <c r="K20" s="128"/>
      <c r="L20" s="128"/>
      <c r="M20" s="131" t="s">
        <v>149</v>
      </c>
      <c r="N20" s="131">
        <v>2000</v>
      </c>
      <c r="O20" s="131" t="s">
        <v>16</v>
      </c>
      <c r="P20" s="128"/>
    </row>
    <row r="21" spans="2:19">
      <c r="B21" s="144" t="s">
        <v>611</v>
      </c>
      <c r="C21" s="131">
        <f>(C5*2^0.5)^2/(C4*1000)</f>
        <v>5.5314285714285711</v>
      </c>
      <c r="D21" s="144" t="s">
        <v>612</v>
      </c>
      <c r="E21" s="129"/>
      <c r="F21" s="129"/>
      <c r="G21" s="147"/>
      <c r="H21" s="147"/>
      <c r="I21" s="147"/>
      <c r="J21" s="128"/>
      <c r="K21" s="128"/>
      <c r="L21" s="128"/>
      <c r="M21" s="131" t="s">
        <v>150</v>
      </c>
      <c r="N21" s="131">
        <v>1500</v>
      </c>
      <c r="O21" s="131" t="s">
        <v>9</v>
      </c>
      <c r="P21" s="128"/>
    </row>
    <row r="22" spans="2:19">
      <c r="B22" s="144" t="s">
        <v>613</v>
      </c>
      <c r="C22" s="131">
        <f>(C17*1000/C19)^0.5</f>
        <v>0.7615138963489122</v>
      </c>
      <c r="D22" s="144" t="s">
        <v>612</v>
      </c>
      <c r="E22" s="129"/>
      <c r="F22" s="129"/>
      <c r="G22" s="147"/>
      <c r="H22" s="147"/>
      <c r="I22" s="147"/>
      <c r="J22" s="128"/>
      <c r="K22" s="128"/>
      <c r="L22" s="128"/>
      <c r="M22" s="131" t="s">
        <v>95</v>
      </c>
      <c r="N22" s="131">
        <f>1/(2*3.14*SQRT((N20/1000000)*(N21/1000000)))</f>
        <v>91.93475624038625</v>
      </c>
      <c r="O22" s="131" t="s">
        <v>12</v>
      </c>
      <c r="P22" s="128"/>
    </row>
    <row r="23" spans="2:19">
      <c r="B23" s="144" t="s">
        <v>210</v>
      </c>
      <c r="C23" s="131">
        <f>C22/C21</f>
        <v>0.13767038415398725</v>
      </c>
      <c r="D23" s="131"/>
      <c r="E23" s="129"/>
      <c r="F23" s="129"/>
      <c r="G23" s="153"/>
      <c r="H23" s="153"/>
      <c r="I23" s="153"/>
      <c r="J23" s="128"/>
      <c r="K23" s="128"/>
      <c r="L23" s="128"/>
      <c r="M23" s="129"/>
      <c r="N23" s="129"/>
      <c r="O23" s="129"/>
      <c r="P23" s="128"/>
    </row>
    <row r="24" spans="2:19">
      <c r="B24" s="131"/>
      <c r="C24" s="131"/>
      <c r="D24" s="131"/>
      <c r="E24" s="129"/>
      <c r="F24" s="129"/>
      <c r="G24" s="131" t="s">
        <v>152</v>
      </c>
      <c r="H24" s="131">
        <f>H16*H7*H8/100</f>
        <v>997.92</v>
      </c>
      <c r="I24" s="131" t="s">
        <v>153</v>
      </c>
      <c r="J24" s="150" t="s">
        <v>614</v>
      </c>
      <c r="K24" s="128"/>
      <c r="L24" s="128"/>
      <c r="M24" s="129"/>
      <c r="N24" s="129"/>
      <c r="O24" s="129"/>
      <c r="P24" s="128"/>
    </row>
    <row r="25" spans="2:19">
      <c r="B25" s="131" t="s">
        <v>112</v>
      </c>
      <c r="C25" s="132">
        <v>1.56</v>
      </c>
      <c r="D25" s="131" t="s">
        <v>37</v>
      </c>
      <c r="E25" s="129"/>
      <c r="F25" s="129"/>
      <c r="G25" s="131" t="s">
        <v>96</v>
      </c>
      <c r="H25" s="131">
        <f>(H9*2+3.14*(H6+H7/2))/10</f>
        <v>45.874000000000002</v>
      </c>
      <c r="I25" s="131" t="s">
        <v>14</v>
      </c>
      <c r="J25" s="154">
        <f>R19</f>
        <v>187.22098849999998</v>
      </c>
      <c r="K25" s="150" t="s">
        <v>308</v>
      </c>
      <c r="L25" s="128"/>
      <c r="M25" s="151" t="s">
        <v>147</v>
      </c>
      <c r="N25" s="128"/>
      <c r="O25" s="128"/>
      <c r="P25" s="128"/>
    </row>
    <row r="26" spans="2:19">
      <c r="B26" s="131" t="s">
        <v>154</v>
      </c>
      <c r="C26" s="131">
        <v>50</v>
      </c>
      <c r="D26" s="131" t="s">
        <v>43</v>
      </c>
      <c r="E26" s="129"/>
      <c r="F26" s="129"/>
      <c r="G26" s="131" t="s">
        <v>113</v>
      </c>
      <c r="H26" s="131">
        <f>H16</f>
        <v>38.981250000000003</v>
      </c>
      <c r="I26" s="131" t="s">
        <v>118</v>
      </c>
      <c r="J26" s="128"/>
      <c r="K26" s="128"/>
      <c r="L26" s="128"/>
      <c r="M26" s="131" t="s">
        <v>149</v>
      </c>
      <c r="N26" s="131">
        <v>2000</v>
      </c>
      <c r="O26" s="131" t="s">
        <v>16</v>
      </c>
      <c r="P26" s="128"/>
    </row>
    <row r="27" spans="2:19">
      <c r="B27" s="131" t="s">
        <v>155</v>
      </c>
      <c r="C27" s="139" t="s">
        <v>156</v>
      </c>
      <c r="D27" s="131"/>
      <c r="E27" s="129"/>
      <c r="F27" s="129"/>
      <c r="G27" s="131" t="s">
        <v>157</v>
      </c>
      <c r="H27" s="131">
        <f>H7*H8/100</f>
        <v>25.6</v>
      </c>
      <c r="I27" s="131" t="s">
        <v>118</v>
      </c>
      <c r="J27" s="150" t="s">
        <v>615</v>
      </c>
      <c r="K27" s="128"/>
      <c r="L27" s="128"/>
      <c r="M27" s="131" t="s">
        <v>150</v>
      </c>
      <c r="N27" s="131">
        <v>1375</v>
      </c>
      <c r="O27" s="131" t="s">
        <v>9</v>
      </c>
      <c r="P27" s="128"/>
    </row>
    <row r="28" spans="2:19">
      <c r="B28" s="144" t="s">
        <v>158</v>
      </c>
      <c r="C28" s="155" t="s">
        <v>616</v>
      </c>
      <c r="D28" s="131"/>
      <c r="E28" s="129"/>
      <c r="F28" s="129"/>
      <c r="G28" s="131" t="s">
        <v>159</v>
      </c>
      <c r="H28" s="131">
        <f>(2*H14*2*H10 + H9*(2*H14+4*H10))/100</f>
        <v>1416.9980000000003</v>
      </c>
      <c r="I28" s="131" t="s">
        <v>118</v>
      </c>
      <c r="J28" s="154">
        <f>J19+J25</f>
        <v>330.98652825079995</v>
      </c>
      <c r="K28" s="150" t="s">
        <v>308</v>
      </c>
      <c r="L28" s="128"/>
      <c r="M28" s="131" t="s">
        <v>95</v>
      </c>
      <c r="N28" s="131">
        <f>1/(2*3.14*SQRT((N26/1000000)*(N27/1000000)))</f>
        <v>96.022721203109441</v>
      </c>
      <c r="O28" s="131" t="s">
        <v>12</v>
      </c>
      <c r="P28" s="128"/>
    </row>
    <row r="29" spans="2:19">
      <c r="B29" s="131" t="s">
        <v>160</v>
      </c>
      <c r="C29" s="131">
        <f>C25*C16/C20</f>
        <v>0.13148571428571432</v>
      </c>
      <c r="D29" s="131" t="s">
        <v>37</v>
      </c>
      <c r="E29" s="129"/>
      <c r="F29" s="129"/>
      <c r="G29" s="156"/>
      <c r="H29" s="156"/>
      <c r="I29" s="156"/>
      <c r="J29" s="128"/>
      <c r="K29" s="128"/>
      <c r="L29" s="128"/>
      <c r="M29" s="151" t="s">
        <v>161</v>
      </c>
      <c r="N29" s="128"/>
      <c r="O29" s="128"/>
      <c r="P29" s="128"/>
    </row>
    <row r="30" spans="2:19">
      <c r="B30" s="131" t="s">
        <v>114</v>
      </c>
      <c r="C30" s="157" t="s">
        <v>125</v>
      </c>
      <c r="D30" s="131"/>
      <c r="E30" s="129"/>
      <c r="F30" s="129"/>
      <c r="G30" s="131" t="s">
        <v>162</v>
      </c>
      <c r="H30" s="131">
        <f>H8/10</f>
        <v>8</v>
      </c>
      <c r="I30" s="131" t="s">
        <v>14</v>
      </c>
      <c r="J30" s="150" t="s">
        <v>617</v>
      </c>
      <c r="K30" s="128"/>
      <c r="L30" s="128"/>
      <c r="M30" s="131" t="s">
        <v>163</v>
      </c>
      <c r="N30" s="131">
        <v>17848</v>
      </c>
      <c r="O30" s="131" t="s">
        <v>116</v>
      </c>
      <c r="P30" s="128"/>
    </row>
    <row r="31" spans="2:19">
      <c r="B31" s="131" t="s">
        <v>94</v>
      </c>
      <c r="C31" s="146">
        <f>H16</f>
        <v>38.981250000000003</v>
      </c>
      <c r="D31" s="131" t="s">
        <v>118</v>
      </c>
      <c r="E31" s="129"/>
      <c r="F31" s="129"/>
      <c r="G31" s="156"/>
      <c r="H31" s="156"/>
      <c r="I31" s="156"/>
      <c r="J31" s="158">
        <f>J28/(C4*1000)*100</f>
        <v>0.47283789750114275</v>
      </c>
      <c r="K31" s="150" t="s">
        <v>2</v>
      </c>
      <c r="L31" s="128"/>
      <c r="M31" s="131" t="s">
        <v>164</v>
      </c>
      <c r="N31" s="131">
        <v>20942</v>
      </c>
      <c r="O31" s="131" t="s">
        <v>116</v>
      </c>
      <c r="P31" s="128"/>
    </row>
    <row r="32" spans="2:19">
      <c r="B32" s="131" t="s">
        <v>165</v>
      </c>
      <c r="C32" s="131">
        <v>1</v>
      </c>
      <c r="D32" s="131" t="s">
        <v>166</v>
      </c>
      <c r="E32" s="129"/>
      <c r="F32" s="129"/>
      <c r="G32" s="131" t="s">
        <v>167</v>
      </c>
      <c r="H32" s="131">
        <f>C32</f>
        <v>1</v>
      </c>
      <c r="I32" s="131" t="s">
        <v>166</v>
      </c>
      <c r="J32" s="128"/>
      <c r="K32" s="128"/>
      <c r="L32" s="128"/>
      <c r="M32" s="131" t="s">
        <v>168</v>
      </c>
      <c r="N32" s="131">
        <v>15468</v>
      </c>
      <c r="O32" s="131" t="s">
        <v>116</v>
      </c>
      <c r="P32" s="128"/>
    </row>
    <row r="33" spans="2:16">
      <c r="B33" s="131" t="s">
        <v>169</v>
      </c>
      <c r="C33" s="131">
        <f>C31*C32</f>
        <v>38.981250000000003</v>
      </c>
      <c r="D33" s="131" t="s">
        <v>118</v>
      </c>
      <c r="E33" s="129"/>
      <c r="F33" s="129"/>
      <c r="G33" s="131" t="s">
        <v>170</v>
      </c>
      <c r="H33" s="131">
        <f>H24*H32</f>
        <v>997.92</v>
      </c>
      <c r="I33" s="131" t="s">
        <v>153</v>
      </c>
      <c r="J33" s="128"/>
      <c r="K33" s="128"/>
      <c r="L33" s="128"/>
      <c r="M33" s="131" t="s">
        <v>119</v>
      </c>
      <c r="N33" s="131">
        <v>18086</v>
      </c>
      <c r="O33" s="131" t="s">
        <v>116</v>
      </c>
      <c r="P33" s="128"/>
    </row>
    <row r="34" spans="2:16">
      <c r="B34" s="131"/>
      <c r="C34" s="131"/>
      <c r="D34" s="131"/>
      <c r="E34" s="129"/>
      <c r="F34" s="129"/>
      <c r="G34" s="131" t="s">
        <v>171</v>
      </c>
      <c r="H34" s="131">
        <f>H26*H32</f>
        <v>38.981250000000003</v>
      </c>
      <c r="I34" s="131" t="s">
        <v>118</v>
      </c>
      <c r="J34" s="128" t="s">
        <v>115</v>
      </c>
      <c r="K34" s="128"/>
      <c r="L34" s="128"/>
      <c r="M34" s="142" t="s">
        <v>193</v>
      </c>
      <c r="N34" s="142">
        <v>12475</v>
      </c>
      <c r="O34" s="142" t="s">
        <v>116</v>
      </c>
      <c r="P34" s="128"/>
    </row>
    <row r="35" spans="2:16">
      <c r="B35" s="131" t="s">
        <v>173</v>
      </c>
      <c r="C35" s="143">
        <f>ROUNDUP(C7*C10/1000*10000/C29/C33,0)</f>
        <v>42</v>
      </c>
      <c r="D35" s="131" t="s">
        <v>4</v>
      </c>
      <c r="E35" s="129"/>
      <c r="F35" s="129"/>
      <c r="G35" s="131" t="s">
        <v>174</v>
      </c>
      <c r="H35" s="131">
        <f>H25</f>
        <v>45.874000000000002</v>
      </c>
      <c r="I35" s="131" t="s">
        <v>14</v>
      </c>
      <c r="J35" s="128">
        <v>17.3</v>
      </c>
      <c r="K35" s="128" t="s">
        <v>175</v>
      </c>
      <c r="L35" s="128"/>
      <c r="M35" s="142" t="s">
        <v>172</v>
      </c>
      <c r="N35" s="142">
        <v>7900</v>
      </c>
      <c r="O35" s="142" t="s">
        <v>116</v>
      </c>
      <c r="P35" s="128"/>
    </row>
    <row r="36" spans="2:16">
      <c r="B36" s="131" t="s">
        <v>177</v>
      </c>
      <c r="C36" s="131">
        <f>ROUNDUP(0.4*3.1416*C35*C20/10000/C25,2)</f>
        <v>0.62</v>
      </c>
      <c r="D36" s="131" t="s">
        <v>14</v>
      </c>
      <c r="E36" s="129"/>
      <c r="F36" s="147"/>
      <c r="G36" s="131" t="s">
        <v>178</v>
      </c>
      <c r="H36" s="131">
        <f>H17*H32</f>
        <v>10.793208689999998</v>
      </c>
      <c r="I36" s="131" t="s">
        <v>110</v>
      </c>
      <c r="J36" s="159">
        <v>3000</v>
      </c>
      <c r="K36" s="160" t="s">
        <v>116</v>
      </c>
      <c r="L36" s="160"/>
      <c r="M36" s="142" t="s">
        <v>176</v>
      </c>
      <c r="N36" s="142">
        <v>10200</v>
      </c>
      <c r="O36" s="131" t="s">
        <v>116</v>
      </c>
      <c r="P36" s="160"/>
    </row>
    <row r="37" spans="2:16">
      <c r="B37" s="131" t="s">
        <v>180</v>
      </c>
      <c r="C37" s="161">
        <v>4</v>
      </c>
      <c r="D37" s="131"/>
      <c r="E37" s="162" t="s">
        <v>618</v>
      </c>
      <c r="F37" s="147"/>
      <c r="G37" s="128"/>
      <c r="H37" s="128"/>
      <c r="I37" s="129"/>
      <c r="J37" s="159">
        <f>J35*J36/10000</f>
        <v>5.19</v>
      </c>
      <c r="K37" s="160" t="s">
        <v>117</v>
      </c>
      <c r="L37" s="160"/>
      <c r="M37" s="157" t="s">
        <v>619</v>
      </c>
      <c r="N37" s="142">
        <v>6850</v>
      </c>
      <c r="O37" s="142" t="s">
        <v>116</v>
      </c>
      <c r="P37" s="160"/>
    </row>
    <row r="38" spans="2:16">
      <c r="B38" s="131" t="s">
        <v>182</v>
      </c>
      <c r="C38" s="163">
        <f>C36/C37</f>
        <v>0.155</v>
      </c>
      <c r="D38" s="131" t="s">
        <v>14</v>
      </c>
      <c r="E38" s="164">
        <v>1.55</v>
      </c>
      <c r="F38" s="165" t="s">
        <v>6</v>
      </c>
      <c r="G38" s="128"/>
      <c r="H38" s="128"/>
      <c r="I38" s="128"/>
      <c r="J38" s="159" t="s">
        <v>183</v>
      </c>
      <c r="K38" s="160"/>
      <c r="L38" s="160"/>
      <c r="M38" s="144" t="s">
        <v>179</v>
      </c>
      <c r="N38" s="131">
        <v>5200</v>
      </c>
      <c r="O38" s="131" t="s">
        <v>116</v>
      </c>
      <c r="P38" s="160"/>
    </row>
    <row r="39" spans="2:16">
      <c r="B39" s="131" t="s">
        <v>184</v>
      </c>
      <c r="C39" s="131">
        <f>C38/H6*10*100</f>
        <v>6.2</v>
      </c>
      <c r="D39" s="137" t="s">
        <v>2</v>
      </c>
      <c r="E39" s="129"/>
      <c r="F39" s="129"/>
      <c r="G39" s="128"/>
      <c r="H39" s="128"/>
      <c r="I39" s="128"/>
      <c r="J39" s="159">
        <f>J17+J37</f>
        <v>7.5645059117999995</v>
      </c>
      <c r="K39" s="160" t="s">
        <v>117</v>
      </c>
      <c r="L39" s="160"/>
      <c r="M39" s="142" t="s">
        <v>181</v>
      </c>
      <c r="N39" s="142">
        <v>5200</v>
      </c>
      <c r="O39" s="142" t="s">
        <v>116</v>
      </c>
      <c r="P39" s="160"/>
    </row>
    <row r="40" spans="2:16">
      <c r="B40" s="131" t="s">
        <v>185</v>
      </c>
      <c r="C40" s="163">
        <f>0.000000004*PI()*C35^2*C33/C36*1000000</f>
        <v>1393.7103227054577</v>
      </c>
      <c r="D40" s="131" t="s">
        <v>9</v>
      </c>
      <c r="E40" s="129"/>
      <c r="F40" s="129"/>
      <c r="G40" s="128"/>
      <c r="H40" s="128"/>
      <c r="I40" s="128"/>
      <c r="J40" s="166"/>
      <c r="K40" s="160"/>
      <c r="L40" s="160"/>
      <c r="M40" s="157" t="s">
        <v>620</v>
      </c>
      <c r="N40" s="142">
        <v>3780</v>
      </c>
      <c r="O40" s="142" t="s">
        <v>116</v>
      </c>
      <c r="P40" s="160"/>
    </row>
    <row r="41" spans="2:16">
      <c r="B41" s="131" t="s">
        <v>186</v>
      </c>
      <c r="C41" s="131">
        <f>1+C38/C33^0.5*LN(2*H30/C38)</f>
        <v>1.1151153706353885</v>
      </c>
      <c r="D41" s="131"/>
      <c r="E41" s="162" t="s">
        <v>621</v>
      </c>
      <c r="F41" s="129"/>
      <c r="G41" s="128"/>
      <c r="H41" s="128"/>
      <c r="I41" s="128"/>
      <c r="J41" s="166"/>
      <c r="K41" s="160"/>
      <c r="L41" s="160"/>
      <c r="M41" s="167" t="s">
        <v>622</v>
      </c>
      <c r="N41" s="168">
        <v>3000</v>
      </c>
      <c r="O41" s="168" t="s">
        <v>116</v>
      </c>
      <c r="P41" s="160"/>
    </row>
    <row r="42" spans="2:16">
      <c r="B42" s="131" t="s">
        <v>187</v>
      </c>
      <c r="C42" s="169">
        <f>C17*C41*1000</f>
        <v>1523.6813326323424</v>
      </c>
      <c r="D42" s="131" t="s">
        <v>9</v>
      </c>
      <c r="E42" s="162" t="s">
        <v>623</v>
      </c>
      <c r="F42" s="129"/>
      <c r="G42" s="128"/>
      <c r="H42" s="128"/>
      <c r="I42" s="128"/>
      <c r="J42" s="166"/>
      <c r="K42" s="160"/>
      <c r="L42" s="160"/>
      <c r="M42" s="160"/>
      <c r="N42" s="160"/>
      <c r="O42" s="160"/>
      <c r="P42" s="160"/>
    </row>
    <row r="43" spans="2:16">
      <c r="B43" s="131"/>
      <c r="C43" s="131"/>
      <c r="D43" s="131"/>
      <c r="E43" s="129"/>
      <c r="F43" s="129"/>
      <c r="G43" s="128"/>
      <c r="H43" s="128"/>
      <c r="I43" s="128"/>
      <c r="J43" s="166"/>
      <c r="K43" s="160"/>
      <c r="L43" s="160"/>
      <c r="M43" s="160"/>
      <c r="N43" s="160"/>
      <c r="O43" s="160"/>
      <c r="P43" s="160"/>
    </row>
    <row r="44" spans="2:16" hidden="1">
      <c r="B44" s="131" t="s">
        <v>188</v>
      </c>
      <c r="C44" s="131">
        <v>40</v>
      </c>
      <c r="D44" s="131" t="s">
        <v>6</v>
      </c>
      <c r="E44" s="129"/>
      <c r="F44" s="129"/>
      <c r="G44" s="160"/>
      <c r="H44" s="160"/>
      <c r="I44" s="160"/>
      <c r="J44" s="166"/>
      <c r="K44" s="160"/>
      <c r="L44" s="160"/>
      <c r="M44" s="160"/>
      <c r="N44" s="160"/>
      <c r="O44" s="160"/>
      <c r="P44" s="160"/>
    </row>
    <row r="45" spans="2:16" hidden="1">
      <c r="B45" s="131" t="s">
        <v>189</v>
      </c>
      <c r="C45" s="131">
        <v>4</v>
      </c>
      <c r="D45" s="131" t="s">
        <v>624</v>
      </c>
      <c r="E45" s="129"/>
      <c r="F45" s="129"/>
      <c r="G45" s="160"/>
      <c r="H45" s="160"/>
      <c r="I45" s="160"/>
      <c r="J45" s="166"/>
      <c r="K45" s="160"/>
      <c r="L45" s="160"/>
      <c r="M45" s="160"/>
      <c r="N45" s="160"/>
      <c r="O45" s="160"/>
      <c r="P45" s="160"/>
    </row>
    <row r="46" spans="2:16" hidden="1">
      <c r="B46" s="131" t="s">
        <v>130</v>
      </c>
      <c r="C46" s="131">
        <f>C44*C45</f>
        <v>160</v>
      </c>
      <c r="D46" s="131" t="s">
        <v>131</v>
      </c>
      <c r="E46" s="129"/>
      <c r="F46" s="129"/>
      <c r="G46" s="160"/>
      <c r="H46" s="160"/>
      <c r="I46" s="160"/>
      <c r="J46" s="166"/>
      <c r="K46" s="160"/>
      <c r="L46" s="160"/>
      <c r="M46" s="160"/>
      <c r="N46" s="160"/>
      <c r="O46" s="160"/>
      <c r="P46" s="128"/>
    </row>
    <row r="47" spans="2:16" hidden="1">
      <c r="B47" s="131" t="s">
        <v>625</v>
      </c>
      <c r="C47" s="131">
        <v>40</v>
      </c>
      <c r="D47" s="131"/>
      <c r="E47" s="129"/>
      <c r="F47" s="129"/>
      <c r="G47" s="160"/>
      <c r="H47" s="160"/>
      <c r="I47" s="160"/>
      <c r="J47" s="166"/>
      <c r="K47" s="160"/>
      <c r="L47" s="160"/>
      <c r="M47" s="160"/>
      <c r="N47" s="160"/>
      <c r="O47" s="160"/>
      <c r="P47" s="128"/>
    </row>
    <row r="48" spans="2:16" hidden="1">
      <c r="B48" s="131" t="s">
        <v>190</v>
      </c>
      <c r="C48" s="131">
        <v>0.1</v>
      </c>
      <c r="D48" s="131" t="s">
        <v>6</v>
      </c>
      <c r="E48" s="129"/>
      <c r="F48" s="129"/>
      <c r="G48" s="160"/>
      <c r="H48" s="160"/>
      <c r="I48" s="160"/>
      <c r="J48" s="166"/>
      <c r="K48" s="160"/>
      <c r="L48" s="160"/>
      <c r="M48" s="160"/>
      <c r="N48" s="160"/>
      <c r="O48" s="160"/>
      <c r="P48" s="128"/>
    </row>
    <row r="49" spans="2:16" hidden="1">
      <c r="B49" s="131" t="s">
        <v>626</v>
      </c>
      <c r="C49" s="131">
        <f>C35*(C45*C47+C48)</f>
        <v>6724.2</v>
      </c>
      <c r="D49" s="131" t="s">
        <v>624</v>
      </c>
      <c r="E49" s="129"/>
      <c r="F49" s="129"/>
      <c r="G49" s="128"/>
      <c r="H49" s="128"/>
      <c r="I49" s="128"/>
      <c r="J49" s="166"/>
      <c r="K49" s="160"/>
      <c r="L49" s="160"/>
      <c r="M49" s="160"/>
      <c r="N49" s="160"/>
      <c r="O49" s="160"/>
      <c r="P49" s="128"/>
    </row>
    <row r="50" spans="2:16" hidden="1">
      <c r="B50" s="131" t="s">
        <v>191</v>
      </c>
      <c r="C50" s="131">
        <f>C44*C45*C47*C35/100</f>
        <v>2688</v>
      </c>
      <c r="D50" s="131" t="s">
        <v>118</v>
      </c>
      <c r="E50" s="129"/>
      <c r="F50" s="129"/>
      <c r="G50" s="128"/>
      <c r="H50" s="128"/>
      <c r="I50" s="128"/>
      <c r="J50" s="166"/>
      <c r="K50" s="160"/>
      <c r="L50" s="160"/>
      <c r="M50" s="160"/>
      <c r="N50" s="160"/>
      <c r="O50" s="160"/>
      <c r="P50" s="128"/>
    </row>
    <row r="51" spans="2:16" hidden="1">
      <c r="B51" s="131" t="s">
        <v>192</v>
      </c>
      <c r="C51" s="131">
        <f>C50/H27*100</f>
        <v>10500</v>
      </c>
      <c r="D51" s="131"/>
      <c r="E51" s="129"/>
      <c r="F51" s="129"/>
      <c r="G51" s="128"/>
      <c r="H51" s="128"/>
      <c r="I51" s="128"/>
      <c r="J51" s="166"/>
      <c r="K51" s="160"/>
      <c r="L51" s="160"/>
      <c r="M51" s="160"/>
      <c r="N51" s="160"/>
      <c r="O51" s="160"/>
      <c r="P51" s="128"/>
    </row>
  </sheetData>
  <mergeCells count="3">
    <mergeCell ref="B2:C2"/>
    <mergeCell ref="G5:I5"/>
    <mergeCell ref="Q5:S5"/>
  </mergeCells>
  <phoneticPr fontId="8" type="noConversion"/>
  <pageMargins left="0.7" right="0.7" top="0.75" bottom="0.75" header="0.3" footer="0.3"/>
  <pageSetup paperSize="9" orientation="portrait" horizontalDpi="4294967293" verticalDpi="4294967293" r:id="rId1"/>
  <drawing r:id="rId2"/>
  <legacyDrawing r:id="rId3"/>
  <oleObjects>
    <mc:AlternateContent xmlns:mc="http://schemas.openxmlformats.org/markup-compatibility/2006">
      <mc:Choice Requires="x14">
        <oleObject progId="StaticMetafile" shapeId="3196929" r:id="rId4">
          <objectPr defaultSize="0" autoPict="0" r:id="rId5">
            <anchor moveWithCells="1">
              <from>
                <xdr:col>9</xdr:col>
                <xdr:colOff>22860</xdr:colOff>
                <xdr:row>4</xdr:row>
                <xdr:rowOff>22860</xdr:rowOff>
              </from>
              <to>
                <xdr:col>11</xdr:col>
                <xdr:colOff>769620</xdr:colOff>
                <xdr:row>12</xdr:row>
                <xdr:rowOff>83820</xdr:rowOff>
              </to>
            </anchor>
          </objectPr>
        </oleObject>
      </mc:Choice>
      <mc:Fallback>
        <oleObject progId="StaticMetafile" shapeId="3196929" r:id="rId4"/>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6"/>
  <sheetViews>
    <sheetView topLeftCell="B1" zoomScale="87" zoomScaleNormal="87" workbookViewId="0">
      <selection activeCell="I34" sqref="I34"/>
    </sheetView>
  </sheetViews>
  <sheetFormatPr defaultRowHeight="14.4" customHeight="1"/>
  <cols>
    <col min="4" max="4" width="21.19921875" bestFit="1" customWidth="1"/>
    <col min="6" max="6" width="10.69921875" bestFit="1" customWidth="1"/>
    <col min="7" max="9" width="10.69921875" customWidth="1"/>
    <col min="12" max="12" width="17.8984375" bestFit="1" customWidth="1"/>
  </cols>
  <sheetData>
    <row r="1" spans="2:15" ht="14.4" customHeight="1">
      <c r="B1" s="68"/>
      <c r="C1" s="68"/>
    </row>
    <row r="2" spans="2:15" ht="52.2" customHeight="1">
      <c r="B2" s="69"/>
      <c r="C2" s="68"/>
      <c r="E2" t="s">
        <v>257</v>
      </c>
      <c r="F2" t="s">
        <v>258</v>
      </c>
      <c r="G2" t="s">
        <v>259</v>
      </c>
      <c r="H2" t="s">
        <v>258</v>
      </c>
    </row>
    <row r="3" spans="2:15" ht="14.4" customHeight="1">
      <c r="B3" s="68"/>
      <c r="C3" s="68"/>
      <c r="D3" s="70" t="s">
        <v>197</v>
      </c>
      <c r="E3" s="71">
        <v>238</v>
      </c>
      <c r="F3" s="71">
        <v>238</v>
      </c>
      <c r="G3" s="71">
        <v>238</v>
      </c>
      <c r="H3" s="71">
        <v>238</v>
      </c>
      <c r="I3" s="71">
        <v>238</v>
      </c>
      <c r="J3" s="32" t="s">
        <v>15</v>
      </c>
      <c r="L3" s="70" t="s">
        <v>197</v>
      </c>
      <c r="M3" s="71">
        <v>1500</v>
      </c>
      <c r="N3" s="71">
        <v>1500</v>
      </c>
      <c r="O3" s="32" t="s">
        <v>15</v>
      </c>
    </row>
    <row r="4" spans="2:15" ht="14.4" customHeight="1">
      <c r="B4" s="68"/>
      <c r="C4" s="68"/>
      <c r="D4" s="70" t="s">
        <v>198</v>
      </c>
      <c r="E4" s="71">
        <v>433</v>
      </c>
      <c r="F4" s="71">
        <v>433</v>
      </c>
      <c r="G4" s="71">
        <v>433</v>
      </c>
      <c r="H4" s="71">
        <v>433</v>
      </c>
      <c r="I4" s="71">
        <v>433</v>
      </c>
      <c r="J4" s="32" t="s">
        <v>0</v>
      </c>
      <c r="L4" s="70" t="s">
        <v>198</v>
      </c>
      <c r="M4" s="71">
        <v>440</v>
      </c>
      <c r="N4" s="71">
        <v>440</v>
      </c>
      <c r="O4" s="32" t="s">
        <v>0</v>
      </c>
    </row>
    <row r="5" spans="2:15" ht="14.4" customHeight="1">
      <c r="B5" s="68"/>
      <c r="C5" s="68"/>
      <c r="D5" s="70" t="s">
        <v>199</v>
      </c>
      <c r="E5" s="72">
        <v>0.9</v>
      </c>
      <c r="F5" s="72">
        <v>0.9</v>
      </c>
      <c r="G5" s="72">
        <v>0.9</v>
      </c>
      <c r="H5" s="72">
        <v>0.9</v>
      </c>
      <c r="I5" s="72">
        <v>0.9</v>
      </c>
      <c r="J5" s="32"/>
      <c r="L5" s="70" t="s">
        <v>199</v>
      </c>
      <c r="M5" s="72">
        <v>0.9</v>
      </c>
      <c r="N5" s="72">
        <v>0.9</v>
      </c>
      <c r="O5" s="32"/>
    </row>
    <row r="6" spans="2:15" ht="14.4" customHeight="1">
      <c r="B6" s="68"/>
      <c r="C6" s="68"/>
      <c r="D6" s="70" t="s">
        <v>200</v>
      </c>
      <c r="E6" s="73">
        <f>ROUND(E3*1000/(E4*0.9)/(3^0.5)/E5,1)</f>
        <v>391.8</v>
      </c>
      <c r="F6" s="73">
        <f>ROUND(F3*1000/(F4*0.9)/(3^0.5)/F5,1)</f>
        <v>391.8</v>
      </c>
      <c r="G6" s="73">
        <f>ROUND(G3*1000/(G4*0.9)/(3^0.5)/G5,1)</f>
        <v>391.8</v>
      </c>
      <c r="H6" s="73">
        <f>ROUND(H3*1000/(H4*0.9)/(3^0.5)/H5,1)</f>
        <v>391.8</v>
      </c>
      <c r="I6" s="73">
        <f>ROUND(I3*1000/(I4*0.9)/(3^0.5)/I5,1)</f>
        <v>391.8</v>
      </c>
      <c r="J6" s="32" t="s">
        <v>38</v>
      </c>
      <c r="L6" s="70" t="s">
        <v>200</v>
      </c>
      <c r="M6" s="73">
        <f>ROUND(M3*1000/(M4*0.9)/(3^0.5)/M5,1)</f>
        <v>2429.9</v>
      </c>
      <c r="N6" s="73">
        <f>ROUND(N3*1000/(N4*0.9)/(3^0.5)/N5,1)</f>
        <v>2429.9</v>
      </c>
      <c r="O6" s="32" t="s">
        <v>38</v>
      </c>
    </row>
    <row r="7" spans="2:15" ht="14.4" customHeight="1">
      <c r="B7" s="68"/>
      <c r="C7" s="68"/>
      <c r="D7" s="70" t="s">
        <v>201</v>
      </c>
      <c r="E7" s="74">
        <v>2</v>
      </c>
      <c r="F7" s="74">
        <v>2</v>
      </c>
      <c r="G7" s="74">
        <v>2</v>
      </c>
      <c r="H7" s="74">
        <v>2</v>
      </c>
      <c r="I7" s="74">
        <v>2</v>
      </c>
      <c r="J7" s="32" t="s">
        <v>226</v>
      </c>
      <c r="L7" s="70" t="s">
        <v>201</v>
      </c>
      <c r="M7" s="74">
        <v>2</v>
      </c>
      <c r="N7" s="74">
        <v>2</v>
      </c>
      <c r="O7" s="32" t="s">
        <v>226</v>
      </c>
    </row>
    <row r="8" spans="2:15" ht="14.4" customHeight="1">
      <c r="B8" s="68"/>
      <c r="C8" s="68"/>
      <c r="D8" s="70" t="s">
        <v>202</v>
      </c>
      <c r="E8" s="74">
        <f>ROUND(E6/E7,0)</f>
        <v>196</v>
      </c>
      <c r="F8" s="74">
        <f>ROUND(F6/F7,0)</f>
        <v>196</v>
      </c>
      <c r="G8" s="74">
        <f>ROUND(G6/G7,0)</f>
        <v>196</v>
      </c>
      <c r="H8" s="74">
        <f>ROUND(H6/H7,0)</f>
        <v>196</v>
      </c>
      <c r="I8" s="74">
        <f>ROUND(I6/I7,0)</f>
        <v>196</v>
      </c>
      <c r="J8" s="32" t="s">
        <v>227</v>
      </c>
      <c r="L8" s="70" t="s">
        <v>202</v>
      </c>
      <c r="M8" s="74">
        <f>ROUND(M6/M7,0)</f>
        <v>1215</v>
      </c>
      <c r="N8" s="74">
        <f>ROUND(N6/N7,0)</f>
        <v>1215</v>
      </c>
      <c r="O8" s="32" t="s">
        <v>227</v>
      </c>
    </row>
    <row r="9" spans="2:15" ht="14.4" customHeight="1">
      <c r="B9" s="68"/>
      <c r="C9" s="68"/>
      <c r="D9" s="70"/>
      <c r="E9" s="75"/>
      <c r="F9" s="75"/>
      <c r="G9" s="75"/>
      <c r="H9" s="75"/>
      <c r="I9" s="75"/>
      <c r="J9" s="32"/>
      <c r="L9" s="70"/>
      <c r="M9" s="75"/>
      <c r="N9" s="75"/>
      <c r="O9" s="32"/>
    </row>
    <row r="10" spans="2:15" ht="14.4" customHeight="1">
      <c r="B10" s="68"/>
      <c r="C10" s="68"/>
      <c r="D10" s="70" t="s">
        <v>203</v>
      </c>
      <c r="E10" s="73">
        <f>ROUND(E4*2^0.5*0.93,1)</f>
        <v>569.5</v>
      </c>
      <c r="F10" s="73">
        <f>ROUND(F4*2^0.5*0.93,1)</f>
        <v>569.5</v>
      </c>
      <c r="G10" s="73">
        <f>ROUND(G4*2^0.5*0.93,1)</f>
        <v>569.5</v>
      </c>
      <c r="H10" s="73">
        <f>ROUND(H4*2^0.5*0.93,1)</f>
        <v>569.5</v>
      </c>
      <c r="I10" s="73">
        <f>ROUND(I4*2^0.5*0.93,1)</f>
        <v>569.5</v>
      </c>
      <c r="J10" s="32" t="s">
        <v>0</v>
      </c>
      <c r="L10" s="70" t="s">
        <v>203</v>
      </c>
      <c r="M10" s="73">
        <f>ROUND(M4*2^0.5*0.93,1)</f>
        <v>578.70000000000005</v>
      </c>
      <c r="N10" s="73">
        <f>ROUND(N4*2^0.5*0.93,1)</f>
        <v>578.70000000000005</v>
      </c>
      <c r="O10" s="32" t="s">
        <v>0</v>
      </c>
    </row>
    <row r="11" spans="2:15" ht="14.4" customHeight="1">
      <c r="B11" s="68"/>
      <c r="C11" s="68"/>
      <c r="D11" s="70" t="s">
        <v>204</v>
      </c>
      <c r="E11" s="73">
        <f>ROUND(E3*1000/E10,1)</f>
        <v>417.9</v>
      </c>
      <c r="F11" s="73">
        <f>ROUND(F3*1000/F10,1)</f>
        <v>417.9</v>
      </c>
      <c r="G11" s="73">
        <f>ROUND(G3*1000/G10,1)</f>
        <v>417.9</v>
      </c>
      <c r="H11" s="73">
        <f>ROUND(H3*1000/H10,1)</f>
        <v>417.9</v>
      </c>
      <c r="I11" s="73">
        <f>ROUND(I3*1000/I10,1)</f>
        <v>417.9</v>
      </c>
      <c r="J11" s="32" t="s">
        <v>38</v>
      </c>
      <c r="L11" s="70" t="s">
        <v>204</v>
      </c>
      <c r="M11" s="73">
        <f>ROUND(M3*1000/M10,1)</f>
        <v>2592</v>
      </c>
      <c r="N11" s="73">
        <f>ROUND(N3*1000/N10,1)</f>
        <v>2592</v>
      </c>
      <c r="O11" s="32" t="s">
        <v>38</v>
      </c>
    </row>
    <row r="12" spans="2:15" ht="14.4" customHeight="1">
      <c r="B12" s="68"/>
      <c r="C12" s="68"/>
      <c r="D12" s="70"/>
      <c r="E12" s="75"/>
      <c r="F12" s="75"/>
      <c r="G12" s="75"/>
      <c r="H12" s="75"/>
      <c r="I12" s="75"/>
      <c r="J12" s="32"/>
      <c r="L12" s="70"/>
      <c r="M12" s="75"/>
      <c r="N12" s="75"/>
      <c r="O12" s="32"/>
    </row>
    <row r="13" spans="2:15" ht="14.4" customHeight="1">
      <c r="B13" s="68"/>
      <c r="C13" s="68"/>
      <c r="D13" s="76" t="s">
        <v>205</v>
      </c>
      <c r="E13" s="75"/>
      <c r="F13" s="75"/>
      <c r="G13" s="75"/>
      <c r="H13" s="75"/>
      <c r="I13" s="75"/>
      <c r="J13" s="32"/>
      <c r="L13" s="76" t="s">
        <v>205</v>
      </c>
      <c r="M13" s="75"/>
      <c r="N13" s="75"/>
      <c r="O13" s="32"/>
    </row>
    <row r="14" spans="2:15" ht="14.4" customHeight="1">
      <c r="B14" s="68"/>
      <c r="C14" s="68"/>
      <c r="D14" s="83" t="s">
        <v>232</v>
      </c>
      <c r="E14" s="77">
        <v>16.8</v>
      </c>
      <c r="F14" s="77">
        <v>16.8</v>
      </c>
      <c r="G14" s="77">
        <v>16.8</v>
      </c>
      <c r="H14" s="77">
        <v>16.8</v>
      </c>
      <c r="I14" s="77">
        <v>16.8</v>
      </c>
      <c r="J14" s="32" t="s">
        <v>9</v>
      </c>
      <c r="L14" s="83" t="s">
        <v>232</v>
      </c>
      <c r="M14" s="77">
        <v>0.29047000000000001</v>
      </c>
      <c r="N14" s="77">
        <v>0.29047000000000001</v>
      </c>
      <c r="O14" s="32" t="s">
        <v>9</v>
      </c>
    </row>
    <row r="15" spans="2:15" ht="14.4" customHeight="1">
      <c r="B15" s="68"/>
      <c r="C15" s="68"/>
      <c r="D15" s="83" t="s">
        <v>233</v>
      </c>
      <c r="E15" s="77">
        <v>27.1</v>
      </c>
      <c r="F15" s="77">
        <v>27.1</v>
      </c>
      <c r="G15" s="77">
        <v>27.1</v>
      </c>
      <c r="H15" s="77">
        <v>27.1</v>
      </c>
      <c r="I15" s="77">
        <v>27.1</v>
      </c>
      <c r="J15" s="32" t="s">
        <v>9</v>
      </c>
      <c r="L15" s="83" t="s">
        <v>233</v>
      </c>
      <c r="M15" s="77">
        <v>0.6</v>
      </c>
      <c r="N15" s="77">
        <v>1.45</v>
      </c>
      <c r="O15" s="32" t="s">
        <v>9</v>
      </c>
    </row>
    <row r="16" spans="2:15" ht="14.4" customHeight="1">
      <c r="B16" s="68"/>
      <c r="C16" s="68"/>
      <c r="D16" s="70" t="s">
        <v>231</v>
      </c>
      <c r="E16" s="87">
        <f>(E14*E15)/(E14+E15)</f>
        <v>10.370842824601366</v>
      </c>
      <c r="F16" s="87">
        <f>(F14*F15)/(F14+F15)</f>
        <v>10.370842824601366</v>
      </c>
      <c r="G16" s="87">
        <f>(G14*G15)/(G14+G15)</f>
        <v>10.370842824601366</v>
      </c>
      <c r="H16" s="87">
        <f>(H14*H15)/(H14+H15)</f>
        <v>10.370842824601366</v>
      </c>
      <c r="I16" s="87">
        <f>(I14*I15)/(I14+I15)</f>
        <v>10.370842824601366</v>
      </c>
      <c r="J16" s="32" t="s">
        <v>9</v>
      </c>
      <c r="L16" s="70" t="s">
        <v>231</v>
      </c>
      <c r="M16" s="87">
        <f>(M14*M15)/(M14+M15)</f>
        <v>0.19571911462486102</v>
      </c>
      <c r="N16" s="87">
        <f>(N14*N15)/(N14+N15)</f>
        <v>0.24199296741684717</v>
      </c>
      <c r="O16" s="32" t="s">
        <v>9</v>
      </c>
    </row>
    <row r="17" spans="2:15" ht="14.4" customHeight="1">
      <c r="B17" s="68"/>
      <c r="C17" s="68"/>
      <c r="D17" s="70" t="s">
        <v>206</v>
      </c>
      <c r="E17" s="77">
        <v>74</v>
      </c>
      <c r="F17" s="77">
        <v>74</v>
      </c>
      <c r="G17" s="77">
        <v>74</v>
      </c>
      <c r="H17" s="77">
        <v>74</v>
      </c>
      <c r="I17" s="77">
        <v>74</v>
      </c>
      <c r="J17" s="32" t="s">
        <v>16</v>
      </c>
      <c r="L17" s="70" t="s">
        <v>206</v>
      </c>
      <c r="M17" s="77">
        <v>16.440000000000001</v>
      </c>
      <c r="N17" s="77">
        <v>16.440000000000001</v>
      </c>
      <c r="O17" s="32" t="s">
        <v>16</v>
      </c>
    </row>
    <row r="18" spans="2:15" ht="14.4" customHeight="1">
      <c r="B18" s="68"/>
      <c r="C18" s="68"/>
      <c r="D18" s="70" t="s">
        <v>207</v>
      </c>
      <c r="E18" s="88">
        <f>1000/(2*PI()*(E16*E17)^0.5)</f>
        <v>5.7450954112423753</v>
      </c>
      <c r="F18" s="88">
        <f>1000/(2*PI()*(F16*F17)^0.5)</f>
        <v>5.7450954112423753</v>
      </c>
      <c r="G18" s="88">
        <f>1000/(2*PI()*(G16*G17)^0.5)</f>
        <v>5.7450954112423753</v>
      </c>
      <c r="H18" s="88">
        <f>1000/(2*PI()*(H16*H17)^0.5)</f>
        <v>5.7450954112423753</v>
      </c>
      <c r="I18" s="88">
        <f>1000/(2*PI()*(I16*I17)^0.5)</f>
        <v>5.7450954112423753</v>
      </c>
      <c r="J18" s="32" t="s">
        <v>60</v>
      </c>
      <c r="L18" s="70" t="s">
        <v>207</v>
      </c>
      <c r="M18" s="73">
        <f>1000/(2*PI()*(M16*M17)^0.5)</f>
        <v>88.726347508144102</v>
      </c>
      <c r="N18" s="73">
        <f>1000/(2*PI()*(N16*N17)^0.5)</f>
        <v>79.793562000288475</v>
      </c>
      <c r="O18" s="32" t="s">
        <v>60</v>
      </c>
    </row>
    <row r="19" spans="2:15" ht="14.4" customHeight="1">
      <c r="B19" s="68"/>
      <c r="C19" s="68"/>
      <c r="D19" s="70" t="s">
        <v>254</v>
      </c>
      <c r="E19" s="74">
        <v>0</v>
      </c>
      <c r="F19" s="74">
        <v>0</v>
      </c>
      <c r="G19" s="74">
        <v>0</v>
      </c>
      <c r="H19" s="74">
        <v>0</v>
      </c>
      <c r="I19" s="74">
        <v>0</v>
      </c>
      <c r="J19" s="32" t="s">
        <v>228</v>
      </c>
      <c r="L19" s="70" t="s">
        <v>208</v>
      </c>
      <c r="M19" s="71">
        <v>0</v>
      </c>
      <c r="N19" s="71">
        <v>30</v>
      </c>
      <c r="O19" s="32" t="s">
        <v>228</v>
      </c>
    </row>
    <row r="20" spans="2:15" ht="14.4" customHeight="1">
      <c r="B20" s="68"/>
      <c r="C20" s="68"/>
      <c r="D20" s="70" t="s">
        <v>253</v>
      </c>
      <c r="E20" s="74">
        <f>ROUNDUP(TAN(PI()*E19/180),3)</f>
        <v>0</v>
      </c>
      <c r="F20" s="74">
        <f>ROUNDUP(TAN(PI()*F19/180),3)</f>
        <v>0</v>
      </c>
      <c r="G20" s="74">
        <f>ROUNDUP(TAN(PI()*G19/180),3)</f>
        <v>0</v>
      </c>
      <c r="H20" s="74">
        <f>ROUNDUP(TAN(PI()*H19/180),3)</f>
        <v>0</v>
      </c>
      <c r="I20" s="74">
        <f>ROUNDUP(TAN(PI()*I19/180),3)</f>
        <v>0</v>
      </c>
      <c r="J20" s="32"/>
      <c r="L20" s="70" t="s">
        <v>209</v>
      </c>
      <c r="M20" s="74">
        <v>0</v>
      </c>
      <c r="N20" s="74">
        <v>0</v>
      </c>
      <c r="O20" s="32"/>
    </row>
    <row r="21" spans="2:15" ht="14.4" customHeight="1">
      <c r="B21" s="68"/>
      <c r="C21" s="68"/>
      <c r="D21" s="70" t="s">
        <v>210</v>
      </c>
      <c r="E21" s="86">
        <v>2.6</v>
      </c>
      <c r="F21" s="86">
        <v>2.6</v>
      </c>
      <c r="G21" s="86">
        <v>2.6</v>
      </c>
      <c r="H21" s="86">
        <v>2.6</v>
      </c>
      <c r="I21" s="86">
        <v>2.6</v>
      </c>
      <c r="J21" s="32"/>
      <c r="L21" s="70" t="s">
        <v>210</v>
      </c>
      <c r="M21" s="86">
        <v>23.6</v>
      </c>
      <c r="N21" s="86">
        <v>23.6</v>
      </c>
      <c r="O21" s="32"/>
    </row>
    <row r="22" spans="2:15" ht="14.4" customHeight="1">
      <c r="B22" s="68"/>
      <c r="C22" s="68"/>
      <c r="D22" s="70" t="s">
        <v>211</v>
      </c>
      <c r="E22" s="78">
        <f>E18*((E20/E21)+(((E20/E21)^2+4)^0.5))/2</f>
        <v>5.7450954112423753</v>
      </c>
      <c r="F22" s="78">
        <f>F18*((F20/F21)+(((F20/F21)^2+4)^0.5))/2</f>
        <v>5.7450954112423753</v>
      </c>
      <c r="G22" s="78">
        <f>G18*((G20/G21)+(((G20/G21)^2+4)^0.5))/2</f>
        <v>5.7450954112423753</v>
      </c>
      <c r="H22" s="78">
        <f>H18*((H20/H21)+(((H20/H21)^2+4)^0.5))/2</f>
        <v>5.7450954112423753</v>
      </c>
      <c r="I22" s="78">
        <f>I18*((I20/I21)+(((I20/I21)^2+4)^0.5))/2</f>
        <v>5.7450954112423753</v>
      </c>
      <c r="J22" s="32" t="s">
        <v>60</v>
      </c>
      <c r="L22" s="70" t="s">
        <v>211</v>
      </c>
      <c r="M22" s="78">
        <f>M18*((M20/M21)+(((M20/M21)^2+4)^0.5))/2</f>
        <v>88.726347508144102</v>
      </c>
      <c r="N22" s="78">
        <f>N18*((N20/N21)+(((N20/N21)^2+4)^0.5))/2</f>
        <v>79.793562000288475</v>
      </c>
      <c r="O22" s="32" t="s">
        <v>60</v>
      </c>
    </row>
    <row r="23" spans="2:15" ht="14.4" customHeight="1">
      <c r="B23" s="68"/>
      <c r="C23" s="68"/>
      <c r="D23" s="70" t="s">
        <v>236</v>
      </c>
      <c r="E23" s="72">
        <f>2*PI()*E22</f>
        <v>36.097499076262956</v>
      </c>
      <c r="F23" s="72">
        <f>2*PI()*F22</f>
        <v>36.097499076262956</v>
      </c>
      <c r="G23" s="72">
        <f>2*PI()*G22</f>
        <v>36.097499076262956</v>
      </c>
      <c r="H23" s="72">
        <f>2*PI()*H22</f>
        <v>36.097499076262956</v>
      </c>
      <c r="I23" s="72">
        <f>2*PI()*I22</f>
        <v>36.097499076262956</v>
      </c>
      <c r="J23" s="32" t="s">
        <v>60</v>
      </c>
      <c r="L23" s="70" t="s">
        <v>236</v>
      </c>
      <c r="M23" s="72">
        <f>2*PI()*M22</f>
        <v>557.48408302288112</v>
      </c>
      <c r="N23" s="72">
        <f>2*PI()*N22</f>
        <v>501.35773636773592</v>
      </c>
      <c r="O23" s="32" t="s">
        <v>60</v>
      </c>
    </row>
    <row r="24" spans="2:15" ht="14.4" customHeight="1">
      <c r="B24" s="68"/>
      <c r="C24" s="68"/>
      <c r="D24" s="70" t="s">
        <v>212</v>
      </c>
      <c r="E24" s="74">
        <f>2*PI()*E18*E14</f>
        <v>606.43798448121765</v>
      </c>
      <c r="F24" s="74">
        <f>2*PI()*F18*F14</f>
        <v>606.43798448121765</v>
      </c>
      <c r="G24" s="74">
        <f>2*PI()*G18*G14</f>
        <v>606.43798448121765</v>
      </c>
      <c r="H24" s="74">
        <f>2*PI()*H18*H14</f>
        <v>606.43798448121765</v>
      </c>
      <c r="I24" s="74">
        <f>2*PI()*I18*I14</f>
        <v>606.43798448121765</v>
      </c>
      <c r="J24" s="32" t="s">
        <v>229</v>
      </c>
      <c r="L24" s="70" t="s">
        <v>212</v>
      </c>
      <c r="M24" s="74">
        <f>2*PI()*M18*M14</f>
        <v>161.93240159565627</v>
      </c>
      <c r="N24" s="74">
        <f>2*PI()*N18*N14</f>
        <v>145.62938168273627</v>
      </c>
      <c r="O24" s="32" t="s">
        <v>229</v>
      </c>
    </row>
    <row r="25" spans="2:15" ht="14.4" customHeight="1">
      <c r="B25" s="68"/>
      <c r="C25" s="68"/>
      <c r="D25" s="70" t="s">
        <v>213</v>
      </c>
      <c r="E25" s="74">
        <f>2*PI()*E22*E14</f>
        <v>606.43798448121765</v>
      </c>
      <c r="F25" s="74">
        <f>2*PI()*F22*F14</f>
        <v>606.43798448121765</v>
      </c>
      <c r="G25" s="74">
        <f>2*PI()*G22*G14</f>
        <v>606.43798448121765</v>
      </c>
      <c r="H25" s="74">
        <f>2*PI()*H22*H14</f>
        <v>606.43798448121765</v>
      </c>
      <c r="I25" s="74">
        <f>2*PI()*I22*I14</f>
        <v>606.43798448121765</v>
      </c>
      <c r="J25" s="32" t="s">
        <v>229</v>
      </c>
      <c r="L25" s="70" t="s">
        <v>213</v>
      </c>
      <c r="M25" s="74">
        <f>2*PI()*M22*M14</f>
        <v>161.93240159565627</v>
      </c>
      <c r="N25" s="74">
        <f>2*PI()*N22*N14</f>
        <v>145.62938168273627</v>
      </c>
      <c r="O25" s="32" t="s">
        <v>229</v>
      </c>
    </row>
    <row r="26" spans="2:15" ht="14.4" customHeight="1">
      <c r="B26" s="68"/>
      <c r="C26" s="68"/>
      <c r="D26" s="70" t="s">
        <v>214</v>
      </c>
      <c r="E26" s="72">
        <f>E25/E21</f>
        <v>233.24537864662216</v>
      </c>
      <c r="F26" s="74">
        <f>F25/F21</f>
        <v>233.24537864662216</v>
      </c>
      <c r="G26" s="72">
        <f>G25/G21</f>
        <v>233.24537864662216</v>
      </c>
      <c r="H26" s="74">
        <f>H25/H21</f>
        <v>233.24537864662216</v>
      </c>
      <c r="I26" s="74">
        <f>I25/I21</f>
        <v>233.24537864662216</v>
      </c>
      <c r="J26" s="32" t="s">
        <v>229</v>
      </c>
      <c r="L26" s="70" t="s">
        <v>214</v>
      </c>
      <c r="M26" s="74">
        <f>M25/M21</f>
        <v>6.8615424404939098</v>
      </c>
      <c r="N26" s="74">
        <f>N25/N21</f>
        <v>6.1707365119803494</v>
      </c>
      <c r="O26" s="32" t="s">
        <v>229</v>
      </c>
    </row>
    <row r="27" spans="2:15" ht="14.4" customHeight="1">
      <c r="B27" s="68"/>
      <c r="C27" s="68"/>
      <c r="D27" s="70" t="s">
        <v>234</v>
      </c>
      <c r="E27" s="85">
        <f>((E26/1000)/((1-(E23*1000)^2*(E14/1000000)*(E17/1000000))^2+((E23*1000)*(E26/1000)*(E17/1000000))^2))*1000</f>
        <v>301.93655732570443</v>
      </c>
      <c r="F27" s="85">
        <f>((F26/1000)/((1-(F23*1000)^2*(F14/1000000)*(F17/1000000))^2+((F23*1000)*(F26/1000)*(F17/1000000))^2))*1000</f>
        <v>301.93655732570443</v>
      </c>
      <c r="G27" s="85">
        <f>((G26/1000)/((1-(G23*1000)^2*(G14/1000000)*(G17/1000000))^2+((G23*1000)*(G26/1000)*(G17/1000000))^2))*1000</f>
        <v>301.93655732570443</v>
      </c>
      <c r="H27" s="85">
        <f>((H26/1000)/((1-(H23*1000)^2*(H14/1000000)*(H17/1000000))^2+((H23*1000)*(H26/1000)*(H17/1000000))^2))*1000</f>
        <v>301.93655732570443</v>
      </c>
      <c r="I27" s="85">
        <f>(I26/1000)/((1-((I23*1000)^2*(I14/1000000)*(I17/1000000)))^2+((I23*1000)*(I26/1000)*(I17/1000000))^2)*1000</f>
        <v>301.93655732570443</v>
      </c>
      <c r="J27" s="32" t="s">
        <v>229</v>
      </c>
      <c r="L27" s="70" t="s">
        <v>234</v>
      </c>
      <c r="M27" s="85">
        <f>((M26/1000)/((1-(M23*1000)^2*(M14/1000000)*(M17/1000000))^2+((M23*1000)*(M26/1000)*(M17/1000000))^2))*1000</f>
        <v>28.790860297049953</v>
      </c>
      <c r="N27" s="85">
        <f>((N26/1000)/((1-(N23*1000)^2*(N14/1000000)*(N17/1000000))^2+((N23*1000)*(N26/1000)*(N17/1000000))^2))*1000</f>
        <v>144.45750507429483</v>
      </c>
      <c r="O27" s="32" t="s">
        <v>229</v>
      </c>
    </row>
    <row r="28" spans="2:15" ht="14.4" customHeight="1">
      <c r="B28" s="68"/>
      <c r="C28" s="68"/>
      <c r="D28" s="70" t="s">
        <v>250</v>
      </c>
      <c r="E28" s="85">
        <f>E26*(E15/E14)^2</f>
        <v>606.92225953750642</v>
      </c>
      <c r="F28" s="85">
        <f>F26*(F15/F14)^2</f>
        <v>606.92225953750642</v>
      </c>
      <c r="G28" s="85">
        <f>G26*(G15/G14)^2</f>
        <v>606.92225953750642</v>
      </c>
      <c r="H28" s="85">
        <f>H26*(H15/H14)^2</f>
        <v>606.92225953750642</v>
      </c>
      <c r="I28" s="85">
        <f>I26*(I15/I14)^2</f>
        <v>606.92225953750642</v>
      </c>
      <c r="J28" s="32" t="s">
        <v>229</v>
      </c>
      <c r="L28" s="70"/>
      <c r="M28" s="85"/>
      <c r="N28" s="85"/>
      <c r="O28" s="32"/>
    </row>
    <row r="29" spans="2:15" ht="14.4" customHeight="1">
      <c r="B29" s="68"/>
      <c r="C29" s="68"/>
      <c r="D29" s="70" t="s">
        <v>252</v>
      </c>
      <c r="E29" s="74">
        <f>E23*E15</f>
        <v>978.24222496672621</v>
      </c>
      <c r="F29" s="74">
        <f>F23*F15</f>
        <v>978.24222496672621</v>
      </c>
      <c r="G29" s="74">
        <f>G23*G15</f>
        <v>978.24222496672621</v>
      </c>
      <c r="H29" s="74">
        <f>H23*H15</f>
        <v>978.24222496672621</v>
      </c>
      <c r="I29" s="74">
        <f>I23*I15</f>
        <v>978.24222496672621</v>
      </c>
      <c r="J29" s="32" t="s">
        <v>229</v>
      </c>
      <c r="L29" s="70"/>
      <c r="M29" s="85"/>
      <c r="N29" s="85"/>
      <c r="O29" s="32"/>
    </row>
    <row r="30" spans="2:15" ht="14.4" customHeight="1">
      <c r="B30" s="68"/>
      <c r="C30" s="68"/>
      <c r="D30" s="70" t="s">
        <v>235</v>
      </c>
      <c r="E30" s="74">
        <f>(E23*1000*E16/1000000)+(((E23*1000*E14/1000000)-((E23*1000)^3*(E14/1000000)^2*(E17/1000000))-((E23*1000)*(E26/1000)^2*(E17/1000000)))/(((1-(E23*1000)^2*(E14/1000000)*(E17/1000000))^2+((E23*1000)*(E26/1000)*(E17/1000000))^2)))*1000</f>
        <v>-674.41056341795741</v>
      </c>
      <c r="F30" s="74">
        <f>(F23*1000*F16/1000000)+(((F23*1000*F14/1000000)-((F23*1000)^3*(F14/1000000)^2*(F17/1000000))-((F23*1000)*(F26/1000)^2*(F17/1000000)))/(((1-(F23*1000)^2*(F14/1000000)*(F17/1000000))^2+((F23*1000)*(F26/1000)*(F17/1000000))^2)))*1000</f>
        <v>-674.41056341795741</v>
      </c>
      <c r="G30" s="74">
        <f>(G23*1000*G16/1000000)+(((G23*1000*G14/1000000)-((G23*1000)^3*(G14/1000000)^2*(G17/1000000))-((G23*1000)*(G26/1000)^2*(G17/1000000)))/(((1-(G23*1000)^2*(G14/1000000)*(G17/1000000))^2+((G23*1000)*(G26/1000)*(G17/1000000))^2)))*1000</f>
        <v>-674.41056341795741</v>
      </c>
      <c r="H30" s="74">
        <f>(H23*1000*H16/1000000)+(((H23*1000*H14/1000000)-((H23*1000)^3*(H14/1000000)^2*(H17/1000000))-((H23*1000)*(H26/1000)^2*(H17/1000000)))/(((1-(H23*1000)^2*(H14/1000000)*(H17/1000000))^2+((H23*1000)*(H26/1000)*(H17/1000000))^2)))*1000</f>
        <v>-674.41056341795741</v>
      </c>
      <c r="I30" s="74">
        <f>(I23*1000*I16/1000000)+(((I23*1000*I14/1000000)-((I23*1000)^3*(I14/1000000)^2*(I17/1000000))-((I23*1000)*(I26/1000)^2*(I17/1000000)))/(((1-(I23*1000)^2*(I14/1000000)*(I17/1000000))^2+((I23*1000)*(I26/1000)*(I17/1000000))^2)))*1000</f>
        <v>-674.41056341795741</v>
      </c>
      <c r="J30" s="32" t="s">
        <v>229</v>
      </c>
      <c r="L30" s="70" t="s">
        <v>235</v>
      </c>
      <c r="M30" s="74">
        <f>(M23*1000*M16/1000000)+(((M23*1000*M14/1000000)-((M23*1000)^3*(M14/1000000)^2*(M17/1000000))-((M23*1000)*(M26/1000)^2*(M17/1000000)))/(((1-(M23*1000)^2*(M14/1000000)*(M17/1000000))^2+((M23*1000)*(M26/1000)*(M17/1000000))^2)))*1000</f>
        <v>-330.64143386286014</v>
      </c>
      <c r="N30" s="74">
        <f>(N23*1000*N16/1000000)+(((N23*1000*N14/1000000)-((N23*1000)^3*(N14/1000000)^2*(N17/1000000))-((N23*1000)*(N26/1000)^2*(N17/1000000)))/(((1-(N23*1000)^2*(N14/1000000)*(N17/1000000))^2+((N23*1000)*(N26/1000)*(N17/1000000))^2)))*1000</f>
        <v>-690.17042994782048</v>
      </c>
      <c r="O30" s="32" t="s">
        <v>229</v>
      </c>
    </row>
    <row r="31" spans="2:15" ht="14.4" customHeight="1">
      <c r="B31" s="68"/>
      <c r="C31" s="68"/>
      <c r="D31" s="70" t="s">
        <v>242</v>
      </c>
      <c r="E31" s="74">
        <f>(E27^2+E30^2)^0.5</f>
        <v>738.91494280426161</v>
      </c>
      <c r="F31" s="74">
        <f>(F27^2+F30^2)^0.5</f>
        <v>738.91494280426161</v>
      </c>
      <c r="G31" s="74">
        <f>(G27^2+G30^2)^0.5</f>
        <v>738.91494280426161</v>
      </c>
      <c r="H31" s="74">
        <f>(H27^2+H30^2)^0.5</f>
        <v>738.91494280426161</v>
      </c>
      <c r="I31" s="74">
        <f>(I27^2+I30^2)^0.5</f>
        <v>738.91494280426161</v>
      </c>
      <c r="J31" s="32" t="s">
        <v>229</v>
      </c>
      <c r="L31" s="70" t="s">
        <v>242</v>
      </c>
      <c r="M31" s="74">
        <f>(M27^2+M30^2)^0.5</f>
        <v>331.89256006052977</v>
      </c>
      <c r="N31" s="74">
        <f>(N27^2+N30^2)^0.5</f>
        <v>705.12636679296656</v>
      </c>
      <c r="O31" s="32" t="s">
        <v>229</v>
      </c>
    </row>
    <row r="32" spans="2:15" ht="14.4" customHeight="1">
      <c r="B32" s="68"/>
      <c r="C32" s="68"/>
      <c r="D32" s="70"/>
      <c r="E32" s="75"/>
      <c r="F32" s="75"/>
      <c r="G32" s="75"/>
      <c r="H32" s="75"/>
      <c r="I32" s="75"/>
      <c r="J32" s="32"/>
      <c r="L32" s="70"/>
      <c r="M32" s="75"/>
      <c r="N32" s="75"/>
      <c r="O32" s="32"/>
    </row>
    <row r="33" spans="2:15" ht="14.4" customHeight="1">
      <c r="B33" s="68"/>
      <c r="C33" s="68"/>
      <c r="D33" s="70" t="s">
        <v>215</v>
      </c>
      <c r="E33" s="79">
        <f>(E3*1000000/E26)^0.5</f>
        <v>1010.1408974084896</v>
      </c>
      <c r="F33" s="79">
        <f>(F3*1000000/F26)^0.5</f>
        <v>1010.1408974084896</v>
      </c>
      <c r="G33" s="79">
        <f>(G3*1000000/G26)^0.5</f>
        <v>1010.1408974084896</v>
      </c>
      <c r="H33" s="79">
        <f>(H3*1000000/H26)^0.5</f>
        <v>1010.1408974084896</v>
      </c>
      <c r="I33" s="79">
        <f>(I3*1000000/I26)^0.5</f>
        <v>1010.1408974084896</v>
      </c>
      <c r="J33" s="32" t="s">
        <v>38</v>
      </c>
      <c r="L33" s="70" t="s">
        <v>215</v>
      </c>
      <c r="M33" s="79">
        <f>(M3*1000000/M26)^0.5</f>
        <v>14785.457000061921</v>
      </c>
      <c r="N33" s="79">
        <f>(N3*1000000/N26)^0.5</f>
        <v>15591.113324041577</v>
      </c>
      <c r="O33" s="32" t="s">
        <v>38</v>
      </c>
    </row>
    <row r="34" spans="2:15" ht="14.4" customHeight="1">
      <c r="B34" s="68"/>
      <c r="C34" s="68"/>
      <c r="D34" s="70" t="s">
        <v>240</v>
      </c>
      <c r="E34" s="74">
        <f>E33*E26/1000</f>
        <v>235.61069610248188</v>
      </c>
      <c r="F34" s="74">
        <f>F33*F26/1000</f>
        <v>235.61069610248188</v>
      </c>
      <c r="G34" s="74">
        <f>G33*G26/1000</f>
        <v>235.61069610248188</v>
      </c>
      <c r="H34" s="74">
        <f>H33*H26/1000</f>
        <v>235.61069610248188</v>
      </c>
      <c r="I34" s="74">
        <f>I33*I26/1000</f>
        <v>235.61069610248188</v>
      </c>
      <c r="J34" s="32" t="s">
        <v>0</v>
      </c>
      <c r="L34" s="70" t="s">
        <v>240</v>
      </c>
      <c r="M34" s="74">
        <f>M33*M26/1000</f>
        <v>101.45104070802263</v>
      </c>
      <c r="N34" s="74">
        <f>N33*N26/1000</f>
        <v>96.208652251086662</v>
      </c>
      <c r="O34" s="32" t="s">
        <v>0</v>
      </c>
    </row>
    <row r="35" spans="2:15" ht="14.4" customHeight="1">
      <c r="B35" s="68"/>
      <c r="C35" s="68"/>
      <c r="D35" s="70" t="s">
        <v>239</v>
      </c>
      <c r="E35" s="74">
        <f>E33*E25/1000</f>
        <v>612.58780986645297</v>
      </c>
      <c r="F35" s="74">
        <f>F33*F25/1000</f>
        <v>612.58780986645297</v>
      </c>
      <c r="G35" s="74">
        <f>G33*G25/1000</f>
        <v>612.58780986645297</v>
      </c>
      <c r="H35" s="74">
        <f>H33*H25/1000</f>
        <v>612.58780986645297</v>
      </c>
      <c r="I35" s="74">
        <f>I33*I25/1000</f>
        <v>612.58780986645297</v>
      </c>
      <c r="J35" s="32" t="s">
        <v>238</v>
      </c>
      <c r="L35" s="70" t="s">
        <v>239</v>
      </c>
      <c r="M35" s="74">
        <f>M33*M25/1000</f>
        <v>2394.2445607093341</v>
      </c>
      <c r="N35" s="74">
        <f>N33*N25/1000</f>
        <v>2270.5241931256455</v>
      </c>
      <c r="O35" s="32" t="s">
        <v>238</v>
      </c>
    </row>
    <row r="36" spans="2:15" ht="14.4" customHeight="1">
      <c r="B36" s="68"/>
      <c r="C36" s="68"/>
      <c r="D36" s="70" t="s">
        <v>247</v>
      </c>
      <c r="E36" s="74">
        <f>((E34)^2+(E35)^2)^0.5</f>
        <v>656.33545151459987</v>
      </c>
      <c r="F36" s="74">
        <f>((F34)^2+(F35)^2)^0.5</f>
        <v>656.33545151459987</v>
      </c>
      <c r="G36" s="74">
        <f>((G34)^2+(G35)^2)^0.5</f>
        <v>656.33545151459987</v>
      </c>
      <c r="H36" s="74">
        <f>((H34)^2+(H35)^2)^0.5</f>
        <v>656.33545151459987</v>
      </c>
      <c r="I36" s="74">
        <f>((I34)^2+(I35)^2)^0.5</f>
        <v>656.33545151459987</v>
      </c>
      <c r="J36" s="32" t="s">
        <v>0</v>
      </c>
      <c r="L36" s="70" t="s">
        <v>243</v>
      </c>
      <c r="M36" s="79">
        <f>(((M25/1000)^2+(M26/1000)^2)^0.5)*M33</f>
        <v>2396.39298324523</v>
      </c>
      <c r="N36" s="79">
        <f>(((N25/1000)^2+(N26/1000)^2)^0.5)*N33</f>
        <v>2272.5615979191484</v>
      </c>
      <c r="O36" s="32" t="s">
        <v>0</v>
      </c>
    </row>
    <row r="37" spans="2:15" ht="14.4" customHeight="1">
      <c r="B37" s="68"/>
      <c r="C37" s="68"/>
      <c r="D37" s="70" t="s">
        <v>246</v>
      </c>
      <c r="E37" s="78">
        <f>E33/E49</f>
        <v>626.2128072495434</v>
      </c>
      <c r="F37" s="78">
        <f>F33/F49</f>
        <v>626.2128072495434</v>
      </c>
      <c r="G37" s="78">
        <f>G33/G49</f>
        <v>626.2128072495434</v>
      </c>
      <c r="H37" s="78">
        <f>H33/H49</f>
        <v>626.2128072495434</v>
      </c>
      <c r="I37" s="78">
        <f>I33/I49</f>
        <v>626.2128072495434</v>
      </c>
      <c r="J37" s="32" t="s">
        <v>1</v>
      </c>
      <c r="L37" s="70"/>
      <c r="M37" s="79"/>
      <c r="N37" s="79"/>
      <c r="O37" s="32"/>
    </row>
    <row r="38" spans="2:15" ht="14.4" customHeight="1">
      <c r="B38" s="68"/>
      <c r="C38" s="68"/>
      <c r="D38" s="70" t="s">
        <v>249</v>
      </c>
      <c r="E38" s="79">
        <f>E37*E28/1000</f>
        <v>380.06249192721788</v>
      </c>
      <c r="F38" s="79">
        <f>F37*F28/1000</f>
        <v>380.06249192721788</v>
      </c>
      <c r="G38" s="79">
        <f>G37*G28/1000</f>
        <v>380.06249192721788</v>
      </c>
      <c r="H38" s="79">
        <f>H37*H28/1000</f>
        <v>380.06249192721788</v>
      </c>
      <c r="I38" s="79">
        <f>I37*I28/1000</f>
        <v>380.06249192721788</v>
      </c>
      <c r="J38" s="32" t="s">
        <v>255</v>
      </c>
      <c r="L38" s="70"/>
      <c r="M38" s="79"/>
      <c r="N38" s="79"/>
      <c r="O38" s="32"/>
    </row>
    <row r="39" spans="2:15" ht="14.4" customHeight="1">
      <c r="B39" s="68"/>
      <c r="C39" s="68"/>
      <c r="D39" s="70" t="s">
        <v>251</v>
      </c>
      <c r="E39" s="74">
        <f>E37*E23*1000*E15/1000000</f>
        <v>612.58780986645309</v>
      </c>
      <c r="F39" s="74">
        <f>F37*F29/1000</f>
        <v>612.58780986645297</v>
      </c>
      <c r="G39" s="74">
        <f>G37*G23*1000*G15/1000000</f>
        <v>612.58780986645309</v>
      </c>
      <c r="H39" s="74">
        <f>H37*H29/1000</f>
        <v>612.58780986645297</v>
      </c>
      <c r="I39" s="74">
        <f>I37*I29/1000</f>
        <v>612.58780986645297</v>
      </c>
      <c r="J39" s="32" t="s">
        <v>255</v>
      </c>
      <c r="L39" s="70"/>
      <c r="M39" s="79"/>
      <c r="N39" s="79"/>
      <c r="O39" s="32"/>
    </row>
    <row r="40" spans="2:15" ht="14.4" customHeight="1">
      <c r="B40" s="68"/>
      <c r="C40" s="68"/>
      <c r="D40" s="70" t="s">
        <v>248</v>
      </c>
      <c r="E40" s="79">
        <f>E41/(E23*E17/1000)</f>
        <v>612.58780986645297</v>
      </c>
      <c r="F40" s="79">
        <f>((F38)^2+(F39)^2)^0.5</f>
        <v>720.91006551920475</v>
      </c>
      <c r="G40" s="79">
        <f>G41/(G23*G17/1000)</f>
        <v>612.58780986645297</v>
      </c>
      <c r="H40" s="79">
        <f>((H38)^2+(H39)^2)^0.5</f>
        <v>720.91006551920475</v>
      </c>
      <c r="I40" s="79">
        <f>((I38)^2+(I39)^2)^0.5</f>
        <v>720.91006551920475</v>
      </c>
      <c r="J40" s="32" t="s">
        <v>256</v>
      </c>
      <c r="L40" s="70"/>
      <c r="M40" s="79"/>
      <c r="N40" s="79"/>
      <c r="O40" s="32"/>
    </row>
    <row r="41" spans="2:15" ht="14.4" customHeight="1">
      <c r="B41" s="68"/>
      <c r="C41" s="68"/>
      <c r="D41" s="70" t="s">
        <v>241</v>
      </c>
      <c r="E41" s="79">
        <f>E33+E37</f>
        <v>1636.3537046580332</v>
      </c>
      <c r="F41" s="79">
        <f>F40*F23*1000*F17/1000000</f>
        <v>1925.7057313869639</v>
      </c>
      <c r="G41" s="79">
        <f>G33+G37</f>
        <v>1636.3537046580332</v>
      </c>
      <c r="H41" s="79">
        <f>H40*H23*1000*H17/1000000</f>
        <v>1925.7057313869639</v>
      </c>
      <c r="I41" s="79">
        <f>I40*I23*1000*I17/1000000</f>
        <v>1925.7057313869639</v>
      </c>
      <c r="J41" s="32" t="s">
        <v>1</v>
      </c>
      <c r="L41" s="70" t="s">
        <v>241</v>
      </c>
      <c r="M41" s="79">
        <f>M36*M23*M17/1000</f>
        <v>21963.033532954789</v>
      </c>
      <c r="N41" s="79">
        <f>N36*N23*N17/1000</f>
        <v>18731.182604758982</v>
      </c>
      <c r="O41" s="32" t="s">
        <v>1</v>
      </c>
    </row>
    <row r="42" spans="2:15" ht="14.4" customHeight="1">
      <c r="B42" s="68"/>
      <c r="C42" s="68"/>
      <c r="D42" s="70" t="s">
        <v>216</v>
      </c>
      <c r="E42" s="84">
        <f>ROUNDUP(COS(PI()*E19/180),3)</f>
        <v>1</v>
      </c>
      <c r="F42" s="84">
        <f>ROUNDUP(COS(PI()*F19/180),3)</f>
        <v>1</v>
      </c>
      <c r="G42" s="84">
        <f>ROUNDUP(COS(PI()*G19/180),3)</f>
        <v>1</v>
      </c>
      <c r="H42" s="84">
        <f>ROUNDUP(COS(PI()*H19/180),3)</f>
        <v>1</v>
      </c>
      <c r="I42" s="84">
        <f>ROUNDUP(COS(PI()*I19/180),3)</f>
        <v>1</v>
      </c>
      <c r="J42" s="32"/>
      <c r="L42" s="70" t="s">
        <v>216</v>
      </c>
      <c r="M42" s="84">
        <f>ROUNDUP(COS(PI()*M19/180),3)</f>
        <v>1</v>
      </c>
      <c r="N42" s="84">
        <f>ROUNDUP(COS(PI()*N19/180),3)</f>
        <v>0.86699999999999999</v>
      </c>
      <c r="O42" s="32"/>
    </row>
    <row r="43" spans="2:15" ht="14.4" customHeight="1">
      <c r="B43" s="68"/>
      <c r="C43" s="68"/>
      <c r="D43" s="70" t="s">
        <v>217</v>
      </c>
      <c r="E43" s="80">
        <f>E41*E40/E3/1000</f>
        <v>4.2118081180811817</v>
      </c>
      <c r="F43" s="80">
        <f>F41*F36/F3/1000</f>
        <v>5.3105417676223343</v>
      </c>
      <c r="G43" s="80">
        <f>G41*G40/G3/1000</f>
        <v>4.2118081180811817</v>
      </c>
      <c r="H43" s="80">
        <f>H41*H36/H3/1000</f>
        <v>5.3105417676223343</v>
      </c>
      <c r="I43" s="80">
        <f>I41*I36/I3/1000</f>
        <v>5.3105417676223343</v>
      </c>
      <c r="J43" s="32"/>
      <c r="L43" s="70" t="s">
        <v>217</v>
      </c>
      <c r="M43" s="80">
        <f>M41*M36/M3/1000</f>
        <v>35.088039632768371</v>
      </c>
      <c r="N43" s="80">
        <f>N41*N36/N3/1000</f>
        <v>28.378510847457619</v>
      </c>
      <c r="O43" s="32"/>
    </row>
    <row r="44" spans="2:15" ht="14.4" customHeight="1">
      <c r="B44" s="68"/>
      <c r="C44" s="68"/>
      <c r="D44" s="70"/>
      <c r="E44" s="75"/>
      <c r="F44" s="75"/>
      <c r="G44" s="75"/>
      <c r="H44" s="75"/>
      <c r="I44" s="75"/>
      <c r="J44" s="32"/>
      <c r="L44" s="70"/>
      <c r="M44" s="75"/>
      <c r="N44" s="75"/>
      <c r="O44" s="32"/>
    </row>
    <row r="45" spans="2:15" ht="14.4" customHeight="1">
      <c r="B45" s="68"/>
      <c r="C45" s="68"/>
      <c r="D45" s="70" t="s">
        <v>218</v>
      </c>
      <c r="E45" s="71">
        <v>1</v>
      </c>
      <c r="F45" s="71">
        <v>1</v>
      </c>
      <c r="G45" s="71">
        <v>1</v>
      </c>
      <c r="H45" s="71">
        <v>1</v>
      </c>
      <c r="I45" s="71">
        <v>1</v>
      </c>
      <c r="J45" s="32"/>
      <c r="L45" s="70" t="s">
        <v>218</v>
      </c>
      <c r="M45" s="71">
        <v>1</v>
      </c>
      <c r="N45" s="71">
        <v>1</v>
      </c>
      <c r="O45" s="32"/>
    </row>
    <row r="46" spans="2:15" ht="14.4" customHeight="1">
      <c r="B46" s="68"/>
      <c r="C46" s="68"/>
      <c r="D46" s="70" t="s">
        <v>219</v>
      </c>
      <c r="E46" s="74">
        <f>E10/E45*4/PI()/2^0.5*E42</f>
        <v>512.73014205147194</v>
      </c>
      <c r="F46" s="74">
        <f>F10/F45*4/PI()/2^0.5*F42</f>
        <v>512.73014205147194</v>
      </c>
      <c r="G46" s="74">
        <f>G10/G45*4/PI()/2^0.5*G42</f>
        <v>512.73014205147194</v>
      </c>
      <c r="H46" s="74">
        <f>H10/H45*4/PI()/2^0.5*H42</f>
        <v>512.73014205147194</v>
      </c>
      <c r="I46" s="74">
        <f>I10/I45*4/PI()/2^0.5*I42</f>
        <v>512.73014205147194</v>
      </c>
      <c r="J46" s="32" t="s">
        <v>0</v>
      </c>
      <c r="L46" s="70" t="s">
        <v>219</v>
      </c>
      <c r="M46" s="74">
        <f>M10/M45*4/PI()/2^0.5*M42</f>
        <v>521.01305216011724</v>
      </c>
      <c r="N46" s="74">
        <f>N10/N45*4/PI()/2^0.5*N42</f>
        <v>451.71831622282167</v>
      </c>
      <c r="O46" s="32" t="s">
        <v>0</v>
      </c>
    </row>
    <row r="47" spans="2:15" ht="14.4" customHeight="1">
      <c r="B47" s="68"/>
      <c r="C47" s="68"/>
      <c r="D47" s="70" t="s">
        <v>220</v>
      </c>
      <c r="E47" s="81">
        <v>1</v>
      </c>
      <c r="F47" s="81">
        <v>1</v>
      </c>
      <c r="G47" s="81">
        <v>1</v>
      </c>
      <c r="H47" s="81">
        <v>1</v>
      </c>
      <c r="I47" s="81">
        <v>1</v>
      </c>
      <c r="J47" s="32" t="s">
        <v>230</v>
      </c>
      <c r="L47" s="70" t="s">
        <v>220</v>
      </c>
      <c r="M47" s="81">
        <v>1</v>
      </c>
      <c r="N47" s="81">
        <v>1</v>
      </c>
      <c r="O47" s="32" t="s">
        <v>230</v>
      </c>
    </row>
    <row r="48" spans="2:15" ht="14.4" customHeight="1">
      <c r="B48" s="68"/>
      <c r="C48" s="68"/>
      <c r="D48" s="70" t="s">
        <v>244</v>
      </c>
      <c r="E48" s="74">
        <f>E38*E47</f>
        <v>380.06249192721788</v>
      </c>
      <c r="F48" s="74">
        <f>F38*F47</f>
        <v>380.06249192721788</v>
      </c>
      <c r="G48" s="74">
        <f>G38*G47</f>
        <v>380.06249192721788</v>
      </c>
      <c r="H48" s="74">
        <f>H38*H47</f>
        <v>380.06249192721788</v>
      </c>
      <c r="I48" s="74">
        <f>I38*I47</f>
        <v>380.06249192721788</v>
      </c>
      <c r="J48" s="32" t="s">
        <v>0</v>
      </c>
      <c r="L48" s="70" t="s">
        <v>244</v>
      </c>
      <c r="M48" s="74" t="e">
        <f>#REF!*M47</f>
        <v>#REF!</v>
      </c>
      <c r="N48" s="74" t="e">
        <f>#REF!*N47</f>
        <v>#REF!</v>
      </c>
      <c r="O48" s="32" t="s">
        <v>0</v>
      </c>
    </row>
    <row r="49" spans="2:15" ht="14.4" customHeight="1">
      <c r="B49" s="68"/>
      <c r="C49" s="68"/>
      <c r="D49" s="70" t="s">
        <v>237</v>
      </c>
      <c r="E49" s="75">
        <f>E15/E14</f>
        <v>1.6130952380952381</v>
      </c>
      <c r="F49" s="75">
        <f>F15/F14</f>
        <v>1.6130952380952381</v>
      </c>
      <c r="G49" s="75">
        <f>G15/G14</f>
        <v>1.6130952380952381</v>
      </c>
      <c r="H49" s="75">
        <f>H15/H14</f>
        <v>1.6130952380952381</v>
      </c>
      <c r="I49" s="75">
        <f>I15/I14</f>
        <v>1.6130952380952381</v>
      </c>
      <c r="J49" s="32"/>
      <c r="L49" s="70" t="s">
        <v>237</v>
      </c>
      <c r="M49" s="75">
        <f>M15/M14</f>
        <v>2.0656177918545806</v>
      </c>
      <c r="N49" s="75">
        <f>N15/N14</f>
        <v>4.9919096636485696</v>
      </c>
      <c r="O49" s="32"/>
    </row>
    <row r="50" spans="2:15" ht="14.4" customHeight="1">
      <c r="B50" s="68"/>
      <c r="C50" s="68"/>
      <c r="D50" s="70" t="s">
        <v>245</v>
      </c>
      <c r="E50" s="75">
        <f>E33/E53</f>
        <v>1.6130952380952381</v>
      </c>
      <c r="F50" s="75">
        <f>F33/F53</f>
        <v>1.6130952380952381</v>
      </c>
      <c r="G50" s="75">
        <f>G33/G53</f>
        <v>1.6130952380952381</v>
      </c>
      <c r="H50" s="75">
        <f>H33/H53</f>
        <v>1.6130952380952381</v>
      </c>
      <c r="I50" s="75">
        <f>I33/I53</f>
        <v>1.6130952380952381</v>
      </c>
      <c r="J50" s="32"/>
      <c r="L50" s="70" t="s">
        <v>245</v>
      </c>
      <c r="M50" s="75">
        <f>M33/M53</f>
        <v>2.0656177918545806</v>
      </c>
      <c r="N50" s="75">
        <f>N33/N53</f>
        <v>4.9919096636485696</v>
      </c>
      <c r="O50" s="32"/>
    </row>
    <row r="51" spans="2:15" ht="14.4" customHeight="1">
      <c r="B51" s="68"/>
      <c r="C51" s="68"/>
      <c r="D51" s="70" t="s">
        <v>221</v>
      </c>
      <c r="E51" s="82">
        <f>E48/E46*100</f>
        <v>74.125248499446357</v>
      </c>
      <c r="F51" s="82">
        <f>F48/F46*100</f>
        <v>74.125248499446357</v>
      </c>
      <c r="G51" s="82">
        <f>G48/G46*100</f>
        <v>74.125248499446357</v>
      </c>
      <c r="H51" s="82">
        <f>H48/H46*100</f>
        <v>74.125248499446357</v>
      </c>
      <c r="I51" s="82">
        <f>I48/I46*100</f>
        <v>74.125248499446357</v>
      </c>
      <c r="J51" s="32" t="s">
        <v>2</v>
      </c>
      <c r="L51" s="70" t="s">
        <v>221</v>
      </c>
      <c r="M51" s="82" t="e">
        <f>M48/M46*100</f>
        <v>#REF!</v>
      </c>
      <c r="N51" s="82" t="e">
        <f>N48/N46*100</f>
        <v>#REF!</v>
      </c>
      <c r="O51" s="32" t="s">
        <v>2</v>
      </c>
    </row>
    <row r="52" spans="2:15" ht="14.4" customHeight="1">
      <c r="B52" s="68"/>
      <c r="C52" s="68"/>
      <c r="D52" s="70"/>
      <c r="E52" s="75"/>
      <c r="F52" s="75"/>
      <c r="G52" s="75"/>
      <c r="H52" s="75"/>
      <c r="I52" s="75"/>
      <c r="J52" s="32"/>
      <c r="L52" s="70"/>
      <c r="M52" s="75"/>
      <c r="N52" s="75"/>
      <c r="O52" s="32"/>
    </row>
    <row r="53" spans="2:15" ht="14.4" customHeight="1">
      <c r="B53" s="68"/>
      <c r="C53" s="68"/>
      <c r="D53" s="70" t="s">
        <v>222</v>
      </c>
      <c r="E53" s="78">
        <f>E33/E47/E49</f>
        <v>626.2128072495434</v>
      </c>
      <c r="F53" s="78">
        <f>F33/F47/F49</f>
        <v>626.2128072495434</v>
      </c>
      <c r="G53" s="78">
        <f>G33/G47/G49</f>
        <v>626.2128072495434</v>
      </c>
      <c r="H53" s="78">
        <f>H33/H47/H49</f>
        <v>626.2128072495434</v>
      </c>
      <c r="I53" s="78">
        <f>I33/I47/I49</f>
        <v>626.2128072495434</v>
      </c>
      <c r="J53" s="32" t="s">
        <v>38</v>
      </c>
      <c r="L53" s="70" t="s">
        <v>222</v>
      </c>
      <c r="M53" s="78">
        <f>M33/M47/M49</f>
        <v>7157.8861580133098</v>
      </c>
      <c r="N53" s="78">
        <f>N33/N47/N49</f>
        <v>3123.2763360236945</v>
      </c>
      <c r="O53" s="32" t="s">
        <v>38</v>
      </c>
    </row>
    <row r="54" spans="2:15" ht="14.4" customHeight="1">
      <c r="B54" s="68"/>
      <c r="C54" s="68"/>
      <c r="D54" s="70" t="s">
        <v>223</v>
      </c>
      <c r="E54" s="74">
        <f>ROUND(E53*2^0.5*2/PI(),0)</f>
        <v>564</v>
      </c>
      <c r="F54" s="74">
        <f>ROUND(F53*2^0.5*2/PI(),0)</f>
        <v>564</v>
      </c>
      <c r="G54" s="74">
        <f>ROUND(G53*2^0.5*2/PI(),0)</f>
        <v>564</v>
      </c>
      <c r="H54" s="74">
        <f>ROUND(H53*2^0.5*2/PI(),0)</f>
        <v>564</v>
      </c>
      <c r="I54" s="74">
        <f>ROUND(I53*2^0.5*2/PI(),0)</f>
        <v>564</v>
      </c>
      <c r="J54" s="32" t="s">
        <v>38</v>
      </c>
      <c r="L54" s="70" t="s">
        <v>223</v>
      </c>
      <c r="M54" s="74">
        <f>ROUND(M53*2^0.5*2/PI(),0)</f>
        <v>6444</v>
      </c>
      <c r="N54" s="74">
        <f>ROUND(N53*2^0.5*2/PI(),0)</f>
        <v>2812</v>
      </c>
      <c r="O54" s="32" t="s">
        <v>38</v>
      </c>
    </row>
    <row r="55" spans="2:15" ht="14.4" customHeight="1">
      <c r="B55" s="68"/>
      <c r="C55" s="68"/>
      <c r="D55" s="70" t="s">
        <v>224</v>
      </c>
      <c r="E55" s="74">
        <f>E54/E45</f>
        <v>564</v>
      </c>
      <c r="F55" s="74">
        <f>F54/F45</f>
        <v>564</v>
      </c>
      <c r="G55" s="74">
        <f>G54/G45</f>
        <v>564</v>
      </c>
      <c r="H55" s="74">
        <f>H54/H45</f>
        <v>564</v>
      </c>
      <c r="I55" s="74">
        <f>I54/I45</f>
        <v>564</v>
      </c>
      <c r="J55" s="32" t="s">
        <v>38</v>
      </c>
      <c r="L55" s="70" t="s">
        <v>224</v>
      </c>
      <c r="M55" s="74">
        <f>M54/M45</f>
        <v>6444</v>
      </c>
      <c r="N55" s="74">
        <f>N54/N45</f>
        <v>2812</v>
      </c>
      <c r="O55" s="32" t="s">
        <v>38</v>
      </c>
    </row>
    <row r="56" spans="2:15" ht="14.4" customHeight="1">
      <c r="B56" s="68"/>
      <c r="C56" s="68"/>
      <c r="D56" s="70" t="s">
        <v>225</v>
      </c>
      <c r="E56" s="74">
        <f>ROUND(E55/E11,3)</f>
        <v>1.35</v>
      </c>
      <c r="F56" s="74">
        <f>ROUND(F55/F11,3)</f>
        <v>1.35</v>
      </c>
      <c r="G56" s="74">
        <f>ROUND(G55/G11,3)</f>
        <v>1.35</v>
      </c>
      <c r="H56" s="74">
        <f>ROUND(H55/H11,3)</f>
        <v>1.35</v>
      </c>
      <c r="I56" s="74">
        <f>ROUND(I55/I11,3)</f>
        <v>1.35</v>
      </c>
      <c r="J56" s="32"/>
      <c r="L56" s="70" t="s">
        <v>225</v>
      </c>
      <c r="M56" s="74">
        <f>ROUND(M55/M11,3)</f>
        <v>2.4860000000000002</v>
      </c>
      <c r="N56" s="74">
        <f>ROUND(N55/N11,3)</f>
        <v>1.085</v>
      </c>
      <c r="O56" s="32"/>
    </row>
  </sheetData>
  <phoneticPr fontId="8" type="noConversion"/>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직병렬공진 동작점설계</vt:lpstr>
      <vt:lpstr>직렬 인덕터 설계</vt:lpstr>
      <vt:lpstr>설계 결과표</vt:lpstr>
      <vt:lpstr>SW 요청자료</vt:lpstr>
      <vt:lpstr>시운전데이터 및 매칭확인</vt:lpstr>
      <vt:lpstr>입력정류부</vt:lpstr>
      <vt:lpstr>IGBT 발열량 계산</vt:lpstr>
      <vt:lpstr>DC 인덕터 설계</vt:lpstr>
      <vt:lpstr>동작점설계_기초자료</vt:lpstr>
    </vt:vector>
  </TitlesOfParts>
  <Company>PSTEK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shh</dc:creator>
  <cp:lastModifiedBy>Windows User</cp:lastModifiedBy>
  <cp:lastPrinted>2006-06-20T05:42:32Z</cp:lastPrinted>
  <dcterms:created xsi:type="dcterms:W3CDTF">2002-10-01T05:20:05Z</dcterms:created>
  <dcterms:modified xsi:type="dcterms:W3CDTF">2021-01-21T00:36:23Z</dcterms:modified>
</cp:coreProperties>
</file>