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GT36_외륜_내경 하드닝" sheetId="43" r:id="rId1"/>
    <sheet name="설계 결과표_GT36_외륜_내경 하드닝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C6" i="43" l="1"/>
  <c r="D6" i="43"/>
  <c r="E6" i="43"/>
  <c r="E8" i="43" s="1"/>
  <c r="F6" i="43"/>
  <c r="F8" i="43" s="1"/>
  <c r="C8" i="43"/>
  <c r="D8" i="43"/>
  <c r="C10" i="43"/>
  <c r="C37" i="43" s="1"/>
  <c r="C39" i="43" s="1"/>
  <c r="D10" i="43"/>
  <c r="E10" i="43"/>
  <c r="F10" i="43"/>
  <c r="F37" i="43" s="1"/>
  <c r="F39" i="43" s="1"/>
  <c r="C11" i="43"/>
  <c r="D11" i="43"/>
  <c r="E11" i="43"/>
  <c r="F11" i="43"/>
  <c r="C16" i="43"/>
  <c r="C22" i="43" s="1"/>
  <c r="C25" i="43" s="1"/>
  <c r="D16" i="43"/>
  <c r="D22" i="43" s="1"/>
  <c r="D25" i="43" s="1"/>
  <c r="E16" i="43"/>
  <c r="F16" i="43"/>
  <c r="F22" i="43" s="1"/>
  <c r="F25" i="43" s="1"/>
  <c r="F28" i="43" s="1"/>
  <c r="C18" i="43"/>
  <c r="D18" i="43"/>
  <c r="E18" i="43"/>
  <c r="F18" i="43"/>
  <c r="C32" i="43"/>
  <c r="D32" i="43"/>
  <c r="E32" i="43"/>
  <c r="F32" i="43"/>
  <c r="D37" i="43"/>
  <c r="D39" i="43" s="1"/>
  <c r="E37" i="43"/>
  <c r="E39" i="43" s="1"/>
  <c r="E21" i="43" l="1"/>
  <c r="E23" i="43" s="1"/>
  <c r="F21" i="43"/>
  <c r="F30" i="43" s="1"/>
  <c r="E22" i="43"/>
  <c r="E25" i="43" s="1"/>
  <c r="E28" i="43" s="1"/>
  <c r="D21" i="43"/>
  <c r="C21" i="43"/>
  <c r="C23" i="43" s="1"/>
  <c r="C28" i="43"/>
  <c r="D28" i="43"/>
  <c r="F43" i="43"/>
  <c r="F44" i="43" s="1"/>
  <c r="F29" i="43"/>
  <c r="F25" i="48"/>
  <c r="F26" i="48" s="1"/>
  <c r="G11" i="48"/>
  <c r="G12" i="48" s="1"/>
  <c r="F11" i="48"/>
  <c r="F12" i="48" s="1"/>
  <c r="F9" i="48"/>
  <c r="E24" i="43" l="1"/>
  <c r="E30" i="43"/>
  <c r="E34" i="43" s="1"/>
  <c r="F23" i="43"/>
  <c r="F24" i="43"/>
  <c r="C24" i="43"/>
  <c r="C26" i="43" s="1"/>
  <c r="C31" i="43" s="1"/>
  <c r="C41" i="43" s="1"/>
  <c r="E43" i="43"/>
  <c r="E44" i="43" s="1"/>
  <c r="E45" i="43" s="1"/>
  <c r="E46" i="43" s="1"/>
  <c r="E29" i="43"/>
  <c r="E26" i="43"/>
  <c r="E31" i="43" s="1"/>
  <c r="E41" i="43" s="1"/>
  <c r="D24" i="43"/>
  <c r="D23" i="43"/>
  <c r="C43" i="43"/>
  <c r="C44" i="43" s="1"/>
  <c r="C45" i="43" s="1"/>
  <c r="C46" i="43" s="1"/>
  <c r="C30" i="43"/>
  <c r="C29" i="43"/>
  <c r="E33" i="43"/>
  <c r="D43" i="43"/>
  <c r="D44" i="43" s="1"/>
  <c r="D45" i="43" s="1"/>
  <c r="D46" i="43" s="1"/>
  <c r="D30" i="43"/>
  <c r="D29" i="43"/>
  <c r="F34" i="43"/>
  <c r="F33" i="43"/>
  <c r="X41" i="43"/>
  <c r="X35" i="43"/>
  <c r="X36" i="43"/>
  <c r="J41" i="45"/>
  <c r="D41" i="45"/>
  <c r="E41" i="45" s="1"/>
  <c r="C41" i="45"/>
  <c r="O41" i="45" s="1"/>
  <c r="T72" i="43"/>
  <c r="T74" i="43" s="1"/>
  <c r="T66" i="43"/>
  <c r="T67" i="43" s="1"/>
  <c r="T46" i="43"/>
  <c r="T47" i="43" s="1"/>
  <c r="T27" i="43"/>
  <c r="T8" i="43"/>
  <c r="T9" i="43" s="1"/>
  <c r="X30" i="43"/>
  <c r="X26" i="43"/>
  <c r="X22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P53" i="43"/>
  <c r="P56" i="43" s="1"/>
  <c r="P58" i="43" s="1"/>
  <c r="L59" i="43"/>
  <c r="F67" i="43"/>
  <c r="E67" i="43"/>
  <c r="D67" i="43"/>
  <c r="C67" i="43"/>
  <c r="L53" i="43"/>
  <c r="P48" i="43"/>
  <c r="L46" i="43"/>
  <c r="L47" i="43" s="1"/>
  <c r="L45" i="43"/>
  <c r="L36" i="43"/>
  <c r="L35" i="43"/>
  <c r="P34" i="43"/>
  <c r="P30" i="43"/>
  <c r="P26" i="43"/>
  <c r="P38" i="43" s="1"/>
  <c r="P39" i="43" s="1"/>
  <c r="P40" i="43" s="1"/>
  <c r="L26" i="43"/>
  <c r="L25" i="43"/>
  <c r="L24" i="43"/>
  <c r="P11" i="43" s="1"/>
  <c r="P19" i="43"/>
  <c r="X15" i="43"/>
  <c r="X16" i="43" s="1"/>
  <c r="X17" i="43" s="1"/>
  <c r="X8" i="43"/>
  <c r="P8" i="43"/>
  <c r="L7" i="43"/>
  <c r="L9" i="43" s="1"/>
  <c r="L14" i="43" s="1"/>
  <c r="P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T28" i="43"/>
  <c r="T31" i="43"/>
  <c r="T34" i="43" s="1"/>
  <c r="T36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26" i="43" l="1"/>
  <c r="F31" i="43" s="1"/>
  <c r="F41" i="43" s="1"/>
  <c r="D26" i="43"/>
  <c r="D31" i="43" s="1"/>
  <c r="D41" i="43" s="1"/>
  <c r="C33" i="43"/>
  <c r="C34" i="43"/>
  <c r="D33" i="43"/>
  <c r="D34" i="43"/>
  <c r="T75" i="43"/>
  <c r="L37" i="43"/>
  <c r="L38" i="43" s="1"/>
  <c r="P41" i="43"/>
  <c r="P42" i="43" s="1"/>
  <c r="P35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T12" i="43"/>
  <c r="T15" i="43" s="1"/>
  <c r="T17" i="43" s="1"/>
  <c r="T19" i="43" s="1"/>
  <c r="T38" i="43"/>
  <c r="T39" i="43"/>
  <c r="T50" i="43"/>
  <c r="T53" i="43" s="1"/>
  <c r="T56" i="43" s="1"/>
  <c r="L27" i="43"/>
  <c r="P13" i="43"/>
  <c r="F54" i="43" l="1"/>
  <c r="F53" i="43" s="1"/>
  <c r="T20" i="43"/>
  <c r="E54" i="43"/>
  <c r="E53" i="43" s="1"/>
  <c r="T58" i="43"/>
  <c r="T59" i="43"/>
  <c r="D54" i="43"/>
  <c r="E59" i="43"/>
  <c r="E62" i="43" s="1"/>
  <c r="C54" i="43"/>
  <c r="F59" i="43" l="1"/>
  <c r="F62" i="43" s="1"/>
  <c r="F60" i="43"/>
  <c r="E60" i="43"/>
  <c r="D53" i="43"/>
  <c r="D60" i="43"/>
  <c r="D59" i="43"/>
  <c r="D62" i="43" s="1"/>
  <c r="E50" i="43"/>
  <c r="F50" i="43"/>
  <c r="F45" i="43"/>
  <c r="F46" i="43" s="1"/>
  <c r="D50" i="43"/>
  <c r="C59" i="43"/>
  <c r="C62" i="43" s="1"/>
  <c r="C60" i="43"/>
  <c r="C53" i="43"/>
  <c r="C50" i="43"/>
  <c r="F55" i="43" l="1"/>
  <c r="F63" i="43"/>
  <c r="D63" i="43"/>
  <c r="D55" i="43"/>
  <c r="E55" i="43"/>
  <c r="E63" i="43"/>
  <c r="C55" i="43"/>
  <c r="C63" i="43"/>
  <c r="F69" i="43" l="1"/>
  <c r="F72" i="43" s="1"/>
  <c r="F68" i="43"/>
  <c r="F71" i="43" s="1"/>
  <c r="F70" i="43"/>
  <c r="F73" i="43" s="1"/>
  <c r="F75" i="43" s="1"/>
  <c r="E69" i="43"/>
  <c r="E72" i="43" s="1"/>
  <c r="E68" i="43"/>
  <c r="E71" i="43" s="1"/>
  <c r="E70" i="43"/>
  <c r="E73" i="43" s="1"/>
  <c r="E75" i="43" s="1"/>
  <c r="D70" i="43"/>
  <c r="D73" i="43" s="1"/>
  <c r="D75" i="43" s="1"/>
  <c r="D69" i="43"/>
  <c r="D72" i="43" s="1"/>
  <c r="D68" i="43"/>
  <c r="D71" i="43" s="1"/>
  <c r="C70" i="43"/>
  <c r="C73" i="43" s="1"/>
  <c r="C75" i="43" s="1"/>
  <c r="C69" i="43"/>
  <c r="C72" i="43" s="1"/>
  <c r="C68" i="43"/>
  <c r="C71" i="43" s="1"/>
  <c r="E88" i="43" l="1"/>
  <c r="E80" i="43"/>
  <c r="E86" i="43" s="1"/>
  <c r="E82" i="43"/>
  <c r="D88" i="43"/>
  <c r="D80" i="43"/>
  <c r="D86" i="43" s="1"/>
  <c r="D82" i="43"/>
  <c r="E89" i="43"/>
  <c r="E81" i="43"/>
  <c r="E87" i="43" s="1"/>
  <c r="E83" i="43"/>
  <c r="D83" i="43"/>
  <c r="D89" i="43"/>
  <c r="D81" i="43"/>
  <c r="D87" i="43" s="1"/>
  <c r="E77" i="43"/>
  <c r="E92" i="43"/>
  <c r="D77" i="43"/>
  <c r="D92" i="43"/>
  <c r="F77" i="43"/>
  <c r="F92" i="43"/>
  <c r="F82" i="43"/>
  <c r="F80" i="43"/>
  <c r="F86" i="43" s="1"/>
  <c r="F88" i="43"/>
  <c r="F83" i="43"/>
  <c r="F89" i="43"/>
  <c r="F81" i="43"/>
  <c r="F87" i="43" s="1"/>
  <c r="C83" i="43"/>
  <c r="C89" i="43"/>
  <c r="C81" i="43"/>
  <c r="C87" i="43" s="1"/>
  <c r="C77" i="43"/>
  <c r="C92" i="43"/>
  <c r="C88" i="43"/>
  <c r="C80" i="43"/>
  <c r="C86" i="43" s="1"/>
  <c r="C82" i="43"/>
</calcChain>
</file>

<file path=xl/sharedStrings.xml><?xml version="1.0" encoding="utf-8"?>
<sst xmlns="http://schemas.openxmlformats.org/spreadsheetml/2006/main" count="1225" uniqueCount="675">
  <si>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</si>
  <si>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</si>
  <si>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</si>
  <si>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</si>
  <si>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</si>
  <si>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</si>
  <si>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</si>
  <si>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</si>
  <si>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</si>
  <si>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</si>
  <si>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</si>
  <si>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</si>
  <si>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</si>
  <si>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</si>
  <si>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</si>
  <si>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</si>
  <si>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</si>
  <si>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</si>
  <si>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</si>
  <si>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</si>
  <si>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</si>
  <si>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</si>
  <si>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</si>
  <si>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</si>
  <si>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</si>
  <si>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</si>
  <si>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</si>
  <si>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</si>
  <si>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</si>
  <si>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</si>
  <si>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</si>
  <si>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</si>
  <si>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</si>
  <si>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</si>
  <si>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</si>
  <si>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</si>
  <si>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</si>
  <si>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</si>
  <si>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</si>
  <si>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</si>
  <si>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</si>
  <si>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</si>
  <si>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</si>
  <si>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</si>
  <si>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</si>
  <si>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</si>
  <si>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</si>
  <si>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</si>
  <si>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</si>
  <si>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</si>
  <si>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</si>
  <si>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</si>
  <si>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</si>
  <si>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</si>
  <si>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</si>
  <si>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</si>
  <si>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</si>
  <si>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</si>
  <si>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</si>
  <si>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</si>
  <si>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</si>
  <si>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</si>
  <si>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</si>
  <si>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</si>
  <si>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</si>
  <si>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</si>
  <si>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</si>
  <si>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</si>
  <si>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</si>
  <si>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</si>
  <si>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</si>
  <si>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</si>
  <si>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</si>
  <si>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</si>
  <si>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</si>
  <si>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</si>
  <si>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</si>
  <si>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</si>
  <si>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</si>
  <si>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</si>
  <si>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</si>
  <si>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</si>
  <si>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</si>
  <si>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</si>
  <si>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</si>
  <si>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</si>
  <si>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</si>
  <si>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</si>
  <si>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</si>
  <si>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</si>
  <si>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</si>
  <si>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</si>
  <si>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</si>
  <si>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</si>
  <si>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</si>
  <si>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</si>
  <si>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</si>
  <si>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</si>
  <si>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</si>
  <si>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</si>
  <si>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</si>
  <si>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</si>
  <si>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</si>
  <si>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</si>
  <si>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</si>
  <si>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</si>
  <si>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</si>
  <si>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</si>
  <si>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</si>
  <si>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</si>
  <si>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</si>
  <si>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</si>
  <si>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</si>
  <si>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</si>
  <si>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</si>
  <si>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</si>
  <si>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</si>
  <si>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</si>
  <si>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</si>
  <si>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</si>
  <si>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</si>
  <si>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</si>
  <si>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</si>
  <si>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</si>
  <si>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</si>
  <si>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</si>
  <si>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</si>
  <si>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</si>
  <si>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</si>
  <si>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</si>
  <si>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</si>
  <si>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</si>
  <si>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</si>
  <si>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</si>
  <si>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</si>
  <si>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</si>
  <si>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</si>
  <si>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</si>
  <si>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</si>
  <si>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</si>
  <si>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</si>
  <si>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</si>
  <si>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</si>
  <si>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</si>
  <si>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</si>
  <si>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</si>
  <si>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</si>
  <si>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</si>
  <si>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</si>
  <si>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</si>
  <si>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</si>
  <si>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</si>
  <si>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</si>
  <si>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</si>
  <si>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</si>
  <si>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</si>
  <si>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</si>
  <si>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</si>
  <si>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</si>
  <si>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</si>
  <si>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</si>
  <si>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</si>
  <si>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</si>
  <si>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</si>
  <si>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</si>
  <si>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</si>
  <si>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</si>
  <si>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</si>
  <si>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</si>
  <si>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</si>
  <si>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</si>
  <si>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</si>
  <si>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</si>
  <si>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</si>
  <si>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</si>
  <si>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</si>
  <si>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</si>
  <si>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</si>
  <si>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</si>
  <si>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</si>
  <si>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</si>
  <si>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</si>
  <si>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</si>
  <si>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</si>
  <si>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</si>
  <si>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</si>
  <si>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</si>
  <si>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</si>
  <si>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</si>
  <si>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</si>
  <si>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</si>
  <si>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</si>
  <si>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</si>
  <si>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</si>
  <si>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</si>
  <si>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</si>
  <si>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</si>
  <si>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</si>
  <si>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</si>
  <si>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</si>
  <si>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</si>
  <si>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</si>
  <si>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</si>
  <si>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</si>
  <si>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</si>
  <si>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</si>
  <si>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</si>
  <si>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</si>
  <si>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</si>
  <si>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</si>
  <si>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</si>
  <si>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</si>
  <si>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</si>
  <si>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</si>
  <si>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</si>
  <si>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</si>
  <si>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</si>
  <si>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</si>
  <si>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</si>
  <si>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</si>
  <si>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</si>
  <si>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</si>
  <si>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</si>
  <si>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</si>
  <si>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</si>
  <si>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</si>
  <si>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</si>
  <si>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</si>
  <si>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</si>
  <si>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</si>
  <si>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</si>
  <si>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</si>
  <si>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</si>
  <si>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</si>
  <si>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</si>
  <si>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</si>
  <si>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</si>
  <si>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</si>
  <si>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</si>
  <si>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</si>
  <si>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</si>
  <si>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</si>
  <si>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</si>
  <si>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</si>
  <si>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</si>
  <si>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</si>
  <si>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</si>
  <si>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</si>
  <si>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</si>
  <si>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</si>
  <si>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</si>
  <si>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</si>
  <si>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</si>
  <si>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</si>
  <si>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</si>
  <si>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</si>
  <si>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</si>
  <si>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</si>
  <si>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</si>
  <si>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</si>
  <si>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</si>
  <si>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</si>
  <si>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</si>
  <si>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</si>
  <si>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</si>
  <si>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</si>
  <si>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</si>
  <si>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</si>
  <si>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</si>
  <si>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</si>
  <si>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</si>
  <si>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</si>
  <si>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</si>
  <si>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</si>
  <si>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</si>
  <si>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</si>
  <si>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</si>
  <si>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</si>
  <si>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</si>
  <si>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</si>
  <si>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</si>
  <si>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</si>
  <si>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</si>
  <si>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</si>
  <si>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</si>
  <si>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</si>
  <si>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</si>
  <si>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</si>
  <si>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</si>
  <si>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</si>
  <si>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</si>
  <si>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</si>
  <si>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</si>
  <si>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</si>
  <si>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</si>
  <si>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</si>
  <si>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</si>
  <si>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</si>
  <si>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</si>
  <si>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</si>
  <si>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</si>
  <si>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</si>
  <si>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</si>
  <si>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</si>
  <si>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</si>
  <si>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</si>
  <si>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</si>
  <si>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</si>
  <si>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</si>
  <si>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</si>
  <si>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</si>
  <si>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</si>
  <si>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</si>
  <si>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</si>
  <si>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</si>
  <si>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</si>
  <si>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</si>
  <si>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</si>
  <si>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</si>
  <si>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</si>
  <si>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</si>
  <si>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</si>
  <si>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</si>
  <si>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</si>
  <si>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</si>
  <si>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</si>
  <si>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</si>
  <si>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</si>
  <si>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</si>
  <si>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</si>
  <si>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</si>
  <si>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</si>
  <si>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</si>
  <si>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</si>
  <si>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</si>
  <si>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</si>
  <si>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</si>
  <si>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</si>
  <si>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</si>
  <si>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</si>
  <si>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</si>
  <si>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</si>
  <si>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</si>
  <si>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</si>
  <si>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</si>
  <si>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</si>
  <si>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</si>
  <si>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</si>
  <si>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</si>
  <si>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</si>
  <si>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</si>
  <si>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</si>
  <si>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</si>
  <si>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</si>
  <si>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</si>
  <si>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</si>
  <si>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</si>
  <si>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</si>
  <si>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</si>
  <si>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</si>
  <si>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</si>
  <si>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</si>
  <si>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</si>
  <si>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</si>
  <si>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</si>
  <si>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</si>
  <si>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</si>
  <si>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</si>
  <si>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</si>
  <si>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</si>
  <si>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</si>
  <si>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</si>
  <si>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</si>
  <si>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</si>
  <si>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</si>
  <si>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</si>
  <si>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</si>
  <si>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</si>
  <si>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</si>
  <si>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</si>
  <si>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</si>
  <si>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</si>
  <si>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</si>
  <si>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</si>
  <si>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</si>
  <si>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</si>
  <si>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</si>
  <si>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</si>
  <si>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</si>
  <si>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</si>
  <si>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</si>
  <si>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</si>
  <si>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</si>
  <si>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</si>
  <si>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</si>
  <si>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</si>
  <si>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</si>
  <si>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</si>
  <si>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</si>
  <si>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</si>
  <si>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</si>
  <si>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</si>
  <si>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</si>
  <si>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</si>
  <si>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</si>
  <si>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</si>
  <si>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</si>
  <si>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</si>
  <si>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</si>
  <si>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</si>
  <si>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</si>
  <si>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</si>
  <si>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</si>
  <si>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</si>
  <si>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</si>
  <si>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</si>
  <si>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</si>
  <si>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</si>
  <si>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</si>
  <si>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</si>
  <si>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</si>
  <si>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</si>
  <si>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</si>
  <si>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</si>
  <si>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</si>
  <si>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</si>
  <si>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</si>
  <si>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</si>
  <si>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</si>
  <si>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</si>
  <si>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</si>
  <si>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</si>
  <si>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</si>
  <si>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</si>
  <si>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</si>
  <si>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</si>
  <si>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</si>
  <si>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</si>
  <si>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</si>
  <si>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</si>
  <si>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</si>
  <si>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</si>
  <si>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</si>
  <si>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</si>
  <si>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</si>
  <si>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</si>
  <si>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</si>
  <si>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</si>
  <si>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</si>
  <si>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</si>
  <si>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</si>
  <si>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</si>
  <si>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</si>
  <si>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</si>
  <si>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</si>
  <si>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</si>
  <si>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</si>
  <si>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</si>
  <si>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</si>
  <si>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</si>
  <si>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</si>
  <si>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</si>
  <si>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</si>
  <si>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</si>
  <si>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</si>
  <si>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</si>
  <si>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</si>
  <si>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</si>
  <si>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</si>
  <si>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</si>
  <si>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</si>
  <si>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</si>
  <si>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</si>
  <si>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</si>
  <si>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</si>
  <si>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</si>
  <si>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</si>
  <si>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</si>
  <si>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</si>
  <si>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</si>
  <si>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</si>
  <si>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</si>
  <si>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</si>
  <si>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</si>
  <si>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</si>
  <si>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</si>
  <si>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</si>
  <si>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</si>
  <si>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</si>
  <si>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</si>
  <si>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</si>
  <si>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</si>
  <si>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</si>
  <si>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</si>
  <si>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</si>
  <si>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</si>
  <si>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</si>
  <si>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</si>
  <si>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</si>
  <si>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</si>
  <si>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</si>
  <si>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</si>
  <si>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</si>
  <si>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</si>
  <si>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</si>
  <si>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</si>
  <si>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</si>
  <si>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</si>
  <si>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</si>
  <si>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</si>
  <si>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</si>
  <si>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</si>
  <si>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</si>
  <si>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</si>
  <si>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</si>
  <si>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</si>
  <si>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</si>
  <si>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</si>
  <si>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</si>
  <si>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</si>
  <si>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</si>
  <si>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</si>
  <si>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</si>
  <si>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</si>
  <si>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</si>
  <si>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</si>
  <si>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</si>
  <si>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</si>
  <si>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</si>
  <si>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</si>
  <si>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</si>
  <si>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</si>
  <si>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</si>
  <si>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</si>
  <si>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</si>
  <si>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</si>
  <si>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</si>
  <si>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</si>
  <si>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</si>
  <si>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</si>
  <si>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</si>
  <si>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</si>
  <si>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</si>
  <si>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</si>
  <si>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</si>
  <si>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</si>
  <si>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</si>
  <si>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</si>
  <si>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</si>
  <si>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</si>
  <si>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</si>
  <si>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</si>
  <si>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</si>
  <si>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</si>
  <si>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</si>
  <si>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</si>
  <si>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</si>
  <si>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</si>
  <si>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</si>
  <si>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</si>
  <si>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</si>
  <si>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</si>
  <si>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</si>
  <si>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</si>
  <si>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</si>
  <si>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</si>
  <si>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</si>
  <si>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</si>
  <si>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</si>
  <si>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</si>
  <si>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</si>
  <si>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</si>
  <si>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</si>
  <si>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</si>
  <si>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</si>
  <si>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</si>
  <si>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</si>
  <si>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</si>
  <si>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</si>
  <si>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</si>
  <si>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</si>
  <si>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</si>
  <si>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</si>
  <si>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</si>
  <si>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</si>
  <si>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</si>
  <si>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</si>
  <si>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</si>
  <si>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</si>
  <si>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</si>
  <si>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</si>
  <si>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</si>
  <si>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</si>
  <si>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</si>
  <si>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</si>
  <si>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</si>
  <si>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</si>
  <si>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</si>
  <si>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</si>
  <si>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</si>
  <si>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</si>
  <si>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</si>
  <si>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</si>
  <si>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</si>
  <si>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</si>
  <si>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</si>
  <si>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</si>
  <si>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</si>
  <si>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</si>
  <si>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</si>
  <si>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</si>
  <si>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</si>
  <si>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</si>
  <si>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</si>
  <si>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</si>
  <si>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</si>
  <si>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</si>
  <si>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</si>
  <si>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</si>
  <si>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</si>
  <si>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</si>
  <si>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</si>
  <si>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</si>
  <si>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</si>
  <si>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</si>
  <si>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</si>
  <si>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</si>
  <si>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</si>
  <si>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</si>
  <si>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</si>
  <si>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</si>
  <si>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</si>
  <si>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</si>
  <si>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</si>
  <si>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</si>
  <si>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</si>
  <si>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</si>
  <si>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</si>
  <si>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</si>
  <si>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7~8kHz</t>
    <phoneticPr fontId="7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</si>
  <si>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</si>
  <si>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</si>
  <si>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</si>
  <si>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>사용안함</t>
    <phoneticPr fontId="2" type="noConversion"/>
  </si>
  <si>
    <t>21uF, 500V, 1000A(대동콘덴서)</t>
    <phoneticPr fontId="7" type="noConversion"/>
  </si>
  <si>
    <t>2직렬 4병렬, TOTAL: 42uF 1000V 4000A</t>
    <phoneticPr fontId="7" type="noConversion"/>
  </si>
  <si>
    <t xml:space="preserve">고객사 제작, 생산의뢰서 참조 </t>
    <phoneticPr fontId="2" type="noConversion"/>
  </si>
  <si>
    <t>1.5~2.5 (1.1~3.5까지 설계)</t>
    <phoneticPr fontId="7" type="noConversion"/>
  </si>
  <si>
    <t>567A</t>
    <phoneticPr fontId="7" type="noConversion"/>
  </si>
  <si>
    <t>605A</t>
    <phoneticPr fontId="7" type="noConversion"/>
  </si>
  <si>
    <t>IH_GATE_DRIVER_V21_DUAL_R6_3600A</t>
    <phoneticPr fontId="2" type="noConversion"/>
  </si>
  <si>
    <t>MAIN C/T</t>
    <phoneticPr fontId="2" type="noConversion"/>
  </si>
  <si>
    <r>
      <t>[FZ3600R12HP4] 1200V, 3600A,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</si>
  <si>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</si>
  <si>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</si>
  <si>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</si>
  <si>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</si>
  <si>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GT36_베어링 외륜 내경 하드닝</t>
    <phoneticPr fontId="7" type="noConversion"/>
  </si>
  <si>
    <t>일진글로벌_외륜_내경 하드닝</t>
    <phoneticPr fontId="3" type="noConversion"/>
  </si>
  <si>
    <t>2021.02.24</t>
    <phoneticPr fontId="2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</si>
  <si>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</si>
  <si>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</si>
  <si>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</si>
  <si>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</si>
  <si>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권선 몰드형, 1차: 13, 12, 11, 2차: 2, 2, 2, 2, 2, 2, 기본 탭비 12:2</t>
    <phoneticPr fontId="2" type="noConversion"/>
  </si>
  <si>
    <t>LCD 최대 설정값: 1700A</t>
    <phoneticPr fontId="2" type="noConversion"/>
  </si>
  <si>
    <t>FM+LBPWM</t>
    <phoneticPr fontId="3" type="noConversion"/>
  </si>
  <si>
    <t>MCCB</t>
    <phoneticPr fontId="3" type="noConversion"/>
  </si>
  <si>
    <t>EBS803c, 800A</t>
    <phoneticPr fontId="3" type="noConversion"/>
  </si>
  <si>
    <t>MCCB(핸들)</t>
    <phoneticPr fontId="2" type="noConversion"/>
  </si>
  <si>
    <t>[N-80] 외부조작핸들(직결형)</t>
    <phoneticPr fontId="2" type="noConversion"/>
  </si>
  <si>
    <t>MAIN MC</t>
    <phoneticPr fontId="2" type="noConversion"/>
  </si>
  <si>
    <t>MC-800a, 800AF</t>
    <phoneticPr fontId="2" type="noConversion"/>
  </si>
  <si>
    <t>최대 1600A (예상 1200A)</t>
    <phoneticPr fontId="2" type="noConversion"/>
  </si>
  <si>
    <t>최대 9600A (예상 7200A)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</si>
</sst>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</numFmts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4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1557705</xdr:colOff>
      <xdr:row>19</xdr:row>
      <xdr:rowOff>58555</xdr:rowOff>
    </xdr:from>
    <xdr:to>
      <xdr:col>22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1695356</xdr:colOff>
      <xdr:row>19</xdr:row>
      <xdr:rowOff>55621</xdr:rowOff>
    </xdr:from>
    <xdr:to>
      <xdr:col>22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1557705</xdr:colOff>
      <xdr:row>23</xdr:row>
      <xdr:rowOff>56203</xdr:rowOff>
    </xdr:from>
    <xdr:to>
      <xdr:col>22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1690298</xdr:colOff>
      <xdr:row>23</xdr:row>
      <xdr:rowOff>54429</xdr:rowOff>
    </xdr:from>
    <xdr:to>
      <xdr:col>22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1819409</xdr:colOff>
      <xdr:row>23</xdr:row>
      <xdr:rowOff>53245</xdr:rowOff>
    </xdr:from>
    <xdr:to>
      <xdr:col>22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1950107</xdr:colOff>
      <xdr:row>23</xdr:row>
      <xdr:rowOff>54428</xdr:rowOff>
    </xdr:from>
    <xdr:to>
      <xdr:col>22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1553159</xdr:colOff>
      <xdr:row>27</xdr:row>
      <xdr:rowOff>23664</xdr:rowOff>
    </xdr:from>
    <xdr:to>
      <xdr:col>22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1668030</xdr:colOff>
      <xdr:row>27</xdr:row>
      <xdr:rowOff>23230</xdr:rowOff>
    </xdr:from>
    <xdr:to>
      <xdr:col>22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1664555</xdr:colOff>
      <xdr:row>27</xdr:row>
      <xdr:rowOff>120160</xdr:rowOff>
    </xdr:from>
    <xdr:to>
      <xdr:col>22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1556525</xdr:colOff>
      <xdr:row>27</xdr:row>
      <xdr:rowOff>124239</xdr:rowOff>
    </xdr:from>
    <xdr:to>
      <xdr:col>22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2"/>
  <sheetViews>
    <sheetView topLeftCell="A4" zoomScale="80" zoomScaleNormal="80" workbookViewId="0">
      <selection activeCell="F27" sqref="F27"/>
    </sheetView>
  </sheetViews>
  <sheetFormatPr defaultColWidth="8.88671875" defaultRowHeight="13.5"/>
  <cols>
    <col min="1" max="1" width="8.88671875" style="1"/>
    <col min="2" max="2" width="40.77734375" style="1" customWidth="1"/>
    <col min="3" max="6" width="9.33203125" style="1" customWidth="1"/>
    <col min="7" max="7" width="6.33203125" style="1" customWidth="1"/>
    <col min="8" max="8" width="8.21875" style="1" bestFit="1" customWidth="1"/>
    <col min="9" max="9" width="67.33203125" style="1" customWidth="1"/>
    <col min="10" max="10" width="4" style="1" customWidth="1"/>
    <col min="11" max="11" width="19.109375" style="1" customWidth="1"/>
    <col min="12" max="13" width="12.77734375" style="1" bestFit="1" customWidth="1"/>
    <col min="14" max="14" width="12.109375" style="1" bestFit="1" customWidth="1"/>
    <col min="15" max="15" width="20.88671875" style="1" bestFit="1" customWidth="1"/>
    <col min="16" max="16" width="10.109375" style="1" bestFit="1" customWidth="1"/>
    <col min="17" max="17" width="8.88671875" style="1"/>
    <col min="18" max="18" width="4.44140625" style="1" customWidth="1"/>
    <col min="19" max="19" width="17.5546875" style="1" bestFit="1" customWidth="1"/>
    <col min="20" max="20" width="8.88671875" style="1"/>
    <col min="21" max="21" width="10.77734375" style="1" bestFit="1" customWidth="1"/>
    <col min="22" max="22" width="4.5546875" style="1" customWidth="1"/>
    <col min="23" max="23" width="30.6640625" style="1" customWidth="1"/>
    <col min="24" max="24" width="9" style="1" bestFit="1" customWidth="1"/>
    <col min="25" max="25" width="8.77734375" style="1" bestFit="1" customWidth="1"/>
    <col min="26" max="16384" width="8.88671875" style="1"/>
  </cols>
  <sheetData>
    <row r="1" spans="2:26" ht="18" thickBot="1">
      <c r="B1" s="58" t="s">
        <v>290</v>
      </c>
    </row>
    <row r="2" spans="2:26" ht="16.5">
      <c r="B2" s="46" t="s">
        <v>216</v>
      </c>
      <c r="C2" s="47"/>
      <c r="D2" s="172" t="s">
        <v>636</v>
      </c>
      <c r="E2" s="173" t="s">
        <v>637</v>
      </c>
      <c r="F2" s="47"/>
      <c r="G2" s="47"/>
      <c r="H2" s="47" t="s">
        <v>273</v>
      </c>
      <c r="I2" s="47" t="s">
        <v>221</v>
      </c>
    </row>
    <row r="3" spans="2:26" ht="16.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48" t="s">
        <v>1</v>
      </c>
      <c r="H3" s="49">
        <v>1</v>
      </c>
      <c r="I3" s="50" t="s">
        <v>219</v>
      </c>
      <c r="K3" s="205" t="s">
        <v>258</v>
      </c>
      <c r="L3" s="205"/>
      <c r="M3" s="205"/>
      <c r="N3" s="13"/>
      <c r="O3" s="206" t="s">
        <v>217</v>
      </c>
      <c r="P3" s="206"/>
      <c r="Q3" s="206"/>
      <c r="R3" s="13"/>
      <c r="S3" s="206" t="s">
        <v>489</v>
      </c>
      <c r="T3" s="206"/>
      <c r="U3" s="206"/>
      <c r="V3" s="13"/>
      <c r="W3" s="205" t="s">
        <v>238</v>
      </c>
      <c r="X3" s="205"/>
      <c r="Y3" s="205"/>
      <c r="Z3" s="14"/>
    </row>
    <row r="4" spans="2:26" ht="16.5">
      <c r="B4" s="48" t="s">
        <v>500</v>
      </c>
      <c r="C4" s="144">
        <v>440</v>
      </c>
      <c r="D4" s="174">
        <v>440</v>
      </c>
      <c r="E4" s="175">
        <v>440</v>
      </c>
      <c r="F4" s="158">
        <v>440</v>
      </c>
      <c r="G4" s="48" t="s">
        <v>0</v>
      </c>
      <c r="H4" s="49">
        <v>2</v>
      </c>
      <c r="I4" s="50" t="s">
        <v>220</v>
      </c>
      <c r="K4" s="5" t="s">
        <v>10</v>
      </c>
      <c r="L4" s="7">
        <v>2</v>
      </c>
      <c r="M4" s="5" t="s">
        <v>11</v>
      </c>
      <c r="N4" s="13" t="s">
        <v>629</v>
      </c>
      <c r="O4" s="5" t="s">
        <v>20</v>
      </c>
      <c r="P4" s="7">
        <v>400</v>
      </c>
      <c r="Q4" s="5" t="s">
        <v>0</v>
      </c>
      <c r="R4" s="13"/>
      <c r="S4" s="5" t="s">
        <v>188</v>
      </c>
      <c r="T4" s="3" t="s">
        <v>189</v>
      </c>
      <c r="U4" s="3"/>
      <c r="V4" s="13"/>
      <c r="W4" s="6" t="s">
        <v>106</v>
      </c>
      <c r="X4" s="7">
        <v>16.329999999999998</v>
      </c>
      <c r="Y4" s="6" t="s">
        <v>15</v>
      </c>
      <c r="Z4" s="143" t="s">
        <v>631</v>
      </c>
    </row>
    <row r="5" spans="2:26" ht="16.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62"/>
      <c r="H5" s="49"/>
      <c r="I5" s="48" t="s">
        <v>479</v>
      </c>
      <c r="K5" s="5" t="s">
        <v>12</v>
      </c>
      <c r="L5" s="7">
        <v>144</v>
      </c>
      <c r="M5" s="5" t="s">
        <v>13</v>
      </c>
      <c r="N5" s="13"/>
      <c r="O5" s="5" t="s">
        <v>466</v>
      </c>
      <c r="P5" s="7">
        <v>0.04</v>
      </c>
      <c r="Q5" s="5" t="s">
        <v>19</v>
      </c>
      <c r="R5" s="13"/>
      <c r="S5" s="12" t="s">
        <v>190</v>
      </c>
      <c r="T5" s="15">
        <v>1.75</v>
      </c>
      <c r="U5" s="12" t="s">
        <v>191</v>
      </c>
      <c r="V5" s="13"/>
      <c r="W5" s="6" t="s">
        <v>107</v>
      </c>
      <c r="X5" s="7">
        <v>1400</v>
      </c>
      <c r="Y5" s="6" t="s">
        <v>2</v>
      </c>
      <c r="Z5" s="14"/>
    </row>
    <row r="6" spans="2:26" ht="16.5">
      <c r="B6" s="48" t="s">
        <v>64</v>
      </c>
      <c r="C6" s="146">
        <f t="shared" ref="C6" si="0">ROUND(C3*1000/(C4*0.9)/1.732/C5,1)</f>
        <v>567</v>
      </c>
      <c r="D6" s="178">
        <f t="shared" ref="D6" si="1">ROUND(D3*1000/(D4*0.9)/1.732/D5,1)</f>
        <v>567</v>
      </c>
      <c r="E6" s="179">
        <f t="shared" ref="E6" si="2">ROUND(E3*1000/(E4*0.9)/1.732/E5,1)</f>
        <v>567</v>
      </c>
      <c r="F6" s="160">
        <f t="shared" ref="F6" si="3">ROUND(F3*1000/(F4*0.9)/1.732/F5,1)</f>
        <v>567</v>
      </c>
      <c r="G6" s="162" t="s">
        <v>2</v>
      </c>
      <c r="H6" s="49"/>
      <c r="I6" s="48" t="s">
        <v>270</v>
      </c>
      <c r="K6" s="5" t="s">
        <v>14</v>
      </c>
      <c r="L6" s="7">
        <v>150</v>
      </c>
      <c r="M6" s="5" t="s">
        <v>13</v>
      </c>
      <c r="N6" s="13"/>
      <c r="O6" s="5" t="s">
        <v>21</v>
      </c>
      <c r="P6" s="7">
        <v>36</v>
      </c>
      <c r="Q6" s="5" t="s">
        <v>22</v>
      </c>
      <c r="R6" s="13"/>
      <c r="S6" s="12" t="s">
        <v>192</v>
      </c>
      <c r="T6" s="16">
        <v>3.8999999999999998E-3</v>
      </c>
      <c r="U6" s="12" t="s">
        <v>193</v>
      </c>
      <c r="V6" s="13"/>
      <c r="W6" s="6" t="s">
        <v>108</v>
      </c>
      <c r="X6" s="7">
        <v>2800</v>
      </c>
      <c r="Y6" s="6" t="s">
        <v>27</v>
      </c>
      <c r="Z6" s="14"/>
    </row>
    <row r="7" spans="2:26" ht="16.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2" t="s">
        <v>74</v>
      </c>
      <c r="H7" s="49"/>
      <c r="I7" s="48"/>
      <c r="K7" s="5" t="s">
        <v>97</v>
      </c>
      <c r="L7" s="8">
        <f>(L5*L4)*(L5*L4)/(101.6*(4.5*L5+10*L6))</f>
        <v>0.38006422381559851</v>
      </c>
      <c r="M7" s="5" t="s">
        <v>15</v>
      </c>
      <c r="N7" s="13"/>
      <c r="O7" s="5" t="s">
        <v>23</v>
      </c>
      <c r="P7" s="7">
        <v>400000</v>
      </c>
      <c r="Q7" s="5" t="s">
        <v>24</v>
      </c>
      <c r="R7" s="13"/>
      <c r="S7" s="12" t="s">
        <v>194</v>
      </c>
      <c r="T7" s="17">
        <v>45</v>
      </c>
      <c r="U7" s="12" t="s">
        <v>48</v>
      </c>
      <c r="V7" s="13"/>
      <c r="W7" s="6" t="s">
        <v>262</v>
      </c>
      <c r="X7" s="7">
        <v>580</v>
      </c>
      <c r="Y7" s="6" t="s">
        <v>0</v>
      </c>
      <c r="Z7" s="14"/>
    </row>
    <row r="8" spans="2:26" ht="16.5">
      <c r="B8" s="48" t="s">
        <v>65</v>
      </c>
      <c r="C8" s="147">
        <f t="shared" ref="C8" si="4">ROUND(C6/C7,0)</f>
        <v>284</v>
      </c>
      <c r="D8" s="180">
        <f t="shared" ref="D8" si="5">ROUND(D6/D7,0)</f>
        <v>284</v>
      </c>
      <c r="E8" s="181">
        <f t="shared" ref="E8" si="6">ROUND(E6/E7,0)</f>
        <v>284</v>
      </c>
      <c r="F8" s="161">
        <f t="shared" ref="F8" si="7">ROUND(F6/F7,0)</f>
        <v>284</v>
      </c>
      <c r="G8" s="162" t="s">
        <v>3</v>
      </c>
      <c r="H8" s="49"/>
      <c r="I8" s="48"/>
      <c r="K8" s="5" t="s">
        <v>98</v>
      </c>
      <c r="L8" s="7">
        <v>100</v>
      </c>
      <c r="M8" s="5" t="s">
        <v>7</v>
      </c>
      <c r="N8" s="13"/>
      <c r="O8" s="5" t="s">
        <v>25</v>
      </c>
      <c r="P8" s="25">
        <f>(5000*P4)/(P5*P6*P7)</f>
        <v>3.4722222222222223</v>
      </c>
      <c r="Q8" s="5" t="s">
        <v>218</v>
      </c>
      <c r="R8" s="13"/>
      <c r="S8" s="12" t="s">
        <v>195</v>
      </c>
      <c r="T8" s="16">
        <f>T5*(1+T6*(T7-20))</f>
        <v>1.9206249999999998</v>
      </c>
      <c r="U8" s="12" t="s">
        <v>191</v>
      </c>
      <c r="V8" s="13"/>
      <c r="W8" s="6" t="s">
        <v>261</v>
      </c>
      <c r="X8" s="25">
        <f>SQRT(X7^2+X4*X5^2/X6)</f>
        <v>589.77198984014149</v>
      </c>
      <c r="Y8" s="6" t="s">
        <v>0</v>
      </c>
      <c r="Z8" s="14"/>
    </row>
    <row r="9" spans="2:26" ht="16.5">
      <c r="B9" s="48"/>
      <c r="C9" s="148"/>
      <c r="D9" s="182"/>
      <c r="E9" s="183"/>
      <c r="F9" s="162"/>
      <c r="G9" s="162"/>
      <c r="H9" s="49"/>
      <c r="I9" s="48"/>
      <c r="K9" s="5" t="s">
        <v>95</v>
      </c>
      <c r="L9" s="8">
        <f>L7*L8/100</f>
        <v>0.38006422381559851</v>
      </c>
      <c r="M9" s="5" t="s">
        <v>15</v>
      </c>
      <c r="N9" s="13"/>
      <c r="O9" s="13"/>
      <c r="P9" s="13"/>
      <c r="Q9" s="13"/>
      <c r="R9" s="13"/>
      <c r="S9" s="12" t="s">
        <v>196</v>
      </c>
      <c r="T9" s="18">
        <f>1/(T8/100000000)</f>
        <v>52066384.64041654</v>
      </c>
      <c r="U9" s="12" t="s">
        <v>197</v>
      </c>
      <c r="V9" s="13"/>
      <c r="W9" s="13"/>
      <c r="X9" s="13"/>
      <c r="Y9" s="13"/>
      <c r="Z9" s="14"/>
    </row>
    <row r="10" spans="2:26" ht="16.5">
      <c r="B10" s="48" t="s">
        <v>16</v>
      </c>
      <c r="C10" s="146">
        <f t="shared" ref="C10" si="8">ROUND(C4*2^0.5*0.93,1)</f>
        <v>578.70000000000005</v>
      </c>
      <c r="D10" s="178">
        <f t="shared" ref="D10" si="9">ROUND(D4*2^0.5*0.93,1)</f>
        <v>578.70000000000005</v>
      </c>
      <c r="E10" s="179">
        <f t="shared" ref="E10" si="10">ROUND(E4*2^0.5*0.93,1)</f>
        <v>578.70000000000005</v>
      </c>
      <c r="F10" s="160">
        <f t="shared" ref="F10" si="11">ROUND(F4*2^0.5*0.93,1)</f>
        <v>578.70000000000005</v>
      </c>
      <c r="G10" s="162" t="s">
        <v>0</v>
      </c>
      <c r="H10" s="49"/>
      <c r="I10" s="48" t="s">
        <v>269</v>
      </c>
      <c r="K10" s="6" t="s">
        <v>94</v>
      </c>
      <c r="L10" s="7">
        <v>2.65</v>
      </c>
      <c r="M10" s="5" t="s">
        <v>15</v>
      </c>
      <c r="N10" s="13"/>
      <c r="O10" s="206" t="s">
        <v>502</v>
      </c>
      <c r="P10" s="206"/>
      <c r="Q10" s="206"/>
      <c r="R10" s="13"/>
      <c r="S10" s="12" t="s">
        <v>198</v>
      </c>
      <c r="T10" s="3">
        <v>1</v>
      </c>
      <c r="U10" s="12" t="s">
        <v>199</v>
      </c>
      <c r="V10" s="13"/>
      <c r="W10" s="205" t="s">
        <v>249</v>
      </c>
      <c r="X10" s="205"/>
      <c r="Y10" s="205"/>
      <c r="Z10" s="14"/>
    </row>
    <row r="11" spans="2:26" ht="16.5">
      <c r="B11" s="48" t="s">
        <v>17</v>
      </c>
      <c r="C11" s="146">
        <f t="shared" ref="C11" si="12">ROUND(C3*1000/C10,1)</f>
        <v>604.79999999999995</v>
      </c>
      <c r="D11" s="178">
        <f t="shared" ref="D11" si="13">ROUND(D3*1000/D10,1)</f>
        <v>604.79999999999995</v>
      </c>
      <c r="E11" s="179">
        <f t="shared" ref="E11" si="14">ROUND(E3*1000/E10,1)</f>
        <v>604.79999999999995</v>
      </c>
      <c r="F11" s="160">
        <f t="shared" ref="F11" si="15">ROUND(F3*1000/F10,1)</f>
        <v>604.79999999999995</v>
      </c>
      <c r="G11" s="162" t="s">
        <v>2</v>
      </c>
      <c r="H11" s="49"/>
      <c r="I11" s="48" t="s">
        <v>271</v>
      </c>
      <c r="K11" s="6" t="s">
        <v>259</v>
      </c>
      <c r="L11" s="7">
        <v>6</v>
      </c>
      <c r="M11" s="5" t="s">
        <v>42</v>
      </c>
      <c r="N11" s="13"/>
      <c r="O11" s="5" t="s">
        <v>26</v>
      </c>
      <c r="P11" s="7">
        <f>L24</f>
        <v>42</v>
      </c>
      <c r="Q11" s="5" t="s">
        <v>27</v>
      </c>
      <c r="R11" s="13"/>
      <c r="S11" s="12" t="s">
        <v>37</v>
      </c>
      <c r="T11" s="19">
        <v>1000</v>
      </c>
      <c r="U11" s="12" t="s">
        <v>200</v>
      </c>
      <c r="V11" s="13"/>
      <c r="W11" s="5" t="s">
        <v>108</v>
      </c>
      <c r="X11" s="7">
        <v>2800</v>
      </c>
      <c r="Y11" s="5" t="s">
        <v>27</v>
      </c>
      <c r="Z11" s="143" t="s">
        <v>631</v>
      </c>
    </row>
    <row r="12" spans="2:26" ht="16.5">
      <c r="B12" s="48"/>
      <c r="C12" s="148"/>
      <c r="D12" s="182"/>
      <c r="E12" s="183"/>
      <c r="F12" s="162"/>
      <c r="G12" s="162"/>
      <c r="H12" s="49"/>
      <c r="I12" s="48"/>
      <c r="K12" s="6" t="s">
        <v>96</v>
      </c>
      <c r="L12" s="7">
        <v>1</v>
      </c>
      <c r="M12" s="5" t="s">
        <v>66</v>
      </c>
      <c r="N12" s="13"/>
      <c r="O12" s="5" t="s">
        <v>28</v>
      </c>
      <c r="P12" s="112">
        <f>L14</f>
        <v>16.332312057361545</v>
      </c>
      <c r="Q12" s="5" t="s">
        <v>15</v>
      </c>
      <c r="R12" s="13"/>
      <c r="S12" s="12" t="s">
        <v>230</v>
      </c>
      <c r="T12" s="31">
        <f>503.3*SQRT((T8/100000000)/(T10*T11))*1000</f>
        <v>2.205709020034714</v>
      </c>
      <c r="U12" s="12" t="s">
        <v>201</v>
      </c>
      <c r="V12" s="13"/>
      <c r="W12" s="5" t="s">
        <v>110</v>
      </c>
      <c r="X12" s="7">
        <v>580</v>
      </c>
      <c r="Y12" s="5" t="s">
        <v>0</v>
      </c>
      <c r="Z12" s="14"/>
    </row>
    <row r="13" spans="2:26" ht="16.5">
      <c r="B13" s="46" t="s">
        <v>215</v>
      </c>
      <c r="C13" s="148"/>
      <c r="D13" s="182"/>
      <c r="E13" s="183"/>
      <c r="F13" s="162"/>
      <c r="G13" s="162"/>
      <c r="H13" s="49"/>
      <c r="I13" s="48"/>
      <c r="K13" s="6" t="s">
        <v>99</v>
      </c>
      <c r="L13" s="20">
        <v>1</v>
      </c>
      <c r="M13" s="5" t="s">
        <v>67</v>
      </c>
      <c r="N13" s="13"/>
      <c r="O13" s="5" t="s">
        <v>29</v>
      </c>
      <c r="P13" s="25">
        <f>1/(2*3.14*SQRT((P11/1000000)*(P12/1000000)))</f>
        <v>6079.836165594219</v>
      </c>
      <c r="Q13" s="5" t="s">
        <v>30</v>
      </c>
      <c r="R13" s="13"/>
      <c r="S13" s="12" t="s">
        <v>231</v>
      </c>
      <c r="T13" s="26">
        <v>6126</v>
      </c>
      <c r="U13" s="12" t="s">
        <v>201</v>
      </c>
      <c r="V13" s="13"/>
      <c r="W13" s="5" t="s">
        <v>107</v>
      </c>
      <c r="X13" s="7">
        <v>1400</v>
      </c>
      <c r="Y13" s="5" t="s">
        <v>2</v>
      </c>
      <c r="Z13" s="14"/>
    </row>
    <row r="14" spans="2:26" ht="16.5">
      <c r="B14" s="48" t="s">
        <v>75</v>
      </c>
      <c r="C14" s="144">
        <v>16.329999999999998</v>
      </c>
      <c r="D14" s="174">
        <v>16.329999999999998</v>
      </c>
      <c r="E14" s="175">
        <v>10.87</v>
      </c>
      <c r="F14" s="158">
        <v>10.87</v>
      </c>
      <c r="G14" s="162" t="s">
        <v>15</v>
      </c>
      <c r="H14" s="49">
        <v>3</v>
      </c>
      <c r="I14" s="50" t="s">
        <v>267</v>
      </c>
      <c r="K14" s="6" t="s">
        <v>260</v>
      </c>
      <c r="L14" s="30">
        <f>L9/L12*L13*L11^2+L10</f>
        <v>16.332312057361545</v>
      </c>
      <c r="M14" s="5" t="s">
        <v>15</v>
      </c>
      <c r="N14" s="13"/>
      <c r="O14" s="13"/>
      <c r="P14" s="13"/>
      <c r="Q14" s="13"/>
      <c r="R14" s="13"/>
      <c r="S14" s="12" t="s">
        <v>257</v>
      </c>
      <c r="T14" s="26">
        <v>2</v>
      </c>
      <c r="U14" s="12" t="s">
        <v>201</v>
      </c>
      <c r="V14" s="13"/>
      <c r="W14" s="5" t="s">
        <v>112</v>
      </c>
      <c r="X14" s="7">
        <v>8000</v>
      </c>
      <c r="Y14" s="5" t="s">
        <v>24</v>
      </c>
      <c r="Z14" s="14"/>
    </row>
    <row r="15" spans="2:26" ht="16.5">
      <c r="B15" s="48" t="s">
        <v>76</v>
      </c>
      <c r="C15" s="144">
        <v>42</v>
      </c>
      <c r="D15" s="174">
        <v>42</v>
      </c>
      <c r="E15" s="175">
        <v>42</v>
      </c>
      <c r="F15" s="158">
        <v>42</v>
      </c>
      <c r="G15" s="162" t="s">
        <v>27</v>
      </c>
      <c r="H15" s="49">
        <v>4</v>
      </c>
      <c r="I15" s="50" t="s">
        <v>272</v>
      </c>
      <c r="J15" s="2"/>
      <c r="K15" s="13"/>
      <c r="L15" s="13"/>
      <c r="M15" s="13"/>
      <c r="N15" s="13"/>
      <c r="O15" s="206" t="s">
        <v>224</v>
      </c>
      <c r="P15" s="206"/>
      <c r="Q15" s="206"/>
      <c r="R15" s="13"/>
      <c r="S15" s="12" t="s">
        <v>255</v>
      </c>
      <c r="T15" s="27">
        <f>MIN(T12,T14)</f>
        <v>2</v>
      </c>
      <c r="U15" s="12" t="s">
        <v>201</v>
      </c>
      <c r="V15" s="13"/>
      <c r="W15" s="5" t="s">
        <v>113</v>
      </c>
      <c r="X15" s="8">
        <f>(1.414*X13*0.421)/(2*3.14159*X14*X12*2*X11*0.000001)*2*100</f>
        <v>1.020948951722338</v>
      </c>
      <c r="Y15" s="5" t="s">
        <v>7</v>
      </c>
      <c r="Z15" s="14"/>
    </row>
    <row r="16" spans="2:26" ht="16.5">
      <c r="B16" s="48" t="s">
        <v>77</v>
      </c>
      <c r="C16" s="149">
        <f>1000/(2*PI()*(C14*C15)^0.5)</f>
        <v>6.0771841163618445</v>
      </c>
      <c r="D16" s="184">
        <f>1000/(2*PI()*(D14*D15)^0.5)</f>
        <v>6.0771841163618445</v>
      </c>
      <c r="E16" s="185">
        <f>1000/(2*PI()*(E14*E15)^0.5)</f>
        <v>7.4487039652694724</v>
      </c>
      <c r="F16" s="163">
        <f>1000/(2*PI()*(F14*F15)^0.5)</f>
        <v>7.4487039652694724</v>
      </c>
      <c r="G16" s="162" t="s">
        <v>4</v>
      </c>
      <c r="H16" s="49"/>
      <c r="I16" s="48" t="s">
        <v>223</v>
      </c>
      <c r="K16" s="205" t="s">
        <v>202</v>
      </c>
      <c r="L16" s="205"/>
      <c r="M16" s="205"/>
      <c r="N16" s="13"/>
      <c r="O16" s="5" t="s">
        <v>31</v>
      </c>
      <c r="P16" s="7">
        <v>40</v>
      </c>
      <c r="Q16" s="5" t="s">
        <v>32</v>
      </c>
      <c r="R16" s="13"/>
      <c r="S16" s="12" t="s">
        <v>253</v>
      </c>
      <c r="T16" s="26">
        <v>60</v>
      </c>
      <c r="U16" s="12" t="s">
        <v>201</v>
      </c>
      <c r="V16" s="13"/>
      <c r="W16" s="5" t="s">
        <v>109</v>
      </c>
      <c r="X16" s="25">
        <f>X12*X15/100</f>
        <v>5.9215039199895605</v>
      </c>
      <c r="Y16" s="5" t="s">
        <v>0</v>
      </c>
      <c r="Z16" s="14"/>
    </row>
    <row r="17" spans="2:26" ht="16.5">
      <c r="B17" s="48" t="s">
        <v>78</v>
      </c>
      <c r="C17" s="144">
        <v>30</v>
      </c>
      <c r="D17" s="174">
        <v>30</v>
      </c>
      <c r="E17" s="175">
        <v>30</v>
      </c>
      <c r="F17" s="158">
        <v>30</v>
      </c>
      <c r="G17" s="162" t="s">
        <v>79</v>
      </c>
      <c r="H17" s="49">
        <v>6</v>
      </c>
      <c r="I17" s="50" t="s">
        <v>250</v>
      </c>
      <c r="K17" s="21" t="s">
        <v>207</v>
      </c>
      <c r="L17" s="22">
        <v>21</v>
      </c>
      <c r="M17" s="21" t="s">
        <v>27</v>
      </c>
      <c r="N17" s="13" t="s">
        <v>630</v>
      </c>
      <c r="O17" s="5" t="s">
        <v>33</v>
      </c>
      <c r="P17" s="7">
        <v>17.34</v>
      </c>
      <c r="Q17" s="5" t="s">
        <v>4</v>
      </c>
      <c r="R17" s="13"/>
      <c r="S17" s="12" t="s">
        <v>252</v>
      </c>
      <c r="T17" s="27">
        <f>T15*T16</f>
        <v>120</v>
      </c>
      <c r="U17" s="12" t="s">
        <v>227</v>
      </c>
      <c r="V17" s="13"/>
      <c r="W17" s="5" t="s">
        <v>111</v>
      </c>
      <c r="X17" s="25">
        <f>2*3.14159*X14*X11*0.000001*X16</f>
        <v>833.41160000000013</v>
      </c>
      <c r="Y17" s="5" t="s">
        <v>2</v>
      </c>
      <c r="Z17" s="14"/>
    </row>
    <row r="18" spans="2:26" ht="16.5">
      <c r="B18" s="48" t="s">
        <v>80</v>
      </c>
      <c r="C18" s="147">
        <f t="shared" ref="C18" si="16">ROUNDUP(TAN(PI()*C17/180),3)</f>
        <v>0.57799999999999996</v>
      </c>
      <c r="D18" s="180">
        <f t="shared" ref="D18" si="17">ROUNDUP(TAN(PI()*D17/180),3)</f>
        <v>0.57799999999999996</v>
      </c>
      <c r="E18" s="181">
        <f t="shared" ref="E18" si="18">ROUNDUP(TAN(PI()*E17/180),3)</f>
        <v>0.57799999999999996</v>
      </c>
      <c r="F18" s="161">
        <f t="shared" ref="F18" si="19">ROUNDUP(TAN(PI()*F17/180),3)</f>
        <v>0.57799999999999996</v>
      </c>
      <c r="G18" s="162"/>
      <c r="H18" s="49"/>
      <c r="I18" s="48"/>
      <c r="K18" s="21" t="s">
        <v>203</v>
      </c>
      <c r="L18" s="22">
        <v>1</v>
      </c>
      <c r="M18" s="21" t="s">
        <v>210</v>
      </c>
      <c r="N18" s="13"/>
      <c r="O18" s="5" t="s">
        <v>34</v>
      </c>
      <c r="P18" s="7">
        <v>1396</v>
      </c>
      <c r="Q18" s="5" t="s">
        <v>2</v>
      </c>
      <c r="R18" s="13"/>
      <c r="S18" s="12" t="s">
        <v>232</v>
      </c>
      <c r="T18" s="26">
        <v>850</v>
      </c>
      <c r="U18" s="4" t="s">
        <v>228</v>
      </c>
      <c r="V18" s="13"/>
      <c r="W18" s="13"/>
      <c r="X18" s="13"/>
      <c r="Y18" s="13"/>
      <c r="Z18" s="14"/>
    </row>
    <row r="19" spans="2:26" ht="16.5">
      <c r="B19" s="48"/>
      <c r="C19" s="148"/>
      <c r="D19" s="182"/>
      <c r="E19" s="183"/>
      <c r="F19" s="162"/>
      <c r="G19" s="162"/>
      <c r="H19" s="49"/>
      <c r="I19" s="48"/>
      <c r="K19" s="21" t="s">
        <v>205</v>
      </c>
      <c r="L19" s="22">
        <v>500</v>
      </c>
      <c r="M19" s="21" t="s">
        <v>0</v>
      </c>
      <c r="N19" s="13"/>
      <c r="O19" s="5" t="s">
        <v>35</v>
      </c>
      <c r="P19" s="25">
        <f>(P18)/(2*3.14*P17*1000*(P16/1000000))</f>
        <v>320.49162864846198</v>
      </c>
      <c r="Q19" s="5" t="s">
        <v>0</v>
      </c>
      <c r="R19" s="13"/>
      <c r="S19" s="12" t="s">
        <v>492</v>
      </c>
      <c r="T19" s="28">
        <f>T18/T17</f>
        <v>7.083333333333333</v>
      </c>
      <c r="U19" s="4" t="s">
        <v>228</v>
      </c>
      <c r="V19" s="13"/>
      <c r="W19" s="205" t="s">
        <v>487</v>
      </c>
      <c r="X19" s="205"/>
      <c r="Y19" s="205"/>
      <c r="Z19" s="14"/>
    </row>
    <row r="20" spans="2:26" ht="16.5">
      <c r="B20" s="48" t="s">
        <v>41</v>
      </c>
      <c r="C20" s="150">
        <v>1.1000000000000001</v>
      </c>
      <c r="D20" s="186">
        <v>1.51</v>
      </c>
      <c r="E20" s="187">
        <v>2.04</v>
      </c>
      <c r="F20" s="164">
        <v>3.5</v>
      </c>
      <c r="G20" s="162"/>
      <c r="H20" s="49">
        <v>5</v>
      </c>
      <c r="I20" s="50" t="s">
        <v>268</v>
      </c>
      <c r="K20" s="21" t="s">
        <v>206</v>
      </c>
      <c r="L20" s="22">
        <v>1000</v>
      </c>
      <c r="M20" s="21" t="s">
        <v>2</v>
      </c>
      <c r="N20" s="13"/>
      <c r="O20" s="13"/>
      <c r="P20" s="13"/>
      <c r="Q20" s="13"/>
      <c r="R20" s="13"/>
      <c r="S20" s="12" t="s">
        <v>233</v>
      </c>
      <c r="T20" s="28">
        <f>T8/100000000*(T18^2)/(T17/1000000)*T13/1000</f>
        <v>708.39612265624987</v>
      </c>
      <c r="U20" s="4" t="s">
        <v>229</v>
      </c>
      <c r="V20" s="13"/>
      <c r="W20" s="81" t="s">
        <v>481</v>
      </c>
      <c r="X20" s="48">
        <v>0.9133</v>
      </c>
      <c r="Y20" s="48" t="s">
        <v>480</v>
      </c>
      <c r="Z20" s="14"/>
    </row>
    <row r="21" spans="2:26" ht="16.5">
      <c r="B21" s="48" t="s">
        <v>81</v>
      </c>
      <c r="C21" s="151">
        <f t="shared" ref="C21" si="20">C16*((C18/C20)+(((C18/C20)^2+4)^0.5))/2</f>
        <v>7.8800672281917903</v>
      </c>
      <c r="D21" s="188">
        <f t="shared" ref="D21" si="21">D16*((D18/D20)+(((D18/D20)^2+4)^0.5))/2</f>
        <v>7.3506046531367257</v>
      </c>
      <c r="E21" s="189">
        <f t="shared" ref="E21" si="22">E16*((E18/E20)+(((E18/E20)^2+4)^0.5))/2</f>
        <v>8.5783113929101606</v>
      </c>
      <c r="F21" s="165">
        <f t="shared" ref="F21" si="23">F16*((F18/F20)+(((F18/F20)^2+4)^0.5))/2</f>
        <v>8.0891037411845943</v>
      </c>
      <c r="G21" s="162" t="s">
        <v>4</v>
      </c>
      <c r="H21" s="49"/>
      <c r="I21" s="51" t="s">
        <v>248</v>
      </c>
      <c r="K21" s="21" t="s">
        <v>204</v>
      </c>
      <c r="L21" s="22">
        <v>1</v>
      </c>
      <c r="M21" s="21" t="s">
        <v>210</v>
      </c>
      <c r="N21" s="13"/>
      <c r="O21" s="206" t="s">
        <v>225</v>
      </c>
      <c r="P21" s="206"/>
      <c r="Q21" s="206"/>
      <c r="R21" s="13"/>
      <c r="S21" s="13"/>
      <c r="T21" s="13"/>
      <c r="U21" s="13"/>
      <c r="V21" s="13"/>
      <c r="W21" s="21" t="s">
        <v>482</v>
      </c>
      <c r="X21" s="57">
        <v>3</v>
      </c>
      <c r="Y21" s="48" t="s">
        <v>305</v>
      </c>
      <c r="Z21" s="14"/>
    </row>
    <row r="22" spans="2:26" ht="16.5">
      <c r="B22" s="48" t="s">
        <v>285</v>
      </c>
      <c r="C22" s="152">
        <f>2*PI()*C16*C14</f>
        <v>623.54592758635181</v>
      </c>
      <c r="D22" s="190">
        <f>2*PI()*D16*D14</f>
        <v>623.54592758635181</v>
      </c>
      <c r="E22" s="191">
        <f>2*PI()*E16*E14</f>
        <v>508.73325408265168</v>
      </c>
      <c r="F22" s="166">
        <f>2*PI()*F16*F14</f>
        <v>508.73325408265168</v>
      </c>
      <c r="G22" s="162" t="s">
        <v>83</v>
      </c>
      <c r="H22" s="49"/>
      <c r="I22" s="48"/>
      <c r="K22" s="21" t="s">
        <v>211</v>
      </c>
      <c r="L22" s="22">
        <v>2</v>
      </c>
      <c r="M22" s="21" t="s">
        <v>67</v>
      </c>
      <c r="N22" s="13"/>
      <c r="O22" s="6" t="s">
        <v>152</v>
      </c>
      <c r="P22" s="7">
        <v>600</v>
      </c>
      <c r="Q22" s="5" t="s">
        <v>153</v>
      </c>
      <c r="R22" s="13"/>
      <c r="S22" s="206" t="s">
        <v>490</v>
      </c>
      <c r="T22" s="206"/>
      <c r="U22" s="206"/>
      <c r="V22" s="13"/>
      <c r="W22" s="21" t="s">
        <v>483</v>
      </c>
      <c r="X22" s="80">
        <f>X20*X21</f>
        <v>2.7399</v>
      </c>
      <c r="Y22" s="48" t="s">
        <v>480</v>
      </c>
      <c r="Z22" s="14"/>
    </row>
    <row r="23" spans="2:26" ht="16.5">
      <c r="B23" s="48" t="s">
        <v>82</v>
      </c>
      <c r="C23" s="152">
        <f>2*PI()*C21*C14</f>
        <v>808.52969651135379</v>
      </c>
      <c r="D23" s="190">
        <f>2*PI()*D21*D14</f>
        <v>754.2044981688997</v>
      </c>
      <c r="E23" s="191">
        <f>2*PI()*E21*E14</f>
        <v>585.88343553422328</v>
      </c>
      <c r="F23" s="166">
        <f>2*PI()*F21*F14</f>
        <v>552.47142161275497</v>
      </c>
      <c r="G23" s="162" t="s">
        <v>83</v>
      </c>
      <c r="H23" s="49"/>
      <c r="I23" s="48"/>
      <c r="K23" s="21" t="s">
        <v>212</v>
      </c>
      <c r="L23" s="22">
        <v>4</v>
      </c>
      <c r="M23" s="21" t="s">
        <v>66</v>
      </c>
      <c r="N23" s="13"/>
      <c r="O23" s="6" t="s">
        <v>263</v>
      </c>
      <c r="P23" s="7">
        <v>22</v>
      </c>
      <c r="Q23" s="5" t="s">
        <v>154</v>
      </c>
      <c r="R23" s="13"/>
      <c r="S23" s="5" t="s">
        <v>188</v>
      </c>
      <c r="T23" s="3" t="s">
        <v>189</v>
      </c>
      <c r="U23" s="3"/>
      <c r="V23" s="13"/>
      <c r="W23" s="21"/>
      <c r="X23" s="48"/>
      <c r="Y23" s="48"/>
      <c r="Z23" s="14"/>
    </row>
    <row r="24" spans="2:26" ht="16.5">
      <c r="B24" s="48" t="s">
        <v>84</v>
      </c>
      <c r="C24" s="152">
        <f t="shared" ref="C24" si="24">1000000/(2*PI()*C21*C15)</f>
        <v>480.88465456143444</v>
      </c>
      <c r="D24" s="190">
        <f t="shared" ref="D24" si="25">1000000/(2*PI()*D21*D15)</f>
        <v>515.52267952988541</v>
      </c>
      <c r="E24" s="191">
        <f t="shared" ref="E24" si="26">1000000/(2*PI()*E21*E15)</f>
        <v>441.74234687747185</v>
      </c>
      <c r="F24" s="166">
        <f t="shared" ref="F24" si="27">1000000/(2*PI()*F21*F15)</f>
        <v>468.45775850996273</v>
      </c>
      <c r="G24" s="162" t="s">
        <v>83</v>
      </c>
      <c r="H24" s="49"/>
      <c r="I24" s="48"/>
      <c r="K24" s="21" t="s">
        <v>239</v>
      </c>
      <c r="L24" s="29">
        <f>L17*(L21/L18)*L23/L22</f>
        <v>42</v>
      </c>
      <c r="M24" s="21" t="s">
        <v>27</v>
      </c>
      <c r="N24" s="13"/>
      <c r="O24" s="6" t="s">
        <v>157</v>
      </c>
      <c r="P24" s="7">
        <v>66</v>
      </c>
      <c r="Q24" s="5" t="s">
        <v>158</v>
      </c>
      <c r="R24" s="13"/>
      <c r="S24" s="12" t="s">
        <v>190</v>
      </c>
      <c r="T24" s="15">
        <v>1.75</v>
      </c>
      <c r="U24" s="12" t="s">
        <v>191</v>
      </c>
      <c r="V24" s="13"/>
      <c r="W24" s="81" t="s">
        <v>484</v>
      </c>
      <c r="X24" s="48">
        <v>0.48</v>
      </c>
      <c r="Y24" s="48" t="s">
        <v>480</v>
      </c>
      <c r="Z24" s="14"/>
    </row>
    <row r="25" spans="2:26" ht="16.5">
      <c r="B25" s="48" t="s">
        <v>68</v>
      </c>
      <c r="C25" s="153">
        <f t="shared" ref="C25" si="28">C22/C20</f>
        <v>566.85993416941074</v>
      </c>
      <c r="D25" s="192">
        <f t="shared" ref="D25" si="29">D22/D20</f>
        <v>412.94432290486873</v>
      </c>
      <c r="E25" s="193">
        <f t="shared" ref="E25" si="30">E22/E20</f>
        <v>249.37904611894689</v>
      </c>
      <c r="F25" s="167">
        <f t="shared" ref="F25" si="31">F22/F20</f>
        <v>145.35235830932905</v>
      </c>
      <c r="G25" s="162" t="s">
        <v>83</v>
      </c>
      <c r="H25" s="49"/>
      <c r="I25" s="48"/>
      <c r="K25" s="21" t="s">
        <v>208</v>
      </c>
      <c r="L25" s="23">
        <f>L19*L22</f>
        <v>1000</v>
      </c>
      <c r="M25" s="21" t="s">
        <v>0</v>
      </c>
      <c r="N25" s="13"/>
      <c r="O25" s="6" t="s">
        <v>161</v>
      </c>
      <c r="P25" s="7">
        <v>1</v>
      </c>
      <c r="Q25" s="5"/>
      <c r="R25" s="13"/>
      <c r="S25" s="12" t="s">
        <v>192</v>
      </c>
      <c r="T25" s="16">
        <v>3.8999999999999998E-3</v>
      </c>
      <c r="U25" s="12" t="s">
        <v>193</v>
      </c>
      <c r="V25" s="13"/>
      <c r="W25" s="21" t="s">
        <v>485</v>
      </c>
      <c r="X25" s="57">
        <v>5</v>
      </c>
      <c r="Y25" s="48" t="s">
        <v>305</v>
      </c>
      <c r="Z25" s="14"/>
    </row>
    <row r="26" spans="2:26" ht="16.5">
      <c r="B26" s="48" t="s">
        <v>85</v>
      </c>
      <c r="C26" s="152">
        <f t="shared" ref="C26" si="32">(C25^2+(C23-C24)^2)^0.5</f>
        <v>654.73770204633331</v>
      </c>
      <c r="D26" s="190">
        <f t="shared" ref="D26" si="33">(D25^2+(D23-D24)^2)^0.5</f>
        <v>476.96123990130246</v>
      </c>
      <c r="E26" s="191">
        <f t="shared" ref="E26" si="34">(E25^2+(E23-E24)^2)^0.5</f>
        <v>288.03916761848433</v>
      </c>
      <c r="F26" s="166">
        <f t="shared" ref="F26" si="35">(F25^2+(F23-F24)^2)^0.5</f>
        <v>167.88568626905942</v>
      </c>
      <c r="G26" s="162" t="s">
        <v>83</v>
      </c>
      <c r="H26" s="49"/>
      <c r="I26" s="48"/>
      <c r="K26" s="21" t="s">
        <v>209</v>
      </c>
      <c r="L26" s="23">
        <f>L20*(L21/L18)*L23</f>
        <v>4000</v>
      </c>
      <c r="M26" s="21" t="s">
        <v>2</v>
      </c>
      <c r="N26" s="13"/>
      <c r="O26" s="6" t="s">
        <v>164</v>
      </c>
      <c r="P26" s="8">
        <f>P23*P24*P25*2</f>
        <v>2904</v>
      </c>
      <c r="Q26" s="5" t="s">
        <v>154</v>
      </c>
      <c r="R26" s="13"/>
      <c r="S26" s="12" t="s">
        <v>194</v>
      </c>
      <c r="T26" s="17">
        <v>45</v>
      </c>
      <c r="U26" s="12" t="s">
        <v>48</v>
      </c>
      <c r="V26" s="13"/>
      <c r="W26" s="21" t="s">
        <v>486</v>
      </c>
      <c r="X26" s="80">
        <f>X24*X25</f>
        <v>2.4</v>
      </c>
      <c r="Y26" s="48" t="s">
        <v>480</v>
      </c>
      <c r="Z26" s="14"/>
    </row>
    <row r="27" spans="2:26" ht="16.5">
      <c r="B27" s="48"/>
      <c r="C27" s="154"/>
      <c r="D27" s="194"/>
      <c r="E27" s="195"/>
      <c r="F27" s="168"/>
      <c r="G27" s="162"/>
      <c r="H27" s="49"/>
      <c r="I27" s="48"/>
      <c r="K27" s="21" t="s">
        <v>47</v>
      </c>
      <c r="L27" s="23">
        <f>L25*L26/1000</f>
        <v>4000</v>
      </c>
      <c r="M27" s="21" t="s">
        <v>47</v>
      </c>
      <c r="N27" s="13"/>
      <c r="O27" s="6" t="s">
        <v>167</v>
      </c>
      <c r="P27" s="7">
        <v>6</v>
      </c>
      <c r="Q27" s="5" t="s">
        <v>168</v>
      </c>
      <c r="R27" s="13"/>
      <c r="S27" s="12" t="s">
        <v>195</v>
      </c>
      <c r="T27" s="16">
        <f>T24*(1+T25*(T26-20))</f>
        <v>1.9206249999999998</v>
      </c>
      <c r="U27" s="12" t="s">
        <v>191</v>
      </c>
      <c r="V27" s="13"/>
      <c r="W27" s="21"/>
      <c r="X27" s="48"/>
      <c r="Y27" s="48"/>
      <c r="Z27" s="14"/>
    </row>
    <row r="28" spans="2:26" ht="16.5">
      <c r="B28" s="48" t="s">
        <v>105</v>
      </c>
      <c r="C28" s="155">
        <f>(C3*1000000/C25)^0.5</f>
        <v>785.77126172603164</v>
      </c>
      <c r="D28" s="196">
        <f>(D3*1000000/D25)^0.5</f>
        <v>920.63667613496727</v>
      </c>
      <c r="E28" s="197">
        <f>(E3*1000000/E25)^0.5</f>
        <v>1184.6881447518579</v>
      </c>
      <c r="F28" s="169">
        <f>(F3*1000000/F25)^0.5</f>
        <v>1551.754383660035</v>
      </c>
      <c r="G28" s="162" t="s">
        <v>2</v>
      </c>
      <c r="H28" s="49"/>
      <c r="I28" s="51" t="s">
        <v>247</v>
      </c>
      <c r="K28" s="13"/>
      <c r="L28" s="13"/>
      <c r="M28" s="13"/>
      <c r="N28" s="13"/>
      <c r="O28" s="6" t="s">
        <v>169</v>
      </c>
      <c r="P28" s="7">
        <v>3300</v>
      </c>
      <c r="Q28" s="5" t="s">
        <v>170</v>
      </c>
      <c r="R28" s="13"/>
      <c r="S28" s="12" t="s">
        <v>196</v>
      </c>
      <c r="T28" s="18">
        <f>1/(T27/100000000)</f>
        <v>52066384.64041654</v>
      </c>
      <c r="U28" s="12" t="s">
        <v>197</v>
      </c>
      <c r="V28" s="13"/>
      <c r="W28" s="81" t="s">
        <v>484</v>
      </c>
      <c r="X28" s="48">
        <v>0.4133</v>
      </c>
      <c r="Y28" s="48" t="s">
        <v>480</v>
      </c>
      <c r="Z28" s="14"/>
    </row>
    <row r="29" spans="2:26" ht="16.5">
      <c r="B29" s="48" t="s">
        <v>103</v>
      </c>
      <c r="C29" s="152">
        <f t="shared" ref="C29" si="36">C28*C25/1000</f>
        <v>445.42224569423308</v>
      </c>
      <c r="D29" s="190">
        <f t="shared" ref="D29" si="37">D28*D25/1000</f>
        <v>380.17168886794298</v>
      </c>
      <c r="E29" s="191">
        <f t="shared" ref="E29" si="38">E28*E25/1000</f>
        <v>295.43639948664321</v>
      </c>
      <c r="F29" s="166">
        <f t="shared" ref="F29" si="39">F28*F25/1000</f>
        <v>225.55115918182545</v>
      </c>
      <c r="G29" s="162" t="s">
        <v>0</v>
      </c>
      <c r="H29" s="49"/>
      <c r="I29" s="48"/>
      <c r="K29" s="205" t="s">
        <v>213</v>
      </c>
      <c r="L29" s="205"/>
      <c r="M29" s="205"/>
      <c r="N29" s="13"/>
      <c r="O29" s="6" t="s">
        <v>171</v>
      </c>
      <c r="P29" s="7">
        <v>1</v>
      </c>
      <c r="Q29" s="5" t="s">
        <v>172</v>
      </c>
      <c r="R29" s="13"/>
      <c r="S29" s="12" t="s">
        <v>198</v>
      </c>
      <c r="T29" s="3">
        <v>1</v>
      </c>
      <c r="U29" s="12" t="s">
        <v>199</v>
      </c>
      <c r="V29" s="13"/>
      <c r="W29" s="21" t="s">
        <v>485</v>
      </c>
      <c r="X29" s="57">
        <v>5</v>
      </c>
      <c r="Y29" s="48" t="s">
        <v>305</v>
      </c>
      <c r="Z29" s="14"/>
    </row>
    <row r="30" spans="2:26" ht="16.5">
      <c r="B30" s="48" t="s">
        <v>286</v>
      </c>
      <c r="C30" s="155">
        <f t="shared" ref="C30" si="40">C28/(2*3.14159*C21*1000*C15/1000000)</f>
        <v>377.86566092889478</v>
      </c>
      <c r="D30" s="196">
        <f t="shared" ref="D30" si="41">D28/(2*3.14159*D21*1000*D15/1000000)</f>
        <v>474.60948704006938</v>
      </c>
      <c r="E30" s="197">
        <f t="shared" ref="E30" si="42">E28/(2*3.14159*E21*1000*E15/1000000)</f>
        <v>523.3273634163171</v>
      </c>
      <c r="F30" s="169">
        <f t="shared" ref="F30" si="43">F28/(2*3.14159*F21*1000*F15/1000000)</f>
        <v>726.93199434057681</v>
      </c>
      <c r="G30" s="162" t="s">
        <v>0</v>
      </c>
      <c r="H30" s="49"/>
      <c r="I30" s="51" t="s">
        <v>71</v>
      </c>
      <c r="K30" s="6" t="s">
        <v>37</v>
      </c>
      <c r="L30" s="7">
        <v>19970</v>
      </c>
      <c r="M30" s="6" t="s">
        <v>24</v>
      </c>
      <c r="N30" s="13"/>
      <c r="O30" s="6" t="s">
        <v>173</v>
      </c>
      <c r="P30" s="8">
        <f>P28*P29</f>
        <v>3300</v>
      </c>
      <c r="Q30" s="5" t="s">
        <v>170</v>
      </c>
      <c r="R30" s="13"/>
      <c r="S30" s="12" t="s">
        <v>37</v>
      </c>
      <c r="T30" s="19">
        <v>1000</v>
      </c>
      <c r="U30" s="12" t="s">
        <v>200</v>
      </c>
      <c r="V30" s="13"/>
      <c r="W30" s="21" t="s">
        <v>486</v>
      </c>
      <c r="X30" s="80">
        <f>X28*X29</f>
        <v>2.0665</v>
      </c>
      <c r="Y30" s="48" t="s">
        <v>480</v>
      </c>
      <c r="Z30" s="14"/>
    </row>
    <row r="31" spans="2:26" ht="16.5">
      <c r="B31" s="48" t="s">
        <v>104</v>
      </c>
      <c r="C31" s="152">
        <f t="shared" ref="C31" si="44">C28*C26/1000</f>
        <v>514.47407023654989</v>
      </c>
      <c r="D31" s="190">
        <f t="shared" ref="D31" si="45">D28*D26/1000</f>
        <v>439.10801054794786</v>
      </c>
      <c r="E31" s="191">
        <f t="shared" ref="E31" si="46">E28*E26/1000</f>
        <v>341.23658710181161</v>
      </c>
      <c r="F31" s="166">
        <f t="shared" ref="F31" si="47">F28*F26/1000</f>
        <v>260.51734962178631</v>
      </c>
      <c r="G31" s="162" t="s">
        <v>0</v>
      </c>
      <c r="H31" s="49"/>
      <c r="I31" s="48"/>
      <c r="K31" s="6" t="s">
        <v>52</v>
      </c>
      <c r="L31" s="7">
        <v>50</v>
      </c>
      <c r="M31" s="6" t="s">
        <v>27</v>
      </c>
      <c r="N31" s="13"/>
      <c r="O31" s="5"/>
      <c r="P31" s="5"/>
      <c r="Q31" s="5"/>
      <c r="R31" s="13"/>
      <c r="S31" s="12" t="s">
        <v>230</v>
      </c>
      <c r="T31" s="31">
        <f>503.3*SQRT((T27/100000000)/(T29*T30))*1000</f>
        <v>2.205709020034714</v>
      </c>
      <c r="U31" s="12" t="s">
        <v>201</v>
      </c>
      <c r="V31" s="13"/>
      <c r="W31" s="13"/>
      <c r="X31" s="13"/>
      <c r="Y31" s="13"/>
      <c r="Z31" s="14"/>
    </row>
    <row r="32" spans="2:26" ht="16.5">
      <c r="B32" s="48" t="s">
        <v>102</v>
      </c>
      <c r="C32" s="156">
        <f t="shared" ref="C32" si="48">ROUNDUP(COS(PI()*C17/180),3)</f>
        <v>0.86699999999999999</v>
      </c>
      <c r="D32" s="198">
        <f t="shared" ref="D32" si="49">ROUNDUP(COS(PI()*D17/180),3)</f>
        <v>0.86699999999999999</v>
      </c>
      <c r="E32" s="199">
        <f t="shared" ref="E32" si="50">ROUNDUP(COS(PI()*E17/180),3)</f>
        <v>0.86699999999999999</v>
      </c>
      <c r="F32" s="170">
        <f t="shared" ref="F32" si="51">ROUNDUP(COS(PI()*F17/180),3)</f>
        <v>0.86699999999999999</v>
      </c>
      <c r="G32" s="162"/>
      <c r="H32" s="49"/>
      <c r="I32" s="48"/>
      <c r="K32" s="6" t="s">
        <v>53</v>
      </c>
      <c r="L32" s="7">
        <v>1864</v>
      </c>
      <c r="M32" s="6" t="s">
        <v>2</v>
      </c>
      <c r="N32" s="13"/>
      <c r="O32" s="9" t="s">
        <v>174</v>
      </c>
      <c r="P32" s="207" t="s">
        <v>175</v>
      </c>
      <c r="Q32" s="207"/>
      <c r="R32" s="13"/>
      <c r="S32" s="12" t="s">
        <v>231</v>
      </c>
      <c r="T32" s="26">
        <v>6126</v>
      </c>
      <c r="U32" s="12" t="s">
        <v>201</v>
      </c>
      <c r="V32" s="13"/>
      <c r="W32" s="206" t="s">
        <v>494</v>
      </c>
      <c r="X32" s="206"/>
      <c r="Y32" s="206"/>
      <c r="Z32" s="14"/>
    </row>
    <row r="33" spans="2:26" ht="16.5">
      <c r="B33" s="48" t="s">
        <v>101</v>
      </c>
      <c r="C33" s="157">
        <f t="shared" ref="C33" si="52">C30/(C25*C28/1000)</f>
        <v>0.84833136328868153</v>
      </c>
      <c r="D33" s="200">
        <f t="shared" ref="D33" si="53">D30/(D25*D28/1000)</f>
        <v>1.2484082874591182</v>
      </c>
      <c r="E33" s="201">
        <f t="shared" ref="E33" si="54">E30/(E25*E28/1000)</f>
        <v>1.7713706378958796</v>
      </c>
      <c r="F33" s="171">
        <f t="shared" ref="F33" si="55">F30/(F25*F28/1000)</f>
        <v>3.2229140252592052</v>
      </c>
      <c r="G33" s="162"/>
      <c r="H33" s="49"/>
      <c r="I33" s="51" t="s">
        <v>244</v>
      </c>
      <c r="K33" s="6" t="s">
        <v>54</v>
      </c>
      <c r="L33" s="7">
        <v>754</v>
      </c>
      <c r="M33" s="6" t="s">
        <v>1</v>
      </c>
      <c r="N33" s="13"/>
      <c r="O33" s="6" t="s">
        <v>176</v>
      </c>
      <c r="P33" s="7">
        <v>30</v>
      </c>
      <c r="Q33" s="5" t="s">
        <v>177</v>
      </c>
      <c r="R33" s="13"/>
      <c r="S33" s="12" t="s">
        <v>256</v>
      </c>
      <c r="T33" s="26">
        <v>2</v>
      </c>
      <c r="U33" s="12" t="s">
        <v>201</v>
      </c>
      <c r="V33" s="13"/>
      <c r="W33" s="5" t="s">
        <v>495</v>
      </c>
      <c r="X33" s="7">
        <v>440</v>
      </c>
      <c r="Y33" s="5" t="s">
        <v>0</v>
      </c>
      <c r="Z33" s="14"/>
    </row>
    <row r="34" spans="2:26" ht="16.5">
      <c r="B34" s="48" t="s">
        <v>287</v>
      </c>
      <c r="C34" s="155">
        <f t="shared" ref="C34" si="56">C30+C28*C18*C25/1000</f>
        <v>635.31971894016147</v>
      </c>
      <c r="D34" s="196">
        <f t="shared" ref="D34" si="57">D30+D28*D18*D25/1000</f>
        <v>694.34872320574038</v>
      </c>
      <c r="E34" s="197">
        <f t="shared" ref="E34" si="58">E30+E28*E18*E25/1000</f>
        <v>694.08960231959679</v>
      </c>
      <c r="F34" s="169">
        <f t="shared" ref="F34" si="59">F30+F28*F18*F25/1000</f>
        <v>857.30056434767198</v>
      </c>
      <c r="G34" s="162" t="s">
        <v>0</v>
      </c>
      <c r="H34" s="49"/>
      <c r="I34" s="51" t="s">
        <v>243</v>
      </c>
      <c r="K34" s="6" t="s">
        <v>264</v>
      </c>
      <c r="L34" s="7">
        <v>5</v>
      </c>
      <c r="M34" s="6" t="s">
        <v>42</v>
      </c>
      <c r="N34" s="13"/>
      <c r="O34" s="6" t="s">
        <v>178</v>
      </c>
      <c r="P34" s="10">
        <f>P28*SQRT(2)*SIN(P33*PI()/180)</f>
        <v>2333.4523779156066</v>
      </c>
      <c r="Q34" s="5" t="s">
        <v>179</v>
      </c>
      <c r="R34" s="13"/>
      <c r="S34" s="12" t="s">
        <v>255</v>
      </c>
      <c r="T34" s="27">
        <f>MIN(T31,T33)</f>
        <v>2</v>
      </c>
      <c r="U34" s="12" t="s">
        <v>201</v>
      </c>
      <c r="V34" s="13"/>
      <c r="W34" s="5" t="s">
        <v>64</v>
      </c>
      <c r="X34" s="7">
        <v>567</v>
      </c>
      <c r="Y34" s="5" t="s">
        <v>2</v>
      </c>
      <c r="Z34" s="14"/>
    </row>
    <row r="35" spans="2:26" ht="16.5">
      <c r="B35" s="48"/>
      <c r="C35" s="148"/>
      <c r="D35" s="182"/>
      <c r="E35" s="183"/>
      <c r="F35" s="162"/>
      <c r="G35" s="162"/>
      <c r="H35" s="49"/>
      <c r="I35" s="48"/>
      <c r="K35" s="6" t="s">
        <v>55</v>
      </c>
      <c r="L35" s="8">
        <f>(L32*L34)/(2*3.1415*L30*(L31/1000000))</f>
        <v>1485.5962122397345</v>
      </c>
      <c r="M35" s="6" t="s">
        <v>56</v>
      </c>
      <c r="N35" s="13"/>
      <c r="O35" s="6" t="s">
        <v>180</v>
      </c>
      <c r="P35" s="24">
        <f>P22*P26/P34</f>
        <v>746.7047609329943</v>
      </c>
      <c r="Q35" s="5" t="s">
        <v>181</v>
      </c>
      <c r="R35" s="13"/>
      <c r="S35" s="12" t="s">
        <v>234</v>
      </c>
      <c r="T35" s="26">
        <v>30</v>
      </c>
      <c r="U35" s="12" t="s">
        <v>201</v>
      </c>
      <c r="V35" s="13"/>
      <c r="W35" s="5" t="s">
        <v>498</v>
      </c>
      <c r="X35" s="25">
        <f>X33</f>
        <v>440</v>
      </c>
      <c r="Y35" s="5" t="s">
        <v>496</v>
      </c>
      <c r="Z35" s="14"/>
    </row>
    <row r="36" spans="2:26" ht="16.5">
      <c r="B36" s="48" t="s">
        <v>86</v>
      </c>
      <c r="C36" s="147">
        <v>1</v>
      </c>
      <c r="D36" s="180">
        <v>1</v>
      </c>
      <c r="E36" s="181">
        <v>1</v>
      </c>
      <c r="F36" s="161">
        <v>1</v>
      </c>
      <c r="G36" s="162"/>
      <c r="H36" s="49"/>
      <c r="I36" s="48" t="s">
        <v>87</v>
      </c>
      <c r="K36" s="6" t="s">
        <v>57</v>
      </c>
      <c r="L36" s="8">
        <f>L32*L34</f>
        <v>9320</v>
      </c>
      <c r="M36" s="6"/>
      <c r="N36" s="13"/>
      <c r="O36" s="5"/>
      <c r="P36" s="5"/>
      <c r="Q36" s="5"/>
      <c r="R36" s="13"/>
      <c r="S36" s="12" t="s">
        <v>254</v>
      </c>
      <c r="T36" s="27">
        <f>(PI()*(T35/2)^2)-(PI()*(T35/2-T34)^2)</f>
        <v>175.92918860102839</v>
      </c>
      <c r="U36" s="12" t="s">
        <v>227</v>
      </c>
      <c r="V36" s="13"/>
      <c r="W36" s="5" t="s">
        <v>499</v>
      </c>
      <c r="X36" s="25">
        <f>X34*1.25</f>
        <v>708.75</v>
      </c>
      <c r="Y36" s="5" t="s">
        <v>497</v>
      </c>
      <c r="Z36" s="14"/>
    </row>
    <row r="37" spans="2:26" ht="16.5">
      <c r="B37" s="48" t="s">
        <v>288</v>
      </c>
      <c r="C37" s="152">
        <f>C10/C36*4/PI()/2^0.5</f>
        <v>521.01305216011724</v>
      </c>
      <c r="D37" s="190">
        <f>D10/D36*4/PI()/2^0.5</f>
        <v>521.01305216011724</v>
      </c>
      <c r="E37" s="191">
        <f>E10/E36*4/PI()/2^0.5</f>
        <v>521.01305216011724</v>
      </c>
      <c r="F37" s="166">
        <f>F10/F36*4/PI()/2^0.5</f>
        <v>521.01305216011724</v>
      </c>
      <c r="G37" s="162" t="s">
        <v>0</v>
      </c>
      <c r="H37" s="49"/>
      <c r="I37" s="48" t="s">
        <v>222</v>
      </c>
      <c r="K37" s="6" t="s">
        <v>47</v>
      </c>
      <c r="L37" s="8">
        <f>L35*L36/1000</f>
        <v>13845.756698074327</v>
      </c>
      <c r="M37" s="6" t="s">
        <v>47</v>
      </c>
      <c r="N37" s="13"/>
      <c r="O37" s="9" t="s">
        <v>182</v>
      </c>
      <c r="P37" s="6"/>
      <c r="Q37" s="6"/>
      <c r="R37" s="13"/>
      <c r="S37" s="12" t="s">
        <v>232</v>
      </c>
      <c r="T37" s="26">
        <v>850</v>
      </c>
      <c r="U37" s="4" t="s">
        <v>228</v>
      </c>
      <c r="V37" s="13"/>
      <c r="W37" s="13"/>
      <c r="X37" s="13"/>
      <c r="Y37" s="13"/>
      <c r="Z37" s="14"/>
    </row>
    <row r="38" spans="2:26" ht="16.5">
      <c r="B38" s="48" t="s">
        <v>88</v>
      </c>
      <c r="C38" s="147">
        <v>1</v>
      </c>
      <c r="D38" s="180">
        <v>1</v>
      </c>
      <c r="E38" s="181">
        <v>1</v>
      </c>
      <c r="F38" s="161">
        <v>1</v>
      </c>
      <c r="G38" s="162" t="s">
        <v>42</v>
      </c>
      <c r="H38" s="49"/>
      <c r="I38" s="48" t="s">
        <v>245</v>
      </c>
      <c r="K38" s="6" t="s">
        <v>41</v>
      </c>
      <c r="L38" s="25">
        <f>L37/L33</f>
        <v>18.363072543865155</v>
      </c>
      <c r="M38" s="6"/>
      <c r="N38" s="13"/>
      <c r="O38" s="6" t="s">
        <v>183</v>
      </c>
      <c r="P38" s="10">
        <f>P22*P26/P27/1000</f>
        <v>290.39999999999998</v>
      </c>
      <c r="Q38" s="5" t="s">
        <v>179</v>
      </c>
      <c r="R38" s="13"/>
      <c r="S38" s="12" t="s">
        <v>492</v>
      </c>
      <c r="T38" s="28">
        <f>T37/T36</f>
        <v>4.8314893438611097</v>
      </c>
      <c r="U38" s="4" t="s">
        <v>228</v>
      </c>
      <c r="V38" s="13"/>
      <c r="W38" s="206" t="s">
        <v>501</v>
      </c>
      <c r="X38" s="206"/>
      <c r="Y38" s="206"/>
      <c r="Z38" s="14"/>
    </row>
    <row r="39" spans="2:26" ht="16.5">
      <c r="B39" s="48" t="s">
        <v>89</v>
      </c>
      <c r="C39" s="147">
        <f t="shared" ref="C39" si="60">ROUND(C37/C38,1)</f>
        <v>521</v>
      </c>
      <c r="D39" s="180">
        <f t="shared" ref="D39" si="61">ROUND(D37/D38,1)</f>
        <v>521</v>
      </c>
      <c r="E39" s="181">
        <f t="shared" ref="E39" si="62">ROUND(E37/E38,1)</f>
        <v>521</v>
      </c>
      <c r="F39" s="161">
        <f t="shared" ref="F39" si="63">ROUND(F37/F38,1)</f>
        <v>521</v>
      </c>
      <c r="G39" s="162" t="s">
        <v>0</v>
      </c>
      <c r="H39" s="49"/>
      <c r="I39" s="48" t="s">
        <v>289</v>
      </c>
      <c r="K39" s="13"/>
      <c r="L39" s="13"/>
      <c r="M39" s="13"/>
      <c r="N39" s="13"/>
      <c r="O39" s="6" t="s">
        <v>184</v>
      </c>
      <c r="P39" s="10">
        <f>P38/SIN(P33*PI()/180)/SQRT(2)</f>
        <v>410.68761851314684</v>
      </c>
      <c r="Q39" s="5" t="s">
        <v>170</v>
      </c>
      <c r="R39" s="13"/>
      <c r="S39" s="12" t="s">
        <v>233</v>
      </c>
      <c r="T39" s="28">
        <f>T27/100000000*(T37^2)/(T36/1000000)*T32/1000</f>
        <v>483.19176251946334</v>
      </c>
      <c r="U39" s="4" t="s">
        <v>229</v>
      </c>
      <c r="V39" s="13"/>
      <c r="W39" s="5" t="s">
        <v>26</v>
      </c>
      <c r="X39" s="7">
        <v>5600</v>
      </c>
      <c r="Y39" s="5" t="s">
        <v>27</v>
      </c>
      <c r="Z39" s="143" t="s">
        <v>632</v>
      </c>
    </row>
    <row r="40" spans="2:26" ht="16.5">
      <c r="B40" s="48"/>
      <c r="C40" s="148"/>
      <c r="D40" s="182"/>
      <c r="E40" s="183"/>
      <c r="F40" s="162"/>
      <c r="G40" s="162"/>
      <c r="H40" s="49"/>
      <c r="I40" s="48"/>
      <c r="K40" s="205" t="s">
        <v>214</v>
      </c>
      <c r="L40" s="205"/>
      <c r="M40" s="205"/>
      <c r="N40" s="13"/>
      <c r="O40" s="6" t="s">
        <v>173</v>
      </c>
      <c r="P40" s="24">
        <f>P39*P29</f>
        <v>410.68761851314684</v>
      </c>
      <c r="Q40" s="5" t="s">
        <v>170</v>
      </c>
      <c r="R40" s="13"/>
      <c r="S40" s="13"/>
      <c r="T40" s="13"/>
      <c r="U40" s="13"/>
      <c r="V40" s="13"/>
      <c r="W40" s="5" t="s">
        <v>28</v>
      </c>
      <c r="X40" s="7">
        <v>375</v>
      </c>
      <c r="Y40" s="5" t="s">
        <v>15</v>
      </c>
      <c r="Z40" s="14"/>
    </row>
    <row r="41" spans="2:26" ht="16.5">
      <c r="B41" s="48" t="s">
        <v>72</v>
      </c>
      <c r="C41" s="157">
        <f t="shared" ref="C41" si="64">C31/C39*100</f>
        <v>98.747422310278282</v>
      </c>
      <c r="D41" s="200">
        <f t="shared" ref="D41" si="65">D31/D39*100</f>
        <v>84.281767859490955</v>
      </c>
      <c r="E41" s="201">
        <f t="shared" ref="E41" si="66">E31/E39*100</f>
        <v>65.496465854474394</v>
      </c>
      <c r="F41" s="171">
        <f t="shared" ref="F41" si="67">F31/F39*100</f>
        <v>50.003330061763208</v>
      </c>
      <c r="G41" s="162" t="s">
        <v>7</v>
      </c>
      <c r="H41" s="49"/>
      <c r="I41" s="52" t="s">
        <v>251</v>
      </c>
      <c r="K41" s="21" t="s">
        <v>18</v>
      </c>
      <c r="L41" s="22">
        <v>40</v>
      </c>
      <c r="M41" s="21" t="s">
        <v>240</v>
      </c>
      <c r="N41" s="13"/>
      <c r="O41" s="6" t="s">
        <v>185</v>
      </c>
      <c r="P41" s="10">
        <f>P40/P30*100</f>
        <v>12.445079348883239</v>
      </c>
      <c r="Q41" s="11" t="s">
        <v>186</v>
      </c>
      <c r="R41" s="13"/>
      <c r="S41" s="206" t="s">
        <v>491</v>
      </c>
      <c r="T41" s="206"/>
      <c r="U41" s="206"/>
      <c r="V41" s="13"/>
      <c r="W41" s="5" t="s">
        <v>29</v>
      </c>
      <c r="X41" s="25">
        <f>1/(2*3.14*SQRT((X39/1000000)*(X40/1000000)))</f>
        <v>109.88305085069334</v>
      </c>
      <c r="Y41" s="5" t="s">
        <v>30</v>
      </c>
      <c r="Z41" s="14"/>
    </row>
    <row r="42" spans="2:26" ht="16.5">
      <c r="B42" s="48"/>
      <c r="C42" s="148"/>
      <c r="D42" s="182"/>
      <c r="E42" s="183"/>
      <c r="F42" s="162"/>
      <c r="G42" s="162"/>
      <c r="H42" s="49"/>
      <c r="I42" s="48"/>
      <c r="K42" s="21" t="s">
        <v>100</v>
      </c>
      <c r="L42" s="22">
        <v>127</v>
      </c>
      <c r="M42" s="21" t="s">
        <v>2</v>
      </c>
      <c r="N42" s="13"/>
      <c r="O42" s="6" t="s">
        <v>187</v>
      </c>
      <c r="P42" s="10">
        <f>P41*P41/100</f>
        <v>1.5488000000000006</v>
      </c>
      <c r="Q42" s="11" t="s">
        <v>186</v>
      </c>
      <c r="R42" s="13"/>
      <c r="S42" s="5" t="s">
        <v>188</v>
      </c>
      <c r="T42" s="3" t="s">
        <v>189</v>
      </c>
      <c r="U42" s="3"/>
      <c r="V42" s="13"/>
      <c r="W42" s="13"/>
      <c r="X42" s="13"/>
      <c r="Y42" s="13"/>
      <c r="Z42" s="14"/>
    </row>
    <row r="43" spans="2:26" ht="16.5">
      <c r="B43" s="48" t="s">
        <v>90</v>
      </c>
      <c r="C43" s="155">
        <f t="shared" ref="C43" si="68">C28/C38</f>
        <v>785.77126172603164</v>
      </c>
      <c r="D43" s="196">
        <f t="shared" ref="D43" si="69">D28/D38</f>
        <v>920.63667613496727</v>
      </c>
      <c r="E43" s="197">
        <f t="shared" ref="E43" si="70">E28/E38</f>
        <v>1184.6881447518579</v>
      </c>
      <c r="F43" s="169">
        <f t="shared" ref="F43" si="71">F28/F38</f>
        <v>1551.754383660035</v>
      </c>
      <c r="G43" s="162" t="s">
        <v>2</v>
      </c>
      <c r="H43" s="49"/>
      <c r="I43" s="51" t="s">
        <v>246</v>
      </c>
      <c r="K43" s="21" t="s">
        <v>44</v>
      </c>
      <c r="L43" s="22">
        <v>401</v>
      </c>
      <c r="M43" s="21" t="s">
        <v>0</v>
      </c>
      <c r="N43" s="13"/>
      <c r="O43" s="13"/>
      <c r="P43" s="13"/>
      <c r="Q43" s="13"/>
      <c r="R43" s="13"/>
      <c r="S43" s="12" t="s">
        <v>190</v>
      </c>
      <c r="T43" s="15">
        <v>1.75</v>
      </c>
      <c r="U43" s="12" t="s">
        <v>191</v>
      </c>
      <c r="V43" s="13"/>
      <c r="W43" s="13"/>
      <c r="X43" s="13"/>
      <c r="Y43" s="13"/>
      <c r="Z43" s="14"/>
    </row>
    <row r="44" spans="2:26" ht="16.5">
      <c r="B44" s="48" t="s">
        <v>91</v>
      </c>
      <c r="C44" s="152">
        <f t="shared" ref="C44" si="72">ROUND(C43*2^0.5*2/PI(),0)</f>
        <v>707</v>
      </c>
      <c r="D44" s="190">
        <f t="shared" ref="D44" si="73">ROUND(D43*2^0.5*2/PI(),0)</f>
        <v>829</v>
      </c>
      <c r="E44" s="191">
        <f t="shared" ref="E44" si="74">ROUND(E43*2^0.5*2/PI(),0)</f>
        <v>1067</v>
      </c>
      <c r="F44" s="166">
        <f t="shared" ref="F44" si="75">ROUND(F43*2^0.5*2/PI(),0)</f>
        <v>1397</v>
      </c>
      <c r="G44" s="162" t="s">
        <v>2</v>
      </c>
      <c r="H44" s="49"/>
      <c r="I44" s="48"/>
      <c r="K44" s="21" t="s">
        <v>467</v>
      </c>
      <c r="L44" s="22">
        <v>1</v>
      </c>
      <c r="M44" s="21"/>
      <c r="N44" s="13"/>
      <c r="O44" s="206" t="s">
        <v>226</v>
      </c>
      <c r="P44" s="206"/>
      <c r="Q44" s="206"/>
      <c r="R44" s="13"/>
      <c r="S44" s="12" t="s">
        <v>192</v>
      </c>
      <c r="T44" s="16">
        <v>3.8999999999999998E-3</v>
      </c>
      <c r="U44" s="12" t="s">
        <v>193</v>
      </c>
      <c r="V44" s="13"/>
      <c r="W44" s="13"/>
      <c r="X44" s="13"/>
      <c r="Y44" s="13"/>
      <c r="Z44" s="14"/>
    </row>
    <row r="45" spans="2:26" ht="16.5">
      <c r="B45" s="48" t="s">
        <v>92</v>
      </c>
      <c r="C45" s="152">
        <f t="shared" ref="C45" si="76">C44/C36</f>
        <v>707</v>
      </c>
      <c r="D45" s="190">
        <f t="shared" ref="D45" si="77">D44/D36</f>
        <v>829</v>
      </c>
      <c r="E45" s="191">
        <f t="shared" ref="E45" si="78">E44/E36</f>
        <v>1067</v>
      </c>
      <c r="F45" s="166">
        <f t="shared" ref="F45" si="79">F44/F36</f>
        <v>1397</v>
      </c>
      <c r="G45" s="162" t="s">
        <v>2</v>
      </c>
      <c r="H45" s="49"/>
      <c r="I45" s="48"/>
      <c r="K45" s="21" t="s">
        <v>56</v>
      </c>
      <c r="L45" s="23">
        <f>L43*0.9/L44</f>
        <v>360.90000000000003</v>
      </c>
      <c r="M45" s="21" t="s">
        <v>0</v>
      </c>
      <c r="N45" s="13"/>
      <c r="O45" s="6" t="s">
        <v>155</v>
      </c>
      <c r="P45" s="7">
        <v>387.2</v>
      </c>
      <c r="Q45" s="6" t="s">
        <v>156</v>
      </c>
      <c r="R45" s="13"/>
      <c r="S45" s="12" t="s">
        <v>194</v>
      </c>
      <c r="T45" s="17">
        <v>45</v>
      </c>
      <c r="U45" s="12" t="s">
        <v>48</v>
      </c>
      <c r="V45" s="13"/>
      <c r="W45" s="13"/>
      <c r="X45" s="13"/>
      <c r="Y45" s="13"/>
      <c r="Z45" s="14"/>
    </row>
    <row r="46" spans="2:26" ht="17.25" thickBot="1">
      <c r="B46" s="48" t="s">
        <v>93</v>
      </c>
      <c r="C46" s="153">
        <f>ROUND(C45/C11,3)</f>
        <v>1.169</v>
      </c>
      <c r="D46" s="202">
        <f>ROUND(D45/D11,3)</f>
        <v>1.371</v>
      </c>
      <c r="E46" s="203">
        <f>ROUND(E45/E11,3)</f>
        <v>1.764</v>
      </c>
      <c r="F46" s="167">
        <f>ROUND(F45/F11,3)</f>
        <v>2.31</v>
      </c>
      <c r="G46" s="162"/>
      <c r="H46" s="49"/>
      <c r="I46" s="48"/>
      <c r="K46" s="21" t="s">
        <v>241</v>
      </c>
      <c r="L46" s="23">
        <f>(L41*1000)/(L42*L43*0.9/L44)</f>
        <v>0.87270886650390644</v>
      </c>
      <c r="M46" s="21"/>
      <c r="N46" s="13"/>
      <c r="O46" s="6" t="s">
        <v>159</v>
      </c>
      <c r="P46" s="7">
        <v>500</v>
      </c>
      <c r="Q46" s="6" t="s">
        <v>160</v>
      </c>
      <c r="R46" s="13"/>
      <c r="S46" s="12" t="s">
        <v>195</v>
      </c>
      <c r="T46" s="16">
        <f>T43*(1+T44*(T45-20))</f>
        <v>1.9206249999999998</v>
      </c>
      <c r="U46" s="12" t="s">
        <v>191</v>
      </c>
      <c r="V46" s="13"/>
      <c r="W46" s="13"/>
      <c r="X46" s="13"/>
      <c r="Y46" s="13"/>
      <c r="Z46" s="14"/>
    </row>
    <row r="47" spans="2:26" ht="16.5">
      <c r="B47" s="47"/>
      <c r="C47" s="47"/>
      <c r="D47" s="47"/>
      <c r="E47" s="47"/>
      <c r="F47" s="204"/>
      <c r="G47" s="47"/>
      <c r="H47" s="47"/>
      <c r="I47" s="47"/>
      <c r="K47" s="21" t="s">
        <v>242</v>
      </c>
      <c r="L47" s="62">
        <f>DEGREES(ACOS(L46))</f>
        <v>29.225030363895115</v>
      </c>
      <c r="M47" s="21"/>
      <c r="N47" s="13"/>
      <c r="O47" s="6" t="s">
        <v>162</v>
      </c>
      <c r="P47" s="7">
        <v>100</v>
      </c>
      <c r="Q47" s="6" t="s">
        <v>163</v>
      </c>
      <c r="R47" s="13"/>
      <c r="S47" s="12" t="s">
        <v>196</v>
      </c>
      <c r="T47" s="18">
        <f>1/(T46/100000000)</f>
        <v>52066384.64041654</v>
      </c>
      <c r="U47" s="12" t="s">
        <v>197</v>
      </c>
      <c r="V47" s="13"/>
      <c r="W47" s="13"/>
      <c r="X47" s="13"/>
      <c r="Y47" s="13"/>
      <c r="Z47" s="14"/>
    </row>
    <row r="48" spans="2:26" ht="16.5">
      <c r="B48" s="46" t="s">
        <v>291</v>
      </c>
      <c r="C48" s="47" t="s">
        <v>530</v>
      </c>
      <c r="D48" s="47"/>
      <c r="E48" s="47"/>
      <c r="F48" s="47"/>
      <c r="G48" s="47"/>
      <c r="H48" s="47"/>
      <c r="I48" s="47"/>
      <c r="K48" s="13"/>
      <c r="L48" s="13"/>
      <c r="M48" s="13"/>
      <c r="N48" s="13"/>
      <c r="O48" s="6" t="s">
        <v>165</v>
      </c>
      <c r="P48" s="25">
        <f>P45*P46/P47</f>
        <v>1936</v>
      </c>
      <c r="Q48" s="6" t="s">
        <v>166</v>
      </c>
      <c r="R48" s="13"/>
      <c r="S48" s="12" t="s">
        <v>198</v>
      </c>
      <c r="T48" s="3">
        <v>1</v>
      </c>
      <c r="U48" s="12" t="s">
        <v>199</v>
      </c>
      <c r="V48" s="13"/>
      <c r="W48" s="13"/>
      <c r="X48" s="13"/>
      <c r="Y48" s="13"/>
      <c r="Z48" s="14"/>
    </row>
    <row r="49" spans="2:26" ht="16.5">
      <c r="B49" s="32" t="s">
        <v>275</v>
      </c>
      <c r="C49" s="34">
        <v>1</v>
      </c>
      <c r="D49" s="34">
        <v>1</v>
      </c>
      <c r="E49" s="34">
        <v>1</v>
      </c>
      <c r="F49" s="34">
        <v>1</v>
      </c>
      <c r="G49" s="32" t="s">
        <v>49</v>
      </c>
      <c r="H49" s="49">
        <v>6</v>
      </c>
      <c r="I49" s="35" t="s">
        <v>279</v>
      </c>
      <c r="K49" s="205" t="s">
        <v>266</v>
      </c>
      <c r="L49" s="205"/>
      <c r="M49" s="205"/>
      <c r="N49" s="13"/>
      <c r="O49" s="13"/>
      <c r="P49" s="13"/>
      <c r="Q49" s="13"/>
      <c r="R49" s="13"/>
      <c r="S49" s="12" t="s">
        <v>37</v>
      </c>
      <c r="T49" s="19">
        <v>10000</v>
      </c>
      <c r="U49" s="12" t="s">
        <v>200</v>
      </c>
      <c r="V49" s="13"/>
      <c r="W49" s="13"/>
      <c r="X49" s="13"/>
      <c r="Y49" s="13" t="s">
        <v>235</v>
      </c>
      <c r="Z49" s="14"/>
    </row>
    <row r="50" spans="2:26" ht="16.5">
      <c r="B50" s="32" t="s">
        <v>114</v>
      </c>
      <c r="C50" s="55">
        <f t="shared" ref="C50:F50" si="80">C43/C49</f>
        <v>785.77126172603164</v>
      </c>
      <c r="D50" s="55">
        <f t="shared" si="80"/>
        <v>920.63667613496727</v>
      </c>
      <c r="E50" s="55">
        <f t="shared" si="80"/>
        <v>1184.6881447518579</v>
      </c>
      <c r="F50" s="55">
        <f t="shared" si="80"/>
        <v>1551.754383660035</v>
      </c>
      <c r="G50" s="32" t="s">
        <v>2</v>
      </c>
      <c r="H50" s="49"/>
      <c r="I50" s="32" t="s">
        <v>278</v>
      </c>
      <c r="K50" s="32" t="s">
        <v>36</v>
      </c>
      <c r="L50" s="33">
        <v>200</v>
      </c>
      <c r="M50" s="32" t="s">
        <v>13</v>
      </c>
      <c r="N50" s="13"/>
      <c r="O50" s="206" t="s">
        <v>306</v>
      </c>
      <c r="P50" s="206"/>
      <c r="Q50" s="206"/>
      <c r="R50" s="13"/>
      <c r="S50" s="12" t="s">
        <v>230</v>
      </c>
      <c r="T50" s="31">
        <f>503.3*SQRT((T46/100000000)/(T48*T49))*1000</f>
        <v>0.69750643588876649</v>
      </c>
      <c r="U50" s="12" t="s">
        <v>201</v>
      </c>
      <c r="V50" s="13"/>
      <c r="W50" s="13"/>
      <c r="X50" s="13"/>
      <c r="Y50" s="13"/>
      <c r="Z50" s="14"/>
    </row>
    <row r="51" spans="2:26" ht="16.5">
      <c r="B51" s="32" t="s">
        <v>8</v>
      </c>
      <c r="C51" s="38">
        <v>27</v>
      </c>
      <c r="D51" s="38">
        <v>27</v>
      </c>
      <c r="E51" s="38">
        <v>27</v>
      </c>
      <c r="F51" s="38">
        <v>27</v>
      </c>
      <c r="G51" s="32" t="s">
        <v>45</v>
      </c>
      <c r="H51" s="49">
        <v>7</v>
      </c>
      <c r="I51" s="35" t="s">
        <v>117</v>
      </c>
      <c r="K51" s="32" t="s">
        <v>38</v>
      </c>
      <c r="L51" s="33">
        <v>3</v>
      </c>
      <c r="M51" s="32" t="s">
        <v>13</v>
      </c>
      <c r="N51" s="13"/>
      <c r="O51" s="21" t="s">
        <v>296</v>
      </c>
      <c r="P51" s="22">
        <v>15.4</v>
      </c>
      <c r="Q51" s="21" t="s">
        <v>13</v>
      </c>
      <c r="R51" s="13"/>
      <c r="S51" s="12" t="s">
        <v>231</v>
      </c>
      <c r="T51" s="26">
        <v>16000</v>
      </c>
      <c r="U51" s="12" t="s">
        <v>201</v>
      </c>
      <c r="V51" s="13"/>
      <c r="W51" s="13"/>
      <c r="X51" s="13"/>
      <c r="Y51" s="13"/>
      <c r="Z51" s="14"/>
    </row>
    <row r="52" spans="2:26" ht="16.5">
      <c r="B52" s="32" t="s">
        <v>118</v>
      </c>
      <c r="C52" s="38">
        <v>25</v>
      </c>
      <c r="D52" s="38">
        <v>25</v>
      </c>
      <c r="E52" s="38">
        <v>25</v>
      </c>
      <c r="F52" s="38">
        <v>25</v>
      </c>
      <c r="G52" s="32" t="s">
        <v>0</v>
      </c>
      <c r="H52" s="49">
        <v>8</v>
      </c>
      <c r="I52" s="35" t="s">
        <v>119</v>
      </c>
      <c r="K52" s="32" t="s">
        <v>39</v>
      </c>
      <c r="L52" s="33">
        <v>300</v>
      </c>
      <c r="M52" s="32" t="s">
        <v>13</v>
      </c>
      <c r="N52" s="13"/>
      <c r="O52" s="21" t="s">
        <v>297</v>
      </c>
      <c r="P52" s="22">
        <v>2</v>
      </c>
      <c r="Q52" s="21" t="s">
        <v>13</v>
      </c>
      <c r="R52" s="13"/>
      <c r="S52" s="12" t="s">
        <v>256</v>
      </c>
      <c r="T52" s="26">
        <v>2</v>
      </c>
      <c r="U52" s="12" t="s">
        <v>201</v>
      </c>
      <c r="V52" s="13"/>
      <c r="W52" s="13"/>
      <c r="X52" s="13"/>
      <c r="Y52" s="13"/>
      <c r="Z52" s="14"/>
    </row>
    <row r="53" spans="2:26" ht="16.5">
      <c r="B53" s="32" t="s">
        <v>9</v>
      </c>
      <c r="C53" s="42">
        <f t="shared" ref="C53:F53" si="81">C52*C51/1000000*C54*1000</f>
        <v>5.3190453790294585</v>
      </c>
      <c r="D53" s="42">
        <f t="shared" si="81"/>
        <v>4.9616581408672902</v>
      </c>
      <c r="E53" s="42">
        <f t="shared" si="81"/>
        <v>5.7903601902143587</v>
      </c>
      <c r="F53" s="42">
        <f t="shared" si="81"/>
        <v>5.4601450252996013</v>
      </c>
      <c r="G53" s="32" t="s">
        <v>6</v>
      </c>
      <c r="H53" s="49"/>
      <c r="I53" s="32"/>
      <c r="K53" s="32" t="s">
        <v>75</v>
      </c>
      <c r="L53" s="63">
        <f>12.5*(L51/10)*(L52/10)/(L50/10)</f>
        <v>5.625</v>
      </c>
      <c r="M53" s="32" t="s">
        <v>40</v>
      </c>
      <c r="N53" s="13"/>
      <c r="O53" s="21" t="s">
        <v>299</v>
      </c>
      <c r="P53" s="23">
        <f>P51+P52*2</f>
        <v>19.399999999999999</v>
      </c>
      <c r="Q53" s="21" t="s">
        <v>13</v>
      </c>
      <c r="R53" s="13"/>
      <c r="S53" s="12" t="s">
        <v>255</v>
      </c>
      <c r="T53" s="27">
        <f>MIN(T50,T52)</f>
        <v>0.69750643588876649</v>
      </c>
      <c r="U53" s="12" t="s">
        <v>201</v>
      </c>
      <c r="V53" s="13"/>
      <c r="W53" s="13"/>
      <c r="X53" s="13"/>
      <c r="Y53" s="13"/>
      <c r="Z53" s="14"/>
    </row>
    <row r="54" spans="2:26" ht="18" customHeight="1">
      <c r="B54" s="32" t="s">
        <v>116</v>
      </c>
      <c r="C54" s="55">
        <f t="shared" ref="C54:F54" si="82">C21</f>
        <v>7.8800672281917903</v>
      </c>
      <c r="D54" s="55">
        <f t="shared" si="82"/>
        <v>7.3506046531367257</v>
      </c>
      <c r="E54" s="55">
        <f t="shared" si="82"/>
        <v>8.5783113929101606</v>
      </c>
      <c r="F54" s="55">
        <f t="shared" si="82"/>
        <v>8.0891037411845943</v>
      </c>
      <c r="G54" s="32" t="s">
        <v>4</v>
      </c>
      <c r="H54" s="49"/>
      <c r="I54" s="32" t="s">
        <v>115</v>
      </c>
      <c r="O54" s="59" t="s">
        <v>300</v>
      </c>
      <c r="P54" s="60">
        <v>8.8539999999999992E-12</v>
      </c>
      <c r="Q54" s="48"/>
      <c r="S54" s="12" t="s">
        <v>236</v>
      </c>
      <c r="T54" s="26">
        <v>30</v>
      </c>
      <c r="U54" s="12" t="s">
        <v>201</v>
      </c>
    </row>
    <row r="55" spans="2:26" ht="16.5">
      <c r="B55" s="32" t="s">
        <v>274</v>
      </c>
      <c r="C55" s="41">
        <f t="shared" ref="C55:F55" si="83">C50*1.414</f>
        <v>1111.0805640806086</v>
      </c>
      <c r="D55" s="41">
        <f t="shared" si="83"/>
        <v>1301.7802600548437</v>
      </c>
      <c r="E55" s="41">
        <f t="shared" si="83"/>
        <v>1675.149036679127</v>
      </c>
      <c r="F55" s="41">
        <f t="shared" si="83"/>
        <v>2194.1806984952896</v>
      </c>
      <c r="G55" s="32" t="s">
        <v>2</v>
      </c>
      <c r="H55" s="49"/>
      <c r="I55" s="32" t="s">
        <v>280</v>
      </c>
      <c r="K55" s="205" t="s">
        <v>292</v>
      </c>
      <c r="L55" s="205"/>
      <c r="M55" s="205"/>
      <c r="O55" s="59" t="s">
        <v>301</v>
      </c>
      <c r="P55" s="57">
        <v>2.1</v>
      </c>
      <c r="Q55" s="48" t="s">
        <v>295</v>
      </c>
      <c r="S55" s="12" t="s">
        <v>237</v>
      </c>
      <c r="T55" s="26">
        <v>2</v>
      </c>
      <c r="U55" s="12" t="s">
        <v>201</v>
      </c>
    </row>
    <row r="56" spans="2:26" ht="16.5">
      <c r="B56" s="32" t="s">
        <v>120</v>
      </c>
      <c r="C56" s="38">
        <v>580</v>
      </c>
      <c r="D56" s="38">
        <v>600</v>
      </c>
      <c r="E56" s="38">
        <v>620</v>
      </c>
      <c r="F56" s="38">
        <v>650</v>
      </c>
      <c r="G56" s="32" t="s">
        <v>5</v>
      </c>
      <c r="H56" s="49">
        <v>9</v>
      </c>
      <c r="I56" s="35" t="s">
        <v>121</v>
      </c>
      <c r="K56" s="32" t="s">
        <v>293</v>
      </c>
      <c r="L56" s="33">
        <v>3000</v>
      </c>
      <c r="M56" s="32" t="s">
        <v>50</v>
      </c>
      <c r="O56" s="48" t="s">
        <v>302</v>
      </c>
      <c r="P56" s="60">
        <f>2*PI()*P54*P55/(LN(P53/P51))*1000000000</f>
        <v>0.50594615125588516</v>
      </c>
      <c r="Q56" s="48" t="s">
        <v>294</v>
      </c>
      <c r="S56" s="12" t="s">
        <v>252</v>
      </c>
      <c r="T56" s="27">
        <f>(T54*T55)-((T54-2*T53)*(T55-2*T53))</f>
        <v>42.694350984456051</v>
      </c>
      <c r="U56" s="12" t="s">
        <v>227</v>
      </c>
    </row>
    <row r="57" spans="2:26" ht="16.5">
      <c r="B57" s="32" t="s">
        <v>122</v>
      </c>
      <c r="C57" s="42">
        <v>0</v>
      </c>
      <c r="D57" s="42">
        <v>0</v>
      </c>
      <c r="E57" s="42">
        <v>0</v>
      </c>
      <c r="F57" s="42">
        <v>0</v>
      </c>
      <c r="G57" s="32" t="s">
        <v>5</v>
      </c>
      <c r="H57" s="49"/>
      <c r="I57" s="32"/>
      <c r="K57" s="32" t="s">
        <v>298</v>
      </c>
      <c r="L57" s="33">
        <v>1</v>
      </c>
      <c r="M57" s="32" t="s">
        <v>13</v>
      </c>
      <c r="O57" s="48" t="s">
        <v>303</v>
      </c>
      <c r="P57" s="57">
        <v>10</v>
      </c>
      <c r="Q57" s="48" t="s">
        <v>305</v>
      </c>
      <c r="S57" s="12" t="s">
        <v>232</v>
      </c>
      <c r="T57" s="26">
        <v>750</v>
      </c>
      <c r="U57" s="4" t="s">
        <v>228</v>
      </c>
    </row>
    <row r="58" spans="2:26" ht="16.5">
      <c r="B58" s="32" t="s">
        <v>123</v>
      </c>
      <c r="C58" s="42">
        <v>0</v>
      </c>
      <c r="D58" s="42">
        <v>0</v>
      </c>
      <c r="E58" s="42">
        <v>0</v>
      </c>
      <c r="F58" s="42">
        <v>0</v>
      </c>
      <c r="G58" s="32" t="s">
        <v>5</v>
      </c>
      <c r="H58" s="49"/>
      <c r="I58" s="32"/>
      <c r="K58" s="32" t="s">
        <v>301</v>
      </c>
      <c r="L58" s="33">
        <v>2.1</v>
      </c>
      <c r="M58" s="32" t="s">
        <v>295</v>
      </c>
      <c r="N58" s="2"/>
      <c r="O58" s="48" t="s">
        <v>304</v>
      </c>
      <c r="P58" s="61">
        <f>P56*P57</f>
        <v>5.0594615125588511</v>
      </c>
      <c r="Q58" s="48" t="s">
        <v>294</v>
      </c>
      <c r="S58" s="12" t="s">
        <v>492</v>
      </c>
      <c r="T58" s="28">
        <f>T57/T56</f>
        <v>17.566726808262207</v>
      </c>
      <c r="U58" s="4" t="s">
        <v>228</v>
      </c>
    </row>
    <row r="59" spans="2:26" ht="16.5">
      <c r="B59" s="32" t="s">
        <v>124</v>
      </c>
      <c r="C59" s="39">
        <f t="shared" ref="C59:F59" si="84">C56*C54+C57*C54</f>
        <v>4570.4389923512381</v>
      </c>
      <c r="D59" s="39">
        <f t="shared" si="84"/>
        <v>4410.3627918820357</v>
      </c>
      <c r="E59" s="39">
        <f t="shared" si="84"/>
        <v>5318.5530636042995</v>
      </c>
      <c r="F59" s="39">
        <f t="shared" si="84"/>
        <v>5257.9174317699863</v>
      </c>
      <c r="G59" s="32" t="s">
        <v>6</v>
      </c>
      <c r="H59" s="49"/>
      <c r="I59" s="32"/>
      <c r="K59" s="32" t="s">
        <v>76</v>
      </c>
      <c r="L59" s="63">
        <f>8.854/1000000000000*L58*(L56/1000000)/(L57/1000)*1000000000</f>
        <v>5.5780200000000002E-2</v>
      </c>
      <c r="M59" s="32" t="s">
        <v>294</v>
      </c>
      <c r="S59" s="12" t="s">
        <v>233</v>
      </c>
      <c r="T59" s="28">
        <f>T46/100000000*(T57^2)/(T56/1000000)*T51/1000</f>
        <v>4048.6913611342306</v>
      </c>
      <c r="U59" s="4" t="s">
        <v>229</v>
      </c>
    </row>
    <row r="60" spans="2:26" ht="16.5">
      <c r="B60" s="32" t="s">
        <v>125</v>
      </c>
      <c r="C60" s="42">
        <f t="shared" ref="C60:F60" si="85">C54*C58</f>
        <v>0</v>
      </c>
      <c r="D60" s="42">
        <f t="shared" si="85"/>
        <v>0</v>
      </c>
      <c r="E60" s="42">
        <f t="shared" si="85"/>
        <v>0</v>
      </c>
      <c r="F60" s="42">
        <f t="shared" si="85"/>
        <v>0</v>
      </c>
      <c r="G60" s="32" t="s">
        <v>6</v>
      </c>
      <c r="H60" s="49"/>
      <c r="I60" s="32"/>
    </row>
    <row r="61" spans="2:26" ht="16.5">
      <c r="B61" s="32" t="s">
        <v>126</v>
      </c>
      <c r="C61" s="38">
        <v>100</v>
      </c>
      <c r="D61" s="38">
        <v>100</v>
      </c>
      <c r="E61" s="38">
        <v>100</v>
      </c>
      <c r="F61" s="38">
        <v>100</v>
      </c>
      <c r="G61" s="32" t="s">
        <v>7</v>
      </c>
      <c r="H61" s="49">
        <v>10</v>
      </c>
      <c r="I61" s="35" t="s">
        <v>127</v>
      </c>
      <c r="K61" s="208" t="s">
        <v>468</v>
      </c>
      <c r="L61" s="208"/>
      <c r="M61" s="208"/>
      <c r="N61"/>
      <c r="S61" s="206" t="s">
        <v>488</v>
      </c>
      <c r="T61" s="206"/>
      <c r="U61" s="206"/>
    </row>
    <row r="62" spans="2:26" ht="16.5">
      <c r="B62" s="32" t="s">
        <v>128</v>
      </c>
      <c r="C62" s="43">
        <f t="shared" ref="C62:F62" si="86">C59*C61/100</f>
        <v>4570.4389923512381</v>
      </c>
      <c r="D62" s="43">
        <f t="shared" si="86"/>
        <v>4410.3627918820357</v>
      </c>
      <c r="E62" s="43">
        <f t="shared" si="86"/>
        <v>5318.5530636042995</v>
      </c>
      <c r="F62" s="43">
        <f t="shared" si="86"/>
        <v>5257.9174317699853</v>
      </c>
      <c r="G62" s="32" t="s">
        <v>6</v>
      </c>
      <c r="H62" s="49"/>
      <c r="I62" s="32"/>
      <c r="K62" s="77"/>
      <c r="L62" s="78" t="s">
        <v>460</v>
      </c>
      <c r="M62" s="78" t="s">
        <v>461</v>
      </c>
      <c r="N62" s="78" t="s">
        <v>462</v>
      </c>
      <c r="S62" s="5" t="s">
        <v>188</v>
      </c>
      <c r="T62" s="3" t="s">
        <v>189</v>
      </c>
      <c r="U62" s="3"/>
    </row>
    <row r="63" spans="2:26" ht="16.5">
      <c r="B63" s="32" t="s">
        <v>129</v>
      </c>
      <c r="C63" s="41">
        <f t="shared" ref="C63:F63" si="87">C50*0.9</f>
        <v>707.19413555342851</v>
      </c>
      <c r="D63" s="41">
        <f t="shared" si="87"/>
        <v>828.57300852147057</v>
      </c>
      <c r="E63" s="41">
        <f t="shared" si="87"/>
        <v>1066.2193302766721</v>
      </c>
      <c r="F63" s="41">
        <f t="shared" si="87"/>
        <v>1396.5789452940317</v>
      </c>
      <c r="G63" s="32" t="s">
        <v>2</v>
      </c>
      <c r="H63" s="49"/>
      <c r="I63" s="32"/>
      <c r="K63" s="78" t="s">
        <v>459</v>
      </c>
      <c r="L63" s="78" t="s">
        <v>465</v>
      </c>
      <c r="M63" s="78" t="s">
        <v>463</v>
      </c>
      <c r="N63" s="78" t="s">
        <v>464</v>
      </c>
      <c r="S63" s="12" t="s">
        <v>190</v>
      </c>
      <c r="T63" s="15">
        <v>1.75</v>
      </c>
      <c r="U63" s="12" t="s">
        <v>191</v>
      </c>
    </row>
    <row r="64" spans="2:26" ht="16.5">
      <c r="B64" s="32" t="s">
        <v>130</v>
      </c>
      <c r="C64" s="38">
        <v>1.7</v>
      </c>
      <c r="D64" s="38">
        <v>1.7</v>
      </c>
      <c r="E64" s="38">
        <v>1.75</v>
      </c>
      <c r="F64" s="38">
        <v>1.8</v>
      </c>
      <c r="G64" s="32" t="s">
        <v>44</v>
      </c>
      <c r="H64" s="49">
        <v>11</v>
      </c>
      <c r="I64" s="35" t="s">
        <v>131</v>
      </c>
      <c r="K64" s="76">
        <v>0.5</v>
      </c>
      <c r="L64" s="76"/>
      <c r="M64" s="76">
        <v>2.5</v>
      </c>
      <c r="N64" s="76"/>
      <c r="S64" s="12" t="s">
        <v>192</v>
      </c>
      <c r="T64" s="16">
        <v>3.8999999999999998E-3</v>
      </c>
      <c r="U64" s="12" t="s">
        <v>193</v>
      </c>
    </row>
    <row r="65" spans="2:21" ht="16.5">
      <c r="B65" s="32" t="s">
        <v>132</v>
      </c>
      <c r="C65" s="38">
        <v>1.7</v>
      </c>
      <c r="D65" s="38">
        <v>1.7</v>
      </c>
      <c r="E65" s="38">
        <v>1.7</v>
      </c>
      <c r="F65" s="38">
        <v>1.7</v>
      </c>
      <c r="G65" s="32" t="s">
        <v>44</v>
      </c>
      <c r="H65" s="49">
        <v>12</v>
      </c>
      <c r="I65" s="35" t="s">
        <v>133</v>
      </c>
      <c r="K65" s="76">
        <v>0.8</v>
      </c>
      <c r="L65" s="76"/>
      <c r="M65" s="76">
        <v>1.42</v>
      </c>
      <c r="N65" s="76"/>
      <c r="S65" s="12" t="s">
        <v>194</v>
      </c>
      <c r="T65" s="17">
        <v>45</v>
      </c>
      <c r="U65" s="12" t="s">
        <v>48</v>
      </c>
    </row>
    <row r="66" spans="2:21" ht="16.5">
      <c r="B66" s="32" t="s">
        <v>72</v>
      </c>
      <c r="C66" s="42">
        <v>100</v>
      </c>
      <c r="D66" s="42">
        <v>100</v>
      </c>
      <c r="E66" s="42">
        <v>100</v>
      </c>
      <c r="F66" s="42">
        <v>100</v>
      </c>
      <c r="G66" s="32" t="s">
        <v>7</v>
      </c>
      <c r="H66" s="49"/>
      <c r="I66" s="35"/>
      <c r="K66" s="76">
        <v>1</v>
      </c>
      <c r="L66" s="76">
        <v>2</v>
      </c>
      <c r="M66" s="76">
        <v>1.4</v>
      </c>
      <c r="N66" s="76"/>
      <c r="S66" s="12" t="s">
        <v>195</v>
      </c>
      <c r="T66" s="16">
        <f>T63*(1+T64*(T65-20))</f>
        <v>1.9206249999999998</v>
      </c>
      <c r="U66" s="12" t="s">
        <v>191</v>
      </c>
    </row>
    <row r="67" spans="2:21" ht="16.5">
      <c r="B67" s="32" t="s">
        <v>134</v>
      </c>
      <c r="C67" s="42">
        <f t="shared" ref="C67:F67" si="88">C17</f>
        <v>30</v>
      </c>
      <c r="D67" s="42">
        <f t="shared" si="88"/>
        <v>30</v>
      </c>
      <c r="E67" s="42">
        <f t="shared" si="88"/>
        <v>30</v>
      </c>
      <c r="F67" s="42">
        <f t="shared" si="88"/>
        <v>30</v>
      </c>
      <c r="G67" s="32" t="s">
        <v>79</v>
      </c>
      <c r="H67" s="49"/>
      <c r="I67" s="32"/>
      <c r="K67" s="76">
        <v>1.2</v>
      </c>
      <c r="L67" s="76"/>
      <c r="M67" s="76">
        <v>1.04</v>
      </c>
      <c r="N67" s="76"/>
      <c r="S67" s="12" t="s">
        <v>196</v>
      </c>
      <c r="T67" s="18">
        <f>1/(T66/100000000)</f>
        <v>52066384.64041654</v>
      </c>
      <c r="U67" s="12" t="s">
        <v>197</v>
      </c>
    </row>
    <row r="68" spans="2:21" ht="16.5">
      <c r="B68" s="32" t="s">
        <v>135</v>
      </c>
      <c r="C68" s="42">
        <f t="shared" ref="C68:F68" si="89">ROUNDUP((C63*C64*((C66*180/100-C67)/180))/2,0)</f>
        <v>501</v>
      </c>
      <c r="D68" s="42">
        <f t="shared" si="89"/>
        <v>587</v>
      </c>
      <c r="E68" s="42">
        <f t="shared" si="89"/>
        <v>778</v>
      </c>
      <c r="F68" s="42">
        <f t="shared" si="89"/>
        <v>1048</v>
      </c>
      <c r="G68" s="32" t="s">
        <v>6</v>
      </c>
      <c r="H68" s="49"/>
      <c r="I68" s="32"/>
      <c r="K68" s="76">
        <v>2</v>
      </c>
      <c r="L68" s="76">
        <v>1.1200000000000001</v>
      </c>
      <c r="M68" s="76">
        <v>0.75</v>
      </c>
      <c r="N68" s="76"/>
      <c r="S68" s="12" t="s">
        <v>198</v>
      </c>
      <c r="T68" s="3">
        <v>1</v>
      </c>
      <c r="U68" s="12" t="s">
        <v>199</v>
      </c>
    </row>
    <row r="69" spans="2:21" ht="16.5">
      <c r="B69" s="32" t="s">
        <v>136</v>
      </c>
      <c r="C69" s="42">
        <f t="shared" ref="C69:F69" si="90">ROUNDUP((C63*C65*(1-(C66*180/100-C67)/180))/2,0)</f>
        <v>101</v>
      </c>
      <c r="D69" s="42">
        <f t="shared" si="90"/>
        <v>118</v>
      </c>
      <c r="E69" s="42">
        <f t="shared" si="90"/>
        <v>152</v>
      </c>
      <c r="F69" s="42">
        <f t="shared" si="90"/>
        <v>198</v>
      </c>
      <c r="G69" s="32" t="s">
        <v>6</v>
      </c>
      <c r="H69" s="49"/>
      <c r="I69" s="32"/>
      <c r="K69" s="76">
        <v>3</v>
      </c>
      <c r="L69" s="76">
        <v>0.71</v>
      </c>
      <c r="M69" s="76">
        <v>0.57999999999999996</v>
      </c>
      <c r="N69" s="76"/>
      <c r="S69" s="12" t="s">
        <v>231</v>
      </c>
      <c r="T69" s="26">
        <v>6126</v>
      </c>
      <c r="U69" s="12" t="s">
        <v>201</v>
      </c>
    </row>
    <row r="70" spans="2:21" ht="16.5">
      <c r="B70" s="32" t="s">
        <v>69</v>
      </c>
      <c r="C70" s="43">
        <f t="shared" ref="C70:F70" si="91">ROUNDUP(((C63*C64*(((C66*180/100-C67)/180))+(C63*C65*(1-(C66*180/100-C67)/180))))/2,0)</f>
        <v>602</v>
      </c>
      <c r="D70" s="43">
        <f t="shared" si="91"/>
        <v>705</v>
      </c>
      <c r="E70" s="43">
        <f t="shared" si="91"/>
        <v>929</v>
      </c>
      <c r="F70" s="43">
        <f t="shared" si="91"/>
        <v>1246</v>
      </c>
      <c r="G70" s="32" t="s">
        <v>6</v>
      </c>
      <c r="H70" s="49"/>
      <c r="I70" s="32"/>
      <c r="K70" s="76">
        <v>5</v>
      </c>
      <c r="L70" s="76">
        <v>0.43</v>
      </c>
      <c r="M70" s="76">
        <v>0.36</v>
      </c>
      <c r="N70" s="76"/>
      <c r="S70" s="12" t="s">
        <v>257</v>
      </c>
      <c r="T70" s="26">
        <v>2</v>
      </c>
      <c r="U70" s="12" t="s">
        <v>201</v>
      </c>
    </row>
    <row r="71" spans="2:21" ht="16.5">
      <c r="B71" s="32" t="s">
        <v>276</v>
      </c>
      <c r="C71" s="42">
        <f t="shared" ref="C71:F71" si="92">C62+C68</f>
        <v>5071.4389923512381</v>
      </c>
      <c r="D71" s="42">
        <f t="shared" si="92"/>
        <v>4997.3627918820357</v>
      </c>
      <c r="E71" s="42">
        <f t="shared" si="92"/>
        <v>6096.5530636042995</v>
      </c>
      <c r="F71" s="42">
        <f t="shared" si="92"/>
        <v>6305.9174317699853</v>
      </c>
      <c r="G71" s="32" t="s">
        <v>6</v>
      </c>
      <c r="H71" s="49"/>
      <c r="I71" s="32"/>
      <c r="K71" s="76">
        <v>6</v>
      </c>
      <c r="L71" s="76"/>
      <c r="M71" s="76">
        <v>0.34</v>
      </c>
      <c r="N71" s="76">
        <v>0.62</v>
      </c>
      <c r="S71" s="12" t="s">
        <v>253</v>
      </c>
      <c r="T71" s="26">
        <v>60</v>
      </c>
      <c r="U71" s="12" t="s">
        <v>201</v>
      </c>
    </row>
    <row r="72" spans="2:21" ht="16.5">
      <c r="B72" s="32" t="s">
        <v>277</v>
      </c>
      <c r="C72" s="42">
        <f t="shared" ref="C72:F72" si="93">C69+C60</f>
        <v>101</v>
      </c>
      <c r="D72" s="42">
        <f t="shared" si="93"/>
        <v>118</v>
      </c>
      <c r="E72" s="42">
        <f t="shared" si="93"/>
        <v>152</v>
      </c>
      <c r="F72" s="42">
        <f t="shared" si="93"/>
        <v>198</v>
      </c>
      <c r="G72" s="32" t="s">
        <v>6</v>
      </c>
      <c r="H72" s="49"/>
      <c r="I72" s="32"/>
      <c r="K72" s="76">
        <v>8</v>
      </c>
      <c r="L72" s="76">
        <v>0.3</v>
      </c>
      <c r="M72" s="76">
        <v>0.25</v>
      </c>
      <c r="N72" s="76"/>
      <c r="S72" s="12" t="s">
        <v>252</v>
      </c>
      <c r="T72" s="27">
        <f>T70*T71</f>
        <v>120</v>
      </c>
      <c r="U72" s="12" t="s">
        <v>227</v>
      </c>
    </row>
    <row r="73" spans="2:21" ht="16.5">
      <c r="B73" s="32" t="s">
        <v>284</v>
      </c>
      <c r="C73" s="43">
        <f t="shared" ref="C73:F73" si="94">ROUNDUP((C53+C62+C70),0)</f>
        <v>5178</v>
      </c>
      <c r="D73" s="43">
        <f t="shared" si="94"/>
        <v>5121</v>
      </c>
      <c r="E73" s="43">
        <f t="shared" si="94"/>
        <v>6254</v>
      </c>
      <c r="F73" s="43">
        <f t="shared" si="94"/>
        <v>6510</v>
      </c>
      <c r="G73" s="32" t="s">
        <v>6</v>
      </c>
      <c r="H73" s="49"/>
      <c r="I73" s="32"/>
      <c r="K73" s="76">
        <v>10</v>
      </c>
      <c r="L73" s="76"/>
      <c r="M73" s="76"/>
      <c r="N73" s="76">
        <v>0.45</v>
      </c>
      <c r="S73" s="12" t="s">
        <v>232</v>
      </c>
      <c r="T73" s="26">
        <v>850</v>
      </c>
      <c r="U73" s="4" t="s">
        <v>228</v>
      </c>
    </row>
    <row r="74" spans="2:21" ht="16.5">
      <c r="B74" s="32" t="s">
        <v>137</v>
      </c>
      <c r="C74" s="38">
        <v>1</v>
      </c>
      <c r="D74" s="38">
        <v>1</v>
      </c>
      <c r="E74" s="38">
        <v>1</v>
      </c>
      <c r="F74" s="38">
        <v>1</v>
      </c>
      <c r="G74" s="32"/>
      <c r="H74" s="49">
        <v>13</v>
      </c>
      <c r="I74" s="35" t="s">
        <v>283</v>
      </c>
      <c r="K74" s="76">
        <v>15</v>
      </c>
      <c r="L74" s="76"/>
      <c r="M74" s="76"/>
      <c r="N74" s="76">
        <v>0.4</v>
      </c>
      <c r="S74" s="12" t="s">
        <v>492</v>
      </c>
      <c r="T74" s="28">
        <f>T73/T72</f>
        <v>7.083333333333333</v>
      </c>
      <c r="U74" s="4" t="s">
        <v>228</v>
      </c>
    </row>
    <row r="75" spans="2:21" ht="16.5">
      <c r="B75" s="32" t="s">
        <v>70</v>
      </c>
      <c r="C75" s="44">
        <f t="shared" ref="C75:F75" si="95">C73*C74</f>
        <v>5178</v>
      </c>
      <c r="D75" s="44">
        <f t="shared" si="95"/>
        <v>5121</v>
      </c>
      <c r="E75" s="44">
        <f t="shared" si="95"/>
        <v>6254</v>
      </c>
      <c r="F75" s="44">
        <f t="shared" si="95"/>
        <v>6510</v>
      </c>
      <c r="G75" s="32" t="s">
        <v>46</v>
      </c>
      <c r="H75" s="49"/>
      <c r="I75" s="32"/>
      <c r="K75" s="76">
        <v>20</v>
      </c>
      <c r="L75" s="76"/>
      <c r="M75" s="76"/>
      <c r="N75" s="76">
        <v>0.35</v>
      </c>
      <c r="S75" s="12" t="s">
        <v>233</v>
      </c>
      <c r="T75" s="28">
        <f>T66/100000000*(T73^2)/(T72/1000000)*T69/1000</f>
        <v>708.39612265624987</v>
      </c>
      <c r="U75" s="4" t="s">
        <v>229</v>
      </c>
    </row>
    <row r="76" spans="2:21" ht="16.5">
      <c r="B76" s="32" t="s">
        <v>43</v>
      </c>
      <c r="C76" s="45">
        <v>19000</v>
      </c>
      <c r="D76" s="45">
        <v>19000</v>
      </c>
      <c r="E76" s="45">
        <v>19000</v>
      </c>
      <c r="F76" s="45">
        <v>19000</v>
      </c>
      <c r="G76" s="32" t="s">
        <v>6</v>
      </c>
      <c r="H76" s="49">
        <v>14</v>
      </c>
      <c r="I76" s="35" t="s">
        <v>117</v>
      </c>
      <c r="K76" s="76">
        <v>30</v>
      </c>
      <c r="L76" s="76"/>
      <c r="M76" s="76"/>
      <c r="N76" s="76">
        <v>0.28939999999999999</v>
      </c>
    </row>
    <row r="77" spans="2:21" ht="16.5">
      <c r="B77" s="32" t="s">
        <v>281</v>
      </c>
      <c r="C77" s="44">
        <f t="shared" ref="C77:F77" si="96">ROUNDUP(C75/C76*100,0)</f>
        <v>28</v>
      </c>
      <c r="D77" s="44">
        <f t="shared" si="96"/>
        <v>27</v>
      </c>
      <c r="E77" s="44">
        <f t="shared" si="96"/>
        <v>33</v>
      </c>
      <c r="F77" s="44">
        <f t="shared" si="96"/>
        <v>35</v>
      </c>
      <c r="G77" s="32" t="s">
        <v>7</v>
      </c>
      <c r="H77" s="49"/>
      <c r="I77" s="35" t="s">
        <v>282</v>
      </c>
      <c r="K77" s="76">
        <v>50</v>
      </c>
      <c r="L77" s="76"/>
      <c r="M77" s="76"/>
      <c r="N77" s="76">
        <v>0.224</v>
      </c>
    </row>
    <row r="78" spans="2:21" ht="16.5">
      <c r="B78" s="32" t="s">
        <v>138</v>
      </c>
      <c r="C78" s="64">
        <v>8.0000000000000002E-3</v>
      </c>
      <c r="D78" s="64">
        <v>8.0000000000000002E-3</v>
      </c>
      <c r="E78" s="64">
        <v>8.0000000000000002E-3</v>
      </c>
      <c r="F78" s="64">
        <v>8.0000000000000002E-3</v>
      </c>
      <c r="G78" s="32" t="s">
        <v>58</v>
      </c>
      <c r="H78" s="49">
        <v>15</v>
      </c>
      <c r="I78" s="53" t="s">
        <v>117</v>
      </c>
      <c r="K78" s="76">
        <v>100</v>
      </c>
      <c r="L78" s="76"/>
      <c r="M78" s="76"/>
      <c r="N78" s="76">
        <v>0.161</v>
      </c>
    </row>
    <row r="79" spans="2:21" ht="16.5">
      <c r="B79" s="32" t="s">
        <v>265</v>
      </c>
      <c r="C79" s="64">
        <v>1.35E-2</v>
      </c>
      <c r="D79" s="64">
        <v>1.35E-2</v>
      </c>
      <c r="E79" s="64">
        <v>1.35E-2</v>
      </c>
      <c r="F79" s="64">
        <v>1.35E-2</v>
      </c>
      <c r="G79" s="32" t="s">
        <v>58</v>
      </c>
      <c r="H79" s="49">
        <v>16</v>
      </c>
      <c r="I79" s="53" t="s">
        <v>117</v>
      </c>
      <c r="K79" s="76">
        <v>200</v>
      </c>
      <c r="L79" s="76"/>
      <c r="M79" s="76"/>
      <c r="N79" s="76">
        <v>7.7600000000000002E-2</v>
      </c>
    </row>
    <row r="80" spans="2:21" ht="16.5">
      <c r="B80" s="32" t="s">
        <v>139</v>
      </c>
      <c r="C80" s="36">
        <f t="shared" ref="C80:F80" si="97">125-C78*C71</f>
        <v>84.428488061190095</v>
      </c>
      <c r="D80" s="36">
        <f t="shared" si="97"/>
        <v>85.02109766494371</v>
      </c>
      <c r="E80" s="36">
        <f t="shared" si="97"/>
        <v>76.227575491165595</v>
      </c>
      <c r="F80" s="36">
        <f t="shared" si="97"/>
        <v>74.552660545840126</v>
      </c>
      <c r="G80" s="37" t="s">
        <v>59</v>
      </c>
      <c r="H80" s="49"/>
      <c r="I80" s="35" t="s">
        <v>140</v>
      </c>
      <c r="K80" s="76">
        <v>300</v>
      </c>
      <c r="L80" s="76"/>
      <c r="M80" s="76"/>
      <c r="N80" s="76">
        <v>5.2400000000000002E-2</v>
      </c>
    </row>
    <row r="81" spans="2:17" ht="16.5">
      <c r="B81" s="32" t="s">
        <v>141</v>
      </c>
      <c r="C81" s="55">
        <f t="shared" ref="C81:F81" si="98">125-C79*C72</f>
        <v>123.6365</v>
      </c>
      <c r="D81" s="55">
        <f t="shared" si="98"/>
        <v>123.407</v>
      </c>
      <c r="E81" s="55">
        <f t="shared" si="98"/>
        <v>122.94799999999999</v>
      </c>
      <c r="F81" s="55">
        <f t="shared" si="98"/>
        <v>122.327</v>
      </c>
      <c r="G81" s="37" t="s">
        <v>59</v>
      </c>
      <c r="H81" s="49"/>
      <c r="I81" s="32"/>
    </row>
    <row r="82" spans="2:17" ht="16.5">
      <c r="B82" s="32" t="s">
        <v>142</v>
      </c>
      <c r="C82" s="55">
        <f t="shared" ref="C82:F82" si="99">C78*C71</f>
        <v>40.571511938809905</v>
      </c>
      <c r="D82" s="55">
        <f t="shared" si="99"/>
        <v>39.97890233505629</v>
      </c>
      <c r="E82" s="55">
        <f t="shared" si="99"/>
        <v>48.772424508834398</v>
      </c>
      <c r="F82" s="55">
        <f t="shared" si="99"/>
        <v>50.447339454159881</v>
      </c>
      <c r="G82" s="37" t="s">
        <v>59</v>
      </c>
      <c r="H82" s="49"/>
      <c r="I82" s="32"/>
      <c r="K82" s="208" t="s">
        <v>472</v>
      </c>
      <c r="L82" s="208"/>
      <c r="M82" s="208"/>
      <c r="O82" s="208" t="s">
        <v>508</v>
      </c>
      <c r="P82" s="208"/>
      <c r="Q82" s="208"/>
    </row>
    <row r="83" spans="2:17" ht="16.5">
      <c r="B83" s="32" t="s">
        <v>143</v>
      </c>
      <c r="C83" s="55">
        <f t="shared" ref="C83:F83" si="100">C79*C72</f>
        <v>1.3634999999999999</v>
      </c>
      <c r="D83" s="55">
        <f t="shared" si="100"/>
        <v>1.593</v>
      </c>
      <c r="E83" s="55">
        <f t="shared" si="100"/>
        <v>2.052</v>
      </c>
      <c r="F83" s="55">
        <f t="shared" si="100"/>
        <v>2.673</v>
      </c>
      <c r="G83" s="37" t="s">
        <v>59</v>
      </c>
      <c r="H83" s="49"/>
      <c r="I83" s="32"/>
      <c r="K83" s="79" t="s">
        <v>471</v>
      </c>
      <c r="L83" s="79" t="s">
        <v>478</v>
      </c>
      <c r="M83" s="79"/>
      <c r="O83" s="79" t="s">
        <v>509</v>
      </c>
      <c r="P83" s="79" t="s">
        <v>510</v>
      </c>
      <c r="Q83" s="79" t="s">
        <v>511</v>
      </c>
    </row>
    <row r="84" spans="2:17" ht="16.5">
      <c r="B84" s="32" t="s">
        <v>144</v>
      </c>
      <c r="C84" s="64">
        <v>0.03</v>
      </c>
      <c r="D84" s="64">
        <v>0.03</v>
      </c>
      <c r="E84" s="64">
        <v>0.03</v>
      </c>
      <c r="F84" s="64">
        <v>0.03</v>
      </c>
      <c r="G84" s="32" t="s">
        <v>58</v>
      </c>
      <c r="H84" s="49">
        <v>17</v>
      </c>
      <c r="I84" s="32" t="s">
        <v>117</v>
      </c>
      <c r="K84" s="48" t="s">
        <v>469</v>
      </c>
      <c r="L84" s="48">
        <v>183</v>
      </c>
      <c r="M84" s="48" t="s">
        <v>473</v>
      </c>
      <c r="O84" s="65" t="s">
        <v>512</v>
      </c>
      <c r="P84" s="65" t="s">
        <v>513</v>
      </c>
      <c r="Q84" s="111" t="s">
        <v>514</v>
      </c>
    </row>
    <row r="85" spans="2:17" ht="16.5">
      <c r="B85" s="32" t="s">
        <v>145</v>
      </c>
      <c r="C85" s="64">
        <v>0.06</v>
      </c>
      <c r="D85" s="64">
        <v>0.06</v>
      </c>
      <c r="E85" s="64">
        <v>0.06</v>
      </c>
      <c r="F85" s="64">
        <v>0.06</v>
      </c>
      <c r="G85" s="32" t="s">
        <v>58</v>
      </c>
      <c r="H85" s="49">
        <v>18</v>
      </c>
      <c r="I85" s="32" t="s">
        <v>117</v>
      </c>
      <c r="K85" s="48" t="s">
        <v>470</v>
      </c>
      <c r="L85" s="48">
        <v>75</v>
      </c>
      <c r="M85" s="48" t="s">
        <v>473</v>
      </c>
      <c r="O85" s="65" t="s">
        <v>515</v>
      </c>
      <c r="P85" s="65" t="s">
        <v>516</v>
      </c>
      <c r="Q85" s="111" t="s">
        <v>521</v>
      </c>
    </row>
    <row r="86" spans="2:17" ht="16.5">
      <c r="B86" s="32" t="s">
        <v>146</v>
      </c>
      <c r="C86" s="56">
        <f t="shared" ref="C86:F86" si="101">C80-C84*C71</f>
        <v>-67.714681709347033</v>
      </c>
      <c r="D86" s="56">
        <f t="shared" si="101"/>
        <v>-64.899786091517342</v>
      </c>
      <c r="E86" s="56">
        <f t="shared" si="101"/>
        <v>-106.66901641696339</v>
      </c>
      <c r="F86" s="56">
        <f t="shared" si="101"/>
        <v>-114.62486240725943</v>
      </c>
      <c r="G86" s="37" t="s">
        <v>59</v>
      </c>
      <c r="H86" s="49"/>
      <c r="I86" s="32" t="s">
        <v>140</v>
      </c>
      <c r="K86" s="48" t="s">
        <v>474</v>
      </c>
      <c r="L86" s="48">
        <v>9</v>
      </c>
      <c r="M86" s="48" t="s">
        <v>473</v>
      </c>
      <c r="O86" s="65" t="s">
        <v>517</v>
      </c>
      <c r="P86" s="65" t="s">
        <v>522</v>
      </c>
      <c r="Q86" s="111" t="s">
        <v>523</v>
      </c>
    </row>
    <row r="87" spans="2:17" ht="16.5">
      <c r="B87" s="32" t="s">
        <v>147</v>
      </c>
      <c r="C87" s="55">
        <f t="shared" ref="C87:F87" si="102">C81-C85*C72</f>
        <v>117.5765</v>
      </c>
      <c r="D87" s="55">
        <f t="shared" si="102"/>
        <v>116.327</v>
      </c>
      <c r="E87" s="55">
        <f t="shared" si="102"/>
        <v>113.82799999999999</v>
      </c>
      <c r="F87" s="55">
        <f t="shared" si="102"/>
        <v>110.447</v>
      </c>
      <c r="G87" s="37" t="s">
        <v>59</v>
      </c>
      <c r="H87" s="49"/>
      <c r="I87" s="32"/>
      <c r="K87" s="48" t="s">
        <v>475</v>
      </c>
      <c r="L87" s="48">
        <v>6</v>
      </c>
      <c r="M87" s="48" t="s">
        <v>473</v>
      </c>
      <c r="O87" s="65" t="s">
        <v>518</v>
      </c>
      <c r="P87" s="65" t="s">
        <v>524</v>
      </c>
      <c r="Q87" s="111" t="s">
        <v>525</v>
      </c>
    </row>
    <row r="88" spans="2:17" ht="16.5">
      <c r="B88" s="32" t="s">
        <v>148</v>
      </c>
      <c r="C88" s="55">
        <f t="shared" ref="C88:F88" si="103">C84*C71</f>
        <v>152.14316977053713</v>
      </c>
      <c r="D88" s="55">
        <f t="shared" si="103"/>
        <v>149.92088375646105</v>
      </c>
      <c r="E88" s="55">
        <f t="shared" si="103"/>
        <v>182.89659190812898</v>
      </c>
      <c r="F88" s="55">
        <f t="shared" si="103"/>
        <v>189.17752295309955</v>
      </c>
      <c r="G88" s="37" t="s">
        <v>59</v>
      </c>
      <c r="H88" s="49"/>
      <c r="I88" s="32"/>
      <c r="K88" s="48" t="s">
        <v>476</v>
      </c>
      <c r="L88" s="48">
        <v>12</v>
      </c>
      <c r="M88" s="48" t="s">
        <v>473</v>
      </c>
      <c r="O88" s="65" t="s">
        <v>519</v>
      </c>
      <c r="P88" s="65" t="s">
        <v>526</v>
      </c>
      <c r="Q88" s="111" t="s">
        <v>527</v>
      </c>
    </row>
    <row r="89" spans="2:17" ht="16.5">
      <c r="B89" s="32" t="s">
        <v>149</v>
      </c>
      <c r="C89" s="55">
        <f t="shared" ref="C89:F89" si="104">C85*C72</f>
        <v>6.06</v>
      </c>
      <c r="D89" s="55">
        <f t="shared" si="104"/>
        <v>7.08</v>
      </c>
      <c r="E89" s="55">
        <f t="shared" si="104"/>
        <v>9.1199999999999992</v>
      </c>
      <c r="F89" s="55">
        <f t="shared" si="104"/>
        <v>11.879999999999999</v>
      </c>
      <c r="G89" s="37" t="s">
        <v>59</v>
      </c>
      <c r="H89" s="49"/>
      <c r="I89" s="32"/>
      <c r="K89" s="48" t="s">
        <v>477</v>
      </c>
      <c r="L89" s="48">
        <v>78.540000000000006</v>
      </c>
      <c r="M89" s="48" t="s">
        <v>473</v>
      </c>
      <c r="O89" s="65" t="s">
        <v>520</v>
      </c>
      <c r="P89" s="65" t="s">
        <v>528</v>
      </c>
      <c r="Q89" s="111" t="s">
        <v>529</v>
      </c>
    </row>
    <row r="90" spans="2:17" ht="16.5">
      <c r="B90" s="32" t="s">
        <v>60</v>
      </c>
      <c r="C90" s="55">
        <v>60</v>
      </c>
      <c r="D90" s="55">
        <v>60</v>
      </c>
      <c r="E90" s="55">
        <v>60</v>
      </c>
      <c r="F90" s="55">
        <v>60</v>
      </c>
      <c r="G90" s="37" t="s">
        <v>59</v>
      </c>
      <c r="H90" s="49"/>
      <c r="I90" s="32" t="s">
        <v>150</v>
      </c>
    </row>
    <row r="91" spans="2:17" ht="16.5">
      <c r="B91" s="32" t="s">
        <v>61</v>
      </c>
      <c r="C91" s="54">
        <v>8</v>
      </c>
      <c r="D91" s="54">
        <v>8</v>
      </c>
      <c r="E91" s="54">
        <v>8</v>
      </c>
      <c r="F91" s="54">
        <v>8</v>
      </c>
      <c r="G91" s="37" t="s">
        <v>62</v>
      </c>
      <c r="H91" s="49"/>
      <c r="I91" s="32" t="s">
        <v>151</v>
      </c>
    </row>
    <row r="92" spans="2:17" ht="16.5">
      <c r="B92" s="32" t="s">
        <v>63</v>
      </c>
      <c r="C92" s="40">
        <f t="shared" ref="C92:F92" si="105">C90-(C75/1000*860/C91/60)</f>
        <v>50.722749999999998</v>
      </c>
      <c r="D92" s="40">
        <f t="shared" si="105"/>
        <v>50.824874999999999</v>
      </c>
      <c r="E92" s="40">
        <f t="shared" si="105"/>
        <v>48.794916666666666</v>
      </c>
      <c r="F92" s="40">
        <f t="shared" si="105"/>
        <v>48.33625</v>
      </c>
      <c r="G92" s="37" t="s">
        <v>59</v>
      </c>
      <c r="H92" s="49"/>
      <c r="I92" s="32"/>
    </row>
  </sheetData>
  <mergeCells count="25">
    <mergeCell ref="K61:M61"/>
    <mergeCell ref="K82:M82"/>
    <mergeCell ref="K55:M55"/>
    <mergeCell ref="O21:Q21"/>
    <mergeCell ref="K29:M29"/>
    <mergeCell ref="O50:Q50"/>
    <mergeCell ref="K49:M49"/>
    <mergeCell ref="K40:M40"/>
    <mergeCell ref="O44:Q44"/>
    <mergeCell ref="O82:Q82"/>
    <mergeCell ref="S22:U22"/>
    <mergeCell ref="S41:U41"/>
    <mergeCell ref="S61:U61"/>
    <mergeCell ref="P32:Q32"/>
    <mergeCell ref="W3:Y3"/>
    <mergeCell ref="O10:Q10"/>
    <mergeCell ref="W10:Y10"/>
    <mergeCell ref="O15:Q15"/>
    <mergeCell ref="W32:Y32"/>
    <mergeCell ref="W38:Y38"/>
    <mergeCell ref="K16:M16"/>
    <mergeCell ref="K3:M3"/>
    <mergeCell ref="O3:Q3"/>
    <mergeCell ref="S3:U3"/>
    <mergeCell ref="W19:Y19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>
      <selection activeCell="C35" sqref="C35"/>
    </sheetView>
  </sheetViews>
  <sheetFormatPr defaultRowHeight="13.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/>
    <row r="3" spans="2:4" ht="14.25" thickBot="1">
      <c r="B3" s="66" t="s">
        <v>457</v>
      </c>
      <c r="C3" s="67" t="s">
        <v>638</v>
      </c>
      <c r="D3" s="67" t="s">
        <v>456</v>
      </c>
    </row>
    <row r="4" spans="2:4" ht="14.25" thickBot="1">
      <c r="B4" s="68" t="s">
        <v>436</v>
      </c>
      <c r="C4" s="66" t="s">
        <v>657</v>
      </c>
      <c r="D4" s="66"/>
    </row>
    <row r="5" spans="2:4">
      <c r="B5" s="69" t="s">
        <v>437</v>
      </c>
      <c r="C5" s="70" t="s">
        <v>655</v>
      </c>
      <c r="D5" s="70"/>
    </row>
    <row r="6" spans="2:4">
      <c r="B6" s="69" t="s">
        <v>438</v>
      </c>
      <c r="C6" s="70" t="s">
        <v>639</v>
      </c>
      <c r="D6" s="70"/>
    </row>
    <row r="7" spans="2:4">
      <c r="B7" s="69" t="s">
        <v>667</v>
      </c>
      <c r="C7" s="71" t="s">
        <v>668</v>
      </c>
      <c r="D7" s="71"/>
    </row>
    <row r="8" spans="2:4">
      <c r="B8" s="69" t="s">
        <v>669</v>
      </c>
      <c r="C8" s="71" t="s">
        <v>670</v>
      </c>
      <c r="D8" s="71"/>
    </row>
    <row r="9" spans="2:4">
      <c r="B9" s="69" t="s">
        <v>671</v>
      </c>
      <c r="C9" s="71" t="s">
        <v>672</v>
      </c>
      <c r="D9" s="71"/>
    </row>
    <row r="10" spans="2:4">
      <c r="B10" s="69" t="s">
        <v>439</v>
      </c>
      <c r="C10" s="71" t="s">
        <v>656</v>
      </c>
      <c r="D10" s="71"/>
    </row>
    <row r="11" spans="2:4">
      <c r="B11" s="69" t="s">
        <v>440</v>
      </c>
      <c r="C11" s="71" t="s">
        <v>628</v>
      </c>
      <c r="D11" s="71"/>
    </row>
    <row r="12" spans="2:4">
      <c r="B12" s="69" t="s">
        <v>441</v>
      </c>
      <c r="C12" s="72" t="s">
        <v>532</v>
      </c>
      <c r="D12" s="72"/>
    </row>
    <row r="13" spans="2:4">
      <c r="B13" s="69" t="s">
        <v>442</v>
      </c>
      <c r="C13" s="72" t="s">
        <v>531</v>
      </c>
      <c r="D13" s="72"/>
    </row>
    <row r="14" spans="2:4">
      <c r="B14" s="69" t="s">
        <v>443</v>
      </c>
      <c r="C14" s="71" t="s">
        <v>635</v>
      </c>
      <c r="D14" s="71"/>
    </row>
    <row r="15" spans="2:4">
      <c r="B15" s="69" t="s">
        <v>444</v>
      </c>
      <c r="C15" s="71" t="s">
        <v>652</v>
      </c>
      <c r="D15" s="71" t="s">
        <v>653</v>
      </c>
    </row>
    <row r="16" spans="2:4">
      <c r="B16" s="69" t="s">
        <v>446</v>
      </c>
      <c r="C16" s="72" t="s">
        <v>640</v>
      </c>
      <c r="D16" s="72"/>
    </row>
    <row r="17" spans="2:4">
      <c r="B17" s="69" t="s">
        <v>447</v>
      </c>
      <c r="C17" s="113" t="s">
        <v>641</v>
      </c>
      <c r="D17" s="72"/>
    </row>
    <row r="18" spans="2:4">
      <c r="B18" s="69" t="s">
        <v>642</v>
      </c>
      <c r="C18" s="113" t="s">
        <v>643</v>
      </c>
      <c r="D18" s="72"/>
    </row>
    <row r="19" spans="2:4">
      <c r="B19" s="69" t="s">
        <v>448</v>
      </c>
      <c r="C19" s="72" t="s">
        <v>644</v>
      </c>
      <c r="D19" s="72"/>
    </row>
    <row r="20" spans="2:4">
      <c r="B20" s="69" t="s">
        <v>449</v>
      </c>
      <c r="C20" s="72" t="s">
        <v>645</v>
      </c>
      <c r="D20" s="72"/>
    </row>
    <row r="21" spans="2:4">
      <c r="B21" s="69" t="s">
        <v>651</v>
      </c>
      <c r="C21" s="72" t="s">
        <v>664</v>
      </c>
      <c r="D21" s="72"/>
    </row>
    <row r="22" spans="2:4">
      <c r="B22" s="73" t="s">
        <v>450</v>
      </c>
      <c r="C22" s="72" t="s">
        <v>646</v>
      </c>
      <c r="D22" s="72"/>
    </row>
    <row r="23" spans="2:4">
      <c r="B23" s="69" t="s">
        <v>451</v>
      </c>
      <c r="C23" s="69" t="s">
        <v>647</v>
      </c>
      <c r="D23" s="69"/>
    </row>
    <row r="24" spans="2:4">
      <c r="B24" s="69" t="s">
        <v>452</v>
      </c>
      <c r="C24" s="69" t="s">
        <v>648</v>
      </c>
      <c r="D24" s="69"/>
    </row>
    <row r="25" spans="2:4">
      <c r="B25" s="69" t="s">
        <v>453</v>
      </c>
      <c r="C25" s="69" t="s">
        <v>649</v>
      </c>
      <c r="D25" s="69"/>
    </row>
    <row r="26" spans="2:4">
      <c r="B26" s="69" t="s">
        <v>454</v>
      </c>
      <c r="C26" s="74" t="s">
        <v>673</v>
      </c>
      <c r="D26" s="69"/>
    </row>
    <row r="27" spans="2:4">
      <c r="B27" s="74" t="s">
        <v>455</v>
      </c>
      <c r="C27" s="74" t="s">
        <v>673</v>
      </c>
      <c r="D27" s="69"/>
    </row>
    <row r="28" spans="2:4">
      <c r="B28" s="74" t="s">
        <v>503</v>
      </c>
      <c r="C28" s="74" t="s">
        <v>674</v>
      </c>
      <c r="D28" s="74"/>
    </row>
    <row r="29" spans="2:4">
      <c r="B29" s="69" t="s">
        <v>445</v>
      </c>
      <c r="C29" s="71" t="s">
        <v>654</v>
      </c>
      <c r="D29" s="71"/>
    </row>
    <row r="30" spans="2:4">
      <c r="B30" s="74" t="s">
        <v>504</v>
      </c>
      <c r="C30" s="74" t="s">
        <v>627</v>
      </c>
      <c r="D30" s="74"/>
    </row>
    <row r="31" spans="2:4">
      <c r="B31" s="74" t="s">
        <v>506</v>
      </c>
      <c r="C31" s="74" t="s">
        <v>458</v>
      </c>
      <c r="D31" s="74"/>
    </row>
    <row r="32" spans="2:4">
      <c r="B32" s="74" t="s">
        <v>507</v>
      </c>
      <c r="C32" s="74" t="s">
        <v>458</v>
      </c>
      <c r="D32" s="74"/>
    </row>
    <row r="33" spans="2:4" ht="14.25" thickBot="1">
      <c r="B33" s="75" t="s">
        <v>505</v>
      </c>
      <c r="C33" s="75" t="s">
        <v>650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M55" sqref="M55"/>
    </sheetView>
  </sheetViews>
  <sheetFormatPr defaultColWidth="8.77734375" defaultRowHeight="13.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>
      <c r="C2" s="212" t="s">
        <v>533</v>
      </c>
      <c r="D2" s="213"/>
      <c r="E2" s="213"/>
      <c r="F2" s="213"/>
      <c r="G2" s="214"/>
    </row>
    <row r="3" spans="3:7" ht="20.25">
      <c r="C3" s="215" t="s">
        <v>534</v>
      </c>
      <c r="D3" s="215"/>
      <c r="E3" s="209" t="s">
        <v>658</v>
      </c>
      <c r="F3" s="210"/>
      <c r="G3" s="211"/>
    </row>
    <row r="4" spans="3:7" ht="20.25">
      <c r="C4" s="115" t="s">
        <v>535</v>
      </c>
      <c r="D4" s="116" t="s">
        <v>659</v>
      </c>
      <c r="E4" s="115" t="s">
        <v>434</v>
      </c>
      <c r="F4" s="216" t="s">
        <v>663</v>
      </c>
      <c r="G4" s="217"/>
    </row>
    <row r="5" spans="3:7" ht="20.25">
      <c r="C5" s="117" t="s">
        <v>536</v>
      </c>
      <c r="D5" s="118"/>
      <c r="E5" s="115" t="s">
        <v>435</v>
      </c>
      <c r="F5" s="209" t="s">
        <v>660</v>
      </c>
      <c r="G5" s="211"/>
    </row>
    <row r="6" spans="3:7" ht="20.25">
      <c r="C6" s="209" t="s">
        <v>537</v>
      </c>
      <c r="D6" s="210"/>
      <c r="E6" s="210"/>
      <c r="F6" s="210"/>
      <c r="G6" s="211"/>
    </row>
    <row r="7" spans="3:7" ht="16.5" hidden="1">
      <c r="C7" s="119">
        <v>1</v>
      </c>
      <c r="D7" s="6" t="s">
        <v>538</v>
      </c>
      <c r="E7" s="120" t="s">
        <v>538</v>
      </c>
      <c r="F7" s="121">
        <v>100</v>
      </c>
      <c r="G7" s="122" t="s">
        <v>539</v>
      </c>
    </row>
    <row r="8" spans="3:7" ht="16.5" hidden="1" customHeight="1">
      <c r="C8" s="123"/>
      <c r="D8" s="123"/>
      <c r="E8" s="120" t="s">
        <v>540</v>
      </c>
      <c r="F8" s="121">
        <v>1</v>
      </c>
      <c r="G8" s="122" t="s">
        <v>541</v>
      </c>
    </row>
    <row r="9" spans="3:7" ht="20.25" hidden="1" customHeight="1">
      <c r="C9" s="123"/>
      <c r="D9" s="123"/>
      <c r="E9" s="120" t="s">
        <v>542</v>
      </c>
      <c r="F9" s="121">
        <f>(10*10^6)/F8</f>
        <v>10000000</v>
      </c>
      <c r="G9" s="124"/>
    </row>
    <row r="10" spans="3:7" ht="16.5" hidden="1" customHeight="1">
      <c r="C10" s="123"/>
      <c r="D10" s="123"/>
      <c r="E10" s="120" t="s">
        <v>543</v>
      </c>
      <c r="F10" s="121">
        <v>100000</v>
      </c>
      <c r="G10" s="124">
        <v>50000</v>
      </c>
    </row>
    <row r="11" spans="3:7" ht="16.5" hidden="1" customHeight="1">
      <c r="C11" s="123"/>
      <c r="D11" s="123"/>
      <c r="E11" s="120" t="s">
        <v>544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>
      <c r="C12" s="123"/>
      <c r="D12" s="123"/>
      <c r="E12" s="120" t="s">
        <v>545</v>
      </c>
      <c r="F12" s="121" t="e">
        <f>F11/2</f>
        <v>#VALUE!</v>
      </c>
      <c r="G12" s="124" t="e">
        <f>G11/2</f>
        <v>#VALUE!</v>
      </c>
    </row>
    <row r="13" spans="3:7" ht="16.5" customHeight="1">
      <c r="C13" s="218">
        <v>2</v>
      </c>
      <c r="D13" s="220" t="s">
        <v>546</v>
      </c>
      <c r="E13" s="120" t="s">
        <v>547</v>
      </c>
      <c r="F13" s="125">
        <v>350</v>
      </c>
      <c r="G13" s="6" t="s">
        <v>548</v>
      </c>
    </row>
    <row r="14" spans="3:7" ht="16.5">
      <c r="C14" s="219"/>
      <c r="D14" s="221"/>
      <c r="E14" s="120" t="s">
        <v>549</v>
      </c>
      <c r="F14" s="125">
        <v>35</v>
      </c>
      <c r="G14" s="6" t="s">
        <v>550</v>
      </c>
    </row>
    <row r="15" spans="3:7" ht="16.5">
      <c r="C15" s="218">
        <v>3</v>
      </c>
      <c r="D15" s="220" t="s">
        <v>551</v>
      </c>
      <c r="E15" s="120" t="s">
        <v>551</v>
      </c>
      <c r="F15" s="121">
        <v>440</v>
      </c>
      <c r="G15" s="6" t="s">
        <v>552</v>
      </c>
    </row>
    <row r="16" spans="3:7" ht="16.5">
      <c r="C16" s="222"/>
      <c r="D16" s="223"/>
      <c r="E16" s="124" t="s">
        <v>553</v>
      </c>
      <c r="F16" s="121">
        <v>763</v>
      </c>
      <c r="G16" s="6" t="s">
        <v>160</v>
      </c>
    </row>
    <row r="17" spans="3:8" ht="16.5">
      <c r="C17" s="222"/>
      <c r="D17" s="223"/>
      <c r="E17" s="124" t="s">
        <v>554</v>
      </c>
      <c r="F17" s="121">
        <v>500</v>
      </c>
      <c r="G17" s="6" t="s">
        <v>160</v>
      </c>
    </row>
    <row r="18" spans="3:8" ht="16.5">
      <c r="C18" s="219"/>
      <c r="D18" s="221"/>
      <c r="E18" s="124" t="s">
        <v>555</v>
      </c>
      <c r="F18" s="121">
        <v>350</v>
      </c>
      <c r="G18" s="6" t="s">
        <v>160</v>
      </c>
    </row>
    <row r="19" spans="3:8" ht="16.5">
      <c r="C19" s="218">
        <v>4</v>
      </c>
      <c r="D19" s="220" t="s">
        <v>556</v>
      </c>
      <c r="E19" s="120" t="s">
        <v>557</v>
      </c>
      <c r="F19" s="121">
        <v>800</v>
      </c>
      <c r="G19" s="6" t="s">
        <v>558</v>
      </c>
    </row>
    <row r="20" spans="3:8" ht="16.5">
      <c r="C20" s="219"/>
      <c r="D20" s="221"/>
      <c r="E20" s="124" t="s">
        <v>559</v>
      </c>
      <c r="F20" s="121">
        <v>800</v>
      </c>
      <c r="G20" s="6" t="s">
        <v>163</v>
      </c>
    </row>
    <row r="21" spans="3:8" ht="16.5">
      <c r="C21" s="218">
        <v>5</v>
      </c>
      <c r="D21" s="220" t="s">
        <v>560</v>
      </c>
      <c r="E21" s="126" t="s">
        <v>561</v>
      </c>
      <c r="F21" s="125">
        <v>6.8</v>
      </c>
      <c r="G21" s="127" t="s">
        <v>562</v>
      </c>
    </row>
    <row r="22" spans="3:8" ht="16.5">
      <c r="C22" s="222"/>
      <c r="D22" s="223"/>
      <c r="E22" s="126" t="s">
        <v>563</v>
      </c>
      <c r="F22" s="121">
        <v>5</v>
      </c>
      <c r="G22" s="127" t="s">
        <v>564</v>
      </c>
    </row>
    <row r="23" spans="3:8" ht="16.5" customHeight="1">
      <c r="C23" s="222"/>
      <c r="D23" s="223"/>
      <c r="E23" s="126" t="s">
        <v>565</v>
      </c>
      <c r="F23" s="121">
        <v>1000</v>
      </c>
      <c r="G23" s="127" t="s">
        <v>566</v>
      </c>
    </row>
    <row r="24" spans="3:8" ht="16.5">
      <c r="C24" s="222"/>
      <c r="D24" s="223"/>
      <c r="E24" s="126" t="s">
        <v>626</v>
      </c>
      <c r="F24" s="121">
        <v>1600</v>
      </c>
      <c r="G24" s="127" t="s">
        <v>163</v>
      </c>
      <c r="H24" s="114" t="s">
        <v>665</v>
      </c>
    </row>
    <row r="25" spans="3:8" ht="16.5">
      <c r="C25" s="222"/>
      <c r="D25" s="223"/>
      <c r="E25" s="6" t="s">
        <v>567</v>
      </c>
      <c r="F25" s="121">
        <f>(3/(F21/F22))*F23</f>
        <v>2205.8823529411766</v>
      </c>
      <c r="G25" s="127" t="s">
        <v>163</v>
      </c>
    </row>
    <row r="26" spans="3:8" ht="16.5">
      <c r="C26" s="222"/>
      <c r="D26" s="223"/>
      <c r="E26" s="6" t="s">
        <v>568</v>
      </c>
      <c r="F26" s="121">
        <f>F25*1.11</f>
        <v>2448.5294117647063</v>
      </c>
      <c r="G26" s="127" t="s">
        <v>569</v>
      </c>
    </row>
    <row r="27" spans="3:8" ht="16.5">
      <c r="C27" s="219"/>
      <c r="D27" s="221"/>
      <c r="E27" s="6" t="s">
        <v>570</v>
      </c>
      <c r="F27" s="121">
        <v>1800</v>
      </c>
      <c r="G27" s="127" t="s">
        <v>569</v>
      </c>
    </row>
    <row r="28" spans="3:8" ht="16.5" customHeight="1">
      <c r="C28" s="218">
        <v>6</v>
      </c>
      <c r="D28" s="224" t="s">
        <v>571</v>
      </c>
      <c r="E28" s="6" t="s">
        <v>547</v>
      </c>
      <c r="F28" s="121">
        <v>350</v>
      </c>
      <c r="G28" s="127" t="s">
        <v>572</v>
      </c>
    </row>
    <row r="29" spans="3:8" ht="16.5" customHeight="1">
      <c r="C29" s="219"/>
      <c r="D29" s="221"/>
      <c r="E29" s="6" t="s">
        <v>549</v>
      </c>
      <c r="F29" s="128">
        <v>35</v>
      </c>
      <c r="G29" s="127" t="s">
        <v>572</v>
      </c>
    </row>
    <row r="30" spans="3:8" ht="16.5">
      <c r="C30" s="218">
        <v>7</v>
      </c>
      <c r="D30" s="220" t="s">
        <v>573</v>
      </c>
      <c r="E30" s="6" t="s">
        <v>547</v>
      </c>
      <c r="F30" s="121"/>
      <c r="G30" s="127" t="s">
        <v>572</v>
      </c>
    </row>
    <row r="31" spans="3:8" ht="16.5">
      <c r="C31" s="219"/>
      <c r="D31" s="221"/>
      <c r="E31" s="6" t="s">
        <v>549</v>
      </c>
      <c r="F31" s="128"/>
      <c r="G31" s="127" t="s">
        <v>572</v>
      </c>
    </row>
    <row r="32" spans="3:8" ht="16.5">
      <c r="C32" s="218">
        <v>8</v>
      </c>
      <c r="D32" s="220" t="s">
        <v>574</v>
      </c>
      <c r="E32" s="6" t="s">
        <v>575</v>
      </c>
      <c r="F32" s="121"/>
      <c r="G32" s="127" t="s">
        <v>576</v>
      </c>
    </row>
    <row r="33" spans="3:7" ht="16.5">
      <c r="C33" s="219"/>
      <c r="D33" s="221"/>
      <c r="E33" s="6" t="s">
        <v>577</v>
      </c>
      <c r="F33" s="129"/>
      <c r="G33" s="127" t="s">
        <v>578</v>
      </c>
    </row>
    <row r="34" spans="3:7" ht="16.5">
      <c r="C34" s="218">
        <v>9</v>
      </c>
      <c r="D34" s="220" t="s">
        <v>579</v>
      </c>
      <c r="E34" s="6" t="s">
        <v>580</v>
      </c>
      <c r="F34" s="129">
        <v>42</v>
      </c>
      <c r="G34" s="127" t="s">
        <v>581</v>
      </c>
    </row>
    <row r="35" spans="3:7" ht="16.5">
      <c r="C35" s="222"/>
      <c r="D35" s="223"/>
      <c r="E35" s="6" t="s">
        <v>582</v>
      </c>
      <c r="F35" s="129">
        <v>1000</v>
      </c>
      <c r="G35" s="127" t="s">
        <v>583</v>
      </c>
    </row>
    <row r="36" spans="3:7" ht="16.5">
      <c r="C36" s="219"/>
      <c r="D36" s="221"/>
      <c r="E36" s="6" t="s">
        <v>584</v>
      </c>
      <c r="F36" s="129">
        <v>1000</v>
      </c>
      <c r="G36" s="127" t="s">
        <v>160</v>
      </c>
    </row>
    <row r="37" spans="3:7" ht="16.5">
      <c r="C37" s="119">
        <v>10</v>
      </c>
      <c r="D37" s="6" t="s">
        <v>585</v>
      </c>
      <c r="E37" s="6" t="s">
        <v>586</v>
      </c>
      <c r="F37" s="130">
        <v>1</v>
      </c>
      <c r="G37" s="127" t="s">
        <v>587</v>
      </c>
    </row>
    <row r="38" spans="3:7" ht="16.5">
      <c r="C38" s="218">
        <v>11</v>
      </c>
      <c r="D38" s="220" t="s">
        <v>588</v>
      </c>
      <c r="E38" s="6" t="s">
        <v>589</v>
      </c>
      <c r="F38" s="129">
        <v>3000</v>
      </c>
      <c r="G38" s="127" t="s">
        <v>590</v>
      </c>
    </row>
    <row r="39" spans="3:7" ht="16.5" customHeight="1">
      <c r="C39" s="222"/>
      <c r="D39" s="223"/>
      <c r="E39" s="6" t="s">
        <v>547</v>
      </c>
      <c r="F39" s="129">
        <v>12000</v>
      </c>
      <c r="G39" s="127" t="s">
        <v>578</v>
      </c>
    </row>
    <row r="40" spans="3:7" ht="16.5">
      <c r="C40" s="222"/>
      <c r="D40" s="223"/>
      <c r="E40" s="6" t="s">
        <v>591</v>
      </c>
      <c r="F40" s="129">
        <v>10000</v>
      </c>
      <c r="G40" s="127" t="s">
        <v>576</v>
      </c>
    </row>
    <row r="41" spans="3:7" ht="16.5">
      <c r="C41" s="219"/>
      <c r="D41" s="221"/>
      <c r="E41" s="6" t="s">
        <v>592</v>
      </c>
      <c r="F41" s="131">
        <v>9000</v>
      </c>
      <c r="G41" s="127" t="s">
        <v>578</v>
      </c>
    </row>
    <row r="42" spans="3:7" ht="16.5">
      <c r="C42" s="132">
        <v>12</v>
      </c>
      <c r="D42" s="133" t="s">
        <v>593</v>
      </c>
      <c r="E42" s="6" t="s">
        <v>593</v>
      </c>
      <c r="F42" s="125">
        <v>2</v>
      </c>
      <c r="G42" s="127" t="s">
        <v>594</v>
      </c>
    </row>
    <row r="43" spans="3:7" ht="16.5" hidden="1" customHeight="1">
      <c r="C43" s="218">
        <v>13</v>
      </c>
      <c r="D43" s="220" t="s">
        <v>595</v>
      </c>
      <c r="E43" s="6" t="s">
        <v>596</v>
      </c>
      <c r="F43" s="6" t="s">
        <v>597</v>
      </c>
      <c r="G43" s="134" t="s">
        <v>599</v>
      </c>
    </row>
    <row r="44" spans="3:7" ht="16.5">
      <c r="C44" s="222"/>
      <c r="D44" s="223"/>
      <c r="E44" s="6" t="s">
        <v>600</v>
      </c>
      <c r="F44" s="6" t="s">
        <v>601</v>
      </c>
      <c r="G44" s="134" t="s">
        <v>602</v>
      </c>
    </row>
    <row r="45" spans="3:7" ht="16.5">
      <c r="C45" s="222"/>
      <c r="D45" s="223"/>
      <c r="E45" s="6" t="s">
        <v>603</v>
      </c>
      <c r="F45" s="6" t="s">
        <v>604</v>
      </c>
      <c r="G45" s="134" t="s">
        <v>598</v>
      </c>
    </row>
    <row r="46" spans="3:7" ht="16.5">
      <c r="C46" s="222"/>
      <c r="D46" s="223"/>
      <c r="E46" s="6" t="s">
        <v>605</v>
      </c>
      <c r="F46" s="6" t="s">
        <v>606</v>
      </c>
      <c r="G46" s="134" t="s">
        <v>598</v>
      </c>
    </row>
    <row r="47" spans="3:7" ht="16.5">
      <c r="C47" s="222"/>
      <c r="D47" s="223"/>
      <c r="E47" s="6" t="s">
        <v>607</v>
      </c>
      <c r="F47" s="6" t="s">
        <v>608</v>
      </c>
      <c r="G47" s="134" t="s">
        <v>602</v>
      </c>
    </row>
    <row r="48" spans="3:7" ht="16.5">
      <c r="C48" s="222"/>
      <c r="D48" s="223"/>
      <c r="E48" s="6" t="s">
        <v>609</v>
      </c>
      <c r="F48" s="6" t="s">
        <v>610</v>
      </c>
      <c r="G48" s="134" t="s">
        <v>611</v>
      </c>
    </row>
    <row r="49" spans="3:7" ht="16.5">
      <c r="C49" s="222"/>
      <c r="D49" s="223"/>
      <c r="E49" s="6" t="s">
        <v>612</v>
      </c>
      <c r="F49" s="6" t="s">
        <v>613</v>
      </c>
      <c r="G49" s="134" t="s">
        <v>661</v>
      </c>
    </row>
    <row r="50" spans="3:7" ht="66">
      <c r="C50" s="222"/>
      <c r="D50" s="223"/>
      <c r="E50" s="6" t="s">
        <v>614</v>
      </c>
      <c r="F50" s="135" t="s">
        <v>615</v>
      </c>
      <c r="G50" s="134" t="s">
        <v>616</v>
      </c>
    </row>
    <row r="51" spans="3:7" ht="16.5">
      <c r="C51" s="222"/>
      <c r="D51" s="223"/>
      <c r="E51" s="6" t="s">
        <v>617</v>
      </c>
      <c r="F51" s="6" t="s">
        <v>618</v>
      </c>
      <c r="G51" s="134" t="s">
        <v>598</v>
      </c>
    </row>
    <row r="52" spans="3:7" ht="37.5" customHeight="1">
      <c r="C52" s="222"/>
      <c r="D52" s="223"/>
      <c r="E52" s="6" t="s">
        <v>619</v>
      </c>
      <c r="F52" s="136" t="s">
        <v>620</v>
      </c>
      <c r="G52" s="134" t="s">
        <v>634</v>
      </c>
    </row>
    <row r="53" spans="3:7" ht="16.5">
      <c r="C53" s="222"/>
      <c r="D53" s="223"/>
      <c r="E53" s="6"/>
      <c r="F53" s="136" t="s">
        <v>570</v>
      </c>
      <c r="G53" s="134" t="s">
        <v>598</v>
      </c>
    </row>
    <row r="54" spans="3:7" ht="16.5">
      <c r="C54" s="222"/>
      <c r="D54" s="223"/>
      <c r="E54" s="6"/>
      <c r="F54" s="136" t="s">
        <v>621</v>
      </c>
      <c r="G54" s="134" t="s">
        <v>598</v>
      </c>
    </row>
    <row r="55" spans="3:7" ht="16.5">
      <c r="C55" s="219"/>
      <c r="D55" s="223"/>
      <c r="E55" s="6"/>
      <c r="F55" s="136" t="s">
        <v>622</v>
      </c>
      <c r="G55" s="134" t="s">
        <v>598</v>
      </c>
    </row>
    <row r="56" spans="3:7" ht="16.5">
      <c r="C56" s="119">
        <v>14</v>
      </c>
      <c r="D56" s="137" t="s">
        <v>623</v>
      </c>
      <c r="E56" s="225" t="s">
        <v>666</v>
      </c>
      <c r="F56" s="226"/>
      <c r="G56" s="227"/>
    </row>
    <row r="57" spans="3:7" ht="16.5">
      <c r="C57" s="119">
        <v>15</v>
      </c>
      <c r="D57" s="137" t="s">
        <v>624</v>
      </c>
      <c r="E57" s="225" t="s">
        <v>662</v>
      </c>
      <c r="F57" s="226"/>
      <c r="G57" s="227"/>
    </row>
    <row r="58" spans="3:7">
      <c r="C58" s="138"/>
      <c r="D58" s="139"/>
      <c r="E58" s="139"/>
      <c r="F58" s="140"/>
      <c r="G58" s="141"/>
    </row>
    <row r="59" spans="3:7" ht="99.75" customHeight="1">
      <c r="C59" s="142" t="s">
        <v>625</v>
      </c>
      <c r="D59" s="228" t="s">
        <v>633</v>
      </c>
      <c r="E59" s="229"/>
      <c r="F59" s="229"/>
      <c r="G59" s="230"/>
    </row>
    <row r="61" spans="3:7" ht="100.5" customHeight="1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43" t="s">
        <v>307</v>
      </c>
      <c r="B2" s="233" t="s">
        <v>308</v>
      </c>
      <c r="C2" s="233" t="s">
        <v>309</v>
      </c>
      <c r="D2" s="233" t="s">
        <v>310</v>
      </c>
      <c r="E2" s="233" t="s">
        <v>311</v>
      </c>
      <c r="F2" s="235" t="s">
        <v>312</v>
      </c>
      <c r="G2" s="237" t="s">
        <v>313</v>
      </c>
      <c r="H2" s="233" t="s">
        <v>314</v>
      </c>
      <c r="I2" s="237" t="s">
        <v>315</v>
      </c>
      <c r="J2" s="245" t="s">
        <v>316</v>
      </c>
      <c r="K2" s="233" t="s">
        <v>317</v>
      </c>
      <c r="L2" s="235" t="s">
        <v>318</v>
      </c>
      <c r="M2" s="233" t="s">
        <v>319</v>
      </c>
      <c r="N2" s="233" t="s">
        <v>320</v>
      </c>
      <c r="O2" s="235" t="s">
        <v>321</v>
      </c>
      <c r="P2" s="233" t="s">
        <v>322</v>
      </c>
      <c r="Q2" s="233" t="s">
        <v>323</v>
      </c>
      <c r="R2" s="233"/>
      <c r="S2" s="237" t="s">
        <v>324</v>
      </c>
      <c r="T2" s="239" t="s">
        <v>325</v>
      </c>
      <c r="U2" s="241" t="s">
        <v>326</v>
      </c>
      <c r="V2" s="241" t="s">
        <v>327</v>
      </c>
    </row>
    <row r="3" spans="1:22" ht="17.25" thickBot="1">
      <c r="A3" s="244"/>
      <c r="B3" s="234"/>
      <c r="C3" s="234"/>
      <c r="D3" s="234"/>
      <c r="E3" s="234"/>
      <c r="F3" s="236"/>
      <c r="G3" s="238"/>
      <c r="H3" s="234"/>
      <c r="I3" s="238"/>
      <c r="J3" s="246"/>
      <c r="K3" s="234"/>
      <c r="L3" s="236"/>
      <c r="M3" s="234"/>
      <c r="N3" s="234"/>
      <c r="O3" s="236"/>
      <c r="P3" s="234"/>
      <c r="Q3" s="82" t="s">
        <v>328</v>
      </c>
      <c r="R3" s="82" t="s">
        <v>329</v>
      </c>
      <c r="S3" s="238"/>
      <c r="T3" s="240"/>
      <c r="U3" s="242"/>
      <c r="V3" s="242"/>
    </row>
    <row r="4" spans="1:22" ht="17.25" thickTop="1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31" t="s">
        <v>352</v>
      </c>
      <c r="V10" s="232"/>
    </row>
    <row r="11" spans="1:22" ht="16.5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31" t="s">
        <v>352</v>
      </c>
      <c r="V13" s="232"/>
    </row>
    <row r="14" spans="1:22" ht="16.5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31" t="s">
        <v>352</v>
      </c>
      <c r="V14" s="232"/>
    </row>
    <row r="15" spans="1:22" ht="16.5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31" t="s">
        <v>352</v>
      </c>
      <c r="V15" s="232"/>
    </row>
    <row r="16" spans="1:22" ht="16.5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31" t="s">
        <v>352</v>
      </c>
      <c r="V16" s="232"/>
    </row>
    <row r="17" spans="1:22" ht="16.5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31" t="s">
        <v>352</v>
      </c>
      <c r="V17" s="232"/>
    </row>
    <row r="18" spans="1:22" ht="16.5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31" t="s">
        <v>352</v>
      </c>
      <c r="V18" s="232"/>
    </row>
    <row r="19" spans="1:22" ht="16.5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31" t="s">
        <v>352</v>
      </c>
      <c r="V19" s="232"/>
    </row>
    <row r="20" spans="1:22" ht="16.5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31" t="s">
        <v>352</v>
      </c>
      <c r="V20" s="232"/>
    </row>
    <row r="21" spans="1:22" ht="16.5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31" t="s">
        <v>352</v>
      </c>
      <c r="V21" s="232"/>
    </row>
    <row r="22" spans="1:22" ht="16.5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31" t="s">
        <v>352</v>
      </c>
      <c r="V22" s="232"/>
    </row>
    <row r="23" spans="1:22" ht="16.5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31" t="s">
        <v>352</v>
      </c>
      <c r="V23" s="232"/>
    </row>
    <row r="24" spans="1:22" ht="16.5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31" t="s">
        <v>352</v>
      </c>
      <c r="V24" s="232"/>
    </row>
    <row r="25" spans="1:22" ht="16.5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31" t="s">
        <v>352</v>
      </c>
      <c r="V25" s="232"/>
    </row>
    <row r="26" spans="1:22" ht="16.5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31" t="s">
        <v>352</v>
      </c>
      <c r="V26" s="232"/>
    </row>
    <row r="27" spans="1:22" ht="16.5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31" t="s">
        <v>352</v>
      </c>
      <c r="V27" s="232"/>
    </row>
    <row r="28" spans="1:22" ht="16.5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31" t="s">
        <v>352</v>
      </c>
      <c r="V28" s="232"/>
    </row>
    <row r="29" spans="1:22" ht="16.5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31" t="s">
        <v>352</v>
      </c>
      <c r="V29" s="232"/>
    </row>
    <row r="30" spans="1:22" ht="16.5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31" t="s">
        <v>352</v>
      </c>
      <c r="V30" s="232"/>
    </row>
    <row r="31" spans="1:22" ht="16.5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31" t="s">
        <v>352</v>
      </c>
      <c r="V31" s="232"/>
    </row>
    <row r="32" spans="1:22" ht="16.5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493</v>
      </c>
    </row>
    <row r="42" spans="1:22" ht="16.5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GT36_외륜_내경 하드닝</vt:lpstr>
      <vt:lpstr>설계 결과표_GT36_외륜_내경 하드닝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2021-02-25T13:17:31Z</dcterms:modified>
</cp:coreProperties>
</file>